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8_{8529521F-5091-4764-939F-A450EFAE4C82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אהבת שלום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</calcChain>
</file>

<file path=xl/sharedStrings.xml><?xml version="1.0" encoding="utf-8"?>
<sst xmlns="http://schemas.openxmlformats.org/spreadsheetml/2006/main" count="1756" uniqueCount="687">
  <si>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</si>
  <si>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</si>
  <si>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</si>
  <si>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</si>
  <si>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</si>
  <si>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</si>
  <si>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</si>
  <si>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</si>
  <si>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אגדות שמואל</t>
  </si>
  <si>
    <t>הלל, משה בן יעקב</t>
  </si>
  <si>
    <t>ירושלים</t>
  </si>
  <si>
    <t>תשע"ח</t>
  </si>
  <si>
    <t>נושאים שונים</t>
  </si>
  <si>
    <t>אגן הסהר</t>
  </si>
  <si>
    <t xml:space="preserve">גלאנטי, אברהם </t>
  </si>
  <si>
    <t>תשפ"ב</t>
  </si>
  <si>
    <t>אגרות ותשובות</t>
  </si>
  <si>
    <t>אריק, מאיר בן אהרן יהודה</t>
  </si>
  <si>
    <t>מודיעין עילית</t>
  </si>
  <si>
    <t>תשע"ט</t>
  </si>
  <si>
    <t>אדם ישר &lt;מהדורת אהבת שלום&gt;</t>
  </si>
  <si>
    <t>וויטאל, חיים בן יוסף</t>
  </si>
  <si>
    <t>תשס"א</t>
  </si>
  <si>
    <t>קבלה</t>
  </si>
  <si>
    <t>אדרת אליהו</t>
  </si>
  <si>
    <t>הצרפתי, אליהו בן יוסף</t>
  </si>
  <si>
    <t>תשנ"ז</t>
  </si>
  <si>
    <t>תנ''ך</t>
  </si>
  <si>
    <t>אהבת שלום</t>
  </si>
  <si>
    <t>הלל, יעקב בן משה</t>
  </si>
  <si>
    <t>תשס"ב</t>
  </si>
  <si>
    <t>קבלה, תולדות עם ישראל</t>
  </si>
  <si>
    <t>אהל יעקב א &lt;בראשית&gt;</t>
  </si>
  <si>
    <t>טולידאנו, יעקב בן משה</t>
  </si>
  <si>
    <t>אהל יעקב ב &lt;שמות, ויקרא&gt;</t>
  </si>
  <si>
    <t>אהל יעקב ג &lt;במדבר, דברים&gt;</t>
  </si>
  <si>
    <t>אהל משה</t>
  </si>
  <si>
    <t>טולידאנו, משה בן יעקב</t>
  </si>
  <si>
    <t>אהל רא"ם</t>
  </si>
  <si>
    <t>אוצר מנהגי חסידים - דרכי יואל</t>
  </si>
  <si>
    <t>טייטלבוים, יואל בן חנוך העניך</t>
  </si>
  <si>
    <t>תש"נ</t>
  </si>
  <si>
    <t>הלכה ומנהג</t>
  </si>
  <si>
    <t>אוצרות חיים - תהלות יוסף</t>
  </si>
  <si>
    <t>תשמ"ט</t>
  </si>
  <si>
    <t>תולדות עם ישראל</t>
  </si>
  <si>
    <t>אוצרות חיים &lt;מהדורת אהבת שלום&gt;</t>
  </si>
  <si>
    <t>תשע"ז</t>
  </si>
  <si>
    <t>אוצרות חיים - 34 כרכים</t>
  </si>
  <si>
    <t>יוסף חיים בן אליהו</t>
  </si>
  <si>
    <t>תשס"ד</t>
  </si>
  <si>
    <t>אוצרות חיים השלם</t>
  </si>
  <si>
    <t>תשנ"ה</t>
  </si>
  <si>
    <t>אור זרוע - אור שבת - הגהות פרי עץ חיים</t>
  </si>
  <si>
    <t>פופרש, מאיר בן יהודה ליב הכהן</t>
  </si>
  <si>
    <t>תשמ"ו</t>
  </si>
  <si>
    <t>קבלה, תפלות בקשות פיוטים ושירה</t>
  </si>
  <si>
    <t>אור זרוע הגהות פרי עץ חיים &lt;מהדורה חדשה ומושלמת&gt;</t>
  </si>
  <si>
    <t>תשפ"א</t>
  </si>
  <si>
    <t>אור צח</t>
  </si>
  <si>
    <t>תשד"מ</t>
  </si>
  <si>
    <t>אור רב</t>
  </si>
  <si>
    <t>אורח צדקה</t>
  </si>
  <si>
    <t>חוצין, צדקה בן סעדיה</t>
  </si>
  <si>
    <t>תשמ"ד</t>
  </si>
  <si>
    <t>הלכה ומנהג, תלמוד בבלי</t>
  </si>
  <si>
    <t>אורחות חיים</t>
  </si>
  <si>
    <t>כהן, אליהו בן כמוס</t>
  </si>
  <si>
    <t>משנה, שלחן ערוך ומפרשיו, תלמוד בבלי, תנ''ך</t>
  </si>
  <si>
    <t>אות היא לעולם - שבת</t>
  </si>
  <si>
    <t>כולל דף שע"י ישיבת אהבת שלום</t>
  </si>
  <si>
    <t>קבצים וכתבי עת, ספרי זכרון ויובל</t>
  </si>
  <si>
    <t>איפה שלימה</t>
  </si>
  <si>
    <t>דוויך, חיים שאול בן אליהו הכהן</t>
  </si>
  <si>
    <t>אליבא דהלכתא - 110 כרכים</t>
  </si>
  <si>
    <t>חברת אהבת שלום</t>
  </si>
  <si>
    <t>תשס"ז</t>
  </si>
  <si>
    <t>הלכה ומנהג, קבצים וכתבי עת, ספרי זכרון ויובל</t>
  </si>
  <si>
    <t>אליהו זוטא - ליקוטי אליהו</t>
  </si>
  <si>
    <t>תלמוד בבלי, תנ''ך</t>
  </si>
  <si>
    <t>אמונת עתך - חוסן ישועות - חכמה ודעת</t>
  </si>
  <si>
    <t>תשע"ב</t>
  </si>
  <si>
    <t>קבלה, תנ''ך, תפלות בקשות פיוטים ושירה</t>
  </si>
  <si>
    <t>אמרי אברהם</t>
  </si>
  <si>
    <t>עמאר, אברהם</t>
  </si>
  <si>
    <t>תשע"א</t>
  </si>
  <si>
    <t>הלכה ומנהג, תולדות עם ישראל</t>
  </si>
  <si>
    <t>אמרי בינה &lt;חידושי מהר"ש גארמיזאן&gt; - חולין</t>
  </si>
  <si>
    <t>גארמיזאן, שמואל</t>
  </si>
  <si>
    <t>חש"ד</t>
  </si>
  <si>
    <t>תלמוד בבלי</t>
  </si>
  <si>
    <t>אמרי שמעון &lt;אהבת שלום&gt;</t>
  </si>
  <si>
    <t>אגסי, שמעון אהרן בן אבא</t>
  </si>
  <si>
    <t>אמת מאר"ץ &lt;מהדורה ישנה&gt;</t>
  </si>
  <si>
    <t>חכמי מדרש המקובלים בארם צובא</t>
  </si>
  <si>
    <t>תשמ"ח</t>
  </si>
  <si>
    <t>אמת מאר"ץ &lt;מהדורה חדשה&gt;</t>
  </si>
  <si>
    <t>אסדר בשבחין</t>
  </si>
  <si>
    <t>ישיבת אהבת שלום</t>
  </si>
  <si>
    <t>תפלות בקשות פיוטים ושירה</t>
  </si>
  <si>
    <t>אספקלריא דנהר"א &lt;על רחובות הנהר&gt; - א</t>
  </si>
  <si>
    <t>תשס"ח</t>
  </si>
  <si>
    <t>אקים את יצחק &lt;מהדורת אהבת שלום&gt;</t>
  </si>
  <si>
    <t>יצחק בן אברהם שלמה</t>
  </si>
  <si>
    <t>דרושים, שאלות ותשובות</t>
  </si>
  <si>
    <t>ארח מישור</t>
  </si>
  <si>
    <t>חזן, רחמים אליהו בן רפאל יוסף</t>
  </si>
  <si>
    <t>תשנ"ח</t>
  </si>
  <si>
    <t>משנה, שאלות ותשובות, שלחן ערוך ומפרשיו, תלמוד בבלי, תנ''ך</t>
  </si>
  <si>
    <t>אשר יצוה - 2 כרכים</t>
  </si>
  <si>
    <t>אוצר הנהגות צוואות ומוסרים</t>
  </si>
  <si>
    <t>אשת חיל - עם ביאור מרבני משפחת בירדוגו</t>
  </si>
  <si>
    <t>רבני משפחת בירדוגו</t>
  </si>
  <si>
    <t>תשע"ה</t>
  </si>
  <si>
    <t>באור החיים</t>
  </si>
  <si>
    <t>כפוסי, חיים בן יצחק</t>
  </si>
  <si>
    <t>באר שבע</t>
  </si>
  <si>
    <t>יורבורגר, שלמה בן יהודה ליב</t>
  </si>
  <si>
    <t>תשנ"ט</t>
  </si>
  <si>
    <t>באתי לגני - 5 כרכים</t>
  </si>
  <si>
    <t>מזרחי, ששון בן בנימין ציון</t>
  </si>
  <si>
    <t>באתי לגני &lt;מהדורה חדשה&gt; - 5 כרכים</t>
  </si>
  <si>
    <t>בגדי קודש אשר לאהרן</t>
  </si>
  <si>
    <t>פירירה, אהרן רפאל חיים משה בן יצחק</t>
  </si>
  <si>
    <t>תשנ"ד</t>
  </si>
  <si>
    <t>בית אברהם וברכת אברהם</t>
  </si>
  <si>
    <t>שטיינר, אברהם בן יצחק אייזיק</t>
  </si>
  <si>
    <t>משנה, תלמוד בבלי, תנ''ך</t>
  </si>
  <si>
    <t>בית ההוראה - 3 כרכים</t>
  </si>
  <si>
    <t>בית ההוראה שע"י חברת אהבת שלום</t>
  </si>
  <si>
    <t>תשע"ג</t>
  </si>
  <si>
    <t>בית רחל - 2 כרכים</t>
  </si>
  <si>
    <t>כ"ץ, נפתלי בן יצחק הכהן</t>
  </si>
  <si>
    <t>במסילה נעלה &lt;ביאור באנגלית למסילת ישרים&gt;  - 5 כרכים</t>
  </si>
  <si>
    <t>תשס"ה</t>
  </si>
  <si>
    <t>מחשבה ומוסר</t>
  </si>
  <si>
    <t>בן איש חי &lt;הלכות&gt; בתרגום אנגלית  - 4 כרכים</t>
  </si>
  <si>
    <t>בנין אבות</t>
  </si>
  <si>
    <t>הכהן, צמח בן סעייד</t>
  </si>
  <si>
    <t>תש"ס</t>
  </si>
  <si>
    <t>משנה</t>
  </si>
  <si>
    <t>בר מצוה</t>
  </si>
  <si>
    <t>מכון "אהבת שלום"</t>
  </si>
  <si>
    <t>תש"פ</t>
  </si>
  <si>
    <t>ברוך אברהם</t>
  </si>
  <si>
    <t>מני, אברהם ברוך בן אליהו סלימאן</t>
  </si>
  <si>
    <t>תשמ"ז</t>
  </si>
  <si>
    <t>דרושים, מועדי ישראל, תלמוד בבלי, תנ''ך</t>
  </si>
  <si>
    <t>ברוך טעם - 2 כרכים</t>
  </si>
  <si>
    <t>טולידאנו, ברוך בן אברהם</t>
  </si>
  <si>
    <t>תשס"ג</t>
  </si>
  <si>
    <t>ברית יעקב - 3 כרכים</t>
  </si>
  <si>
    <t>תשס"ט</t>
  </si>
  <si>
    <t>ברכת מעין שבע בליל פסח שחל בשבת</t>
  </si>
  <si>
    <t>הלכה ומנהג, מועדי ישראל</t>
  </si>
  <si>
    <t>ברכת שלום &lt;קובץ&gt; - ברכות</t>
  </si>
  <si>
    <t>גאון יעקב</t>
  </si>
  <si>
    <t>יעקב בן יוסף חיים</t>
  </si>
  <si>
    <t>משנה, תלמוד בבלי, תלמוד ירושלמי</t>
  </si>
  <si>
    <t>גבורת האר"י</t>
  </si>
  <si>
    <t>הלכה ומנהג, נושאים שונים, קבלה</t>
  </si>
  <si>
    <t>גדולות אלישע</t>
  </si>
  <si>
    <t>דנגור, אלישע נסים ששון</t>
  </si>
  <si>
    <t>הלכה ומנהג, מועדי ישראל, נושאים שונים, שלחן ערוך ומפרשיו, תלמוד בבלי</t>
  </si>
  <si>
    <t>גלי הים - 2 כרכים</t>
  </si>
  <si>
    <t>דבר המלך</t>
  </si>
  <si>
    <t>עמרם, חיים בן שלמה</t>
  </si>
  <si>
    <t>דברי אמת &lt;מהדורת אהבת שלום&gt; - חלק הקונטרסים</t>
  </si>
  <si>
    <t>יצחק בן דוד מקושטא</t>
  </si>
  <si>
    <t>דברי יוסף</t>
  </si>
  <si>
    <t>סמברי, יוסף</t>
  </si>
  <si>
    <t>דברי צדיקים</t>
  </si>
  <si>
    <t>פרומר, דוב בריש בן משה</t>
  </si>
  <si>
    <t>דברי שלום ואמת</t>
  </si>
  <si>
    <t>עמאר, שלם בן שמואל</t>
  </si>
  <si>
    <t>דרושים, משנה, שאלות ותשובות, תנ''ך</t>
  </si>
  <si>
    <t>דגלי אהבה - 3 כרכים</t>
  </si>
  <si>
    <t>מיוחס, אברהם בן שמואל</t>
  </si>
  <si>
    <t>דרושי רבינו משה מאימראן - 2 כרכים</t>
  </si>
  <si>
    <t>מאימראן, משה בן אברהם</t>
  </si>
  <si>
    <t>דרושים</t>
  </si>
  <si>
    <t>דרך חיים &lt;מהדורת אהבת שלום&gt;</t>
  </si>
  <si>
    <t>די לונזאנו, מנחם בן יהודה</t>
  </si>
  <si>
    <t>דרכי אמת</t>
  </si>
  <si>
    <t>משען, אליהו בן אברהם</t>
  </si>
  <si>
    <t>דרושים, משנה, תלמוד בבלי, תנ''ך</t>
  </si>
  <si>
    <t>דרכי חיים</t>
  </si>
  <si>
    <t>קואינקה, וידאל</t>
  </si>
  <si>
    <t>דרשות מעבר יבק</t>
  </si>
  <si>
    <t>מודינה, אהרן ברכיה בן משה</t>
  </si>
  <si>
    <t>דרושים, תנ''ך</t>
  </si>
  <si>
    <t>האר"י וגוריו &lt;אגרות ר"ש שלומל&gt;</t>
  </si>
  <si>
    <t>שלמה שלומיל בן חיים מיינשטרל</t>
  </si>
  <si>
    <t>נושאים שונים, קבלה, תולדות עם ישראל</t>
  </si>
  <si>
    <t>הבן בחכמה - 3 כרכים</t>
  </si>
  <si>
    <t>תשע"ו</t>
  </si>
  <si>
    <t>הגדה של פסח &lt;הגדת השל"ה&gt;</t>
  </si>
  <si>
    <t>הורוויץ, ישעיה בן אברהם הלוי</t>
  </si>
  <si>
    <t>מועדי ישראל</t>
  </si>
  <si>
    <t>הגדה של פסח &lt;זמרת הארץ - מנהג אר"ץ&gt;</t>
  </si>
  <si>
    <t>הגדה. ירושלים. תשמ"ח</t>
  </si>
  <si>
    <t>הגדה של פסח &lt;מצודת דוד וציון, ויגד לשלמה&gt;</t>
  </si>
  <si>
    <t>תווינה, שלמה בן עאבד</t>
  </si>
  <si>
    <t>הגדה של פסח &lt;זרוע נטויה&gt;</t>
  </si>
  <si>
    <t>חבר יוסף בן יצחק איזיק</t>
  </si>
  <si>
    <t>הגדה של פסח &lt;אוצרות חיים&gt; - 2 כרכים</t>
  </si>
  <si>
    <t>הוד יוסף</t>
  </si>
  <si>
    <t>תשמ"ג</t>
  </si>
  <si>
    <t>שאלות ותשובות</t>
  </si>
  <si>
    <t>הליכות אלי &lt;אהבת שלום&gt;</t>
  </si>
  <si>
    <t>אלגאזי, שלמה בן אברהם</t>
  </si>
  <si>
    <t>הלכות ברכות, הלכות פסח, ברכות בחשבון, המעשר והעושר</t>
  </si>
  <si>
    <t>מני, אליהו בן סלימאן.</t>
  </si>
  <si>
    <t>הלכה ומנהג, שלחן ערוך ומפרשיו</t>
  </si>
  <si>
    <t>הלכות פסוקות &lt;תשלום הלכות פסוקות&gt;</t>
  </si>
  <si>
    <t>יהודאי בן נחמן גאון</t>
  </si>
  <si>
    <t>הלכות ראו - הלכות פסוקות</t>
  </si>
  <si>
    <t>ברויאר, יוחנן בן מרדכי (עורך)</t>
  </si>
  <si>
    <t>המכתם &lt;מהדורת אהבת שלום&gt;  - 7 כרכים</t>
  </si>
  <si>
    <t>דוד בן לוי מנארבונה</t>
  </si>
  <si>
    <t>המעלות לשלמה</t>
  </si>
  <si>
    <t>לאניאדו, רפאל שלמה בן שמואל</t>
  </si>
  <si>
    <t>דרושים, תלמוד בבלי, תלמוד ירושלמי, תנ''ך</t>
  </si>
  <si>
    <t>העובד הנאמן</t>
  </si>
  <si>
    <t>הלל, יעקב משה</t>
  </si>
  <si>
    <t>העטרה ליושנה</t>
  </si>
  <si>
    <t>הר המוריה, אזני ירושלים, ילקוט דוד</t>
  </si>
  <si>
    <t>רבינוביץ תאומים, אליהו דוד בן בנימין (האדר"ת)</t>
  </si>
  <si>
    <t>תשס"ו</t>
  </si>
  <si>
    <t>התרגשות הלב &lt;אהבת שלום&gt;</t>
  </si>
  <si>
    <t>שפירא, יהושע צבי מיכל בן יעקב קופל</t>
  </si>
  <si>
    <t>ואלה שמות בני ישראל</t>
  </si>
  <si>
    <t>הלכה ומנהג, נושאים שונים</t>
  </si>
  <si>
    <t>והשיב הכהן</t>
  </si>
  <si>
    <t>חמצי, חיים יהושע אלעזר בן יוסף הכהן</t>
  </si>
  <si>
    <t>הלכה ומנהג, שאלות ותשובות</t>
  </si>
  <si>
    <t>וזאת ליהודה</t>
  </si>
  <si>
    <t>קצין, יהודה בן יום-טוב</t>
  </si>
  <si>
    <t>תשמ''ה</t>
  </si>
  <si>
    <t>ויבחר משה</t>
  </si>
  <si>
    <t>חרירי, משה בן אברהם</t>
  </si>
  <si>
    <t>תשמ"ה</t>
  </si>
  <si>
    <t>ויעש ברוך</t>
  </si>
  <si>
    <t>וישמע קולי</t>
  </si>
  <si>
    <t>שפיגל, יעקב שמואל (עורך)</t>
  </si>
  <si>
    <t>נושאים שונים, תולדות עם ישראל</t>
  </si>
  <si>
    <t>וערך הכהן</t>
  </si>
  <si>
    <t>יעקב הכהן החסיד</t>
  </si>
  <si>
    <t>ושבתה הארץ</t>
  </si>
  <si>
    <t>זבחי צדק &lt;אהבת שלום&gt;  - 3 כרכים</t>
  </si>
  <si>
    <t>סומך, עבדאללה בן אברהם</t>
  </si>
  <si>
    <t>שלחן ערוך ומפרשיו</t>
  </si>
  <si>
    <t>זהב שבא</t>
  </si>
  <si>
    <t>הלכה ומנהג, נושאים שונים, שלחן ערוך ומפרשיו, תלמוד בבלי</t>
  </si>
  <si>
    <t>זך ונקי</t>
  </si>
  <si>
    <t>כנאפו, יוסף בן משה</t>
  </si>
  <si>
    <t>זכור לדוד, אחרית השנים</t>
  </si>
  <si>
    <t>זכר דוד &lt;דרושים וחידושים על התורה מכת"י&gt;</t>
  </si>
  <si>
    <t>מודינה, דוד זכות בן מזל טוב</t>
  </si>
  <si>
    <t>דרושים, מועדי ישראל, תנ''ך</t>
  </si>
  <si>
    <t>זכר דוד &lt;אהבת שלום&gt;  - 5 כרכים</t>
  </si>
  <si>
    <t>הלכה ומנהג, תפלות בקשות פיוטים ושירה</t>
  </si>
  <si>
    <t>זכר למקדש, זכר דבר, אלה יעמדו, עריכת נר</t>
  </si>
  <si>
    <t>זרע אמת &lt;מהדורת אהבת שלום&gt; - 3 כרכים</t>
  </si>
  <si>
    <t>כהן, ישמעאל בן אברהם יצחק</t>
  </si>
  <si>
    <t>חולת אהבה &lt;אהבת שלום&gt;</t>
  </si>
  <si>
    <t>חומש משמרת הקדש - 5 כרכים</t>
  </si>
  <si>
    <t>אלמושנינו, חסדאי</t>
  </si>
  <si>
    <t>חידושי הרא"ה &lt;מהדורת אהבת שלום&gt; - 3 כרכים</t>
  </si>
  <si>
    <t>אהרן בן יוסף הלוי מבארצלונה</t>
  </si>
  <si>
    <t>חידושי מהר"א אמיגו</t>
  </si>
  <si>
    <t>אמיגו, אברהם</t>
  </si>
  <si>
    <t>חידושי מהר"א חזן</t>
  </si>
  <si>
    <t>חזן, אליעזר בן רפאל יוסף</t>
  </si>
  <si>
    <t>חידושי מהריט"ץ - פרק איזהו נשך</t>
  </si>
  <si>
    <t>צהלון, יום טוב בן משה (מהריט"ץ)</t>
  </si>
  <si>
    <t>חידושי רא"ם</t>
  </si>
  <si>
    <t>אנקאווא, רפאל בן מרדכי</t>
  </si>
  <si>
    <t>דרושים, מחשבה ומוסר, תלמוד בבלי</t>
  </si>
  <si>
    <t>חידושי רבי ידידיה טיאה ווייל - נדה</t>
  </si>
  <si>
    <t>ווייל, ידידיה טיאה בן יעקב נתנאל</t>
  </si>
  <si>
    <t>חידושי רבינו משה מאימראן - 7 כרכים</t>
  </si>
  <si>
    <t>חכמה ודעת</t>
  </si>
  <si>
    <t>חלואה, סמחון בן שלמה</t>
  </si>
  <si>
    <t>חמדת דניאל - 2 כרכים</t>
  </si>
  <si>
    <t>טולידאנו, דניאל בן גבריאל</t>
  </si>
  <si>
    <t>טוב שם</t>
  </si>
  <si>
    <t>הכהן-חסיד, שם טוב בן מנחם</t>
  </si>
  <si>
    <t>טיב קידושין</t>
  </si>
  <si>
    <t>טייב, יוסף בן יצחק</t>
  </si>
  <si>
    <t>טל אורות</t>
  </si>
  <si>
    <t>יבין שמועה &lt;מהדורת אהבת שלום&gt;</t>
  </si>
  <si>
    <t>בירדוגו, יוסף בן אלישע</t>
  </si>
  <si>
    <t>הלכה ומנהג, קבלה, שאלות ותשובות, תלמוד בבלי</t>
  </si>
  <si>
    <t>יד אליהו</t>
  </si>
  <si>
    <t>הלכה ומנהג, שלחן ערוך ומפרשיו, תלמוד בבלי</t>
  </si>
  <si>
    <t>יד יוסף</t>
  </si>
  <si>
    <t>כהן, יוסף</t>
  </si>
  <si>
    <t>יוד זעירא</t>
  </si>
  <si>
    <t>דורי, יוסף בן צאלח אברהם</t>
  </si>
  <si>
    <t>יחי ראובן - אות יעקב</t>
  </si>
  <si>
    <t>סופר, יעקב חיים בן יצחק שלום - נאווי, דוד ראובן</t>
  </si>
  <si>
    <t>ילקוט חידושי ופניני בעל סדר הדורות</t>
  </si>
  <si>
    <t>היילפרין, יחיאל בן שלמה</t>
  </si>
  <si>
    <t>ילקוט פטר חמור</t>
  </si>
  <si>
    <t>יסודי התורה - 2 כרכים</t>
  </si>
  <si>
    <t>תשנ"ג</t>
  </si>
  <si>
    <t>יקהל שלמה - א</t>
  </si>
  <si>
    <t>אלפאנדארי, שלמה אליעזר בן יעקב</t>
  </si>
  <si>
    <t>ישמח משה - החיים יודוך</t>
  </si>
  <si>
    <t>ישע אלהים</t>
  </si>
  <si>
    <t>צהלון, אברהם בן יצחק</t>
  </si>
  <si>
    <t>יששכר וזבולון</t>
  </si>
  <si>
    <t>טוויל, אהרן עילי הכהן</t>
  </si>
  <si>
    <t>כינוס חכמים</t>
  </si>
  <si>
    <t>כלי מחזיק ברכה</t>
  </si>
  <si>
    <t>נאג'ארה, ישראל בן משה</t>
  </si>
  <si>
    <t>כנסת יחזקאל</t>
  </si>
  <si>
    <t>רחמים, יחזקאל עזרא בן שלמה</t>
  </si>
  <si>
    <t>תשמ"ב</t>
  </si>
  <si>
    <t>כסא אליהו &lt;מהדורה חדשה&gt;</t>
  </si>
  <si>
    <t>מני, אליהו בן סלימאן. מיוחס לו</t>
  </si>
  <si>
    <t>כרם שלמה &lt;מהדורה ישנה&gt;- ה - ו</t>
  </si>
  <si>
    <t>אליהו, סלמאן בן יוסף</t>
  </si>
  <si>
    <t>כרם שלמה - 6 כרכים</t>
  </si>
  <si>
    <t>כתבוני לדורות</t>
  </si>
  <si>
    <t>כתית למאור</t>
  </si>
  <si>
    <t>פינסו, אברהם בן ישראל</t>
  </si>
  <si>
    <t>כתר שם טוב - 4 כרכים</t>
  </si>
  <si>
    <t>גאגין, שם טוב בן יצחק רפאל יחזקיהו</t>
  </si>
  <si>
    <t>לב דוד, ברית עולם</t>
  </si>
  <si>
    <t>אזולאי, חיים יוסף דוד בן רפאל יצחק זרחיה</t>
  </si>
  <si>
    <t>לוח דינים ומנהגים &lt;אהבת שלום - צרפתית&gt; - תשע"ט</t>
  </si>
  <si>
    <t>לוח דינים ומנהגים &lt;אהבת שלום- צרפתית&gt; - תשפ"א</t>
  </si>
  <si>
    <t>לוח דינים ומנהגים &lt;אהבת שלום&gt; - 6 כרכים</t>
  </si>
  <si>
    <t>לוח דינים ומנהגים &lt;אהבת שלום  - 2 כרכים</t>
  </si>
  <si>
    <t>לוח דינים ומנהגים &lt;אהבת שלום - 2 כרכים</t>
  </si>
  <si>
    <t>ליקוטי דינים שחיטה וטריפות</t>
  </si>
  <si>
    <t>ליקוטי דינים שחיטה וטריפות המקוצר</t>
  </si>
  <si>
    <t>לקדושים אשר בארץ</t>
  </si>
  <si>
    <t>לקח טוב &lt;אהבת שלום&gt;</t>
  </si>
  <si>
    <t>מאורי אור - אור צח</t>
  </si>
  <si>
    <t>מאיר טוב - 16 כרכים</t>
  </si>
  <si>
    <t>ידיד הלוי, יום טוב</t>
  </si>
  <si>
    <t>מאיר טוב עם רש"י - 5 כרכים</t>
  </si>
  <si>
    <t>מאמץ כח &lt;מהדורת אהבת שלום&gt;  - 2 כרכים</t>
  </si>
  <si>
    <t>אלמושנינו, משה בן ברוך</t>
  </si>
  <si>
    <t>מאמר פסיעותיו של אברהם אבינו ע"ה</t>
  </si>
  <si>
    <t>מבוא שערים &lt;מהדורת אהבת שלום&gt;</t>
  </si>
  <si>
    <t>מבצע קודש הדפסת ספרי גדולי רבני ג'רבא</t>
  </si>
  <si>
    <t>מגילות קוצ'ין</t>
  </si>
  <si>
    <t>מגילת סמנים, תשובה מיראה</t>
  </si>
  <si>
    <t>מדבר קדמות &lt;אהבת שלום&gt;</t>
  </si>
  <si>
    <t>מוסר והתעוררות הלב לתקיעת שופר כמנהג בית אל</t>
  </si>
  <si>
    <t>שרעבי, שלום בן יצחק מזרחי - גאגין, חיים אברהם</t>
  </si>
  <si>
    <t>מורה באצבע &lt;עמודי הוראה&gt;</t>
  </si>
  <si>
    <t>הלל, יעקב משה - אזולאי, חיים יוסף דוד</t>
  </si>
  <si>
    <t>מורה באצבע &lt;שערי הקודש&gt;</t>
  </si>
  <si>
    <t>אזולאי, חיים יוסף דוד - קפלן, יהושע בן מאיר הכהן</t>
  </si>
  <si>
    <t>מזכיר שלום - 2 כרכים</t>
  </si>
  <si>
    <t>מזכיר שלום &lt;מהדורת אהבת שלום&gt;  - 2 כרכים</t>
  </si>
  <si>
    <t>מחנה יהודה</t>
  </si>
  <si>
    <t>תשמ''ט</t>
  </si>
  <si>
    <t>מימי שלמה - 2 כרכים</t>
  </si>
  <si>
    <t>קמחי, שלמה בן נסים יוסף דוד</t>
  </si>
  <si>
    <t>מכשירי מילה</t>
  </si>
  <si>
    <t>שמאע, אליהו בן יוסף הלוי</t>
  </si>
  <si>
    <t>מכשירי מצוה, שמר את הדבר, אותו אדבר</t>
  </si>
  <si>
    <t>מכתב מאליהו &lt;נשמת כל חי - בין הרי"ם&gt;</t>
  </si>
  <si>
    <t>יוסף חיים בן אליהו - מני, אליהו בן סלימאן.</t>
  </si>
  <si>
    <t>תשע"ד</t>
  </si>
  <si>
    <t>מכתב מאליהו</t>
  </si>
  <si>
    <t>מליץ טוב</t>
  </si>
  <si>
    <t>לאניאדו, דוד ציון בן שלמה</t>
  </si>
  <si>
    <t>מלכי בקדש</t>
  </si>
  <si>
    <t>מלכי, עזרא בן רפאל מרדכי</t>
  </si>
  <si>
    <t>הלכה ומנהג, מועדי ישראל, שלחן ערוך ומפרשיו</t>
  </si>
  <si>
    <t>מלל לאברהם - שו"ת</t>
  </si>
  <si>
    <t>סתהון, אברהם בן שלמה</t>
  </si>
  <si>
    <t>מן הגנזים - 15 כרכים</t>
  </si>
  <si>
    <t>הלל, שלום בן יעקב (עורך)</t>
  </si>
  <si>
    <t>תשע"ד - תשע"ז</t>
  </si>
  <si>
    <t>מנהגי ק"ק "בית יעקב" בחברון</t>
  </si>
  <si>
    <t>תשנ"א</t>
  </si>
  <si>
    <t>מנחת יהודה</t>
  </si>
  <si>
    <t>אבן-עטר, יהודה בן יעקב</t>
  </si>
  <si>
    <t>מנחת יוסף - פרי מגדים</t>
  </si>
  <si>
    <t>אירגאס, יוסף בן עמנואל</t>
  </si>
  <si>
    <t>הלכה ומנהג, חסידות, מחשבה ומוסר</t>
  </si>
  <si>
    <t>מנחת יצחק - הגדה של פסח</t>
  </si>
  <si>
    <t>ווייס, יצחק יעקב בן יוסף יהודה</t>
  </si>
  <si>
    <t>מנחת סוטה</t>
  </si>
  <si>
    <t>אבן-מוסא, אברהם בן שלמה</t>
  </si>
  <si>
    <t>מסכת הוריות ע"פ נוסח ספרדי עם שינו"ס</t>
  </si>
  <si>
    <t>דבליצקי, בצלאל בן דוד</t>
  </si>
  <si>
    <t>מסכת תמורות</t>
  </si>
  <si>
    <t>מעבר יבק &lt;מהדורת אהבת שלום&gt;</t>
  </si>
  <si>
    <t>תשנ"ו</t>
  </si>
  <si>
    <t>מעשה אבות</t>
  </si>
  <si>
    <t>מעשה אליהו - 2 כרכים</t>
  </si>
  <si>
    <t>מעשה בית דין</t>
  </si>
  <si>
    <t>שאלות ותשובות, תלמוד בבלי</t>
  </si>
  <si>
    <t>מעשה חי"א</t>
  </si>
  <si>
    <t>מעשה חשב - 4 כרכים</t>
  </si>
  <si>
    <t>הכהן, שמעון מג'רבא</t>
  </si>
  <si>
    <t>מעשה נסים</t>
  </si>
  <si>
    <t>כצ'ורי, נסים עזרא</t>
  </si>
  <si>
    <t>תשל"ה</t>
  </si>
  <si>
    <t>מעשה רב</t>
  </si>
  <si>
    <t>משה בן בנימין</t>
  </si>
  <si>
    <t>מקבציאל - 39 כרכים</t>
  </si>
  <si>
    <t>מרפא לעצם &lt;אהבת שלום&gt;</t>
  </si>
  <si>
    <t>פרחי, יצחק בן שלמה</t>
  </si>
  <si>
    <t>משנה ברורה &lt;מהדורת אליבא דהלכתא&gt; - א</t>
  </si>
  <si>
    <t>מערכת אליבא דהלכתא</t>
  </si>
  <si>
    <t>משנה ברורה &lt;שינון הלכה  - 6 כרכים</t>
  </si>
  <si>
    <t>חברת אהבת שלום - מערכת אליבא דהלכתא</t>
  </si>
  <si>
    <t>משנה כסף על הרמב"ם - 2 כרכים</t>
  </si>
  <si>
    <t>כולי, יעקב בן מכיר</t>
  </si>
  <si>
    <t>משנת הסת"ם</t>
  </si>
  <si>
    <t>שילוני, יעקב בן יצחק</t>
  </si>
  <si>
    <t>משנת צדיקים</t>
  </si>
  <si>
    <t>טירני, מיכאל בן גד</t>
  </si>
  <si>
    <t>משפטי השם</t>
  </si>
  <si>
    <t>משפטי צדק</t>
  </si>
  <si>
    <t>מתוק לנפש &lt;אהבת שלום&gt;</t>
  </si>
  <si>
    <t>מתוק מדבש טוב ירושלים &lt;אהבת שלום&gt;</t>
  </si>
  <si>
    <t>נער בוכה</t>
  </si>
  <si>
    <t>נר יצחק - עמודי אהרן</t>
  </si>
  <si>
    <t>ארדיט, נסים יצחק</t>
  </si>
  <si>
    <t>סדר הושענות ע"פ ישועות יעקב</t>
  </si>
  <si>
    <t>רקח, יעקב בן שלמה</t>
  </si>
  <si>
    <t>מועדי ישראל, תפלות בקשות פיוטים ושירה</t>
  </si>
  <si>
    <t>סדר הקפות לשמחת תורה</t>
  </si>
  <si>
    <t>סדר סליחות עם ביאור סולח עוונות - 2 כרכים</t>
  </si>
  <si>
    <t>טולידאנו, יהודה</t>
  </si>
  <si>
    <t>סוכת שלום - סוכה</t>
  </si>
  <si>
    <t>קבצים וכתבי עת, ספרי זכרון ויובל, תלמוד בבלי</t>
  </si>
  <si>
    <t>סידור אור השנים - נוסח ק"ק ספרדים</t>
  </si>
  <si>
    <t>אפשטיין, אריה ליב בן מרדכי הלוי</t>
  </si>
  <si>
    <t>סידור בית מנוחה &lt;מהדורת אהבת שלום&gt;</t>
  </si>
  <si>
    <t>אשכנזי, יהודה שמואל בן יעקב</t>
  </si>
  <si>
    <t>סידור בית עובד &lt;מהדורת אהבת שלום&gt;</t>
  </si>
  <si>
    <t>סידור האר"י חמדת ישראל &lt;מהדורת אהבת שלום&gt;  - 2 כרכים</t>
  </si>
  <si>
    <t>וויטאל, שמואל בן חיים</t>
  </si>
  <si>
    <t>סידור החיד"א &lt;אהבת שלום&gt;</t>
  </si>
  <si>
    <t>סידור הפרד"ס</t>
  </si>
  <si>
    <t>סידור השל"ה &lt;שער השמים&gt;  - 3 כרכים</t>
  </si>
  <si>
    <t>סידור כוונות הרש"ש &lt;אהבת שלום&gt;  - 11 כרכים</t>
  </si>
  <si>
    <t>סידור שער בנימין &lt;נוסח ק"ק דמשק&gt; - 2 כרכים</t>
  </si>
  <si>
    <t>חדיד, משה נתן</t>
  </si>
  <si>
    <t>סידור תפלת רפאל</t>
  </si>
  <si>
    <t>הוצאת אהבת שלום</t>
  </si>
  <si>
    <t>סימנא דחיי</t>
  </si>
  <si>
    <t>פאלאג'י, חיים בן יעקב</t>
  </si>
  <si>
    <t>סליחות עם ביאור סולח עוונות</t>
  </si>
  <si>
    <t>טולידאנו, יהודה בן מאיר</t>
  </si>
  <si>
    <t>סמיכת חכמים &lt;אהבת שלום&gt;</t>
  </si>
  <si>
    <t>ספר הדרושים</t>
  </si>
  <si>
    <t>וויטאל, חיים בן יוסף - פאנצ'ירי, אפרים</t>
  </si>
  <si>
    <t>ספר הזהר עם פירוש אמת ליעקב - 12 כרכים</t>
  </si>
  <si>
    <t>מארג'י, יעקב</t>
  </si>
  <si>
    <t>ספר הזכרונות &lt;אהבת שלום&gt; - 2 כרכים</t>
  </si>
  <si>
    <t>אבוהב, שמואל בן אברהם</t>
  </si>
  <si>
    <t>ספר החינוך &lt;מעיל האפד&gt;  - 2 כרכים</t>
  </si>
  <si>
    <t>פיפאנו, דוד בן אברהם</t>
  </si>
  <si>
    <t>ספר הכוונות &lt;הישן&gt;</t>
  </si>
  <si>
    <t>ספר הכללים</t>
  </si>
  <si>
    <t>נושאים שונים, תלמוד בבלי</t>
  </si>
  <si>
    <t>ספר הליקוטים - 3 כרכים</t>
  </si>
  <si>
    <t>ספר יצירה &lt;עם פירוש מהרח"ו&gt;</t>
  </si>
  <si>
    <t>ספר יראים &lt;עמודי הארזים&gt;  - 4 כרכים</t>
  </si>
  <si>
    <t>ספרו של בדאי</t>
  </si>
  <si>
    <t>ספרים באנגלית - 22 כרכים</t>
  </si>
  <si>
    <t>ספרים בטורקית - 2 כרכים</t>
  </si>
  <si>
    <t>איסטנבול</t>
  </si>
  <si>
    <t>ספרים בצרפתית - LA FOI, ET LA FOLIE</t>
  </si>
  <si>
    <t>עבודת הצדקה</t>
  </si>
  <si>
    <t>עבודת הקודש &lt;מהדורת אהבת שלום&gt;</t>
  </si>
  <si>
    <t>עד הגל הזה</t>
  </si>
  <si>
    <t>עובר לסופר</t>
  </si>
  <si>
    <t>עולת שבת &lt;מהדורת אהבת שלום&gt;</t>
  </si>
  <si>
    <t>עולת תמיד &lt;מהדורת אהבת שלום&gt;</t>
  </si>
  <si>
    <t>עזרת מצר</t>
  </si>
  <si>
    <t>עיני בנימין, קושט אמרי אמת</t>
  </si>
  <si>
    <t>עלי נהר</t>
  </si>
  <si>
    <t>הררי-רפול, ניסים בן ישעיה</t>
  </si>
  <si>
    <t>עמודי הרזי"ם</t>
  </si>
  <si>
    <t>חזן, רפאל יוסף בן חיים</t>
  </si>
  <si>
    <t>עץ הדעת טוב &lt;אהבת שלום&gt;  - 2 כרכים</t>
  </si>
  <si>
    <t>עץ חיים למהרח"ו ז"ל - 7 כרכים</t>
  </si>
  <si>
    <t>ערך לחם - על התורה, נ"ך, מאמרי חז"ל</t>
  </si>
  <si>
    <t>צאלח, משה בן יחזקאל - פתייה, יהודה</t>
  </si>
  <si>
    <t>נושאים שונים, תנ''ך</t>
  </si>
  <si>
    <t>פאת הים - שער הכונות א</t>
  </si>
  <si>
    <t>פאת השדה - 2 כרכים</t>
  </si>
  <si>
    <t>פחד יצחק - 2 כרכים</t>
  </si>
  <si>
    <t>פירוש ברית מנוחה לרבינו  האר"י</t>
  </si>
  <si>
    <t>פירוש הרשב"ץ על ברכות</t>
  </si>
  <si>
    <t>דוראן, שמעון בן צמח</t>
  </si>
  <si>
    <t>פירוש רש"י להוריות ע"פ כת"י</t>
  </si>
  <si>
    <t>שלמה בן יצחק (רש"י) - דבליצקי, בצלאל בן דוד (עורך)</t>
  </si>
  <si>
    <t>פסקי בן איש חי - 3 כרכים</t>
  </si>
  <si>
    <t>פעמוני זהב - פעמון ורימון</t>
  </si>
  <si>
    <t>פרח מטה אהרן</t>
  </si>
  <si>
    <t>פיש, אהרן ישעיה בן צבי אביגדור</t>
  </si>
  <si>
    <t>פרי עץ החיים - 5 כרכים</t>
  </si>
  <si>
    <t>ישיבת עץ החיים</t>
  </si>
  <si>
    <t>מועדי ישראל, קבצים וכתבי עת, ספרי זכרון ויובל</t>
  </si>
  <si>
    <t>פתח שער השמים - בנין אריאל</t>
  </si>
  <si>
    <t>צדק ושלום</t>
  </si>
  <si>
    <t>קבלה, שאלות ותשובות</t>
  </si>
  <si>
    <t>צוף דבש &lt;אהבת שלום&gt;</t>
  </si>
  <si>
    <t>צלח רכב &lt;אהבת שלום&gt;</t>
  </si>
  <si>
    <t>תש"ע</t>
  </si>
  <si>
    <t>צפנת פענח</t>
  </si>
  <si>
    <t>קדושה וברכה &lt;אהבת שלום&gt;</t>
  </si>
  <si>
    <t>קדושת אהרן</t>
  </si>
  <si>
    <t>חסידות, נושאים שונים, תנ''ך</t>
  </si>
  <si>
    <t>קהילת יעקב</t>
  </si>
  <si>
    <t>תשנ"ב</t>
  </si>
  <si>
    <t>קובץ אמת ליעקב גליון ה &lt;ביצה&gt;</t>
  </si>
  <si>
    <t>קובץ אמת ליעקב גליון ז &lt;נדה&gt;</t>
  </si>
  <si>
    <t>קובץ אמת ליעקב - 5 כרכים</t>
  </si>
  <si>
    <t>קובץ הערות וחידושים אהבת שלום - שבת</t>
  </si>
  <si>
    <t>כולל תורת רפאל שע"י ישיבת חברת אהבת שלום</t>
  </si>
  <si>
    <t>קובץ חידו"ת אהבת שלום - חולין</t>
  </si>
  <si>
    <t>מודיעין עלית</t>
  </si>
  <si>
    <t>קול אליהו</t>
  </si>
  <si>
    <t>קול החיים - 2 כרכים</t>
  </si>
  <si>
    <t>קונטרס אור שבעת הימים</t>
  </si>
  <si>
    <t>תש"מ</t>
  </si>
  <si>
    <t>קונטרס ברכת ט"ק שלא נפשט בלילה לדעת האר"י ז"ל</t>
  </si>
  <si>
    <t>קונטרס דרושים לבר מצוה</t>
  </si>
  <si>
    <t>קונטרס ויצץ ציץ</t>
  </si>
  <si>
    <t>הלכה ומנהג, קבלה</t>
  </si>
  <si>
    <t>קונטרס יגל יעקב</t>
  </si>
  <si>
    <t>פיש, יעקב יחזקיה בן אהרן צבי אביגדור</t>
  </si>
  <si>
    <t>קונטרס פודה ומציל</t>
  </si>
  <si>
    <t>קונטרס ציון לנפש חיה</t>
  </si>
  <si>
    <t>קונטרס שנות חיים</t>
  </si>
  <si>
    <t>קורא הדורות &lt;אהבת שלום&gt;</t>
  </si>
  <si>
    <t>קונפורטי, דוד בן גבריאל</t>
  </si>
  <si>
    <t>קיצור שלחן ערוך - 4 כרכים</t>
  </si>
  <si>
    <t>טולידאנו, רפאל ברוך בן יעקב</t>
  </si>
  <si>
    <t>קנין פירות</t>
  </si>
  <si>
    <t>אבולעפיה, ידידיה רפאל חי</t>
  </si>
  <si>
    <t>קציני אר"ץ</t>
  </si>
  <si>
    <t>קצין, יעקב בן שאול</t>
  </si>
  <si>
    <t>קרבן אש"ה &lt;אהבת שלום&gt;</t>
  </si>
  <si>
    <t>דרושים, הלכה ומנהג, משנה, שאלות ותשובות, תלמוד בבלי</t>
  </si>
  <si>
    <t>קרבן פסח</t>
  </si>
  <si>
    <t>קרנות צדיק - ליקוטי אליהו - מנהגי ק"ק בית יעקב</t>
  </si>
  <si>
    <t>קרני רא"ם</t>
  </si>
  <si>
    <t>תר"ע - תש"ס</t>
  </si>
  <si>
    <t>ראשית תרומה</t>
  </si>
  <si>
    <t>כולל מכון להוראה</t>
  </si>
  <si>
    <t>תשל"ט</t>
  </si>
  <si>
    <t>רוח הי"ם - 2 כרכים</t>
  </si>
  <si>
    <t>רנו ליעקב</t>
  </si>
  <si>
    <t>צמח, יעקב בן חיים</t>
  </si>
  <si>
    <t>רני עקרה</t>
  </si>
  <si>
    <t>נושאים שונים, תפלות בקשות פיוטים ושירה</t>
  </si>
  <si>
    <t>שאלו לברוך - 4 כרכים</t>
  </si>
  <si>
    <t>טולידאנו, ברוך אברהם בן אברהם</t>
  </si>
  <si>
    <t>שאלות ותשובות רבינו יוסף אבן ציאח</t>
  </si>
  <si>
    <t>ציאח, יוסף בן אברהם</t>
  </si>
  <si>
    <t>שארית יעקב - משכנות יעקב</t>
  </si>
  <si>
    <t>דוויך, יעקב בן שאול הכהן</t>
  </si>
  <si>
    <t>שבח פסח &lt;אהבת שלום&gt;</t>
  </si>
  <si>
    <t>שבחי האר"י &lt;תולדות האר"י&gt;</t>
  </si>
  <si>
    <t>תולדות האר"י</t>
  </si>
  <si>
    <t>שבט מישור &lt;אהבת שלום&gt;</t>
  </si>
  <si>
    <t>מחשבה ומוסר, נושאים שונים</t>
  </si>
  <si>
    <t>שבת אחים</t>
  </si>
  <si>
    <t>שדה יצחק - 4 כרכים</t>
  </si>
  <si>
    <t>גואיטה, יצחק בן פריגה</t>
  </si>
  <si>
    <t>שו"ת מהר"א אשכנזי</t>
  </si>
  <si>
    <t>אשכנזי, אברהם בן יעקב</t>
  </si>
  <si>
    <t>שו"ת רבי ברוך</t>
  </si>
  <si>
    <t>שו"ת רבי שלום הכהן מקושטא</t>
  </si>
  <si>
    <t>הכהן, שלום מקושטא</t>
  </si>
  <si>
    <t>שומר אמונים מבוא פתחים &lt;אהבת שלום&gt;</t>
  </si>
  <si>
    <t>שיח חיים</t>
  </si>
  <si>
    <t>יוסף חיים בן אליהו - מורד, מאיר</t>
  </si>
  <si>
    <t>שיח יצחק &lt;מהדורת אהבת שלום&gt;</t>
  </si>
  <si>
    <t>שיחות ומאמרים - 2 כרכים</t>
  </si>
  <si>
    <t>דרושים, מחשבה ומוסר</t>
  </si>
  <si>
    <t>שיחת דקלים</t>
  </si>
  <si>
    <t>עובדיה, אליהו יהושע</t>
  </si>
  <si>
    <t>משנה, שאלות ותשובות</t>
  </si>
  <si>
    <t>שיטה מקובצת &lt;אהבת שלום&gt;  - 2 כרכים</t>
  </si>
  <si>
    <t>אשכנזי, בצלאל בן אברהם</t>
  </si>
  <si>
    <t>שיטה על מסכת בבא קמא למהריק"ש - 2 כרכים</t>
  </si>
  <si>
    <t>קאסטרו, יעקב בן אברהם</t>
  </si>
  <si>
    <t>שינון הלכה אליבא דהלכתא - שבת</t>
  </si>
  <si>
    <t>כוללי אליבא דהלכתא</t>
  </si>
  <si>
    <t>בני ברק</t>
  </si>
  <si>
    <t>שיר השירים  ע"פ שיר חדש</t>
  </si>
  <si>
    <t>יעקב בן יוסף הרופא</t>
  </si>
  <si>
    <t>שלום ירושלם</t>
  </si>
  <si>
    <t>מזרחי עדני, שלום בן סעדיה</t>
  </si>
  <si>
    <t>שלחן מלכים ביאור על עץ חיים - 2 כרכים</t>
  </si>
  <si>
    <t>חזן, שלמה בן אלעזר</t>
  </si>
  <si>
    <t>שלחן ערוך הלכות חנוכה &lt;חידושי דינים - עצי היע"ר&gt;</t>
  </si>
  <si>
    <t>סומך, עבדאללה בן אברהם - יחזקאל עזרא בן רחמים</t>
  </si>
  <si>
    <t>שלמי חגיגה &lt;אהבת שלום&gt;</t>
  </si>
  <si>
    <t>אלגאזי, ישראל יעקב בן יום טוב</t>
  </si>
  <si>
    <t>שלמי צבור &lt;אהבת שלום&gt;</t>
  </si>
  <si>
    <t>שלשלת זהב &lt;אהבת שלום&gt;</t>
  </si>
  <si>
    <t>רפאפורט-הארטשטיין, מאיר אליעזר בן אברהם</t>
  </si>
  <si>
    <t>שם משמעון</t>
  </si>
  <si>
    <t>תש"ל</t>
  </si>
  <si>
    <t>שמן הטוב &lt;מהדורת אהבת שלום&gt;</t>
  </si>
  <si>
    <t>שמן המור</t>
  </si>
  <si>
    <t>אבאיוב, אהרן</t>
  </si>
  <si>
    <t>שמן המר &lt;מהדורת אהבת שלום&gt;</t>
  </si>
  <si>
    <t>רובייו, מרדכי</t>
  </si>
  <si>
    <t>שמן ששון &lt;מהדורת אהבת שלום&gt;  - 5 כרכים</t>
  </si>
  <si>
    <t>ששון פרסייאדו בן משה - בן שמעון, יעקב חי בן שלמה</t>
  </si>
  <si>
    <t>שמע שמואל</t>
  </si>
  <si>
    <t>עמאר, שמואל בן אהרן</t>
  </si>
  <si>
    <t>שנות חיים</t>
  </si>
  <si>
    <t>שער הגלגולים עם ביאור בני אהרן &lt;מהדורת אהבת שלום&gt;</t>
  </si>
  <si>
    <t>וויטאל, חיים בן יוסף - אגסי, שמעון</t>
  </si>
  <si>
    <t>שער המצות</t>
  </si>
  <si>
    <t>גאליקו, שלמיה רפאל משה</t>
  </si>
  <si>
    <t>שער שמעון</t>
  </si>
  <si>
    <t>דריהם הכהן, שמעון בן כליפה</t>
  </si>
  <si>
    <t>שערי ירושלים</t>
  </si>
  <si>
    <t>שערי קדושה - חלק רביעי</t>
  </si>
  <si>
    <t>שערי תורה &lt;בבא מציעא, בבא בתרא&gt;</t>
  </si>
  <si>
    <t>לוו, בנימין וולף בן אלעזר בן אריה ליב</t>
  </si>
  <si>
    <t>שפת אמת &lt;מהדורת אהבת שלום&gt;</t>
  </si>
  <si>
    <t>שפת אמת</t>
  </si>
  <si>
    <t>שפת הים - 5 כרכים</t>
  </si>
  <si>
    <t>הלכה ומנהג, מועדי ישראל, קבלה</t>
  </si>
  <si>
    <t>שרשי הים - 6 כרכים</t>
  </si>
  <si>
    <t>תהלות ישראל</t>
  </si>
  <si>
    <t>תהלים ע"פ נאוה תהלה</t>
  </si>
  <si>
    <t>תוספות הרא"ש &lt;אהבת שלום&gt; - הוריות</t>
  </si>
  <si>
    <t>אשר בן יחיאל (רא"ש) - דבליצקי, בצלאל בן דוד (עורך)</t>
  </si>
  <si>
    <t>תועפות ראם א - ב</t>
  </si>
  <si>
    <t>תורה אור - אור בהיר-אור שבת-אור נר-אור צדיקים</t>
  </si>
  <si>
    <t>תורה לשמה &lt;מהדורת אהבת שלום&gt;</t>
  </si>
  <si>
    <t>תורת הגלגול - 2 כרכים</t>
  </si>
  <si>
    <t>ליקוט חיבורים בתורת הגלגול</t>
  </si>
  <si>
    <t>נושאים שונים, קבלה</t>
  </si>
  <si>
    <t>תורת החיד"א - 2 כרכים</t>
  </si>
  <si>
    <t>תורת המנהגים מנהגי קושטא</t>
  </si>
  <si>
    <t>אבואלעפיא, בכור רפאל</t>
  </si>
  <si>
    <t>תורת המנחה &lt;מהדורת אהבת שלום&gt;  - 2 כרכים</t>
  </si>
  <si>
    <t>סקלי, יעקב בן חננאל</t>
  </si>
  <si>
    <t>תורת המרבי"ץ - א ב</t>
  </si>
  <si>
    <t>בירדוגו, מרדכי בן יוסף</t>
  </si>
  <si>
    <t>תורת המשבי"ר</t>
  </si>
  <si>
    <t>בירדוגו, משה בן אברהם</t>
  </si>
  <si>
    <t>תורת חכם &lt;מהדורת אהבת שלום&gt;</t>
  </si>
  <si>
    <t>דילה רוזה, חיים</t>
  </si>
  <si>
    <t>תורת יקותיאל</t>
  </si>
  <si>
    <t>בירדוגו, יקותיאל</t>
  </si>
  <si>
    <t>תורת משה &lt;מהדורת אהבת שלום&gt;</t>
  </si>
  <si>
    <t>תורת משה - 2 כרכים</t>
  </si>
  <si>
    <t>צאלח, משה בן יחזקאל</t>
  </si>
  <si>
    <t>תורת רפאל &lt;א&gt; מלאכות שבת א</t>
  </si>
  <si>
    <t>תורת רפאל &lt;ב&gt; מלאכות שבת ב</t>
  </si>
  <si>
    <t>תורת רפאל &lt;ג&gt; מלאכות שבת ג</t>
  </si>
  <si>
    <t>תורת רפאל - סוכה</t>
  </si>
  <si>
    <t>תורת רפאל &lt;ד&gt; מלאכות שבת ד</t>
  </si>
  <si>
    <t>הלכה ומנהג, מועדי ישראל, קבצים וכתבי עת, ספרי זכרון ויובל</t>
  </si>
  <si>
    <t>תורת רפאל &lt;ה&gt; מלאכות שבת ה</t>
  </si>
  <si>
    <t>תלמוד מסכת עדיות למהר"ש סיריליאו</t>
  </si>
  <si>
    <t>סיריליו, שלמה בן יוסף</t>
  </si>
  <si>
    <t>תמים תהיה השלם - 2 כרכים</t>
  </si>
  <si>
    <t>תנא דבי אליהו</t>
  </si>
  <si>
    <t>תפארת אדם</t>
  </si>
  <si>
    <t>תפלה למשה</t>
  </si>
  <si>
    <t>תפלת דוד &lt;אהבת שלום&gt;</t>
  </si>
  <si>
    <t>תקנות חכמי מכנאס - א</t>
  </si>
  <si>
    <t>עמאר, מורי בן מאיר</t>
  </si>
  <si>
    <t>תקנת השבים</t>
  </si>
  <si>
    <t>מחשבה ומוסר, קבלה, תפלות בקשות פיוטים ושירה</t>
  </si>
  <si>
    <t>תקפו של רפאל</t>
  </si>
  <si>
    <t>קצין, רפאל בן אליהו</t>
  </si>
  <si>
    <t>תרומה גדולה</t>
  </si>
  <si>
    <t>חכם מחכמי ירושלים</t>
  </si>
  <si>
    <t>תרומת הדשן - 6 כרכים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</si>
</sst>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9"/>
  <sheetViews>
    <sheetView rightToLeft="1" tabSelected="1"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623124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tr">
        <f>HYPERLINK(_xlfn.CONCAT("https://tablet.otzar.org/",CHAR(35),"/book/623124/p/-1/t/1/fs/0/start/0/end/0/c"),"אגדות שמואל")</f>
        <v>אגדות שמואל</v>
      </c>
      <c r="H2" t="str">
        <f>_xlfn.CONCAT("https://tablet.otzar.org/",CHAR(35),"/book/623124/p/-1/t/1/fs/0/start/0/end/0/c")</f>
        <v>https://tablet.otzar.org/#/book/623124/p/-1/t/1/fs/0/start/0/end/0/c</v>
      </c>
    </row>
    <row r="3" spans="1:8" x14ac:dyDescent="0.25">
      <c r="A3">
        <v>654807</v>
      </c>
      <c r="B3" t="s">
        <v>13</v>
      </c>
      <c r="C3" t="s">
        <v>14</v>
      </c>
      <c r="D3" t="s">
        <v>10</v>
      </c>
      <c r="E3" t="s">
        <v>15</v>
      </c>
      <c r="G3" t="str">
        <f>HYPERLINK(_xlfn.CONCAT("https://tablet.otzar.org/",CHAR(35),"/book/654807/p/-1/t/1/fs/0/start/0/end/0/c"),"אגן הסהר")</f>
        <v>אגן הסהר</v>
      </c>
      <c r="H3" t="str">
        <f>_xlfn.CONCAT("https://tablet.otzar.org/",CHAR(35),"/book/654807/p/-1/t/1/fs/0/start/0/end/0/c")</f>
        <v>https://tablet.otzar.org/#/book/654807/p/-1/t/1/fs/0/start/0/end/0/c</v>
      </c>
    </row>
    <row r="4" spans="1:8" x14ac:dyDescent="0.25">
      <c r="A4">
        <v>638868</v>
      </c>
      <c r="B4" t="s">
        <v>16</v>
      </c>
      <c r="C4" t="s">
        <v>17</v>
      </c>
      <c r="D4" t="s">
        <v>18</v>
      </c>
      <c r="E4" t="s">
        <v>19</v>
      </c>
      <c r="G4" t="str">
        <f>HYPERLINK(_xlfn.CONCAT("https://tablet.otzar.org/",CHAR(35),"/book/638868/p/-1/t/1/fs/0/start/0/end/0/c"),"אגרות ותשובות")</f>
        <v>אגרות ותשובות</v>
      </c>
      <c r="H4" t="str">
        <f>_xlfn.CONCAT("https://tablet.otzar.org/",CHAR(35),"/book/638868/p/-1/t/1/fs/0/start/0/end/0/c")</f>
        <v>https://tablet.otzar.org/#/book/638868/p/-1/t/1/fs/0/start/0/end/0/c</v>
      </c>
    </row>
    <row r="5" spans="1:8" x14ac:dyDescent="0.25">
      <c r="A5">
        <v>150201</v>
      </c>
      <c r="B5" t="s">
        <v>20</v>
      </c>
      <c r="C5" t="s">
        <v>21</v>
      </c>
      <c r="D5" t="s">
        <v>10</v>
      </c>
      <c r="E5" t="s">
        <v>22</v>
      </c>
      <c r="F5" t="s">
        <v>23</v>
      </c>
      <c r="G5" t="str">
        <f>HYPERLINK(_xlfn.CONCAT("https://tablet.otzar.org/",CHAR(35),"/book/150201/p/-1/t/1/fs/0/start/0/end/0/c"),"אדם ישר &lt;מהדורת אהבת שלום&gt;")</f>
        <v>אדם ישר &lt;מהדורת אהבת שלום&gt;</v>
      </c>
      <c r="H5" t="str">
        <f>_xlfn.CONCAT("https://tablet.otzar.org/",CHAR(35),"/book/150201/p/-1/t/1/fs/0/start/0/end/0/c")</f>
        <v>https://tablet.otzar.org/#/book/150201/p/-1/t/1/fs/0/start/0/end/0/c</v>
      </c>
    </row>
    <row r="6" spans="1:8" x14ac:dyDescent="0.25">
      <c r="A6">
        <v>150260</v>
      </c>
      <c r="B6" t="s">
        <v>24</v>
      </c>
      <c r="C6" t="s">
        <v>25</v>
      </c>
      <c r="D6" t="s">
        <v>10</v>
      </c>
      <c r="E6" t="s">
        <v>26</v>
      </c>
      <c r="F6" t="s">
        <v>27</v>
      </c>
      <c r="G6" t="str">
        <f>HYPERLINK(_xlfn.CONCAT("https://tablet.otzar.org/",CHAR(35),"/book/150260/p/-1/t/1/fs/0/start/0/end/0/c"),"אדרת אליהו")</f>
        <v>אדרת אליהו</v>
      </c>
      <c r="H6" t="str">
        <f>_xlfn.CONCAT("https://tablet.otzar.org/",CHAR(35),"/book/150260/p/-1/t/1/fs/0/start/0/end/0/c")</f>
        <v>https://tablet.otzar.org/#/book/150260/p/-1/t/1/fs/0/start/0/end/0/c</v>
      </c>
    </row>
    <row r="7" spans="1:8" x14ac:dyDescent="0.25">
      <c r="A7">
        <v>61466</v>
      </c>
      <c r="B7" t="s">
        <v>28</v>
      </c>
      <c r="C7" t="s">
        <v>29</v>
      </c>
      <c r="D7" t="s">
        <v>10</v>
      </c>
      <c r="E7" t="s">
        <v>30</v>
      </c>
      <c r="F7" t="s">
        <v>31</v>
      </c>
      <c r="G7" t="str">
        <f>HYPERLINK(_xlfn.CONCAT("https://tablet.otzar.org/",CHAR(35),"/book/61466/p/-1/t/1/fs/0/start/0/end/0/c"),"אהבת שלום")</f>
        <v>אהבת שלום</v>
      </c>
      <c r="H7" t="str">
        <f>_xlfn.CONCAT("https://tablet.otzar.org/",CHAR(35),"/book/61466/p/-1/t/1/fs/0/start/0/end/0/c")</f>
        <v>https://tablet.otzar.org/#/book/61466/p/-1/t/1/fs/0/start/0/end/0/c</v>
      </c>
    </row>
    <row r="8" spans="1:8" x14ac:dyDescent="0.25">
      <c r="A8">
        <v>150242</v>
      </c>
      <c r="B8" t="s">
        <v>32</v>
      </c>
      <c r="C8" t="s">
        <v>33</v>
      </c>
      <c r="D8" t="s">
        <v>10</v>
      </c>
      <c r="E8" t="s">
        <v>26</v>
      </c>
      <c r="F8" t="s">
        <v>27</v>
      </c>
      <c r="G8" t="str">
        <f>HYPERLINK(_xlfn.CONCAT("https://tablet.otzar.org/",CHAR(35),"/book/150242/p/-1/t/1/fs/0/start/0/end/0/c"),"אהל יעקב א &lt;בראשית&gt;")</f>
        <v>אהל יעקב א &lt;בראשית&gt;</v>
      </c>
      <c r="H8" t="str">
        <f>_xlfn.CONCAT("https://tablet.otzar.org/",CHAR(35),"/book/150242/p/-1/t/1/fs/0/start/0/end/0/c")</f>
        <v>https://tablet.otzar.org/#/book/150242/p/-1/t/1/fs/0/start/0/end/0/c</v>
      </c>
    </row>
    <row r="9" spans="1:8" x14ac:dyDescent="0.25">
      <c r="A9">
        <v>150243</v>
      </c>
      <c r="B9" t="s">
        <v>34</v>
      </c>
      <c r="C9" t="s">
        <v>33</v>
      </c>
      <c r="D9" t="s">
        <v>10</v>
      </c>
      <c r="E9" t="s">
        <v>26</v>
      </c>
      <c r="F9" t="s">
        <v>27</v>
      </c>
      <c r="G9" t="str">
        <f>HYPERLINK(_xlfn.CONCAT("https://tablet.otzar.org/",CHAR(35),"/book/150243/p/-1/t/1/fs/0/start/0/end/0/c"),"אהל יעקב ב &lt;שמות, ויקרא&gt;")</f>
        <v>אהל יעקב ב &lt;שמות, ויקרא&gt;</v>
      </c>
      <c r="H9" t="str">
        <f>_xlfn.CONCAT("https://tablet.otzar.org/",CHAR(35),"/book/150243/p/-1/t/1/fs/0/start/0/end/0/c")</f>
        <v>https://tablet.otzar.org/#/book/150243/p/-1/t/1/fs/0/start/0/end/0/c</v>
      </c>
    </row>
    <row r="10" spans="1:8" x14ac:dyDescent="0.25">
      <c r="A10">
        <v>150244</v>
      </c>
      <c r="B10" t="s">
        <v>35</v>
      </c>
      <c r="C10" t="s">
        <v>33</v>
      </c>
      <c r="D10" t="s">
        <v>10</v>
      </c>
      <c r="E10" t="s">
        <v>26</v>
      </c>
      <c r="F10" t="s">
        <v>27</v>
      </c>
      <c r="G10" t="str">
        <f>HYPERLINK(_xlfn.CONCAT("https://tablet.otzar.org/",CHAR(35),"/book/150244/p/-1/t/1/fs/0/start/0/end/0/c"),"אהל יעקב ג &lt;במדבר, דברים&gt;")</f>
        <v>אהל יעקב ג &lt;במדבר, דברים&gt;</v>
      </c>
      <c r="H10" t="str">
        <f>_xlfn.CONCAT("https://tablet.otzar.org/",CHAR(35),"/book/150244/p/-1/t/1/fs/0/start/0/end/0/c")</f>
        <v>https://tablet.otzar.org/#/book/150244/p/-1/t/1/fs/0/start/0/end/0/c</v>
      </c>
    </row>
    <row r="11" spans="1:8" x14ac:dyDescent="0.25">
      <c r="A11">
        <v>150245</v>
      </c>
      <c r="B11" t="s">
        <v>36</v>
      </c>
      <c r="C11" t="s">
        <v>37</v>
      </c>
      <c r="D11" t="s">
        <v>10</v>
      </c>
      <c r="E11" t="s">
        <v>26</v>
      </c>
      <c r="F11" t="s">
        <v>27</v>
      </c>
      <c r="G11" t="str">
        <f>HYPERLINK(_xlfn.CONCAT("https://tablet.otzar.org/",CHAR(35),"/book/150245/p/-1/t/1/fs/0/start/0/end/0/c"),"אהל משה")</f>
        <v>אהל משה</v>
      </c>
      <c r="H11" t="str">
        <f>_xlfn.CONCAT("https://tablet.otzar.org/",CHAR(35),"/book/150245/p/-1/t/1/fs/0/start/0/end/0/c")</f>
        <v>https://tablet.otzar.org/#/book/150245/p/-1/t/1/fs/0/start/0/end/0/c</v>
      </c>
    </row>
    <row r="12" spans="1:8" x14ac:dyDescent="0.25">
      <c r="A12">
        <v>620311</v>
      </c>
      <c r="B12" t="s">
        <v>38</v>
      </c>
      <c r="C12" t="s">
        <v>9</v>
      </c>
      <c r="D12" t="s">
        <v>10</v>
      </c>
      <c r="E12" t="s">
        <v>11</v>
      </c>
      <c r="F12" t="s">
        <v>12</v>
      </c>
      <c r="G12" t="str">
        <f>HYPERLINK(_xlfn.CONCAT("https://tablet.otzar.org/",CHAR(35),"/book/620311/p/-1/t/1/fs/0/start/0/end/0/c"),"אהל רא""""ם")</f>
        <v>אהל רא""ם</v>
      </c>
      <c r="H12" t="str">
        <f>_xlfn.CONCAT("https://tablet.otzar.org/",CHAR(35),"/book/620311/p/-1/t/1/fs/0/start/0/end/0/c")</f>
        <v>https://tablet.otzar.org/#/book/620311/p/-1/t/1/fs/0/start/0/end/0/c</v>
      </c>
    </row>
    <row r="13" spans="1:8" x14ac:dyDescent="0.25">
      <c r="A13">
        <v>145271</v>
      </c>
      <c r="B13" t="s">
        <v>39</v>
      </c>
      <c r="C13" t="s">
        <v>40</v>
      </c>
      <c r="D13" t="s">
        <v>10</v>
      </c>
      <c r="E13" t="s">
        <v>41</v>
      </c>
      <c r="F13" t="s">
        <v>42</v>
      </c>
      <c r="G13" t="str">
        <f>HYPERLINK(_xlfn.CONCAT("https://tablet.otzar.org/",CHAR(35),"/book/145271/p/-1/t/1/fs/0/start/0/end/0/c"),"אוצר מנהגי חסידים - דרכי יואל")</f>
        <v>אוצר מנהגי חסידים - דרכי יואל</v>
      </c>
      <c r="H13" t="str">
        <f>_xlfn.CONCAT("https://tablet.otzar.org/",CHAR(35),"/book/145271/p/-1/t/1/fs/0/start/0/end/0/c")</f>
        <v>https://tablet.otzar.org/#/book/145271/p/-1/t/1/fs/0/start/0/end/0/c</v>
      </c>
    </row>
    <row r="14" spans="1:8" x14ac:dyDescent="0.25">
      <c r="A14">
        <v>150462</v>
      </c>
      <c r="B14" t="s">
        <v>43</v>
      </c>
      <c r="C14" t="s">
        <v>29</v>
      </c>
      <c r="D14" t="s">
        <v>10</v>
      </c>
      <c r="E14" t="s">
        <v>44</v>
      </c>
      <c r="F14" t="s">
        <v>45</v>
      </c>
      <c r="G14" t="str">
        <f>HYPERLINK(_xlfn.CONCAT("https://tablet.otzar.org/",CHAR(35),"/book/150462/p/-1/t/1/fs/0/start/0/end/0/c"),"אוצרות חיים - תהלות יוסף")</f>
        <v>אוצרות חיים - תהלות יוסף</v>
      </c>
      <c r="H14" t="str">
        <f>_xlfn.CONCAT("https://tablet.otzar.org/",CHAR(35),"/book/150462/p/-1/t/1/fs/0/start/0/end/0/c")</f>
        <v>https://tablet.otzar.org/#/book/150462/p/-1/t/1/fs/0/start/0/end/0/c</v>
      </c>
    </row>
    <row r="15" spans="1:8" x14ac:dyDescent="0.25">
      <c r="A15">
        <v>608706</v>
      </c>
      <c r="B15" t="s">
        <v>46</v>
      </c>
      <c r="C15" t="s">
        <v>21</v>
      </c>
      <c r="D15" t="s">
        <v>10</v>
      </c>
      <c r="E15" t="s">
        <v>47</v>
      </c>
      <c r="F15" t="s">
        <v>23</v>
      </c>
      <c r="G15" t="str">
        <f>HYPERLINK(_xlfn.CONCAT("https://tablet.otzar.org/",CHAR(35),"/book/608706/p/-1/t/1/fs/0/start/0/end/0/c"),"אוצרות חיים &lt;מהדורת אהבת שלום&gt;")</f>
        <v>אוצרות חיים &lt;מהדורת אהבת שלום&gt;</v>
      </c>
      <c r="H15" t="str">
        <f>_xlfn.CONCAT("https://tablet.otzar.org/",CHAR(35),"/book/608706/p/-1/t/1/fs/0/start/0/end/0/c")</f>
        <v>https://tablet.otzar.org/#/book/608706/p/-1/t/1/fs/0/start/0/end/0/c</v>
      </c>
    </row>
    <row r="16" spans="1:8" x14ac:dyDescent="0.25">
      <c r="A16">
        <v>150769</v>
      </c>
      <c r="B16" t="s">
        <v>48</v>
      </c>
      <c r="C16" t="s">
        <v>49</v>
      </c>
      <c r="E16" t="s">
        <v>50</v>
      </c>
      <c r="F16" t="s">
        <v>45</v>
      </c>
      <c r="G16" t="str">
        <f>HYPERLINK(_xlfn.CONCAT("https://tablet.otzar.org/",CHAR(35),"/exKotar/150769"),"אוצרות חיים - 34 כרכים")</f>
        <v>אוצרות חיים - 34 כרכים</v>
      </c>
      <c r="H16" t="str">
        <f>_xlfn.CONCAT("https://tablet.otzar.org/",CHAR(35),"/exKotar/150769")</f>
        <v>https://tablet.otzar.org/#/exKotar/150769</v>
      </c>
    </row>
    <row r="17" spans="1:8" x14ac:dyDescent="0.25">
      <c r="A17">
        <v>150203</v>
      </c>
      <c r="B17" t="s">
        <v>51</v>
      </c>
      <c r="C17" t="s">
        <v>21</v>
      </c>
      <c r="D17" t="s">
        <v>10</v>
      </c>
      <c r="E17" t="s">
        <v>52</v>
      </c>
      <c r="F17" t="s">
        <v>23</v>
      </c>
      <c r="G17" t="str">
        <f>HYPERLINK(_xlfn.CONCAT("https://tablet.otzar.org/",CHAR(35),"/book/150203/p/-1/t/1/fs/0/start/0/end/0/c"),"אוצרות חיים השלם")</f>
        <v>אוצרות חיים השלם</v>
      </c>
      <c r="H17" t="str">
        <f>_xlfn.CONCAT("https://tablet.otzar.org/",CHAR(35),"/book/150203/p/-1/t/1/fs/0/start/0/end/0/c")</f>
        <v>https://tablet.otzar.org/#/book/150203/p/-1/t/1/fs/0/start/0/end/0/c</v>
      </c>
    </row>
    <row r="18" spans="1:8" x14ac:dyDescent="0.25">
      <c r="A18">
        <v>150397</v>
      </c>
      <c r="B18" t="s">
        <v>53</v>
      </c>
      <c r="C18" t="s">
        <v>54</v>
      </c>
      <c r="D18" t="s">
        <v>10</v>
      </c>
      <c r="E18" t="s">
        <v>55</v>
      </c>
      <c r="F18" t="s">
        <v>56</v>
      </c>
      <c r="G18" t="str">
        <f>HYPERLINK(_xlfn.CONCAT("https://tablet.otzar.org/",CHAR(35),"/book/150397/p/-1/t/1/fs/0/start/0/end/0/c"),"אור זרוע - אור שבת - הגהות פרי עץ חיים")</f>
        <v>אור זרוע - אור שבת - הגהות פרי עץ חיים</v>
      </c>
      <c r="H18" t="str">
        <f>_xlfn.CONCAT("https://tablet.otzar.org/",CHAR(35),"/book/150397/p/-1/t/1/fs/0/start/0/end/0/c")</f>
        <v>https://tablet.otzar.org/#/book/150397/p/-1/t/1/fs/0/start/0/end/0/c</v>
      </c>
    </row>
    <row r="19" spans="1:8" x14ac:dyDescent="0.25">
      <c r="A19">
        <v>638867</v>
      </c>
      <c r="B19" t="s">
        <v>57</v>
      </c>
      <c r="C19" t="s">
        <v>54</v>
      </c>
      <c r="D19" t="s">
        <v>10</v>
      </c>
      <c r="E19" t="s">
        <v>58</v>
      </c>
      <c r="G19" t="str">
        <f>HYPERLINK(_xlfn.CONCAT("https://tablet.otzar.org/",CHAR(35),"/book/638867/p/-1/t/1/fs/0/start/0/end/0/c"),"אור זרוע הגהות פרי עץ חיים &lt;מהדורה חדשה ומושלמת&gt;")</f>
        <v>אור זרוע הגהות פרי עץ חיים &lt;מהדורה חדשה ומושלמת&gt;</v>
      </c>
      <c r="H19" t="str">
        <f>_xlfn.CONCAT("https://tablet.otzar.org/",CHAR(35),"/book/638867/p/-1/t/1/fs/0/start/0/end/0/c")</f>
        <v>https://tablet.otzar.org/#/book/638867/p/-1/t/1/fs/0/start/0/end/0/c</v>
      </c>
    </row>
    <row r="20" spans="1:8" x14ac:dyDescent="0.25">
      <c r="A20">
        <v>150396</v>
      </c>
      <c r="B20" t="s">
        <v>59</v>
      </c>
      <c r="C20" t="s">
        <v>54</v>
      </c>
      <c r="D20" t="s">
        <v>10</v>
      </c>
      <c r="E20" t="s">
        <v>60</v>
      </c>
      <c r="F20" t="s">
        <v>23</v>
      </c>
      <c r="G20" t="str">
        <f>HYPERLINK(_xlfn.CONCAT("https://tablet.otzar.org/",CHAR(35),"/book/150396/p/-1/t/1/fs/0/start/0/end/0/c"),"אור צח")</f>
        <v>אור צח</v>
      </c>
      <c r="H20" t="str">
        <f>_xlfn.CONCAT("https://tablet.otzar.org/",CHAR(35),"/book/150396/p/-1/t/1/fs/0/start/0/end/0/c")</f>
        <v>https://tablet.otzar.org/#/book/150396/p/-1/t/1/fs/0/start/0/end/0/c</v>
      </c>
    </row>
    <row r="21" spans="1:8" x14ac:dyDescent="0.25">
      <c r="A21">
        <v>654808</v>
      </c>
      <c r="B21" t="s">
        <v>61</v>
      </c>
      <c r="C21" t="s">
        <v>54</v>
      </c>
      <c r="D21" t="s">
        <v>10</v>
      </c>
      <c r="E21" t="s">
        <v>15</v>
      </c>
      <c r="G21" t="str">
        <f>HYPERLINK(_xlfn.CONCAT("https://tablet.otzar.org/",CHAR(35),"/book/654808/p/-1/t/1/fs/0/start/0/end/0/c"),"אור רב")</f>
        <v>אור רב</v>
      </c>
      <c r="H21" t="str">
        <f>_xlfn.CONCAT("https://tablet.otzar.org/",CHAR(35),"/book/654808/p/-1/t/1/fs/0/start/0/end/0/c")</f>
        <v>https://tablet.otzar.org/#/book/654808/p/-1/t/1/fs/0/start/0/end/0/c</v>
      </c>
    </row>
    <row r="22" spans="1:8" x14ac:dyDescent="0.25">
      <c r="A22">
        <v>150297</v>
      </c>
      <c r="B22" t="s">
        <v>62</v>
      </c>
      <c r="C22" t="s">
        <v>63</v>
      </c>
      <c r="D22" t="s">
        <v>10</v>
      </c>
      <c r="E22" t="s">
        <v>64</v>
      </c>
      <c r="F22" t="s">
        <v>65</v>
      </c>
      <c r="G22" t="str">
        <f>HYPERLINK(_xlfn.CONCAT("https://tablet.otzar.org/",CHAR(35),"/book/150297/p/-1/t/1/fs/0/start/0/end/0/c"),"אורח צדקה")</f>
        <v>אורח צדקה</v>
      </c>
      <c r="H22" t="str">
        <f>_xlfn.CONCAT("https://tablet.otzar.org/",CHAR(35),"/book/150297/p/-1/t/1/fs/0/start/0/end/0/c")</f>
        <v>https://tablet.otzar.org/#/book/150297/p/-1/t/1/fs/0/start/0/end/0/c</v>
      </c>
    </row>
    <row r="23" spans="1:8" x14ac:dyDescent="0.25">
      <c r="A23">
        <v>150352</v>
      </c>
      <c r="B23" t="s">
        <v>66</v>
      </c>
      <c r="C23" t="s">
        <v>67</v>
      </c>
      <c r="D23" t="s">
        <v>10</v>
      </c>
      <c r="E23" t="s">
        <v>41</v>
      </c>
      <c r="F23" t="s">
        <v>68</v>
      </c>
      <c r="G23" t="str">
        <f>HYPERLINK(_xlfn.CONCAT("https://tablet.otzar.org/",CHAR(35),"/book/150352/p/-1/t/1/fs/0/start/0/end/0/c"),"אורחות חיים")</f>
        <v>אורחות חיים</v>
      </c>
      <c r="H23" t="str">
        <f>_xlfn.CONCAT("https://tablet.otzar.org/",CHAR(35),"/book/150352/p/-1/t/1/fs/0/start/0/end/0/c")</f>
        <v>https://tablet.otzar.org/#/book/150352/p/-1/t/1/fs/0/start/0/end/0/c</v>
      </c>
    </row>
    <row r="24" spans="1:8" x14ac:dyDescent="0.25">
      <c r="A24">
        <v>608695</v>
      </c>
      <c r="B24" t="s">
        <v>69</v>
      </c>
      <c r="C24" t="s">
        <v>70</v>
      </c>
      <c r="D24" t="s">
        <v>10</v>
      </c>
      <c r="E24" t="s">
        <v>47</v>
      </c>
      <c r="F24" t="s">
        <v>71</v>
      </c>
      <c r="G24" t="str">
        <f>HYPERLINK(_xlfn.CONCAT("https://tablet.otzar.org/",CHAR(35),"/book/608695/p/-1/t/1/fs/0/start/0/end/0/c"),"אות היא לעולם - שבת")</f>
        <v>אות היא לעולם - שבת</v>
      </c>
      <c r="H24" t="str">
        <f>_xlfn.CONCAT("https://tablet.otzar.org/",CHAR(35),"/book/608695/p/-1/t/1/fs/0/start/0/end/0/c")</f>
        <v>https://tablet.otzar.org/#/book/608695/p/-1/t/1/fs/0/start/0/end/0/c</v>
      </c>
    </row>
    <row r="25" spans="1:8" x14ac:dyDescent="0.25">
      <c r="A25">
        <v>654809</v>
      </c>
      <c r="B25" t="s">
        <v>72</v>
      </c>
      <c r="C25" t="s">
        <v>73</v>
      </c>
      <c r="D25" t="s">
        <v>10</v>
      </c>
      <c r="E25" t="s">
        <v>15</v>
      </c>
      <c r="G25" t="str">
        <f>HYPERLINK(_xlfn.CONCAT("https://tablet.otzar.org/",CHAR(35),"/book/654809/p/-1/t/1/fs/0/start/0/end/0/c"),"איפה שלימה")</f>
        <v>איפה שלימה</v>
      </c>
      <c r="H25" t="str">
        <f>_xlfn.CONCAT("https://tablet.otzar.org/",CHAR(35),"/book/654809/p/-1/t/1/fs/0/start/0/end/0/c")</f>
        <v>https://tablet.otzar.org/#/book/654809/p/-1/t/1/fs/0/start/0/end/0/c</v>
      </c>
    </row>
    <row r="26" spans="1:8" x14ac:dyDescent="0.25">
      <c r="A26">
        <v>151358</v>
      </c>
      <c r="B26" t="s">
        <v>74</v>
      </c>
      <c r="C26" t="s">
        <v>75</v>
      </c>
      <c r="D26" t="s">
        <v>10</v>
      </c>
      <c r="E26" t="s">
        <v>76</v>
      </c>
      <c r="F26" t="s">
        <v>77</v>
      </c>
      <c r="G26" t="str">
        <f>HYPERLINK(_xlfn.CONCAT("https://tablet.otzar.org/",CHAR(35),"/exKotar/151358"),"אליבא דהלכתא - 110 כרכים")</f>
        <v>אליבא דהלכתא - 110 כרכים</v>
      </c>
      <c r="H26" t="str">
        <f>_xlfn.CONCAT("https://tablet.otzar.org/",CHAR(35),"/exKotar/151358")</f>
        <v>https://tablet.otzar.org/#/exKotar/151358</v>
      </c>
    </row>
    <row r="27" spans="1:8" x14ac:dyDescent="0.25">
      <c r="A27">
        <v>150262</v>
      </c>
      <c r="B27" t="s">
        <v>78</v>
      </c>
      <c r="C27" t="s">
        <v>25</v>
      </c>
      <c r="D27" t="s">
        <v>10</v>
      </c>
      <c r="E27" t="s">
        <v>26</v>
      </c>
      <c r="F27" t="s">
        <v>79</v>
      </c>
      <c r="G27" t="str">
        <f>HYPERLINK(_xlfn.CONCAT("https://tablet.otzar.org/",CHAR(35),"/book/150262/p/-1/t/1/fs/0/start/0/end/0/c"),"אליהו זוטא - ליקוטי אליהו")</f>
        <v>אליהו זוטא - ליקוטי אליהו</v>
      </c>
      <c r="H27" t="str">
        <f>_xlfn.CONCAT("https://tablet.otzar.org/",CHAR(35),"/book/150262/p/-1/t/1/fs/0/start/0/end/0/c")</f>
        <v>https://tablet.otzar.org/#/book/150262/p/-1/t/1/fs/0/start/0/end/0/c</v>
      </c>
    </row>
    <row r="28" spans="1:8" x14ac:dyDescent="0.25">
      <c r="A28">
        <v>169968</v>
      </c>
      <c r="B28" t="s">
        <v>80</v>
      </c>
      <c r="C28" t="s">
        <v>49</v>
      </c>
      <c r="E28" t="s">
        <v>81</v>
      </c>
      <c r="F28" t="s">
        <v>82</v>
      </c>
      <c r="G28" t="str">
        <f>HYPERLINK(_xlfn.CONCAT("https://tablet.otzar.org/",CHAR(35),"/book/169968/p/-1/t/1/fs/0/start/0/end/0/c"),"אמונת עתך - חוסן ישועות - חכמה ודעת")</f>
        <v>אמונת עתך - חוסן ישועות - חכמה ודעת</v>
      </c>
      <c r="H28" t="str">
        <f>_xlfn.CONCAT("https://tablet.otzar.org/",CHAR(35),"/book/169968/p/-1/t/1/fs/0/start/0/end/0/c")</f>
        <v>https://tablet.otzar.org/#/book/169968/p/-1/t/1/fs/0/start/0/end/0/c</v>
      </c>
    </row>
    <row r="29" spans="1:8" x14ac:dyDescent="0.25">
      <c r="A29">
        <v>163311</v>
      </c>
      <c r="B29" t="s">
        <v>83</v>
      </c>
      <c r="C29" t="s">
        <v>84</v>
      </c>
      <c r="D29" t="s">
        <v>10</v>
      </c>
      <c r="E29" t="s">
        <v>85</v>
      </c>
      <c r="F29" t="s">
        <v>86</v>
      </c>
      <c r="G29" t="str">
        <f>HYPERLINK(_xlfn.CONCAT("https://tablet.otzar.org/",CHAR(35),"/book/163311/p/-1/t/1/fs/0/start/0/end/0/c"),"אמרי אברהם")</f>
        <v>אמרי אברהם</v>
      </c>
      <c r="H29" t="str">
        <f>_xlfn.CONCAT("https://tablet.otzar.org/",CHAR(35),"/book/163311/p/-1/t/1/fs/0/start/0/end/0/c")</f>
        <v>https://tablet.otzar.org/#/book/163311/p/-1/t/1/fs/0/start/0/end/0/c</v>
      </c>
    </row>
    <row r="30" spans="1:8" x14ac:dyDescent="0.25">
      <c r="A30">
        <v>180007</v>
      </c>
      <c r="B30" t="s">
        <v>87</v>
      </c>
      <c r="C30" t="s">
        <v>88</v>
      </c>
      <c r="D30" t="s">
        <v>10</v>
      </c>
      <c r="E30" t="s">
        <v>89</v>
      </c>
      <c r="F30" t="s">
        <v>90</v>
      </c>
      <c r="G30" t="str">
        <f>HYPERLINK(_xlfn.CONCAT("https://tablet.otzar.org/",CHAR(35),"/book/180007/p/-1/t/1/fs/0/start/0/end/0/c"),"אמרי בינה &lt;חידושי מהר""""ש גארמיזאן&gt; - חולין")</f>
        <v>אמרי בינה &lt;חידושי מהר""ש גארמיזאן&gt; - חולין</v>
      </c>
      <c r="H30" t="str">
        <f>_xlfn.CONCAT("https://tablet.otzar.org/",CHAR(35),"/book/180007/p/-1/t/1/fs/0/start/0/end/0/c")</f>
        <v>https://tablet.otzar.org/#/book/180007/p/-1/t/1/fs/0/start/0/end/0/c</v>
      </c>
    </row>
    <row r="31" spans="1:8" x14ac:dyDescent="0.25">
      <c r="A31">
        <v>646714</v>
      </c>
      <c r="B31" t="s">
        <v>91</v>
      </c>
      <c r="C31" t="s">
        <v>92</v>
      </c>
      <c r="D31" t="s">
        <v>10</v>
      </c>
      <c r="E31" t="s">
        <v>58</v>
      </c>
      <c r="G31" t="str">
        <f>HYPERLINK(_xlfn.CONCAT("https://tablet.otzar.org/",CHAR(35),"/book/646714/p/-1/t/1/fs/0/start/0/end/0/c"),"אמרי שמעון &lt;אהבת שלום&gt;")</f>
        <v>אמרי שמעון &lt;אהבת שלום&gt;</v>
      </c>
      <c r="H31" t="str">
        <f>_xlfn.CONCAT("https://tablet.otzar.org/",CHAR(35),"/book/646714/p/-1/t/1/fs/0/start/0/end/0/c")</f>
        <v>https://tablet.otzar.org/#/book/646714/p/-1/t/1/fs/0/start/0/end/0/c</v>
      </c>
    </row>
    <row r="32" spans="1:8" x14ac:dyDescent="0.25">
      <c r="A32">
        <v>150330</v>
      </c>
      <c r="B32" t="s">
        <v>93</v>
      </c>
      <c r="C32" t="s">
        <v>94</v>
      </c>
      <c r="D32" t="s">
        <v>10</v>
      </c>
      <c r="E32" t="s">
        <v>95</v>
      </c>
      <c r="F32" t="s">
        <v>23</v>
      </c>
      <c r="G32" t="str">
        <f>HYPERLINK(_xlfn.CONCAT("https://tablet.otzar.org/",CHAR(35),"/book/150330/p/-1/t/1/fs/0/start/0/end/0/c"),"אמת מאר""""ץ &lt;מהדורה ישנה&gt;")</f>
        <v>אמת מאר""ץ &lt;מהדורה ישנה&gt;</v>
      </c>
      <c r="H32" t="str">
        <f>_xlfn.CONCAT("https://tablet.otzar.org/",CHAR(35),"/book/150330/p/-1/t/1/fs/0/start/0/end/0/c")</f>
        <v>https://tablet.otzar.org/#/book/150330/p/-1/t/1/fs/0/start/0/end/0/c</v>
      </c>
    </row>
    <row r="33" spans="1:8" x14ac:dyDescent="0.25">
      <c r="A33">
        <v>608709</v>
      </c>
      <c r="B33" t="s">
        <v>96</v>
      </c>
      <c r="C33" t="s">
        <v>94</v>
      </c>
      <c r="D33" t="s">
        <v>10</v>
      </c>
      <c r="E33" t="s">
        <v>47</v>
      </c>
      <c r="F33" t="s">
        <v>23</v>
      </c>
      <c r="G33" t="str">
        <f>HYPERLINK(_xlfn.CONCAT("https://tablet.otzar.org/",CHAR(35),"/book/608709/p/-1/t/1/fs/0/start/0/end/0/c"),"אמת מאר""""ץ &lt;מהדורה חדשה&gt;")</f>
        <v>אמת מאר""ץ &lt;מהדורה חדשה&gt;</v>
      </c>
      <c r="H33" t="str">
        <f>_xlfn.CONCAT("https://tablet.otzar.org/",CHAR(35),"/book/608709/p/-1/t/1/fs/0/start/0/end/0/c")</f>
        <v>https://tablet.otzar.org/#/book/608709/p/-1/t/1/fs/0/start/0/end/0/c</v>
      </c>
    </row>
    <row r="34" spans="1:8" x14ac:dyDescent="0.25">
      <c r="A34">
        <v>150830</v>
      </c>
      <c r="B34" t="s">
        <v>97</v>
      </c>
      <c r="C34" t="s">
        <v>98</v>
      </c>
      <c r="D34" t="s">
        <v>10</v>
      </c>
      <c r="E34" t="s">
        <v>89</v>
      </c>
      <c r="F34" t="s">
        <v>99</v>
      </c>
      <c r="G34" t="str">
        <f>HYPERLINK(_xlfn.CONCAT("https://tablet.otzar.org/",CHAR(35),"/book/150830/p/-1/t/1/fs/0/start/0/end/0/c"),"אסדר בשבחין")</f>
        <v>אסדר בשבחין</v>
      </c>
      <c r="H34" t="str">
        <f>_xlfn.CONCAT("https://tablet.otzar.org/",CHAR(35),"/book/150830/p/-1/t/1/fs/0/start/0/end/0/c")</f>
        <v>https://tablet.otzar.org/#/book/150830/p/-1/t/1/fs/0/start/0/end/0/c</v>
      </c>
    </row>
    <row r="35" spans="1:8" x14ac:dyDescent="0.25">
      <c r="A35">
        <v>150834</v>
      </c>
      <c r="B35" t="s">
        <v>100</v>
      </c>
      <c r="C35" t="s">
        <v>29</v>
      </c>
      <c r="D35" t="s">
        <v>10</v>
      </c>
      <c r="E35" t="s">
        <v>101</v>
      </c>
      <c r="F35" t="s">
        <v>23</v>
      </c>
      <c r="G35" t="str">
        <f>HYPERLINK(_xlfn.CONCAT("https://tablet.otzar.org/",CHAR(35),"/book/150834/p/-1/t/1/fs/0/start/0/end/0/c"),"אספקלריא דנהר""""א &lt;על רחובות הנהר&gt; - א")</f>
        <v>אספקלריא דנהר""א &lt;על רחובות הנהר&gt; - א</v>
      </c>
      <c r="H35" t="str">
        <f>_xlfn.CONCAT("https://tablet.otzar.org/",CHAR(35),"/book/150834/p/-1/t/1/fs/0/start/0/end/0/c")</f>
        <v>https://tablet.otzar.org/#/book/150834/p/-1/t/1/fs/0/start/0/end/0/c</v>
      </c>
    </row>
    <row r="36" spans="1:8" x14ac:dyDescent="0.25">
      <c r="A36">
        <v>620835</v>
      </c>
      <c r="B36" t="s">
        <v>102</v>
      </c>
      <c r="C36" t="s">
        <v>103</v>
      </c>
      <c r="D36" t="s">
        <v>10</v>
      </c>
      <c r="E36" t="s">
        <v>11</v>
      </c>
      <c r="F36" t="s">
        <v>104</v>
      </c>
      <c r="G36" t="str">
        <f>HYPERLINK(_xlfn.CONCAT("https://tablet.otzar.org/",CHAR(35),"/book/620835/p/-1/t/1/fs/0/start/0/end/0/c"),"אקים את יצחק &lt;מהדורת אהבת שלום&gt;")</f>
        <v>אקים את יצחק &lt;מהדורת אהבת שלום&gt;</v>
      </c>
      <c r="H36" t="str">
        <f>_xlfn.CONCAT("https://tablet.otzar.org/",CHAR(35),"/book/620835/p/-1/t/1/fs/0/start/0/end/0/c")</f>
        <v>https://tablet.otzar.org/#/book/620835/p/-1/t/1/fs/0/start/0/end/0/c</v>
      </c>
    </row>
    <row r="37" spans="1:8" x14ac:dyDescent="0.25">
      <c r="A37">
        <v>150259</v>
      </c>
      <c r="B37" t="s">
        <v>105</v>
      </c>
      <c r="C37" t="s">
        <v>106</v>
      </c>
      <c r="D37" t="s">
        <v>10</v>
      </c>
      <c r="E37" t="s">
        <v>107</v>
      </c>
      <c r="F37" t="s">
        <v>108</v>
      </c>
      <c r="G37" t="str">
        <f>HYPERLINK(_xlfn.CONCAT("https://tablet.otzar.org/",CHAR(35),"/book/150259/p/-1/t/1/fs/0/start/0/end/0/c"),"ארח מישור")</f>
        <v>ארח מישור</v>
      </c>
      <c r="H37" t="str">
        <f>_xlfn.CONCAT("https://tablet.otzar.org/",CHAR(35),"/book/150259/p/-1/t/1/fs/0/start/0/end/0/c")</f>
        <v>https://tablet.otzar.org/#/book/150259/p/-1/t/1/fs/0/start/0/end/0/c</v>
      </c>
    </row>
    <row r="38" spans="1:8" x14ac:dyDescent="0.25">
      <c r="A38">
        <v>150248</v>
      </c>
      <c r="B38" t="s">
        <v>109</v>
      </c>
      <c r="C38" t="s">
        <v>110</v>
      </c>
      <c r="D38" t="s">
        <v>10</v>
      </c>
      <c r="E38" t="s">
        <v>50</v>
      </c>
      <c r="F38" t="s">
        <v>42</v>
      </c>
      <c r="G38" t="str">
        <f>HYPERLINK(_xlfn.CONCAT("https://tablet.otzar.org/",CHAR(35),"/exKotar/150248"),"אשר יצוה - 2 כרכים")</f>
        <v>אשר יצוה - 2 כרכים</v>
      </c>
      <c r="H38" t="str">
        <f>_xlfn.CONCAT("https://tablet.otzar.org/",CHAR(35),"/exKotar/150248")</f>
        <v>https://tablet.otzar.org/#/exKotar/150248</v>
      </c>
    </row>
    <row r="39" spans="1:8" x14ac:dyDescent="0.25">
      <c r="A39">
        <v>646715</v>
      </c>
      <c r="B39" t="s">
        <v>111</v>
      </c>
      <c r="C39" t="s">
        <v>112</v>
      </c>
      <c r="D39" t="s">
        <v>10</v>
      </c>
      <c r="E39" t="s">
        <v>113</v>
      </c>
      <c r="G39" t="str">
        <f>HYPERLINK(_xlfn.CONCAT("https://tablet.otzar.org/",CHAR(35),"/book/646715/p/-1/t/1/fs/0/start/0/end/0/c"),"אשת חיל - עם ביאור מרבני משפחת בירדוגו")</f>
        <v>אשת חיל - עם ביאור מרבני משפחת בירדוגו</v>
      </c>
      <c r="H39" t="str">
        <f>_xlfn.CONCAT("https://tablet.otzar.org/",CHAR(35),"/book/646715/p/-1/t/1/fs/0/start/0/end/0/c")</f>
        <v>https://tablet.otzar.org/#/book/646715/p/-1/t/1/fs/0/start/0/end/0/c</v>
      </c>
    </row>
    <row r="40" spans="1:8" x14ac:dyDescent="0.25">
      <c r="A40">
        <v>150329</v>
      </c>
      <c r="B40" t="s">
        <v>114</v>
      </c>
      <c r="C40" t="s">
        <v>115</v>
      </c>
      <c r="D40" t="s">
        <v>10</v>
      </c>
      <c r="E40" t="s">
        <v>44</v>
      </c>
      <c r="F40" t="s">
        <v>27</v>
      </c>
      <c r="G40" t="str">
        <f>HYPERLINK(_xlfn.CONCAT("https://tablet.otzar.org/",CHAR(35),"/book/150329/p/-1/t/1/fs/0/start/0/end/0/c"),"באור החיים")</f>
        <v>באור החיים</v>
      </c>
      <c r="H40" t="str">
        <f>_xlfn.CONCAT("https://tablet.otzar.org/",CHAR(35),"/book/150329/p/-1/t/1/fs/0/start/0/end/0/c")</f>
        <v>https://tablet.otzar.org/#/book/150329/p/-1/t/1/fs/0/start/0/end/0/c</v>
      </c>
    </row>
    <row r="41" spans="1:8" x14ac:dyDescent="0.25">
      <c r="A41">
        <v>150279</v>
      </c>
      <c r="B41" t="s">
        <v>116</v>
      </c>
      <c r="C41" t="s">
        <v>117</v>
      </c>
      <c r="D41" t="s">
        <v>10</v>
      </c>
      <c r="E41" t="s">
        <v>118</v>
      </c>
      <c r="F41" t="s">
        <v>90</v>
      </c>
      <c r="G41" t="str">
        <f>HYPERLINK(_xlfn.CONCAT("https://tablet.otzar.org/",CHAR(35),"/book/150279/p/-1/t/1/fs/0/start/0/end/0/c"),"באר שבע")</f>
        <v>באר שבע</v>
      </c>
      <c r="H41" t="str">
        <f>_xlfn.CONCAT("https://tablet.otzar.org/",CHAR(35),"/book/150279/p/-1/t/1/fs/0/start/0/end/0/c")</f>
        <v>https://tablet.otzar.org/#/book/150279/p/-1/t/1/fs/0/start/0/end/0/c</v>
      </c>
    </row>
    <row r="42" spans="1:8" x14ac:dyDescent="0.25">
      <c r="A42">
        <v>150291</v>
      </c>
      <c r="B42" t="s">
        <v>119</v>
      </c>
      <c r="C42" t="s">
        <v>120</v>
      </c>
      <c r="D42" t="s">
        <v>10</v>
      </c>
      <c r="E42" t="s">
        <v>118</v>
      </c>
      <c r="F42" t="s">
        <v>23</v>
      </c>
      <c r="G42" t="str">
        <f>HYPERLINK(_xlfn.CONCAT("https://tablet.otzar.org/",CHAR(35),"/exKotar/150291"),"באתי לגני - 5 כרכים")</f>
        <v>באתי לגני - 5 כרכים</v>
      </c>
      <c r="H42" t="str">
        <f>_xlfn.CONCAT("https://tablet.otzar.org/",CHAR(35),"/exKotar/150291")</f>
        <v>https://tablet.otzar.org/#/exKotar/150291</v>
      </c>
    </row>
    <row r="43" spans="1:8" x14ac:dyDescent="0.25">
      <c r="A43">
        <v>654821</v>
      </c>
      <c r="B43" t="s">
        <v>121</v>
      </c>
      <c r="C43" t="s">
        <v>120</v>
      </c>
      <c r="D43" t="s">
        <v>10</v>
      </c>
      <c r="E43" t="s">
        <v>58</v>
      </c>
      <c r="G43" t="str">
        <f>HYPERLINK(_xlfn.CONCAT("https://tablet.otzar.org/",CHAR(35),"/exKotar/654821"),"באתי לגני &lt;מהדורה חדשה&gt; - 5 כרכים")</f>
        <v>באתי לגני &lt;מהדורה חדשה&gt; - 5 כרכים</v>
      </c>
      <c r="H43" t="str">
        <f>_xlfn.CONCAT("https://tablet.otzar.org/",CHAR(35),"/exKotar/654821")</f>
        <v>https://tablet.otzar.org/#/exKotar/654821</v>
      </c>
    </row>
    <row r="44" spans="1:8" x14ac:dyDescent="0.25">
      <c r="A44">
        <v>150274</v>
      </c>
      <c r="B44" t="s">
        <v>122</v>
      </c>
      <c r="C44" t="s">
        <v>123</v>
      </c>
      <c r="D44" t="s">
        <v>10</v>
      </c>
      <c r="E44" t="s">
        <v>124</v>
      </c>
      <c r="F44" t="s">
        <v>23</v>
      </c>
      <c r="G44" t="str">
        <f>HYPERLINK(_xlfn.CONCAT("https://tablet.otzar.org/",CHAR(35),"/book/150274/p/-1/t/1/fs/0/start/0/end/0/c"),"בגדי קודש אשר לאהרן")</f>
        <v>בגדי קודש אשר לאהרן</v>
      </c>
      <c r="H44" t="str">
        <f>_xlfn.CONCAT("https://tablet.otzar.org/",CHAR(35),"/book/150274/p/-1/t/1/fs/0/start/0/end/0/c")</f>
        <v>https://tablet.otzar.org/#/book/150274/p/-1/t/1/fs/0/start/0/end/0/c</v>
      </c>
    </row>
    <row r="45" spans="1:8" x14ac:dyDescent="0.25">
      <c r="A45">
        <v>150350</v>
      </c>
      <c r="B45" t="s">
        <v>125</v>
      </c>
      <c r="C45" t="s">
        <v>126</v>
      </c>
      <c r="D45" t="s">
        <v>10</v>
      </c>
      <c r="E45" t="s">
        <v>118</v>
      </c>
      <c r="F45" t="s">
        <v>127</v>
      </c>
      <c r="G45" t="str">
        <f>HYPERLINK(_xlfn.CONCAT("https://tablet.otzar.org/",CHAR(35),"/book/150350/p/-1/t/1/fs/0/start/0/end/0/c"),"בית אברהם וברכת אברהם")</f>
        <v>בית אברהם וברכת אברהם</v>
      </c>
      <c r="H45" t="str">
        <f>_xlfn.CONCAT("https://tablet.otzar.org/",CHAR(35),"/book/150350/p/-1/t/1/fs/0/start/0/end/0/c")</f>
        <v>https://tablet.otzar.org/#/book/150350/p/-1/t/1/fs/0/start/0/end/0/c</v>
      </c>
    </row>
    <row r="46" spans="1:8" x14ac:dyDescent="0.25">
      <c r="A46">
        <v>176764</v>
      </c>
      <c r="B46" t="s">
        <v>128</v>
      </c>
      <c r="C46" t="s">
        <v>129</v>
      </c>
      <c r="D46" t="s">
        <v>10</v>
      </c>
      <c r="E46" t="s">
        <v>130</v>
      </c>
      <c r="G46" t="str">
        <f>HYPERLINK(_xlfn.CONCAT("https://tablet.otzar.org/",CHAR(35),"/exKotar/176764"),"בית ההוראה - 3 כרכים")</f>
        <v>בית ההוראה - 3 כרכים</v>
      </c>
      <c r="H46" t="str">
        <f>_xlfn.CONCAT("https://tablet.otzar.org/",CHAR(35),"/exKotar/176764")</f>
        <v>https://tablet.otzar.org/#/exKotar/176764</v>
      </c>
    </row>
    <row r="47" spans="1:8" x14ac:dyDescent="0.25">
      <c r="A47">
        <v>150780</v>
      </c>
      <c r="B47" t="s">
        <v>131</v>
      </c>
      <c r="C47" t="s">
        <v>132</v>
      </c>
      <c r="D47" t="s">
        <v>10</v>
      </c>
      <c r="E47" t="s">
        <v>22</v>
      </c>
      <c r="F47" t="s">
        <v>99</v>
      </c>
      <c r="G47" t="str">
        <f>HYPERLINK(_xlfn.CONCAT("https://tablet.otzar.org/",CHAR(35),"/exKotar/150780"),"בית רחל - 2 כרכים")</f>
        <v>בית רחל - 2 כרכים</v>
      </c>
      <c r="H47" t="str">
        <f>_xlfn.CONCAT("https://tablet.otzar.org/",CHAR(35),"/exKotar/150780")</f>
        <v>https://tablet.otzar.org/#/exKotar/150780</v>
      </c>
    </row>
    <row r="48" spans="1:8" x14ac:dyDescent="0.25">
      <c r="A48">
        <v>150529</v>
      </c>
      <c r="B48" t="s">
        <v>133</v>
      </c>
      <c r="C48" t="s">
        <v>29</v>
      </c>
      <c r="D48" t="s">
        <v>10</v>
      </c>
      <c r="E48" t="s">
        <v>134</v>
      </c>
      <c r="F48" t="s">
        <v>135</v>
      </c>
      <c r="G48" t="str">
        <f>HYPERLINK(_xlfn.CONCAT("https://tablet.otzar.org/",CHAR(35),"/exKotar/150529"),"במסילה נעלה &lt;ביאור באנגלית למסילת ישרים&gt;  - 5 כרכים")</f>
        <v>במסילה נעלה &lt;ביאור באנגלית למסילת ישרים&gt;  - 5 כרכים</v>
      </c>
      <c r="H48" t="str">
        <f>_xlfn.CONCAT("https://tablet.otzar.org/",CHAR(35),"/exKotar/150529")</f>
        <v>https://tablet.otzar.org/#/exKotar/150529</v>
      </c>
    </row>
    <row r="49" spans="1:8" x14ac:dyDescent="0.25">
      <c r="A49">
        <v>150510</v>
      </c>
      <c r="B49" t="s">
        <v>136</v>
      </c>
      <c r="C49" t="s">
        <v>49</v>
      </c>
      <c r="D49" t="s">
        <v>10</v>
      </c>
      <c r="E49" t="s">
        <v>118</v>
      </c>
      <c r="F49" t="s">
        <v>42</v>
      </c>
      <c r="G49" t="str">
        <f>HYPERLINK(_xlfn.CONCAT("https://tablet.otzar.org/",CHAR(35),"/exKotar/150510"),"בן איש חי &lt;הלכות&gt; בתרגום אנגלית  - 4 כרכים")</f>
        <v>בן איש חי &lt;הלכות&gt; בתרגום אנגלית  - 4 כרכים</v>
      </c>
      <c r="H49" t="str">
        <f>_xlfn.CONCAT("https://tablet.otzar.org/",CHAR(35),"/exKotar/150510")</f>
        <v>https://tablet.otzar.org/#/exKotar/150510</v>
      </c>
    </row>
    <row r="50" spans="1:8" x14ac:dyDescent="0.25">
      <c r="A50">
        <v>150406</v>
      </c>
      <c r="B50" t="s">
        <v>137</v>
      </c>
      <c r="C50" t="s">
        <v>138</v>
      </c>
      <c r="D50" t="s">
        <v>10</v>
      </c>
      <c r="E50" t="s">
        <v>139</v>
      </c>
      <c r="F50" t="s">
        <v>140</v>
      </c>
      <c r="G50" t="str">
        <f>HYPERLINK(_xlfn.CONCAT("https://tablet.otzar.org/",CHAR(35),"/book/150406/p/-1/t/1/fs/0/start/0/end/0/c"),"בנין אבות")</f>
        <v>בנין אבות</v>
      </c>
      <c r="H50" t="str">
        <f>_xlfn.CONCAT("https://tablet.otzar.org/",CHAR(35),"/book/150406/p/-1/t/1/fs/0/start/0/end/0/c")</f>
        <v>https://tablet.otzar.org/#/book/150406/p/-1/t/1/fs/0/start/0/end/0/c</v>
      </c>
    </row>
    <row r="51" spans="1:8" x14ac:dyDescent="0.25">
      <c r="A51">
        <v>638091</v>
      </c>
      <c r="B51" t="s">
        <v>141</v>
      </c>
      <c r="C51" t="s">
        <v>142</v>
      </c>
      <c r="D51" t="s">
        <v>10</v>
      </c>
      <c r="E51" t="s">
        <v>143</v>
      </c>
      <c r="G51" t="str">
        <f>HYPERLINK(_xlfn.CONCAT("https://tablet.otzar.org/",CHAR(35),"/book/638091/p/-1/t/1/fs/0/start/0/end/0/c"),"בר מצוה")</f>
        <v>בר מצוה</v>
      </c>
      <c r="H51" t="str">
        <f>_xlfn.CONCAT("https://tablet.otzar.org/",CHAR(35),"/book/638091/p/-1/t/1/fs/0/start/0/end/0/c")</f>
        <v>https://tablet.otzar.org/#/book/638091/p/-1/t/1/fs/0/start/0/end/0/c</v>
      </c>
    </row>
    <row r="52" spans="1:8" x14ac:dyDescent="0.25">
      <c r="A52">
        <v>150341</v>
      </c>
      <c r="B52" t="s">
        <v>144</v>
      </c>
      <c r="C52" t="s">
        <v>145</v>
      </c>
      <c r="D52" t="s">
        <v>10</v>
      </c>
      <c r="E52" t="s">
        <v>146</v>
      </c>
      <c r="F52" t="s">
        <v>147</v>
      </c>
      <c r="G52" t="str">
        <f>HYPERLINK(_xlfn.CONCAT("https://tablet.otzar.org/",CHAR(35),"/book/150341/p/-1/t/1/fs/0/start/0/end/0/c"),"ברוך אברהם")</f>
        <v>ברוך אברהם</v>
      </c>
      <c r="H52" t="str">
        <f>_xlfn.CONCAT("https://tablet.otzar.org/",CHAR(35),"/book/150341/p/-1/t/1/fs/0/start/0/end/0/c")</f>
        <v>https://tablet.otzar.org/#/book/150341/p/-1/t/1/fs/0/start/0/end/0/c</v>
      </c>
    </row>
    <row r="53" spans="1:8" x14ac:dyDescent="0.25">
      <c r="A53">
        <v>150323</v>
      </c>
      <c r="B53" t="s">
        <v>148</v>
      </c>
      <c r="C53" t="s">
        <v>149</v>
      </c>
      <c r="D53" t="s">
        <v>10</v>
      </c>
      <c r="E53" t="s">
        <v>150</v>
      </c>
      <c r="F53" t="s">
        <v>27</v>
      </c>
      <c r="G53" t="str">
        <f>HYPERLINK(_xlfn.CONCAT("https://tablet.otzar.org/",CHAR(35),"/exKotar/150323"),"ברוך טעם - 2 כרכים")</f>
        <v>ברוך טעם - 2 כרכים</v>
      </c>
      <c r="H53" t="str">
        <f>_xlfn.CONCAT("https://tablet.otzar.org/",CHAR(35),"/exKotar/150323")</f>
        <v>https://tablet.otzar.org/#/exKotar/150323</v>
      </c>
    </row>
    <row r="54" spans="1:8" x14ac:dyDescent="0.25">
      <c r="A54">
        <v>150787</v>
      </c>
      <c r="B54" t="s">
        <v>151</v>
      </c>
      <c r="C54" t="s">
        <v>33</v>
      </c>
      <c r="D54" t="s">
        <v>10</v>
      </c>
      <c r="E54" t="s">
        <v>152</v>
      </c>
      <c r="F54" t="s">
        <v>90</v>
      </c>
      <c r="G54" t="str">
        <f>HYPERLINK(_xlfn.CONCAT("https://tablet.otzar.org/",CHAR(35),"/exKotar/150787"),"ברית יעקב - 3 כרכים")</f>
        <v>ברית יעקב - 3 כרכים</v>
      </c>
      <c r="H54" t="str">
        <f>_xlfn.CONCAT("https://tablet.otzar.org/",CHAR(35),"/exKotar/150787")</f>
        <v>https://tablet.otzar.org/#/exKotar/150787</v>
      </c>
    </row>
    <row r="55" spans="1:8" x14ac:dyDescent="0.25">
      <c r="A55">
        <v>179855</v>
      </c>
      <c r="B55" t="s">
        <v>153</v>
      </c>
      <c r="C55" t="s">
        <v>29</v>
      </c>
      <c r="D55" t="s">
        <v>10</v>
      </c>
      <c r="E55" t="s">
        <v>81</v>
      </c>
      <c r="F55" t="s">
        <v>154</v>
      </c>
      <c r="G55" t="str">
        <f>HYPERLINK(_xlfn.CONCAT("https://tablet.otzar.org/",CHAR(35),"/book/179855/p/-1/t/1/fs/0/start/0/end/0/c"),"ברכת מעין שבע בליל פסח שחל בשבת")</f>
        <v>ברכת מעין שבע בליל פסח שחל בשבת</v>
      </c>
      <c r="H55" t="str">
        <f>_xlfn.CONCAT("https://tablet.otzar.org/",CHAR(35),"/book/179855/p/-1/t/1/fs/0/start/0/end/0/c")</f>
        <v>https://tablet.otzar.org/#/book/179855/p/-1/t/1/fs/0/start/0/end/0/c</v>
      </c>
    </row>
    <row r="56" spans="1:8" x14ac:dyDescent="0.25">
      <c r="A56">
        <v>150353</v>
      </c>
      <c r="B56" t="s">
        <v>155</v>
      </c>
      <c r="C56" t="s">
        <v>98</v>
      </c>
      <c r="D56" t="s">
        <v>10</v>
      </c>
      <c r="E56" t="s">
        <v>101</v>
      </c>
      <c r="F56" t="s">
        <v>90</v>
      </c>
      <c r="G56" t="str">
        <f>HYPERLINK(_xlfn.CONCAT("https://tablet.otzar.org/",CHAR(35),"/book/150353/p/-1/t/1/fs/0/start/0/end/0/c"),"ברכת שלום &lt;קובץ&gt; - ברכות")</f>
        <v>ברכת שלום &lt;קובץ&gt; - ברכות</v>
      </c>
      <c r="H56" t="str">
        <f>_xlfn.CONCAT("https://tablet.otzar.org/",CHAR(35),"/book/150353/p/-1/t/1/fs/0/start/0/end/0/c")</f>
        <v>https://tablet.otzar.org/#/book/150353/p/-1/t/1/fs/0/start/0/end/0/c</v>
      </c>
    </row>
    <row r="57" spans="1:8" x14ac:dyDescent="0.25">
      <c r="A57">
        <v>622325</v>
      </c>
      <c r="B57" t="s">
        <v>156</v>
      </c>
      <c r="C57" t="s">
        <v>157</v>
      </c>
      <c r="D57" t="s">
        <v>10</v>
      </c>
      <c r="E57" t="s">
        <v>11</v>
      </c>
      <c r="F57" t="s">
        <v>158</v>
      </c>
      <c r="G57" t="str">
        <f>HYPERLINK(_xlfn.CONCAT("https://tablet.otzar.org/",CHAR(35),"/book/622325/p/-1/t/1/fs/0/start/0/end/0/c"),"גאון יעקב")</f>
        <v>גאון יעקב</v>
      </c>
      <c r="H57" t="str">
        <f>_xlfn.CONCAT("https://tablet.otzar.org/",CHAR(35),"/book/622325/p/-1/t/1/fs/0/start/0/end/0/c")</f>
        <v>https://tablet.otzar.org/#/book/622325/p/-1/t/1/fs/0/start/0/end/0/c</v>
      </c>
    </row>
    <row r="58" spans="1:8" x14ac:dyDescent="0.25">
      <c r="A58">
        <v>186735</v>
      </c>
      <c r="B58" t="s">
        <v>159</v>
      </c>
      <c r="C58" t="s">
        <v>29</v>
      </c>
      <c r="D58" t="s">
        <v>10</v>
      </c>
      <c r="E58" t="s">
        <v>85</v>
      </c>
      <c r="F58" t="s">
        <v>160</v>
      </c>
      <c r="G58" t="str">
        <f>HYPERLINK(_xlfn.CONCAT("https://tablet.otzar.org/",CHAR(35),"/book/186735/p/-1/t/1/fs/0/start/0/end/0/c"),"גבורת האר""""י")</f>
        <v>גבורת האר""י</v>
      </c>
      <c r="H58" t="str">
        <f>_xlfn.CONCAT("https://tablet.otzar.org/",CHAR(35),"/book/186735/p/-1/t/1/fs/0/start/0/end/0/c")</f>
        <v>https://tablet.otzar.org/#/book/186735/p/-1/t/1/fs/0/start/0/end/0/c</v>
      </c>
    </row>
    <row r="59" spans="1:8" x14ac:dyDescent="0.25">
      <c r="A59">
        <v>150389</v>
      </c>
      <c r="B59" t="s">
        <v>161</v>
      </c>
      <c r="C59" t="s">
        <v>162</v>
      </c>
      <c r="D59" t="s">
        <v>10</v>
      </c>
      <c r="E59" t="s">
        <v>95</v>
      </c>
      <c r="F59" t="s">
        <v>163</v>
      </c>
      <c r="G59" t="str">
        <f>HYPERLINK(_xlfn.CONCAT("https://tablet.otzar.org/",CHAR(35),"/book/150389/p/-1/t/1/fs/0/start/0/end/0/c"),"גדולות אלישע")</f>
        <v>גדולות אלישע</v>
      </c>
      <c r="H59" t="str">
        <f>_xlfn.CONCAT("https://tablet.otzar.org/",CHAR(35),"/book/150389/p/-1/t/1/fs/0/start/0/end/0/c")</f>
        <v>https://tablet.otzar.org/#/book/150389/p/-1/t/1/fs/0/start/0/end/0/c</v>
      </c>
    </row>
    <row r="60" spans="1:8" x14ac:dyDescent="0.25">
      <c r="A60">
        <v>150431</v>
      </c>
      <c r="B60" t="s">
        <v>164</v>
      </c>
      <c r="C60" t="s">
        <v>29</v>
      </c>
      <c r="D60" t="s">
        <v>10</v>
      </c>
      <c r="E60" t="s">
        <v>95</v>
      </c>
      <c r="F60" t="s">
        <v>23</v>
      </c>
      <c r="G60" t="str">
        <f>HYPERLINK(_xlfn.CONCAT("https://tablet.otzar.org/",CHAR(35),"/exKotar/150431"),"גלי הים - 2 כרכים")</f>
        <v>גלי הים - 2 כרכים</v>
      </c>
      <c r="H60" t="str">
        <f>_xlfn.CONCAT("https://tablet.otzar.org/",CHAR(35),"/exKotar/150431")</f>
        <v>https://tablet.otzar.org/#/exKotar/150431</v>
      </c>
    </row>
    <row r="61" spans="1:8" x14ac:dyDescent="0.25">
      <c r="A61">
        <v>150296</v>
      </c>
      <c r="B61" t="s">
        <v>165</v>
      </c>
      <c r="C61" t="s">
        <v>166</v>
      </c>
      <c r="D61" t="s">
        <v>10</v>
      </c>
      <c r="E61" t="s">
        <v>22</v>
      </c>
      <c r="F61" t="s">
        <v>27</v>
      </c>
      <c r="G61" t="str">
        <f>HYPERLINK(_xlfn.CONCAT("https://tablet.otzar.org/",CHAR(35),"/book/150296/p/-1/t/1/fs/0/start/0/end/0/c"),"דבר המלך")</f>
        <v>דבר המלך</v>
      </c>
      <c r="H61" t="str">
        <f>_xlfn.CONCAT("https://tablet.otzar.org/",CHAR(35),"/book/150296/p/-1/t/1/fs/0/start/0/end/0/c")</f>
        <v>https://tablet.otzar.org/#/book/150296/p/-1/t/1/fs/0/start/0/end/0/c</v>
      </c>
    </row>
    <row r="62" spans="1:8" x14ac:dyDescent="0.25">
      <c r="A62">
        <v>630025</v>
      </c>
      <c r="B62" t="s">
        <v>167</v>
      </c>
      <c r="C62" t="s">
        <v>168</v>
      </c>
      <c r="D62" t="s">
        <v>10</v>
      </c>
      <c r="E62" t="s">
        <v>19</v>
      </c>
      <c r="F62" t="s">
        <v>65</v>
      </c>
      <c r="G62" t="str">
        <f>HYPERLINK(_xlfn.CONCAT("https://tablet.otzar.org/",CHAR(35),"/book/630025/p/-1/t/1/fs/0/start/0/end/0/c"),"דברי אמת &lt;מהדורת אהבת שלום&gt; - חלק הקונטרסים")</f>
        <v>דברי אמת &lt;מהדורת אהבת שלום&gt; - חלק הקונטרסים</v>
      </c>
      <c r="H62" t="str">
        <f>_xlfn.CONCAT("https://tablet.otzar.org/",CHAR(35),"/book/630025/p/-1/t/1/fs/0/start/0/end/0/c")</f>
        <v>https://tablet.otzar.org/#/book/630025/p/-1/t/1/fs/0/start/0/end/0/c</v>
      </c>
    </row>
    <row r="63" spans="1:8" x14ac:dyDescent="0.25">
      <c r="A63">
        <v>163313</v>
      </c>
      <c r="B63" t="s">
        <v>169</v>
      </c>
      <c r="C63" t="s">
        <v>170</v>
      </c>
      <c r="D63" t="s">
        <v>10</v>
      </c>
      <c r="E63" t="s">
        <v>85</v>
      </c>
      <c r="F63" t="s">
        <v>45</v>
      </c>
      <c r="G63" t="str">
        <f>HYPERLINK(_xlfn.CONCAT("https://tablet.otzar.org/",CHAR(35),"/book/163313/p/-1/t/1/fs/0/start/0/end/0/c"),"דברי יוסף")</f>
        <v>דברי יוסף</v>
      </c>
      <c r="H63" t="str">
        <f>_xlfn.CONCAT("https://tablet.otzar.org/",CHAR(35),"/book/163313/p/-1/t/1/fs/0/start/0/end/0/c")</f>
        <v>https://tablet.otzar.org/#/book/163313/p/-1/t/1/fs/0/start/0/end/0/c</v>
      </c>
    </row>
    <row r="64" spans="1:8" x14ac:dyDescent="0.25">
      <c r="A64">
        <v>150536</v>
      </c>
      <c r="B64" t="s">
        <v>171</v>
      </c>
      <c r="C64" t="s">
        <v>172</v>
      </c>
      <c r="D64" t="s">
        <v>10</v>
      </c>
      <c r="E64" t="s">
        <v>55</v>
      </c>
      <c r="G64" t="str">
        <f>HYPERLINK(_xlfn.CONCAT("https://tablet.otzar.org/",CHAR(35),"/book/150536/p/-1/t/1/fs/0/start/0/end/0/c"),"דברי צדיקים")</f>
        <v>דברי צדיקים</v>
      </c>
      <c r="H64" t="str">
        <f>_xlfn.CONCAT("https://tablet.otzar.org/",CHAR(35),"/book/150536/p/-1/t/1/fs/0/start/0/end/0/c")</f>
        <v>https://tablet.otzar.org/#/book/150536/p/-1/t/1/fs/0/start/0/end/0/c</v>
      </c>
    </row>
    <row r="65" spans="1:8" x14ac:dyDescent="0.25">
      <c r="A65">
        <v>150301</v>
      </c>
      <c r="B65" t="s">
        <v>173</v>
      </c>
      <c r="C65" t="s">
        <v>174</v>
      </c>
      <c r="D65" t="s">
        <v>10</v>
      </c>
      <c r="E65" t="s">
        <v>139</v>
      </c>
      <c r="F65" t="s">
        <v>175</v>
      </c>
      <c r="G65" t="str">
        <f>HYPERLINK(_xlfn.CONCAT("https://tablet.otzar.org/",CHAR(35),"/book/150301/p/-1/t/1/fs/0/start/0/end/0/c"),"דברי שלום ואמת")</f>
        <v>דברי שלום ואמת</v>
      </c>
      <c r="H65" t="str">
        <f>_xlfn.CONCAT("https://tablet.otzar.org/",CHAR(35),"/book/150301/p/-1/t/1/fs/0/start/0/end/0/c")</f>
        <v>https://tablet.otzar.org/#/book/150301/p/-1/t/1/fs/0/start/0/end/0/c</v>
      </c>
    </row>
    <row r="66" spans="1:8" x14ac:dyDescent="0.25">
      <c r="A66">
        <v>150775</v>
      </c>
      <c r="B66" t="s">
        <v>176</v>
      </c>
      <c r="C66" t="s">
        <v>177</v>
      </c>
      <c r="D66" t="s">
        <v>10</v>
      </c>
      <c r="E66" t="s">
        <v>150</v>
      </c>
      <c r="F66" t="s">
        <v>23</v>
      </c>
      <c r="G66" t="str">
        <f>HYPERLINK(_xlfn.CONCAT("https://tablet.otzar.org/",CHAR(35),"/exKotar/150775"),"דגלי אהבה - 3 כרכים")</f>
        <v>דגלי אהבה - 3 כרכים</v>
      </c>
      <c r="H66" t="str">
        <f>_xlfn.CONCAT("https://tablet.otzar.org/",CHAR(35),"/exKotar/150775")</f>
        <v>https://tablet.otzar.org/#/exKotar/150775</v>
      </c>
    </row>
    <row r="67" spans="1:8" x14ac:dyDescent="0.25">
      <c r="A67">
        <v>163314</v>
      </c>
      <c r="B67" t="s">
        <v>178</v>
      </c>
      <c r="C67" t="s">
        <v>179</v>
      </c>
      <c r="D67" t="s">
        <v>10</v>
      </c>
      <c r="E67" t="s">
        <v>85</v>
      </c>
      <c r="F67" t="s">
        <v>180</v>
      </c>
      <c r="G67" t="str">
        <f>HYPERLINK(_xlfn.CONCAT("https://tablet.otzar.org/",CHAR(35),"/exKotar/163314"),"דרושי רבינו משה מאימראן - 2 כרכים")</f>
        <v>דרושי רבינו משה מאימראן - 2 כרכים</v>
      </c>
      <c r="H67" t="str">
        <f>_xlfn.CONCAT("https://tablet.otzar.org/",CHAR(35),"/exKotar/163314")</f>
        <v>https://tablet.otzar.org/#/exKotar/163314</v>
      </c>
    </row>
    <row r="68" spans="1:8" x14ac:dyDescent="0.25">
      <c r="A68">
        <v>170095</v>
      </c>
      <c r="B68" t="s">
        <v>181</v>
      </c>
      <c r="C68" t="s">
        <v>182</v>
      </c>
      <c r="D68" t="s">
        <v>10</v>
      </c>
      <c r="E68" t="s">
        <v>81</v>
      </c>
      <c r="F68" t="s">
        <v>135</v>
      </c>
      <c r="G68" t="str">
        <f>HYPERLINK(_xlfn.CONCAT("https://tablet.otzar.org/",CHAR(35),"/book/170095/p/-1/t/1/fs/0/start/0/end/0/c"),"דרך חיים &lt;מהדורת אהבת שלום&gt;")</f>
        <v>דרך חיים &lt;מהדורת אהבת שלום&gt;</v>
      </c>
      <c r="H68" t="str">
        <f>_xlfn.CONCAT("https://tablet.otzar.org/",CHAR(35),"/book/170095/p/-1/t/1/fs/0/start/0/end/0/c")</f>
        <v>https://tablet.otzar.org/#/book/170095/p/-1/t/1/fs/0/start/0/end/0/c</v>
      </c>
    </row>
    <row r="69" spans="1:8" x14ac:dyDescent="0.25">
      <c r="A69">
        <v>188200</v>
      </c>
      <c r="B69" t="s">
        <v>181</v>
      </c>
      <c r="C69" t="s">
        <v>21</v>
      </c>
      <c r="D69" t="s">
        <v>18</v>
      </c>
      <c r="E69" t="s">
        <v>113</v>
      </c>
      <c r="G69" t="str">
        <f>HYPERLINK(_xlfn.CONCAT("https://tablet.otzar.org/",CHAR(35),"/book/188200/p/-1/t/1/fs/0/start/0/end/0/c"),"דרך חיים &lt;מהדורת אהבת שלום&gt;")</f>
        <v>דרך חיים &lt;מהדורת אהבת שלום&gt;</v>
      </c>
      <c r="H69" t="str">
        <f>_xlfn.CONCAT("https://tablet.otzar.org/",CHAR(35),"/book/188200/p/-1/t/1/fs/0/start/0/end/0/c")</f>
        <v>https://tablet.otzar.org/#/book/188200/p/-1/t/1/fs/0/start/0/end/0/c</v>
      </c>
    </row>
    <row r="70" spans="1:8" x14ac:dyDescent="0.25">
      <c r="A70">
        <v>150394</v>
      </c>
      <c r="B70" t="s">
        <v>183</v>
      </c>
      <c r="C70" t="s">
        <v>184</v>
      </c>
      <c r="D70" t="s">
        <v>10</v>
      </c>
      <c r="E70" t="s">
        <v>44</v>
      </c>
      <c r="F70" t="s">
        <v>185</v>
      </c>
      <c r="G70" t="str">
        <f>HYPERLINK(_xlfn.CONCAT("https://tablet.otzar.org/",CHAR(35),"/book/150394/p/-1/t/1/fs/0/start/0/end/0/c"),"דרכי אמת")</f>
        <v>דרכי אמת</v>
      </c>
      <c r="H70" t="str">
        <f>_xlfn.CONCAT("https://tablet.otzar.org/",CHAR(35),"/book/150394/p/-1/t/1/fs/0/start/0/end/0/c")</f>
        <v>https://tablet.otzar.org/#/book/150394/p/-1/t/1/fs/0/start/0/end/0/c</v>
      </c>
    </row>
    <row r="71" spans="1:8" x14ac:dyDescent="0.25">
      <c r="A71">
        <v>163310</v>
      </c>
      <c r="B71" t="s">
        <v>186</v>
      </c>
      <c r="C71" t="s">
        <v>187</v>
      </c>
      <c r="D71" t="s">
        <v>10</v>
      </c>
      <c r="E71" t="s">
        <v>85</v>
      </c>
      <c r="F71" t="s">
        <v>27</v>
      </c>
      <c r="G71" t="str">
        <f>HYPERLINK(_xlfn.CONCAT("https://tablet.otzar.org/",CHAR(35),"/book/163310/p/-1/t/1/fs/0/start/0/end/0/c"),"דרכי חיים")</f>
        <v>דרכי חיים</v>
      </c>
      <c r="H71" t="str">
        <f>_xlfn.CONCAT("https://tablet.otzar.org/",CHAR(35),"/book/163310/p/-1/t/1/fs/0/start/0/end/0/c")</f>
        <v>https://tablet.otzar.org/#/book/163310/p/-1/t/1/fs/0/start/0/end/0/c</v>
      </c>
    </row>
    <row r="72" spans="1:8" x14ac:dyDescent="0.25">
      <c r="A72">
        <v>150252</v>
      </c>
      <c r="B72" t="s">
        <v>188</v>
      </c>
      <c r="C72" t="s">
        <v>189</v>
      </c>
      <c r="D72" t="s">
        <v>10</v>
      </c>
      <c r="E72" t="s">
        <v>22</v>
      </c>
      <c r="F72" t="s">
        <v>190</v>
      </c>
      <c r="G72" t="str">
        <f>HYPERLINK(_xlfn.CONCAT("https://tablet.otzar.org/",CHAR(35),"/book/150252/p/-1/t/1/fs/0/start/0/end/0/c"),"דרשות מעבר יבק")</f>
        <v>דרשות מעבר יבק</v>
      </c>
      <c r="H72" t="str">
        <f>_xlfn.CONCAT("https://tablet.otzar.org/",CHAR(35),"/book/150252/p/-1/t/1/fs/0/start/0/end/0/c")</f>
        <v>https://tablet.otzar.org/#/book/150252/p/-1/t/1/fs/0/start/0/end/0/c</v>
      </c>
    </row>
    <row r="73" spans="1:8" x14ac:dyDescent="0.25">
      <c r="A73">
        <v>150427</v>
      </c>
      <c r="B73" t="s">
        <v>191</v>
      </c>
      <c r="C73" t="s">
        <v>192</v>
      </c>
      <c r="D73" t="s">
        <v>10</v>
      </c>
      <c r="E73" t="s">
        <v>107</v>
      </c>
      <c r="F73" t="s">
        <v>193</v>
      </c>
      <c r="G73" t="str">
        <f>HYPERLINK(_xlfn.CONCAT("https://tablet.otzar.org/",CHAR(35),"/book/150427/p/-1/t/1/fs/0/start/0/end/0/c"),"האר""""י וגוריו &lt;אגרות ר""""ש שלומל&gt;")</f>
        <v>האר""י וגוריו &lt;אגרות ר""ש שלומל&gt;</v>
      </c>
      <c r="H73" t="str">
        <f>_xlfn.CONCAT("https://tablet.otzar.org/",CHAR(35),"/book/150427/p/-1/t/1/fs/0/start/0/end/0/c")</f>
        <v>https://tablet.otzar.org/#/book/150427/p/-1/t/1/fs/0/start/0/end/0/c</v>
      </c>
    </row>
    <row r="74" spans="1:8" x14ac:dyDescent="0.25">
      <c r="A74">
        <v>601399</v>
      </c>
      <c r="B74" t="s">
        <v>194</v>
      </c>
      <c r="C74" t="s">
        <v>29</v>
      </c>
      <c r="D74" t="s">
        <v>10</v>
      </c>
      <c r="E74" t="s">
        <v>195</v>
      </c>
      <c r="G74" t="str">
        <f>HYPERLINK(_xlfn.CONCAT("https://tablet.otzar.org/",CHAR(35),"/exKotar/601399"),"הבן בחכמה - 3 כרכים")</f>
        <v>הבן בחכמה - 3 כרכים</v>
      </c>
      <c r="H74" t="str">
        <f>_xlfn.CONCAT("https://tablet.otzar.org/",CHAR(35),"/exKotar/601399")</f>
        <v>https://tablet.otzar.org/#/exKotar/601399</v>
      </c>
    </row>
    <row r="75" spans="1:8" x14ac:dyDescent="0.25">
      <c r="A75">
        <v>150224</v>
      </c>
      <c r="B75" t="s">
        <v>196</v>
      </c>
      <c r="C75" t="s">
        <v>197</v>
      </c>
      <c r="D75" t="s">
        <v>10</v>
      </c>
      <c r="E75" t="s">
        <v>22</v>
      </c>
      <c r="F75" t="s">
        <v>198</v>
      </c>
      <c r="G75" t="str">
        <f>HYPERLINK(_xlfn.CONCAT("https://tablet.otzar.org/",CHAR(35),"/book/150224/p/-1/t/1/fs/0/start/0/end/0/c"),"הגדה של פסח &lt;הגדת השל""""ה&gt;")</f>
        <v>הגדה של פסח &lt;הגדת השל""ה&gt;</v>
      </c>
      <c r="H75" t="str">
        <f>_xlfn.CONCAT("https://tablet.otzar.org/",CHAR(35),"/book/150224/p/-1/t/1/fs/0/start/0/end/0/c")</f>
        <v>https://tablet.otzar.org/#/book/150224/p/-1/t/1/fs/0/start/0/end/0/c</v>
      </c>
    </row>
    <row r="76" spans="1:8" x14ac:dyDescent="0.25">
      <c r="A76">
        <v>150430</v>
      </c>
      <c r="B76" t="s">
        <v>199</v>
      </c>
      <c r="C76" t="s">
        <v>200</v>
      </c>
      <c r="D76" t="s">
        <v>10</v>
      </c>
      <c r="E76" t="s">
        <v>95</v>
      </c>
      <c r="F76" t="s">
        <v>198</v>
      </c>
      <c r="G76" t="str">
        <f>HYPERLINK(_xlfn.CONCAT("https://tablet.otzar.org/",CHAR(35),"/book/150430/p/-1/t/1/fs/0/start/0/end/0/c"),"הגדה של פסח &lt;זמרת הארץ - מנהג אר""""ץ&gt;")</f>
        <v>הגדה של פסח &lt;זמרת הארץ - מנהג אר""ץ&gt;</v>
      </c>
      <c r="H76" t="str">
        <f>_xlfn.CONCAT("https://tablet.otzar.org/",CHAR(35),"/book/150430/p/-1/t/1/fs/0/start/0/end/0/c")</f>
        <v>https://tablet.otzar.org/#/book/150430/p/-1/t/1/fs/0/start/0/end/0/c</v>
      </c>
    </row>
    <row r="77" spans="1:8" x14ac:dyDescent="0.25">
      <c r="A77">
        <v>150840</v>
      </c>
      <c r="B77" t="s">
        <v>201</v>
      </c>
      <c r="C77" t="s">
        <v>202</v>
      </c>
      <c r="D77" t="s">
        <v>10</v>
      </c>
      <c r="E77" t="s">
        <v>101</v>
      </c>
      <c r="F77" t="s">
        <v>198</v>
      </c>
      <c r="G77" t="str">
        <f>HYPERLINK(_xlfn.CONCAT("https://tablet.otzar.org/",CHAR(35),"/book/150840/p/-1/t/1/fs/0/start/0/end/0/c"),"הגדה של פסח &lt;מצודת דוד וציון, ויגד לשלמה&gt;")</f>
        <v>הגדה של פסח &lt;מצודת דוד וציון, ויגד לשלמה&gt;</v>
      </c>
      <c r="H77" t="str">
        <f>_xlfn.CONCAT("https://tablet.otzar.org/",CHAR(35),"/book/150840/p/-1/t/1/fs/0/start/0/end/0/c")</f>
        <v>https://tablet.otzar.org/#/book/150840/p/-1/t/1/fs/0/start/0/end/0/c</v>
      </c>
    </row>
    <row r="78" spans="1:8" x14ac:dyDescent="0.25">
      <c r="A78">
        <v>150223</v>
      </c>
      <c r="B78" t="s">
        <v>203</v>
      </c>
      <c r="C78" t="s">
        <v>204</v>
      </c>
      <c r="D78" t="s">
        <v>10</v>
      </c>
      <c r="E78" t="s">
        <v>150</v>
      </c>
      <c r="F78" t="s">
        <v>198</v>
      </c>
      <c r="G78" t="str">
        <f>HYPERLINK(_xlfn.CONCAT("https://tablet.otzar.org/",CHAR(35),"/book/150223/p/-1/t/1/fs/0/start/0/end/0/c"),"הגדה של פסח &lt;זרוע נטויה&gt;")</f>
        <v>הגדה של פסח &lt;זרוע נטויה&gt;</v>
      </c>
      <c r="H78" t="str">
        <f>_xlfn.CONCAT("https://tablet.otzar.org/",CHAR(35),"/book/150223/p/-1/t/1/fs/0/start/0/end/0/c")</f>
        <v>https://tablet.otzar.org/#/book/150223/p/-1/t/1/fs/0/start/0/end/0/c</v>
      </c>
    </row>
    <row r="79" spans="1:8" x14ac:dyDescent="0.25">
      <c r="A79">
        <v>150226</v>
      </c>
      <c r="B79" t="s">
        <v>205</v>
      </c>
      <c r="C79" t="s">
        <v>49</v>
      </c>
      <c r="F79" t="s">
        <v>198</v>
      </c>
      <c r="G79" t="str">
        <f>HYPERLINK(_xlfn.CONCAT("https://tablet.otzar.org/",CHAR(35),"/exKotar/150226"),"הגדה של פסח &lt;אוצרות חיים&gt; - 2 כרכים")</f>
        <v>הגדה של פסח &lt;אוצרות חיים&gt; - 2 כרכים</v>
      </c>
      <c r="H79" t="str">
        <f>_xlfn.CONCAT("https://tablet.otzar.org/",CHAR(35),"/exKotar/150226")</f>
        <v>https://tablet.otzar.org/#/exKotar/150226</v>
      </c>
    </row>
    <row r="80" spans="1:8" x14ac:dyDescent="0.25">
      <c r="A80">
        <v>150425</v>
      </c>
      <c r="B80" t="s">
        <v>206</v>
      </c>
      <c r="C80" t="s">
        <v>49</v>
      </c>
      <c r="E80" t="s">
        <v>207</v>
      </c>
      <c r="F80" t="s">
        <v>208</v>
      </c>
      <c r="G80" t="str">
        <f>HYPERLINK(_xlfn.CONCAT("https://tablet.otzar.org/",CHAR(35),"/book/150425/p/-1/t/1/fs/0/start/0/end/0/c"),"הוד יוסף")</f>
        <v>הוד יוסף</v>
      </c>
      <c r="H80" t="str">
        <f>_xlfn.CONCAT("https://tablet.otzar.org/",CHAR(35),"/book/150425/p/-1/t/1/fs/0/start/0/end/0/c")</f>
        <v>https://tablet.otzar.org/#/book/150425/p/-1/t/1/fs/0/start/0/end/0/c</v>
      </c>
    </row>
    <row r="81" spans="1:8" x14ac:dyDescent="0.25">
      <c r="A81">
        <v>150241</v>
      </c>
      <c r="B81" t="s">
        <v>209</v>
      </c>
      <c r="C81" t="s">
        <v>210</v>
      </c>
      <c r="D81" t="s">
        <v>10</v>
      </c>
      <c r="E81" t="s">
        <v>107</v>
      </c>
      <c r="F81" t="s">
        <v>90</v>
      </c>
      <c r="G81" t="str">
        <f>HYPERLINK(_xlfn.CONCAT("https://tablet.otzar.org/",CHAR(35),"/book/150241/p/-1/t/1/fs/0/start/0/end/0/c"),"הליכות אלי &lt;אהבת שלום&gt;")</f>
        <v>הליכות אלי &lt;אהבת שלום&gt;</v>
      </c>
      <c r="H81" t="str">
        <f>_xlfn.CONCAT("https://tablet.otzar.org/",CHAR(35),"/book/150241/p/-1/t/1/fs/0/start/0/end/0/c")</f>
        <v>https://tablet.otzar.org/#/book/150241/p/-1/t/1/fs/0/start/0/end/0/c</v>
      </c>
    </row>
    <row r="82" spans="1:8" x14ac:dyDescent="0.25">
      <c r="A82">
        <v>630029</v>
      </c>
      <c r="B82" t="s">
        <v>211</v>
      </c>
      <c r="C82" t="s">
        <v>212</v>
      </c>
      <c r="D82" t="s">
        <v>10</v>
      </c>
      <c r="E82" t="s">
        <v>19</v>
      </c>
      <c r="F82" t="s">
        <v>213</v>
      </c>
      <c r="G82" t="str">
        <f>HYPERLINK(_xlfn.CONCAT("https://tablet.otzar.org/",CHAR(35),"/book/630029/p/-1/t/1/fs/0/start/0/end/0/c"),"הלכות ברכות, הלכות פסח, ברכות בחשבון, המעשר והעושר")</f>
        <v>הלכות ברכות, הלכות פסח, ברכות בחשבון, המעשר והעושר</v>
      </c>
      <c r="H82" t="str">
        <f>_xlfn.CONCAT("https://tablet.otzar.org/",CHAR(35),"/book/630029/p/-1/t/1/fs/0/start/0/end/0/c")</f>
        <v>https://tablet.otzar.org/#/book/630029/p/-1/t/1/fs/0/start/0/end/0/c</v>
      </c>
    </row>
    <row r="83" spans="1:8" x14ac:dyDescent="0.25">
      <c r="A83">
        <v>150237</v>
      </c>
      <c r="B83" t="s">
        <v>214</v>
      </c>
      <c r="C83" t="s">
        <v>215</v>
      </c>
      <c r="D83" t="s">
        <v>10</v>
      </c>
      <c r="E83" t="s">
        <v>118</v>
      </c>
      <c r="F83" t="s">
        <v>42</v>
      </c>
      <c r="G83" t="str">
        <f>HYPERLINK(_xlfn.CONCAT("https://tablet.otzar.org/",CHAR(35),"/book/150237/p/-1/t/1/fs/0/start/0/end/0/c"),"הלכות פסוקות &lt;תשלום הלכות פסוקות&gt;")</f>
        <v>הלכות פסוקות &lt;תשלום הלכות פסוקות&gt;</v>
      </c>
      <c r="H83" t="str">
        <f>_xlfn.CONCAT("https://tablet.otzar.org/",CHAR(35),"/book/150237/p/-1/t/1/fs/0/start/0/end/0/c")</f>
        <v>https://tablet.otzar.org/#/book/150237/p/-1/t/1/fs/0/start/0/end/0/c</v>
      </c>
    </row>
    <row r="84" spans="1:8" x14ac:dyDescent="0.25">
      <c r="A84">
        <v>646719</v>
      </c>
      <c r="B84" t="s">
        <v>216</v>
      </c>
      <c r="C84" t="s">
        <v>217</v>
      </c>
      <c r="D84" t="s">
        <v>10</v>
      </c>
      <c r="E84" t="s">
        <v>58</v>
      </c>
      <c r="G84" t="str">
        <f>HYPERLINK(_xlfn.CONCAT("https://tablet.otzar.org/",CHAR(35),"/book/646719/p/-1/t/1/fs/0/start/0/end/0/c"),"הלכות ראו - הלכות פסוקות")</f>
        <v>הלכות ראו - הלכות פסוקות</v>
      </c>
      <c r="H84" t="str">
        <f>_xlfn.CONCAT("https://tablet.otzar.org/",CHAR(35),"/book/646719/p/-1/t/1/fs/0/start/0/end/0/c")</f>
        <v>https://tablet.otzar.org/#/book/646719/p/-1/t/1/fs/0/start/0/end/0/c</v>
      </c>
    </row>
    <row r="85" spans="1:8" x14ac:dyDescent="0.25">
      <c r="A85">
        <v>608700</v>
      </c>
      <c r="B85" t="s">
        <v>218</v>
      </c>
      <c r="C85" t="s">
        <v>219</v>
      </c>
      <c r="D85" t="s">
        <v>10</v>
      </c>
      <c r="E85" t="s">
        <v>47</v>
      </c>
      <c r="F85" t="s">
        <v>90</v>
      </c>
      <c r="G85" t="str">
        <f>HYPERLINK(_xlfn.CONCAT("https://tablet.otzar.org/",CHAR(35),"/exKotar/608700"),"המכתם &lt;מהדורת אהבת שלום&gt;  - 7 כרכים")</f>
        <v>המכתם &lt;מהדורת אהבת שלום&gt;  - 7 כרכים</v>
      </c>
      <c r="H85" t="str">
        <f>_xlfn.CONCAT("https://tablet.otzar.org/",CHAR(35),"/exKotar/608700")</f>
        <v>https://tablet.otzar.org/#/exKotar/608700</v>
      </c>
    </row>
    <row r="86" spans="1:8" x14ac:dyDescent="0.25">
      <c r="A86">
        <v>150288</v>
      </c>
      <c r="B86" t="s">
        <v>220</v>
      </c>
      <c r="C86" t="s">
        <v>221</v>
      </c>
      <c r="D86" t="s">
        <v>10</v>
      </c>
      <c r="E86" t="s">
        <v>146</v>
      </c>
      <c r="F86" t="s">
        <v>222</v>
      </c>
      <c r="G86" t="str">
        <f>HYPERLINK(_xlfn.CONCAT("https://tablet.otzar.org/",CHAR(35),"/book/150288/p/-1/t/1/fs/0/start/0/end/0/c"),"המעלות לשלמה")</f>
        <v>המעלות לשלמה</v>
      </c>
      <c r="H86" t="str">
        <f>_xlfn.CONCAT("https://tablet.otzar.org/",CHAR(35),"/book/150288/p/-1/t/1/fs/0/start/0/end/0/c")</f>
        <v>https://tablet.otzar.org/#/book/150288/p/-1/t/1/fs/0/start/0/end/0/c</v>
      </c>
    </row>
    <row r="87" spans="1:8" x14ac:dyDescent="0.25">
      <c r="A87">
        <v>646884</v>
      </c>
      <c r="B87" t="s">
        <v>223</v>
      </c>
      <c r="C87" t="s">
        <v>224</v>
      </c>
      <c r="D87" t="s">
        <v>10</v>
      </c>
      <c r="E87" t="s">
        <v>58</v>
      </c>
      <c r="G87" t="str">
        <f>HYPERLINK(_xlfn.CONCAT("https://tablet.otzar.org/",CHAR(35),"/book/646884/p/-1/t/1/fs/0/start/0/end/0/c"),"העובד הנאמן")</f>
        <v>העובד הנאמן</v>
      </c>
      <c r="H87" t="str">
        <f>_xlfn.CONCAT("https://tablet.otzar.org/",CHAR(35),"/book/646884/p/-1/t/1/fs/0/start/0/end/0/c")</f>
        <v>https://tablet.otzar.org/#/book/646884/p/-1/t/1/fs/0/start/0/end/0/c</v>
      </c>
    </row>
    <row r="88" spans="1:8" x14ac:dyDescent="0.25">
      <c r="A88">
        <v>143881</v>
      </c>
      <c r="B88" t="s">
        <v>225</v>
      </c>
      <c r="C88" t="s">
        <v>29</v>
      </c>
      <c r="D88" t="s">
        <v>10</v>
      </c>
      <c r="E88" t="s">
        <v>139</v>
      </c>
      <c r="F88" t="s">
        <v>42</v>
      </c>
      <c r="G88" t="str">
        <f>HYPERLINK(_xlfn.CONCAT("https://tablet.otzar.org/",CHAR(35),"/book/143881/p/-1/t/1/fs/0/start/0/end/0/c"),"העטרה ליושנה")</f>
        <v>העטרה ליושנה</v>
      </c>
      <c r="H88" t="str">
        <f>_xlfn.CONCAT("https://tablet.otzar.org/",CHAR(35),"/book/143881/p/-1/t/1/fs/0/start/0/end/0/c")</f>
        <v>https://tablet.otzar.org/#/book/143881/p/-1/t/1/fs/0/start/0/end/0/c</v>
      </c>
    </row>
    <row r="89" spans="1:8" x14ac:dyDescent="0.25">
      <c r="A89">
        <v>150801</v>
      </c>
      <c r="B89" t="s">
        <v>226</v>
      </c>
      <c r="C89" t="s">
        <v>227</v>
      </c>
      <c r="D89" t="s">
        <v>10</v>
      </c>
      <c r="E89" t="s">
        <v>228</v>
      </c>
      <c r="F89" t="s">
        <v>42</v>
      </c>
      <c r="G89" t="str">
        <f>HYPERLINK(_xlfn.CONCAT("https://tablet.otzar.org/",CHAR(35),"/book/150801/p/-1/t/1/fs/0/start/0/end/0/c"),"הר המוריה, אזני ירושלים, ילקוט דוד")</f>
        <v>הר המוריה, אזני ירושלים, ילקוט דוד</v>
      </c>
      <c r="H89" t="str">
        <f>_xlfn.CONCAT("https://tablet.otzar.org/",CHAR(35),"/book/150801/p/-1/t/1/fs/0/start/0/end/0/c")</f>
        <v>https://tablet.otzar.org/#/book/150801/p/-1/t/1/fs/0/start/0/end/0/c</v>
      </c>
    </row>
    <row r="90" spans="1:8" x14ac:dyDescent="0.25">
      <c r="A90">
        <v>150835</v>
      </c>
      <c r="B90" t="s">
        <v>229</v>
      </c>
      <c r="C90" t="s">
        <v>230</v>
      </c>
      <c r="D90" t="s">
        <v>10</v>
      </c>
      <c r="E90" t="s">
        <v>101</v>
      </c>
      <c r="F90" t="s">
        <v>135</v>
      </c>
      <c r="G90" t="str">
        <f>HYPERLINK(_xlfn.CONCAT("https://tablet.otzar.org/",CHAR(35),"/book/150835/p/-1/t/1/fs/0/start/0/end/0/c"),"התרגשות הלב &lt;אהבת שלום&gt;")</f>
        <v>התרגשות הלב &lt;אהבת שלום&gt;</v>
      </c>
      <c r="H90" t="str">
        <f>_xlfn.CONCAT("https://tablet.otzar.org/",CHAR(35),"/book/150835/p/-1/t/1/fs/0/start/0/end/0/c")</f>
        <v>https://tablet.otzar.org/#/book/150835/p/-1/t/1/fs/0/start/0/end/0/c</v>
      </c>
    </row>
    <row r="91" spans="1:8" x14ac:dyDescent="0.25">
      <c r="A91">
        <v>192396</v>
      </c>
      <c r="B91" t="s">
        <v>231</v>
      </c>
      <c r="C91" t="s">
        <v>29</v>
      </c>
      <c r="D91" t="s">
        <v>10</v>
      </c>
      <c r="E91" t="s">
        <v>113</v>
      </c>
      <c r="F91" t="s">
        <v>232</v>
      </c>
      <c r="G91" t="str">
        <f>HYPERLINK(_xlfn.CONCAT("https://tablet.otzar.org/",CHAR(35),"/book/192396/p/-1/t/1/fs/0/start/0/end/0/c"),"ואלה שמות בני ישראל")</f>
        <v>ואלה שמות בני ישראל</v>
      </c>
      <c r="H91" t="str">
        <f>_xlfn.CONCAT("https://tablet.otzar.org/",CHAR(35),"/book/192396/p/-1/t/1/fs/0/start/0/end/0/c")</f>
        <v>https://tablet.otzar.org/#/book/192396/p/-1/t/1/fs/0/start/0/end/0/c</v>
      </c>
    </row>
    <row r="92" spans="1:8" x14ac:dyDescent="0.25">
      <c r="A92">
        <v>630026</v>
      </c>
      <c r="B92" t="s">
        <v>233</v>
      </c>
      <c r="C92" t="s">
        <v>234</v>
      </c>
      <c r="D92" t="s">
        <v>10</v>
      </c>
      <c r="E92" t="s">
        <v>19</v>
      </c>
      <c r="F92" t="s">
        <v>235</v>
      </c>
      <c r="G92" t="str">
        <f>HYPERLINK(_xlfn.CONCAT("https://tablet.otzar.org/",CHAR(35),"/book/630026/p/-1/t/1/fs/0/start/0/end/0/c"),"והשיב הכהן")</f>
        <v>והשיב הכהן</v>
      </c>
      <c r="H92" t="str">
        <f>_xlfn.CONCAT("https://tablet.otzar.org/",CHAR(35),"/book/630026/p/-1/t/1/fs/0/start/0/end/0/c")</f>
        <v>https://tablet.otzar.org/#/book/630026/p/-1/t/1/fs/0/start/0/end/0/c</v>
      </c>
    </row>
    <row r="93" spans="1:8" x14ac:dyDescent="0.25">
      <c r="A93">
        <v>150383</v>
      </c>
      <c r="B93" t="s">
        <v>236</v>
      </c>
      <c r="C93" t="s">
        <v>237</v>
      </c>
      <c r="D93" t="s">
        <v>10</v>
      </c>
      <c r="E93" t="s">
        <v>238</v>
      </c>
      <c r="F93" t="s">
        <v>27</v>
      </c>
      <c r="G93" t="str">
        <f>HYPERLINK(_xlfn.CONCAT("https://tablet.otzar.org/",CHAR(35),"/book/150383/p/-1/t/1/fs/0/start/0/end/0/c"),"וזאת ליהודה")</f>
        <v>וזאת ליהודה</v>
      </c>
      <c r="H93" t="str">
        <f>_xlfn.CONCAT("https://tablet.otzar.org/",CHAR(35),"/book/150383/p/-1/t/1/fs/0/start/0/end/0/c")</f>
        <v>https://tablet.otzar.org/#/book/150383/p/-1/t/1/fs/0/start/0/end/0/c</v>
      </c>
    </row>
    <row r="94" spans="1:8" x14ac:dyDescent="0.25">
      <c r="A94">
        <v>150364</v>
      </c>
      <c r="B94" t="s">
        <v>239</v>
      </c>
      <c r="C94" t="s">
        <v>240</v>
      </c>
      <c r="D94" t="s">
        <v>10</v>
      </c>
      <c r="E94" t="s">
        <v>241</v>
      </c>
      <c r="F94" t="s">
        <v>12</v>
      </c>
      <c r="G94" t="str">
        <f>HYPERLINK(_xlfn.CONCAT("https://tablet.otzar.org/",CHAR(35),"/book/150364/p/-1/t/1/fs/0/start/0/end/0/c"),"ויבחר משה")</f>
        <v>ויבחר משה</v>
      </c>
      <c r="H94" t="str">
        <f>_xlfn.CONCAT("https://tablet.otzar.org/",CHAR(35),"/book/150364/p/-1/t/1/fs/0/start/0/end/0/c")</f>
        <v>https://tablet.otzar.org/#/book/150364/p/-1/t/1/fs/0/start/0/end/0/c</v>
      </c>
    </row>
    <row r="95" spans="1:8" x14ac:dyDescent="0.25">
      <c r="A95">
        <v>150325</v>
      </c>
      <c r="B95" t="s">
        <v>242</v>
      </c>
      <c r="C95" t="s">
        <v>149</v>
      </c>
      <c r="D95" t="s">
        <v>10</v>
      </c>
      <c r="E95" t="s">
        <v>150</v>
      </c>
      <c r="F95" t="s">
        <v>180</v>
      </c>
      <c r="G95" t="str">
        <f>HYPERLINK(_xlfn.CONCAT("https://tablet.otzar.org/",CHAR(35),"/book/150325/p/-1/t/1/fs/0/start/0/end/0/c"),"ויעש ברוך")</f>
        <v>ויעש ברוך</v>
      </c>
      <c r="H95" t="str">
        <f>_xlfn.CONCAT("https://tablet.otzar.org/",CHAR(35),"/book/150325/p/-1/t/1/fs/0/start/0/end/0/c")</f>
        <v>https://tablet.otzar.org/#/book/150325/p/-1/t/1/fs/0/start/0/end/0/c</v>
      </c>
    </row>
    <row r="96" spans="1:8" x14ac:dyDescent="0.25">
      <c r="A96">
        <v>629097</v>
      </c>
      <c r="B96" t="s">
        <v>243</v>
      </c>
      <c r="C96" t="s">
        <v>244</v>
      </c>
      <c r="D96" t="s">
        <v>10</v>
      </c>
      <c r="E96" t="s">
        <v>47</v>
      </c>
      <c r="F96" t="s">
        <v>245</v>
      </c>
      <c r="G96" t="str">
        <f>HYPERLINK(_xlfn.CONCAT("https://tablet.otzar.org/",CHAR(35),"/book/629097/p/-1/t/1/fs/0/start/0/end/0/c"),"וישמע קולי")</f>
        <v>וישמע קולי</v>
      </c>
      <c r="H96" t="str">
        <f>_xlfn.CONCAT("https://tablet.otzar.org/",CHAR(35),"/book/629097/p/-1/t/1/fs/0/start/0/end/0/c")</f>
        <v>https://tablet.otzar.org/#/book/629097/p/-1/t/1/fs/0/start/0/end/0/c</v>
      </c>
    </row>
    <row r="97" spans="1:8" x14ac:dyDescent="0.25">
      <c r="A97">
        <v>150345</v>
      </c>
      <c r="B97" t="s">
        <v>246</v>
      </c>
      <c r="C97" t="s">
        <v>247</v>
      </c>
      <c r="D97" t="s">
        <v>10</v>
      </c>
      <c r="E97" t="s">
        <v>95</v>
      </c>
      <c r="F97" t="s">
        <v>23</v>
      </c>
      <c r="G97" t="str">
        <f>HYPERLINK(_xlfn.CONCAT("https://tablet.otzar.org/",CHAR(35),"/book/150345/p/-1/t/1/fs/0/start/0/end/0/c"),"וערך הכהן")</f>
        <v>וערך הכהן</v>
      </c>
      <c r="H97" t="str">
        <f>_xlfn.CONCAT("https://tablet.otzar.org/",CHAR(35),"/book/150345/p/-1/t/1/fs/0/start/0/end/0/c")</f>
        <v>https://tablet.otzar.org/#/book/150345/p/-1/t/1/fs/0/start/0/end/0/c</v>
      </c>
    </row>
    <row r="98" spans="1:8" x14ac:dyDescent="0.25">
      <c r="A98">
        <v>630027</v>
      </c>
      <c r="B98" t="s">
        <v>246</v>
      </c>
      <c r="C98" t="s">
        <v>234</v>
      </c>
      <c r="D98" t="s">
        <v>10</v>
      </c>
      <c r="E98" t="s">
        <v>19</v>
      </c>
      <c r="F98" t="s">
        <v>232</v>
      </c>
      <c r="G98" t="str">
        <f>HYPERLINK(_xlfn.CONCAT("https://tablet.otzar.org/",CHAR(35),"/book/630027/p/-1/t/1/fs/0/start/0/end/0/c"),"וערך הכהן")</f>
        <v>וערך הכהן</v>
      </c>
      <c r="H98" t="str">
        <f>_xlfn.CONCAT("https://tablet.otzar.org/",CHAR(35),"/book/630027/p/-1/t/1/fs/0/start/0/end/0/c")</f>
        <v>https://tablet.otzar.org/#/book/630027/p/-1/t/1/fs/0/start/0/end/0/c</v>
      </c>
    </row>
    <row r="99" spans="1:8" x14ac:dyDescent="0.25">
      <c r="A99">
        <v>61467</v>
      </c>
      <c r="B99" t="s">
        <v>248</v>
      </c>
      <c r="C99" t="s">
        <v>29</v>
      </c>
      <c r="D99" t="s">
        <v>10</v>
      </c>
      <c r="E99" t="s">
        <v>22</v>
      </c>
      <c r="F99" t="s">
        <v>23</v>
      </c>
      <c r="G99" t="str">
        <f>HYPERLINK(_xlfn.CONCAT("https://tablet.otzar.org/",CHAR(35),"/book/61467/p/-1/t/1/fs/0/start/0/end/0/c"),"ושבתה הארץ")</f>
        <v>ושבתה הארץ</v>
      </c>
      <c r="H99" t="str">
        <f>_xlfn.CONCAT("https://tablet.otzar.org/",CHAR(35),"/book/61467/p/-1/t/1/fs/0/start/0/end/0/c")</f>
        <v>https://tablet.otzar.org/#/book/61467/p/-1/t/1/fs/0/start/0/end/0/c</v>
      </c>
    </row>
    <row r="100" spans="1:8" x14ac:dyDescent="0.25">
      <c r="A100">
        <v>150783</v>
      </c>
      <c r="B100" t="s">
        <v>249</v>
      </c>
      <c r="C100" t="s">
        <v>250</v>
      </c>
      <c r="D100" t="s">
        <v>10</v>
      </c>
      <c r="E100" t="s">
        <v>150</v>
      </c>
      <c r="F100" t="s">
        <v>251</v>
      </c>
      <c r="G100" t="str">
        <f>HYPERLINK(_xlfn.CONCAT("https://tablet.otzar.org/",CHAR(35),"/exKotar/150783"),"זבחי צדק &lt;אהבת שלום&gt;  - 3 כרכים")</f>
        <v>זבחי צדק &lt;אהבת שלום&gt;  - 3 כרכים</v>
      </c>
      <c r="H100" t="str">
        <f>_xlfn.CONCAT("https://tablet.otzar.org/",CHAR(35),"/exKotar/150783")</f>
        <v>https://tablet.otzar.org/#/exKotar/150783</v>
      </c>
    </row>
    <row r="101" spans="1:8" x14ac:dyDescent="0.25">
      <c r="A101">
        <v>150334</v>
      </c>
      <c r="B101" t="s">
        <v>252</v>
      </c>
      <c r="C101" t="s">
        <v>92</v>
      </c>
      <c r="D101" t="s">
        <v>10</v>
      </c>
      <c r="E101" t="s">
        <v>44</v>
      </c>
      <c r="F101" t="s">
        <v>253</v>
      </c>
      <c r="G101" t="str">
        <f>HYPERLINK(_xlfn.CONCAT("https://tablet.otzar.org/",CHAR(35),"/book/150334/p/-1/t/1/fs/0/start/0/end/0/c"),"זהב שבא")</f>
        <v>זהב שבא</v>
      </c>
      <c r="H101" t="str">
        <f>_xlfn.CONCAT("https://tablet.otzar.org/",CHAR(35),"/book/150334/p/-1/t/1/fs/0/start/0/end/0/c")</f>
        <v>https://tablet.otzar.org/#/book/150334/p/-1/t/1/fs/0/start/0/end/0/c</v>
      </c>
    </row>
    <row r="102" spans="1:8" x14ac:dyDescent="0.25">
      <c r="A102">
        <v>151236</v>
      </c>
      <c r="B102" t="s">
        <v>254</v>
      </c>
      <c r="C102" t="s">
        <v>255</v>
      </c>
      <c r="D102" t="s">
        <v>10</v>
      </c>
      <c r="E102" t="s">
        <v>134</v>
      </c>
      <c r="F102" t="s">
        <v>135</v>
      </c>
      <c r="G102" t="str">
        <f>HYPERLINK(_xlfn.CONCAT("https://tablet.otzar.org/",CHAR(35),"/book/151236/p/-1/t/1/fs/0/start/0/end/0/c"),"זך ונקי")</f>
        <v>זך ונקי</v>
      </c>
      <c r="H102" t="str">
        <f>_xlfn.CONCAT("https://tablet.otzar.org/",CHAR(35),"/book/151236/p/-1/t/1/fs/0/start/0/end/0/c")</f>
        <v>https://tablet.otzar.org/#/book/151236/p/-1/t/1/fs/0/start/0/end/0/c</v>
      </c>
    </row>
    <row r="103" spans="1:8" x14ac:dyDescent="0.25">
      <c r="A103">
        <v>150802</v>
      </c>
      <c r="B103" t="s">
        <v>256</v>
      </c>
      <c r="C103" t="s">
        <v>227</v>
      </c>
      <c r="D103" t="s">
        <v>10</v>
      </c>
      <c r="E103" t="s">
        <v>228</v>
      </c>
      <c r="F103" t="s">
        <v>12</v>
      </c>
      <c r="G103" t="str">
        <f>HYPERLINK(_xlfn.CONCAT("https://tablet.otzar.org/",CHAR(35),"/book/150802/p/-1/t/1/fs/0/start/0/end/0/c"),"זכור לדוד, אחרית השנים")</f>
        <v>זכור לדוד, אחרית השנים</v>
      </c>
      <c r="H103" t="str">
        <f>_xlfn.CONCAT("https://tablet.otzar.org/",CHAR(35),"/book/150802/p/-1/t/1/fs/0/start/0/end/0/c")</f>
        <v>https://tablet.otzar.org/#/book/150802/p/-1/t/1/fs/0/start/0/end/0/c</v>
      </c>
    </row>
    <row r="104" spans="1:8" x14ac:dyDescent="0.25">
      <c r="A104">
        <v>150219</v>
      </c>
      <c r="B104" t="s">
        <v>257</v>
      </c>
      <c r="C104" t="s">
        <v>258</v>
      </c>
      <c r="D104" t="s">
        <v>10</v>
      </c>
      <c r="E104" t="s">
        <v>22</v>
      </c>
      <c r="F104" t="s">
        <v>259</v>
      </c>
      <c r="G104" t="str">
        <f>HYPERLINK(_xlfn.CONCAT("https://tablet.otzar.org/",CHAR(35),"/book/150219/p/-1/t/1/fs/0/start/0/end/0/c"),"זכר דוד &lt;דרושים וחידושים על התורה מכת""""י&gt;")</f>
        <v>זכר דוד &lt;דרושים וחידושים על התורה מכת""י&gt;</v>
      </c>
      <c r="H104" t="str">
        <f>_xlfn.CONCAT("https://tablet.otzar.org/",CHAR(35),"/book/150219/p/-1/t/1/fs/0/start/0/end/0/c")</f>
        <v>https://tablet.otzar.org/#/book/150219/p/-1/t/1/fs/0/start/0/end/0/c</v>
      </c>
    </row>
    <row r="105" spans="1:8" x14ac:dyDescent="0.25">
      <c r="A105">
        <v>150215</v>
      </c>
      <c r="B105" t="s">
        <v>260</v>
      </c>
      <c r="C105" t="s">
        <v>258</v>
      </c>
      <c r="D105" t="s">
        <v>10</v>
      </c>
      <c r="E105" t="s">
        <v>22</v>
      </c>
      <c r="F105" t="s">
        <v>261</v>
      </c>
      <c r="G105" t="str">
        <f>HYPERLINK(_xlfn.CONCAT("https://tablet.otzar.org/",CHAR(35),"/exKotar/150215"),"זכר דוד &lt;אהבת שלום&gt;  - 5 כרכים")</f>
        <v>זכר דוד &lt;אהבת שלום&gt;  - 5 כרכים</v>
      </c>
      <c r="H105" t="str">
        <f>_xlfn.CONCAT("https://tablet.otzar.org/",CHAR(35),"/exKotar/150215")</f>
        <v>https://tablet.otzar.org/#/exKotar/150215</v>
      </c>
    </row>
    <row r="106" spans="1:8" x14ac:dyDescent="0.25">
      <c r="A106">
        <v>150797</v>
      </c>
      <c r="B106" t="s">
        <v>262</v>
      </c>
      <c r="C106" t="s">
        <v>227</v>
      </c>
      <c r="D106" t="s">
        <v>10</v>
      </c>
      <c r="E106" t="s">
        <v>50</v>
      </c>
      <c r="F106" t="s">
        <v>232</v>
      </c>
      <c r="G106" t="str">
        <f>HYPERLINK(_xlfn.CONCAT("https://tablet.otzar.org/",CHAR(35),"/book/150797/p/-1/t/1/fs/0/start/0/end/0/c"),"זכר למקדש, זכר דבר, אלה יעמדו, עריכת נר")</f>
        <v>זכר למקדש, זכר דבר, אלה יעמדו, עריכת נר</v>
      </c>
      <c r="H106" t="str">
        <f>_xlfn.CONCAT("https://tablet.otzar.org/",CHAR(35),"/book/150797/p/-1/t/1/fs/0/start/0/end/0/c")</f>
        <v>https://tablet.otzar.org/#/book/150797/p/-1/t/1/fs/0/start/0/end/0/c</v>
      </c>
    </row>
    <row r="107" spans="1:8" x14ac:dyDescent="0.25">
      <c r="A107">
        <v>654812</v>
      </c>
      <c r="B107" t="s">
        <v>263</v>
      </c>
      <c r="C107" t="s">
        <v>264</v>
      </c>
      <c r="D107" t="s">
        <v>10</v>
      </c>
      <c r="E107" t="s">
        <v>15</v>
      </c>
      <c r="G107" t="str">
        <f>HYPERLINK(_xlfn.CONCAT("https://tablet.otzar.org/",CHAR(35),"/exKotar/654812"),"זרע אמת &lt;מהדורת אהבת שלום&gt; - 3 כרכים")</f>
        <v>זרע אמת &lt;מהדורת אהבת שלום&gt; - 3 כרכים</v>
      </c>
      <c r="H107" t="str">
        <f>_xlfn.CONCAT("https://tablet.otzar.org/",CHAR(35),"/exKotar/654812")</f>
        <v>https://tablet.otzar.org/#/exKotar/654812</v>
      </c>
    </row>
    <row r="108" spans="1:8" x14ac:dyDescent="0.25">
      <c r="A108">
        <v>150271</v>
      </c>
      <c r="B108" t="s">
        <v>265</v>
      </c>
      <c r="C108" t="s">
        <v>138</v>
      </c>
      <c r="D108" t="s">
        <v>10</v>
      </c>
      <c r="E108" t="s">
        <v>50</v>
      </c>
      <c r="F108" t="s">
        <v>27</v>
      </c>
      <c r="G108" t="str">
        <f>HYPERLINK(_xlfn.CONCAT("https://tablet.otzar.org/",CHAR(35),"/book/150271/p/-1/t/1/fs/0/start/0/end/0/c"),"חולת אהבה &lt;אהבת שלום&gt;")</f>
        <v>חולת אהבה &lt;אהבת שלום&gt;</v>
      </c>
      <c r="H108" t="str">
        <f>_xlfn.CONCAT("https://tablet.otzar.org/",CHAR(35),"/book/150271/p/-1/t/1/fs/0/start/0/end/0/c")</f>
        <v>https://tablet.otzar.org/#/book/150271/p/-1/t/1/fs/0/start/0/end/0/c</v>
      </c>
    </row>
    <row r="109" spans="1:8" x14ac:dyDescent="0.25">
      <c r="A109">
        <v>180580</v>
      </c>
      <c r="B109" t="s">
        <v>266</v>
      </c>
      <c r="C109" t="s">
        <v>267</v>
      </c>
      <c r="D109" t="s">
        <v>10</v>
      </c>
      <c r="E109" t="s">
        <v>130</v>
      </c>
      <c r="F109" t="s">
        <v>27</v>
      </c>
      <c r="G109" t="str">
        <f>HYPERLINK(_xlfn.CONCAT("https://tablet.otzar.org/",CHAR(35),"/exKotar/180580"),"חומש משמרת הקדש - 5 כרכים")</f>
        <v>חומש משמרת הקדש - 5 כרכים</v>
      </c>
      <c r="H109" t="str">
        <f>_xlfn.CONCAT("https://tablet.otzar.org/",CHAR(35),"/exKotar/180580")</f>
        <v>https://tablet.otzar.org/#/exKotar/180580</v>
      </c>
    </row>
    <row r="110" spans="1:8" x14ac:dyDescent="0.25">
      <c r="A110">
        <v>150229</v>
      </c>
      <c r="B110" t="s">
        <v>268</v>
      </c>
      <c r="C110" t="s">
        <v>269</v>
      </c>
      <c r="D110" t="s">
        <v>10</v>
      </c>
      <c r="E110" t="s">
        <v>139</v>
      </c>
      <c r="F110" t="s">
        <v>90</v>
      </c>
      <c r="G110" t="str">
        <f>HYPERLINK(_xlfn.CONCAT("https://tablet.otzar.org/",CHAR(35),"/exKotar/150229"),"חידושי הרא""""ה &lt;מהדורת אהבת שלום&gt; - 3 כרכים")</f>
        <v>חידושי הרא""ה &lt;מהדורת אהבת שלום&gt; - 3 כרכים</v>
      </c>
      <c r="H110" t="str">
        <f>_xlfn.CONCAT("https://tablet.otzar.org/",CHAR(35),"/exKotar/150229")</f>
        <v>https://tablet.otzar.org/#/exKotar/150229</v>
      </c>
    </row>
    <row r="111" spans="1:8" x14ac:dyDescent="0.25">
      <c r="A111">
        <v>150246</v>
      </c>
      <c r="B111" t="s">
        <v>270</v>
      </c>
      <c r="C111" t="s">
        <v>271</v>
      </c>
      <c r="D111" t="s">
        <v>10</v>
      </c>
      <c r="E111" t="s">
        <v>41</v>
      </c>
      <c r="F111" t="s">
        <v>127</v>
      </c>
      <c r="G111" t="str">
        <f>HYPERLINK(_xlfn.CONCAT("https://tablet.otzar.org/",CHAR(35),"/book/150246/p/-1/t/1/fs/0/start/0/end/0/c"),"חידושי מהר""""א אמיגו")</f>
        <v>חידושי מהר""א אמיגו</v>
      </c>
      <c r="H111" t="str">
        <f>_xlfn.CONCAT("https://tablet.otzar.org/",CHAR(35),"/book/150246/p/-1/t/1/fs/0/start/0/end/0/c")</f>
        <v>https://tablet.otzar.org/#/book/150246/p/-1/t/1/fs/0/start/0/end/0/c</v>
      </c>
    </row>
    <row r="112" spans="1:8" x14ac:dyDescent="0.25">
      <c r="A112">
        <v>150235</v>
      </c>
      <c r="B112" t="s">
        <v>272</v>
      </c>
      <c r="C112" t="s">
        <v>273</v>
      </c>
      <c r="D112" t="s">
        <v>10</v>
      </c>
      <c r="E112" t="s">
        <v>41</v>
      </c>
      <c r="F112" t="s">
        <v>90</v>
      </c>
      <c r="G112" t="str">
        <f>HYPERLINK(_xlfn.CONCAT("https://tablet.otzar.org/",CHAR(35),"/book/150235/p/-1/t/1/fs/0/start/0/end/0/c"),"חידושי מהר""""א חזן")</f>
        <v>חידושי מהר""א חזן</v>
      </c>
      <c r="H112" t="str">
        <f>_xlfn.CONCAT("https://tablet.otzar.org/",CHAR(35),"/book/150235/p/-1/t/1/fs/0/start/0/end/0/c")</f>
        <v>https://tablet.otzar.org/#/book/150235/p/-1/t/1/fs/0/start/0/end/0/c</v>
      </c>
    </row>
    <row r="113" spans="1:8" x14ac:dyDescent="0.25">
      <c r="A113">
        <v>150238</v>
      </c>
      <c r="B113" t="s">
        <v>274</v>
      </c>
      <c r="C113" t="s">
        <v>275</v>
      </c>
      <c r="D113" t="s">
        <v>10</v>
      </c>
      <c r="E113" t="s">
        <v>30</v>
      </c>
      <c r="F113" t="s">
        <v>90</v>
      </c>
      <c r="G113" t="str">
        <f>HYPERLINK(_xlfn.CONCAT("https://tablet.otzar.org/",CHAR(35),"/book/150238/p/-1/t/1/fs/0/start/0/end/0/c"),"חידושי מהריט""""ץ - פרק איזהו נשך")</f>
        <v>חידושי מהריט""ץ - פרק איזהו נשך</v>
      </c>
      <c r="H113" t="str">
        <f>_xlfn.CONCAT("https://tablet.otzar.org/",CHAR(35),"/book/150238/p/-1/t/1/fs/0/start/0/end/0/c")</f>
        <v>https://tablet.otzar.org/#/book/150238/p/-1/t/1/fs/0/start/0/end/0/c</v>
      </c>
    </row>
    <row r="114" spans="1:8" x14ac:dyDescent="0.25">
      <c r="A114">
        <v>150318</v>
      </c>
      <c r="B114" t="s">
        <v>276</v>
      </c>
      <c r="C114" t="s">
        <v>277</v>
      </c>
      <c r="D114" t="s">
        <v>10</v>
      </c>
      <c r="E114" t="s">
        <v>139</v>
      </c>
      <c r="F114" t="s">
        <v>278</v>
      </c>
      <c r="G114" t="str">
        <f>HYPERLINK(_xlfn.CONCAT("https://tablet.otzar.org/",CHAR(35),"/book/150318/p/-1/t/1/fs/0/start/0/end/0/c"),"חידושי רא""""ם")</f>
        <v>חידושי רא""ם</v>
      </c>
      <c r="H114" t="str">
        <f>_xlfn.CONCAT("https://tablet.otzar.org/",CHAR(35),"/book/150318/p/-1/t/1/fs/0/start/0/end/0/c")</f>
        <v>https://tablet.otzar.org/#/book/150318/p/-1/t/1/fs/0/start/0/end/0/c</v>
      </c>
    </row>
    <row r="115" spans="1:8" x14ac:dyDescent="0.25">
      <c r="A115">
        <v>150239</v>
      </c>
      <c r="B115" t="s">
        <v>279</v>
      </c>
      <c r="C115" t="s">
        <v>280</v>
      </c>
      <c r="D115" t="s">
        <v>10</v>
      </c>
      <c r="E115" t="s">
        <v>26</v>
      </c>
      <c r="F115" t="s">
        <v>90</v>
      </c>
      <c r="G115" t="str">
        <f>HYPERLINK(_xlfn.CONCAT("https://tablet.otzar.org/",CHAR(35),"/book/150239/p/-1/t/1/fs/0/start/0/end/0/c"),"חידושי רבי ידידיה טיאה ווייל - נדה")</f>
        <v>חידושי רבי ידידיה טיאה ווייל - נדה</v>
      </c>
      <c r="H115" t="str">
        <f>_xlfn.CONCAT("https://tablet.otzar.org/",CHAR(35),"/book/150239/p/-1/t/1/fs/0/start/0/end/0/c")</f>
        <v>https://tablet.otzar.org/#/book/150239/p/-1/t/1/fs/0/start/0/end/0/c</v>
      </c>
    </row>
    <row r="116" spans="1:8" x14ac:dyDescent="0.25">
      <c r="A116">
        <v>150264</v>
      </c>
      <c r="B116" t="s">
        <v>281</v>
      </c>
      <c r="C116" t="s">
        <v>179</v>
      </c>
      <c r="D116" t="s">
        <v>10</v>
      </c>
      <c r="E116" t="s">
        <v>150</v>
      </c>
      <c r="F116" t="s">
        <v>90</v>
      </c>
      <c r="G116" t="str">
        <f>HYPERLINK(_xlfn.CONCAT("https://tablet.otzar.org/",CHAR(35),"/exKotar/150264"),"חידושי רבינו משה מאימראן - 7 כרכים")</f>
        <v>חידושי רבינו משה מאימראן - 7 כרכים</v>
      </c>
      <c r="H116" t="str">
        <f>_xlfn.CONCAT("https://tablet.otzar.org/",CHAR(35),"/exKotar/150264")</f>
        <v>https://tablet.otzar.org/#/exKotar/150264</v>
      </c>
    </row>
    <row r="117" spans="1:8" x14ac:dyDescent="0.25">
      <c r="A117">
        <v>150365</v>
      </c>
      <c r="B117" t="s">
        <v>282</v>
      </c>
      <c r="C117" t="s">
        <v>283</v>
      </c>
      <c r="D117" t="s">
        <v>10</v>
      </c>
      <c r="E117" t="s">
        <v>150</v>
      </c>
      <c r="G117" t="str">
        <f>HYPERLINK(_xlfn.CONCAT("https://tablet.otzar.org/",CHAR(35),"/book/150365/p/-1/t/1/fs/0/start/0/end/0/c"),"חכמה ודעת")</f>
        <v>חכמה ודעת</v>
      </c>
      <c r="H117" t="str">
        <f>_xlfn.CONCAT("https://tablet.otzar.org/",CHAR(35),"/book/150365/p/-1/t/1/fs/0/start/0/end/0/c")</f>
        <v>https://tablet.otzar.org/#/book/150365/p/-1/t/1/fs/0/start/0/end/0/c</v>
      </c>
    </row>
    <row r="118" spans="1:8" x14ac:dyDescent="0.25">
      <c r="A118">
        <v>146357</v>
      </c>
      <c r="B118" t="s">
        <v>284</v>
      </c>
      <c r="C118" t="s">
        <v>285</v>
      </c>
      <c r="D118" t="s">
        <v>10</v>
      </c>
      <c r="E118" t="s">
        <v>101</v>
      </c>
      <c r="F118" t="s">
        <v>213</v>
      </c>
      <c r="G118" t="str">
        <f>HYPERLINK(_xlfn.CONCAT("https://tablet.otzar.org/",CHAR(35),"/exKotar/146357"),"חמדת דניאל - 2 כרכים")</f>
        <v>חמדת דניאל - 2 כרכים</v>
      </c>
      <c r="H118" t="str">
        <f>_xlfn.CONCAT("https://tablet.otzar.org/",CHAR(35),"/exKotar/146357")</f>
        <v>https://tablet.otzar.org/#/exKotar/146357</v>
      </c>
    </row>
    <row r="119" spans="1:8" x14ac:dyDescent="0.25">
      <c r="A119">
        <v>150331</v>
      </c>
      <c r="B119" t="s">
        <v>286</v>
      </c>
      <c r="C119" t="s">
        <v>287</v>
      </c>
      <c r="D119" t="s">
        <v>10</v>
      </c>
      <c r="E119" t="s">
        <v>41</v>
      </c>
      <c r="F119" t="s">
        <v>23</v>
      </c>
      <c r="G119" t="str">
        <f>HYPERLINK(_xlfn.CONCAT("https://tablet.otzar.org/",CHAR(35),"/book/150331/p/-1/t/1/fs/0/start/0/end/0/c"),"טוב שם")</f>
        <v>טוב שם</v>
      </c>
      <c r="H119" t="str">
        <f>_xlfn.CONCAT("https://tablet.otzar.org/",CHAR(35),"/book/150331/p/-1/t/1/fs/0/start/0/end/0/c")</f>
        <v>https://tablet.otzar.org/#/book/150331/p/-1/t/1/fs/0/start/0/end/0/c</v>
      </c>
    </row>
    <row r="120" spans="1:8" x14ac:dyDescent="0.25">
      <c r="A120">
        <v>150256</v>
      </c>
      <c r="B120" t="s">
        <v>288</v>
      </c>
      <c r="C120" t="s">
        <v>289</v>
      </c>
      <c r="D120" t="s">
        <v>10</v>
      </c>
      <c r="E120" t="s">
        <v>107</v>
      </c>
      <c r="F120" t="s">
        <v>90</v>
      </c>
      <c r="G120" t="str">
        <f>HYPERLINK(_xlfn.CONCAT("https://tablet.otzar.org/",CHAR(35),"/book/150256/p/-1/t/1/fs/0/start/0/end/0/c"),"טיב קידושין")</f>
        <v>טיב קידושין</v>
      </c>
      <c r="H120" t="str">
        <f>_xlfn.CONCAT("https://tablet.otzar.org/",CHAR(35),"/book/150256/p/-1/t/1/fs/0/start/0/end/0/c")</f>
        <v>https://tablet.otzar.org/#/book/150256/p/-1/t/1/fs/0/start/0/end/0/c</v>
      </c>
    </row>
    <row r="121" spans="1:8" x14ac:dyDescent="0.25">
      <c r="A121">
        <v>654816</v>
      </c>
      <c r="B121" t="s">
        <v>290</v>
      </c>
      <c r="C121" t="s">
        <v>54</v>
      </c>
      <c r="D121" t="s">
        <v>10</v>
      </c>
      <c r="E121" t="s">
        <v>15</v>
      </c>
      <c r="G121" t="str">
        <f>HYPERLINK(_xlfn.CONCAT("https://tablet.otzar.org/",CHAR(35),"/book/654816/p/-1/t/1/fs/0/start/0/end/0/c"),"טל אורות")</f>
        <v>טל אורות</v>
      </c>
      <c r="H121" t="str">
        <f>_xlfn.CONCAT("https://tablet.otzar.org/",CHAR(35),"/book/654816/p/-1/t/1/fs/0/start/0/end/0/c")</f>
        <v>https://tablet.otzar.org/#/book/654816/p/-1/t/1/fs/0/start/0/end/0/c</v>
      </c>
    </row>
    <row r="122" spans="1:8" x14ac:dyDescent="0.25">
      <c r="A122">
        <v>620833</v>
      </c>
      <c r="B122" t="s">
        <v>291</v>
      </c>
      <c r="C122" t="s">
        <v>292</v>
      </c>
      <c r="D122" t="s">
        <v>10</v>
      </c>
      <c r="E122" t="s">
        <v>11</v>
      </c>
      <c r="F122" t="s">
        <v>293</v>
      </c>
      <c r="G122" t="str">
        <f>HYPERLINK(_xlfn.CONCAT("https://tablet.otzar.org/",CHAR(35),"/book/620833/p/-1/t/1/fs/0/start/0/end/0/c"),"יבין שמועה &lt;מהדורת אהבת שלום&gt;")</f>
        <v>יבין שמועה &lt;מהדורת אהבת שלום&gt;</v>
      </c>
      <c r="H122" t="str">
        <f>_xlfn.CONCAT("https://tablet.otzar.org/",CHAR(35),"/book/620833/p/-1/t/1/fs/0/start/0/end/0/c")</f>
        <v>https://tablet.otzar.org/#/book/620833/p/-1/t/1/fs/0/start/0/end/0/c</v>
      </c>
    </row>
    <row r="123" spans="1:8" x14ac:dyDescent="0.25">
      <c r="A123">
        <v>150385</v>
      </c>
      <c r="B123" t="s">
        <v>294</v>
      </c>
      <c r="C123" t="s">
        <v>184</v>
      </c>
      <c r="D123" t="s">
        <v>10</v>
      </c>
      <c r="E123" t="s">
        <v>44</v>
      </c>
      <c r="F123" t="s">
        <v>295</v>
      </c>
      <c r="G123" t="str">
        <f>HYPERLINK(_xlfn.CONCAT("https://tablet.otzar.org/",CHAR(35),"/book/150385/p/-1/t/1/fs/0/start/0/end/0/c"),"יד אליהו")</f>
        <v>יד אליהו</v>
      </c>
      <c r="H123" t="str">
        <f>_xlfn.CONCAT("https://tablet.otzar.org/",CHAR(35),"/book/150385/p/-1/t/1/fs/0/start/0/end/0/c")</f>
        <v>https://tablet.otzar.org/#/book/150385/p/-1/t/1/fs/0/start/0/end/0/c</v>
      </c>
    </row>
    <row r="124" spans="1:8" x14ac:dyDescent="0.25">
      <c r="A124">
        <v>150347</v>
      </c>
      <c r="B124" t="s">
        <v>296</v>
      </c>
      <c r="C124" t="s">
        <v>297</v>
      </c>
      <c r="D124" t="s">
        <v>10</v>
      </c>
      <c r="E124" t="s">
        <v>55</v>
      </c>
      <c r="F124" t="s">
        <v>23</v>
      </c>
      <c r="G124" t="str">
        <f>HYPERLINK(_xlfn.CONCAT("https://tablet.otzar.org/",CHAR(35),"/book/150347/p/-1/t/1/fs/0/start/0/end/0/c"),"יד יוסף")</f>
        <v>יד יוסף</v>
      </c>
      <c r="H124" t="str">
        <f>_xlfn.CONCAT("https://tablet.otzar.org/",CHAR(35),"/book/150347/p/-1/t/1/fs/0/start/0/end/0/c")</f>
        <v>https://tablet.otzar.org/#/book/150347/p/-1/t/1/fs/0/start/0/end/0/c</v>
      </c>
    </row>
    <row r="125" spans="1:8" x14ac:dyDescent="0.25">
      <c r="A125">
        <v>150824</v>
      </c>
      <c r="B125" t="s">
        <v>298</v>
      </c>
      <c r="C125" t="s">
        <v>299</v>
      </c>
      <c r="D125" t="s">
        <v>10</v>
      </c>
      <c r="E125" t="s">
        <v>241</v>
      </c>
      <c r="F125" t="s">
        <v>90</v>
      </c>
      <c r="G125" t="str">
        <f>HYPERLINK(_xlfn.CONCAT("https://tablet.otzar.org/",CHAR(35),"/book/150824/p/-1/t/1/fs/0/start/0/end/0/c"),"יוד זעירא")</f>
        <v>יוד זעירא</v>
      </c>
      <c r="H125" t="str">
        <f>_xlfn.CONCAT("https://tablet.otzar.org/",CHAR(35),"/book/150824/p/-1/t/1/fs/0/start/0/end/0/c")</f>
        <v>https://tablet.otzar.org/#/book/150824/p/-1/t/1/fs/0/start/0/end/0/c</v>
      </c>
    </row>
    <row r="126" spans="1:8" x14ac:dyDescent="0.25">
      <c r="A126">
        <v>150497</v>
      </c>
      <c r="B126" t="s">
        <v>300</v>
      </c>
      <c r="C126" t="s">
        <v>301</v>
      </c>
      <c r="D126" t="s">
        <v>10</v>
      </c>
      <c r="E126" t="s">
        <v>207</v>
      </c>
      <c r="F126" t="s">
        <v>12</v>
      </c>
      <c r="G126" t="str">
        <f>HYPERLINK(_xlfn.CONCAT("https://tablet.otzar.org/",CHAR(35),"/book/150497/p/-1/t/1/fs/0/start/0/end/0/c"),"יחי ראובן - אות יעקב")</f>
        <v>יחי ראובן - אות יעקב</v>
      </c>
      <c r="H126" t="str">
        <f>_xlfn.CONCAT("https://tablet.otzar.org/",CHAR(35),"/book/150497/p/-1/t/1/fs/0/start/0/end/0/c")</f>
        <v>https://tablet.otzar.org/#/book/150497/p/-1/t/1/fs/0/start/0/end/0/c</v>
      </c>
    </row>
    <row r="127" spans="1:8" x14ac:dyDescent="0.25">
      <c r="A127">
        <v>150756</v>
      </c>
      <c r="B127" t="s">
        <v>302</v>
      </c>
      <c r="C127" t="s">
        <v>303</v>
      </c>
      <c r="D127" t="s">
        <v>10</v>
      </c>
      <c r="E127" t="s">
        <v>22</v>
      </c>
      <c r="F127" t="s">
        <v>12</v>
      </c>
      <c r="G127" t="str">
        <f>HYPERLINK(_xlfn.CONCAT("https://tablet.otzar.org/",CHAR(35),"/book/150756/p/-1/t/1/fs/0/start/0/end/0/c"),"ילקוט חידושי ופניני בעל סדר הדורות")</f>
        <v>ילקוט חידושי ופניני בעל סדר הדורות</v>
      </c>
      <c r="H127" t="str">
        <f>_xlfn.CONCAT("https://tablet.otzar.org/",CHAR(35),"/book/150756/p/-1/t/1/fs/0/start/0/end/0/c")</f>
        <v>https://tablet.otzar.org/#/book/150756/p/-1/t/1/fs/0/start/0/end/0/c</v>
      </c>
    </row>
    <row r="128" spans="1:8" x14ac:dyDescent="0.25">
      <c r="A128">
        <v>150346</v>
      </c>
      <c r="B128" t="s">
        <v>304</v>
      </c>
      <c r="C128" t="s">
        <v>142</v>
      </c>
      <c r="D128" t="s">
        <v>10</v>
      </c>
      <c r="E128" t="s">
        <v>241</v>
      </c>
      <c r="F128" t="s">
        <v>42</v>
      </c>
      <c r="G128" t="str">
        <f>HYPERLINK(_xlfn.CONCAT("https://tablet.otzar.org/",CHAR(35),"/book/150346/p/-1/t/1/fs/0/start/0/end/0/c"),"ילקוט פטר חמור")</f>
        <v>ילקוט פטר חמור</v>
      </c>
      <c r="H128" t="str">
        <f>_xlfn.CONCAT("https://tablet.otzar.org/",CHAR(35),"/book/150346/p/-1/t/1/fs/0/start/0/end/0/c")</f>
        <v>https://tablet.otzar.org/#/book/150346/p/-1/t/1/fs/0/start/0/end/0/c</v>
      </c>
    </row>
    <row r="129" spans="1:8" x14ac:dyDescent="0.25">
      <c r="A129">
        <v>150828</v>
      </c>
      <c r="B129" t="s">
        <v>305</v>
      </c>
      <c r="C129" t="s">
        <v>92</v>
      </c>
      <c r="D129" t="s">
        <v>10</v>
      </c>
      <c r="E129" t="s">
        <v>306</v>
      </c>
      <c r="F129" t="s">
        <v>135</v>
      </c>
      <c r="G129" t="str">
        <f>HYPERLINK(_xlfn.CONCAT("https://tablet.otzar.org/",CHAR(35),"/exKotar/150828"),"יסודי התורה - 2 כרכים")</f>
        <v>יסודי התורה - 2 כרכים</v>
      </c>
      <c r="H129" t="str">
        <f>_xlfn.CONCAT("https://tablet.otzar.org/",CHAR(35),"/exKotar/150828")</f>
        <v>https://tablet.otzar.org/#/exKotar/150828</v>
      </c>
    </row>
    <row r="130" spans="1:8" x14ac:dyDescent="0.25">
      <c r="A130">
        <v>170091</v>
      </c>
      <c r="B130" t="s">
        <v>307</v>
      </c>
      <c r="C130" t="s">
        <v>308</v>
      </c>
      <c r="D130" t="s">
        <v>10</v>
      </c>
      <c r="E130" t="s">
        <v>81</v>
      </c>
      <c r="F130" t="s">
        <v>12</v>
      </c>
      <c r="G130" t="str">
        <f>HYPERLINK(_xlfn.CONCAT("https://tablet.otzar.org/",CHAR(35),"/book/170091/p/-1/t/1/fs/0/start/0/end/0/c"),"יקהל שלמה - א")</f>
        <v>יקהל שלמה - א</v>
      </c>
      <c r="H130" t="str">
        <f>_xlfn.CONCAT("https://tablet.otzar.org/",CHAR(35),"/book/170091/p/-1/t/1/fs/0/start/0/end/0/c")</f>
        <v>https://tablet.otzar.org/#/book/170091/p/-1/t/1/fs/0/start/0/end/0/c</v>
      </c>
    </row>
    <row r="131" spans="1:8" x14ac:dyDescent="0.25">
      <c r="A131">
        <v>150854</v>
      </c>
      <c r="B131" t="s">
        <v>309</v>
      </c>
      <c r="C131" t="s">
        <v>29</v>
      </c>
      <c r="D131" t="s">
        <v>10</v>
      </c>
      <c r="E131" t="s">
        <v>152</v>
      </c>
      <c r="G131" t="str">
        <f>HYPERLINK(_xlfn.CONCAT("https://tablet.otzar.org/",CHAR(35),"/book/150854/p/-1/t/1/fs/0/start/0/end/0/c"),"ישמח משה - החיים יודוך")</f>
        <v>ישמח משה - החיים יודוך</v>
      </c>
      <c r="H131" t="str">
        <f>_xlfn.CONCAT("https://tablet.otzar.org/",CHAR(35),"/book/150854/p/-1/t/1/fs/0/start/0/end/0/c")</f>
        <v>https://tablet.otzar.org/#/book/150854/p/-1/t/1/fs/0/start/0/end/0/c</v>
      </c>
    </row>
    <row r="132" spans="1:8" x14ac:dyDescent="0.25">
      <c r="A132">
        <v>622323</v>
      </c>
      <c r="B132" t="s">
        <v>310</v>
      </c>
      <c r="C132" t="s">
        <v>311</v>
      </c>
      <c r="D132" t="s">
        <v>10</v>
      </c>
      <c r="E132" t="s">
        <v>11</v>
      </c>
      <c r="F132" t="s">
        <v>27</v>
      </c>
      <c r="G132" t="str">
        <f>HYPERLINK(_xlfn.CONCAT("https://tablet.otzar.org/",CHAR(35),"/book/622323/p/-1/t/1/fs/0/start/0/end/0/c"),"ישע אלהים")</f>
        <v>ישע אלהים</v>
      </c>
      <c r="H132" t="str">
        <f>_xlfn.CONCAT("https://tablet.otzar.org/",CHAR(35),"/book/622323/p/-1/t/1/fs/0/start/0/end/0/c")</f>
        <v>https://tablet.otzar.org/#/book/622323/p/-1/t/1/fs/0/start/0/end/0/c</v>
      </c>
    </row>
    <row r="133" spans="1:8" x14ac:dyDescent="0.25">
      <c r="A133">
        <v>143175</v>
      </c>
      <c r="B133" t="s">
        <v>312</v>
      </c>
      <c r="C133" t="s">
        <v>313</v>
      </c>
      <c r="D133" t="s">
        <v>18</v>
      </c>
      <c r="E133" t="s">
        <v>101</v>
      </c>
      <c r="F133" t="s">
        <v>12</v>
      </c>
      <c r="G133" t="str">
        <f>HYPERLINK(_xlfn.CONCAT("https://tablet.otzar.org/",CHAR(35),"/book/143175/p/-1/t/1/fs/0/start/0/end/0/c"),"יששכר וזבולון")</f>
        <v>יששכר וזבולון</v>
      </c>
      <c r="H133" t="str">
        <f>_xlfn.CONCAT("https://tablet.otzar.org/",CHAR(35),"/book/143175/p/-1/t/1/fs/0/start/0/end/0/c")</f>
        <v>https://tablet.otzar.org/#/book/143175/p/-1/t/1/fs/0/start/0/end/0/c</v>
      </c>
    </row>
    <row r="134" spans="1:8" x14ac:dyDescent="0.25">
      <c r="A134">
        <v>608715</v>
      </c>
      <c r="B134" t="s">
        <v>314</v>
      </c>
      <c r="C134" t="s">
        <v>212</v>
      </c>
      <c r="D134" t="s">
        <v>10</v>
      </c>
      <c r="E134" t="s">
        <v>47</v>
      </c>
      <c r="G134" t="str">
        <f>HYPERLINK(_xlfn.CONCAT("https://tablet.otzar.org/",CHAR(35),"/book/608715/p/-1/t/1/fs/0/start/0/end/0/c"),"כינוס חכמים")</f>
        <v>כינוס חכמים</v>
      </c>
      <c r="H134" t="str">
        <f>_xlfn.CONCAT("https://tablet.otzar.org/",CHAR(35),"/book/608715/p/-1/t/1/fs/0/start/0/end/0/c")</f>
        <v>https://tablet.otzar.org/#/book/608715/p/-1/t/1/fs/0/start/0/end/0/c</v>
      </c>
    </row>
    <row r="135" spans="1:8" x14ac:dyDescent="0.25">
      <c r="A135">
        <v>151319</v>
      </c>
      <c r="B135" t="s">
        <v>315</v>
      </c>
      <c r="C135" t="s">
        <v>316</v>
      </c>
      <c r="D135" t="s">
        <v>10</v>
      </c>
      <c r="E135" t="s">
        <v>76</v>
      </c>
      <c r="G135" t="str">
        <f>HYPERLINK(_xlfn.CONCAT("https://tablet.otzar.org/",CHAR(35),"/book/151319/p/-1/t/1/fs/0/start/0/end/0/c"),"כלי מחזיק ברכה")</f>
        <v>כלי מחזיק ברכה</v>
      </c>
      <c r="H135" t="str">
        <f>_xlfn.CONCAT("https://tablet.otzar.org/",CHAR(35),"/book/151319/p/-1/t/1/fs/0/start/0/end/0/c")</f>
        <v>https://tablet.otzar.org/#/book/151319/p/-1/t/1/fs/0/start/0/end/0/c</v>
      </c>
    </row>
    <row r="136" spans="1:8" x14ac:dyDescent="0.25">
      <c r="A136">
        <v>150335</v>
      </c>
      <c r="B136" t="s">
        <v>317</v>
      </c>
      <c r="C136" t="s">
        <v>318</v>
      </c>
      <c r="D136" t="s">
        <v>10</v>
      </c>
      <c r="E136" t="s">
        <v>319</v>
      </c>
      <c r="F136" t="s">
        <v>90</v>
      </c>
      <c r="G136" t="str">
        <f>HYPERLINK(_xlfn.CONCAT("https://tablet.otzar.org/",CHAR(35),"/book/150335/p/-1/t/1/fs/0/start/0/end/0/c"),"כנסת יחזקאל")</f>
        <v>כנסת יחזקאל</v>
      </c>
      <c r="H136" t="str">
        <f>_xlfn.CONCAT("https://tablet.otzar.org/",CHAR(35),"/book/150335/p/-1/t/1/fs/0/start/0/end/0/c")</f>
        <v>https://tablet.otzar.org/#/book/150335/p/-1/t/1/fs/0/start/0/end/0/c</v>
      </c>
    </row>
    <row r="137" spans="1:8" x14ac:dyDescent="0.25">
      <c r="A137">
        <v>196080</v>
      </c>
      <c r="B137" t="s">
        <v>320</v>
      </c>
      <c r="C137" t="s">
        <v>321</v>
      </c>
      <c r="D137" t="s">
        <v>10</v>
      </c>
      <c r="E137" t="s">
        <v>113</v>
      </c>
      <c r="F137" t="s">
        <v>23</v>
      </c>
      <c r="G137" t="str">
        <f>HYPERLINK(_xlfn.CONCAT("https://tablet.otzar.org/",CHAR(35),"/book/196080/p/-1/t/1/fs/0/start/0/end/0/c"),"כסא אליהו &lt;מהדורה חדשה&gt;")</f>
        <v>כסא אליהו &lt;מהדורה חדשה&gt;</v>
      </c>
      <c r="H137" t="str">
        <f>_xlfn.CONCAT("https://tablet.otzar.org/",CHAR(35),"/book/196080/p/-1/t/1/fs/0/start/0/end/0/c")</f>
        <v>https://tablet.otzar.org/#/book/196080/p/-1/t/1/fs/0/start/0/end/0/c</v>
      </c>
    </row>
    <row r="138" spans="1:8" x14ac:dyDescent="0.25">
      <c r="A138">
        <v>186732</v>
      </c>
      <c r="B138" t="s">
        <v>322</v>
      </c>
      <c r="C138" t="s">
        <v>323</v>
      </c>
      <c r="D138" t="s">
        <v>10</v>
      </c>
      <c r="E138" t="s">
        <v>30</v>
      </c>
      <c r="F138" t="s">
        <v>23</v>
      </c>
      <c r="G138" t="str">
        <f>HYPERLINK(_xlfn.CONCAT("https://tablet.otzar.org/",CHAR(35),"/book/186732/p/-1/t/1/fs/0/start/0/end/0/c"),"כרם שלמה &lt;מהדורה ישנה&gt;- ה - ו")</f>
        <v>כרם שלמה &lt;מהדורה ישנה&gt;- ה - ו</v>
      </c>
      <c r="H138" t="str">
        <f>_xlfn.CONCAT("https://tablet.otzar.org/",CHAR(35),"/book/186732/p/-1/t/1/fs/0/start/0/end/0/c")</f>
        <v>https://tablet.otzar.org/#/book/186732/p/-1/t/1/fs/0/start/0/end/0/c</v>
      </c>
    </row>
    <row r="139" spans="1:8" x14ac:dyDescent="0.25">
      <c r="A139">
        <v>150757</v>
      </c>
      <c r="B139" t="s">
        <v>324</v>
      </c>
      <c r="C139" t="s">
        <v>323</v>
      </c>
      <c r="D139" t="s">
        <v>10</v>
      </c>
      <c r="E139" t="s">
        <v>228</v>
      </c>
      <c r="F139" t="s">
        <v>23</v>
      </c>
      <c r="G139" t="str">
        <f>HYPERLINK(_xlfn.CONCAT("https://tablet.otzar.org/",CHAR(35),"/exKotar/150757"),"כרם שלמה - 6 כרכים")</f>
        <v>כרם שלמה - 6 כרכים</v>
      </c>
      <c r="H139" t="str">
        <f>_xlfn.CONCAT("https://tablet.otzar.org/",CHAR(35),"/exKotar/150757")</f>
        <v>https://tablet.otzar.org/#/exKotar/150757</v>
      </c>
    </row>
    <row r="140" spans="1:8" x14ac:dyDescent="0.25">
      <c r="A140">
        <v>150428</v>
      </c>
      <c r="B140" t="s">
        <v>325</v>
      </c>
      <c r="C140" t="s">
        <v>29</v>
      </c>
      <c r="D140" t="s">
        <v>10</v>
      </c>
      <c r="E140" t="s">
        <v>107</v>
      </c>
      <c r="F140" t="s">
        <v>31</v>
      </c>
      <c r="G140" t="str">
        <f>HYPERLINK(_xlfn.CONCAT("https://tablet.otzar.org/",CHAR(35),"/book/150428/p/-1/t/1/fs/0/start/0/end/0/c"),"כתבוני לדורות")</f>
        <v>כתבוני לדורות</v>
      </c>
      <c r="H140" t="str">
        <f>_xlfn.CONCAT("https://tablet.otzar.org/",CHAR(35),"/book/150428/p/-1/t/1/fs/0/start/0/end/0/c")</f>
        <v>https://tablet.otzar.org/#/book/150428/p/-1/t/1/fs/0/start/0/end/0/c</v>
      </c>
    </row>
    <row r="141" spans="1:8" x14ac:dyDescent="0.25">
      <c r="A141">
        <v>150258</v>
      </c>
      <c r="B141" t="s">
        <v>326</v>
      </c>
      <c r="C141" t="s">
        <v>327</v>
      </c>
      <c r="D141" t="s">
        <v>10</v>
      </c>
      <c r="E141" t="s">
        <v>52</v>
      </c>
      <c r="F141" t="s">
        <v>127</v>
      </c>
      <c r="G141" t="str">
        <f>HYPERLINK(_xlfn.CONCAT("https://tablet.otzar.org/",CHAR(35),"/book/150258/p/-1/t/1/fs/0/start/0/end/0/c"),"כתית למאור")</f>
        <v>כתית למאור</v>
      </c>
      <c r="H141" t="str">
        <f>_xlfn.CONCAT("https://tablet.otzar.org/",CHAR(35),"/book/150258/p/-1/t/1/fs/0/start/0/end/0/c")</f>
        <v>https://tablet.otzar.org/#/book/150258/p/-1/t/1/fs/0/start/0/end/0/c</v>
      </c>
    </row>
    <row r="142" spans="1:8" x14ac:dyDescent="0.25">
      <c r="A142">
        <v>150210</v>
      </c>
      <c r="B142" t="s">
        <v>328</v>
      </c>
      <c r="C142" t="s">
        <v>329</v>
      </c>
      <c r="D142" t="s">
        <v>10</v>
      </c>
      <c r="E142" t="s">
        <v>107</v>
      </c>
      <c r="F142" t="s">
        <v>261</v>
      </c>
      <c r="G142" t="str">
        <f>HYPERLINK(_xlfn.CONCAT("https://tablet.otzar.org/",CHAR(35),"/exKotar/150210"),"כתר שם טוב - 4 כרכים")</f>
        <v>כתר שם טוב - 4 כרכים</v>
      </c>
      <c r="H142" t="str">
        <f>_xlfn.CONCAT("https://tablet.otzar.org/",CHAR(35),"/exKotar/150210")</f>
        <v>https://tablet.otzar.org/#/exKotar/150210</v>
      </c>
    </row>
    <row r="143" spans="1:8" x14ac:dyDescent="0.25">
      <c r="A143">
        <v>150856</v>
      </c>
      <c r="B143" t="s">
        <v>330</v>
      </c>
      <c r="C143" t="s">
        <v>331</v>
      </c>
      <c r="D143" t="s">
        <v>10</v>
      </c>
      <c r="E143" t="s">
        <v>152</v>
      </c>
      <c r="G143" t="str">
        <f>HYPERLINK(_xlfn.CONCAT("https://tablet.otzar.org/",CHAR(35),"/book/150856/p/-1/t/1/fs/0/start/0/end/0/c"),"לב דוד, ברית עולם")</f>
        <v>לב דוד, ברית עולם</v>
      </c>
      <c r="H143" t="str">
        <f>_xlfn.CONCAT("https://tablet.otzar.org/",CHAR(35),"/book/150856/p/-1/t/1/fs/0/start/0/end/0/c")</f>
        <v>https://tablet.otzar.org/#/book/150856/p/-1/t/1/fs/0/start/0/end/0/c</v>
      </c>
    </row>
    <row r="144" spans="1:8" x14ac:dyDescent="0.25">
      <c r="A144">
        <v>622329</v>
      </c>
      <c r="B144" t="s">
        <v>332</v>
      </c>
      <c r="C144" t="s">
        <v>75</v>
      </c>
      <c r="D144" t="s">
        <v>10</v>
      </c>
      <c r="E144" t="s">
        <v>19</v>
      </c>
      <c r="F144" t="s">
        <v>42</v>
      </c>
      <c r="G144" t="str">
        <f>HYPERLINK(_xlfn.CONCAT("https://tablet.otzar.org/",CHAR(35),"/book/622329/p/-1/t/1/fs/0/start/0/end/0/c"),"לוח דינים ומנהגים &lt;אהבת שלום - צרפתית&gt; - תשע""""ט")</f>
        <v>לוח דינים ומנהגים &lt;אהבת שלום - צרפתית&gt; - תשע""ט</v>
      </c>
      <c r="H144" t="str">
        <f>_xlfn.CONCAT("https://tablet.otzar.org/",CHAR(35),"/book/622329/p/-1/t/1/fs/0/start/0/end/0/c")</f>
        <v>https://tablet.otzar.org/#/book/622329/p/-1/t/1/fs/0/start/0/end/0/c</v>
      </c>
    </row>
    <row r="145" spans="1:8" x14ac:dyDescent="0.25">
      <c r="A145">
        <v>637950</v>
      </c>
      <c r="B145" t="s">
        <v>333</v>
      </c>
      <c r="C145" t="s">
        <v>75</v>
      </c>
      <c r="D145" t="s">
        <v>10</v>
      </c>
      <c r="E145" t="s">
        <v>58</v>
      </c>
      <c r="G145" t="str">
        <f>HYPERLINK(_xlfn.CONCAT("https://tablet.otzar.org/",CHAR(35),"/book/637950/p/-1/t/1/fs/0/start/0/end/0/c"),"לוח דינים ומנהגים &lt;אהבת שלום- צרפתית&gt; - תשפ""""א")</f>
        <v>לוח דינים ומנהגים &lt;אהבת שלום- צרפתית&gt; - תשפ""א</v>
      </c>
      <c r="H145" t="str">
        <f>_xlfn.CONCAT("https://tablet.otzar.org/",CHAR(35),"/book/637950/p/-1/t/1/fs/0/start/0/end/0/c")</f>
        <v>https://tablet.otzar.org/#/book/637950/p/-1/t/1/fs/0/start/0/end/0/c</v>
      </c>
    </row>
    <row r="146" spans="1:8" x14ac:dyDescent="0.25">
      <c r="A146">
        <v>194673</v>
      </c>
      <c r="B146" t="s">
        <v>334</v>
      </c>
      <c r="C146" t="s">
        <v>75</v>
      </c>
      <c r="D146" t="s">
        <v>10</v>
      </c>
      <c r="E146" t="s">
        <v>195</v>
      </c>
      <c r="G146" t="str">
        <f>HYPERLINK(_xlfn.CONCAT("https://tablet.otzar.org/",CHAR(35),"/exKotar/194673"),"לוח דינים ומנהגים &lt;אהבת שלום&gt; - 6 כרכים")</f>
        <v>לוח דינים ומנהגים &lt;אהבת שלום&gt; - 6 כרכים</v>
      </c>
      <c r="H146" t="str">
        <f>_xlfn.CONCAT("https://tablet.otzar.org/",CHAR(35),"/exKotar/194673")</f>
        <v>https://tablet.otzar.org/#/exKotar/194673</v>
      </c>
    </row>
    <row r="147" spans="1:8" x14ac:dyDescent="0.25">
      <c r="A147">
        <v>601404</v>
      </c>
      <c r="B147" t="s">
        <v>335</v>
      </c>
      <c r="C147" t="s">
        <v>75</v>
      </c>
      <c r="D147" t="s">
        <v>10</v>
      </c>
      <c r="E147" t="s">
        <v>47</v>
      </c>
      <c r="G147" t="str">
        <f>HYPERLINK(_xlfn.CONCAT("https://tablet.otzar.org/",CHAR(35),"/exKotar/601404"),"לוח דינים ומנהגים &lt;אהבת שלום  - 2 כרכים")</f>
        <v>לוח דינים ומנהגים &lt;אהבת שלום  - 2 כרכים</v>
      </c>
      <c r="H147" t="str">
        <f>_xlfn.CONCAT("https://tablet.otzar.org/",CHAR(35),"/exKotar/601404")</f>
        <v>https://tablet.otzar.org/#/exKotar/601404</v>
      </c>
    </row>
    <row r="148" spans="1:8" x14ac:dyDescent="0.25">
      <c r="A148">
        <v>637948</v>
      </c>
      <c r="B148" t="s">
        <v>336</v>
      </c>
      <c r="C148" t="s">
        <v>75</v>
      </c>
      <c r="D148" t="s">
        <v>10</v>
      </c>
      <c r="E148" t="s">
        <v>58</v>
      </c>
      <c r="G148" t="str">
        <f>HYPERLINK(_xlfn.CONCAT("https://tablet.otzar.org/",CHAR(35),"/exKotar/637948"),"לוח דינים ומנהגים &lt;אהבת שלום - 2 כרכים")</f>
        <v>לוח דינים ומנהגים &lt;אהבת שלום - 2 כרכים</v>
      </c>
      <c r="H148" t="str">
        <f>_xlfn.CONCAT("https://tablet.otzar.org/",CHAR(35),"/exKotar/637948")</f>
        <v>https://tablet.otzar.org/#/exKotar/637948</v>
      </c>
    </row>
    <row r="149" spans="1:8" x14ac:dyDescent="0.25">
      <c r="A149">
        <v>637942</v>
      </c>
      <c r="B149" t="s">
        <v>337</v>
      </c>
      <c r="C149" t="s">
        <v>103</v>
      </c>
      <c r="D149" t="s">
        <v>10</v>
      </c>
      <c r="E149" t="s">
        <v>143</v>
      </c>
      <c r="G149" t="str">
        <f>HYPERLINK(_xlfn.CONCAT("https://tablet.otzar.org/",CHAR(35),"/book/637942/p/-1/t/1/fs/0/start/0/end/0/c"),"ליקוטי דינים שחיטה וטריפות")</f>
        <v>ליקוטי דינים שחיטה וטריפות</v>
      </c>
      <c r="H149" t="str">
        <f>_xlfn.CONCAT("https://tablet.otzar.org/",CHAR(35),"/book/637942/p/-1/t/1/fs/0/start/0/end/0/c")</f>
        <v>https://tablet.otzar.org/#/book/637942/p/-1/t/1/fs/0/start/0/end/0/c</v>
      </c>
    </row>
    <row r="150" spans="1:8" x14ac:dyDescent="0.25">
      <c r="A150">
        <v>637943</v>
      </c>
      <c r="B150" t="s">
        <v>338</v>
      </c>
      <c r="C150" t="s">
        <v>103</v>
      </c>
      <c r="D150" t="s">
        <v>10</v>
      </c>
      <c r="E150" t="s">
        <v>143</v>
      </c>
      <c r="G150" t="str">
        <f>HYPERLINK(_xlfn.CONCAT("https://tablet.otzar.org/",CHAR(35),"/book/637943/p/-1/t/1/fs/0/start/0/end/0/c"),"ליקוטי דינים שחיטה וטריפות המקוצר")</f>
        <v>ליקוטי דינים שחיטה וטריפות המקוצר</v>
      </c>
      <c r="H150" t="str">
        <f>_xlfn.CONCAT("https://tablet.otzar.org/",CHAR(35),"/book/637943/p/-1/t/1/fs/0/start/0/end/0/c")</f>
        <v>https://tablet.otzar.org/#/book/637943/p/-1/t/1/fs/0/start/0/end/0/c</v>
      </c>
    </row>
    <row r="151" spans="1:8" x14ac:dyDescent="0.25">
      <c r="A151">
        <v>192388</v>
      </c>
      <c r="B151" t="s">
        <v>339</v>
      </c>
      <c r="C151" t="s">
        <v>29</v>
      </c>
      <c r="D151" t="s">
        <v>10</v>
      </c>
      <c r="E151" t="s">
        <v>113</v>
      </c>
      <c r="F151" t="s">
        <v>99</v>
      </c>
      <c r="G151" t="str">
        <f>HYPERLINK(_xlfn.CONCAT("https://tablet.otzar.org/",CHAR(35),"/book/192388/p/-1/t/1/fs/0/start/0/end/0/c"),"לקדושים אשר בארץ")</f>
        <v>לקדושים אשר בארץ</v>
      </c>
      <c r="H151" t="str">
        <f>_xlfn.CONCAT("https://tablet.otzar.org/",CHAR(35),"/book/192388/p/-1/t/1/fs/0/start/0/end/0/c")</f>
        <v>https://tablet.otzar.org/#/book/192388/p/-1/t/1/fs/0/start/0/end/0/c</v>
      </c>
    </row>
    <row r="152" spans="1:8" x14ac:dyDescent="0.25">
      <c r="A152">
        <v>150790</v>
      </c>
      <c r="B152" t="s">
        <v>340</v>
      </c>
      <c r="C152" t="s">
        <v>275</v>
      </c>
      <c r="D152" t="s">
        <v>10</v>
      </c>
      <c r="E152" t="s">
        <v>134</v>
      </c>
      <c r="F152" t="s">
        <v>27</v>
      </c>
      <c r="G152" t="str">
        <f>HYPERLINK(_xlfn.CONCAT("https://tablet.otzar.org/",CHAR(35),"/book/150790/p/-1/t/1/fs/0/start/0/end/0/c"),"לקח טוב &lt;אהבת שלום&gt;")</f>
        <v>לקח טוב &lt;אהבת שלום&gt;</v>
      </c>
      <c r="H152" t="str">
        <f>_xlfn.CONCAT("https://tablet.otzar.org/",CHAR(35),"/book/150790/p/-1/t/1/fs/0/start/0/end/0/c")</f>
        <v>https://tablet.otzar.org/#/book/150790/p/-1/t/1/fs/0/start/0/end/0/c</v>
      </c>
    </row>
    <row r="153" spans="1:8" x14ac:dyDescent="0.25">
      <c r="A153">
        <v>646906</v>
      </c>
      <c r="B153" t="s">
        <v>341</v>
      </c>
      <c r="C153" t="s">
        <v>54</v>
      </c>
      <c r="D153" t="s">
        <v>10</v>
      </c>
      <c r="E153" t="s">
        <v>58</v>
      </c>
      <c r="G153" t="str">
        <f>HYPERLINK(_xlfn.CONCAT("https://tablet.otzar.org/",CHAR(35),"/book/646906/p/-1/t/1/fs/0/start/0/end/0/c"),"מאורי אור - אור צח")</f>
        <v>מאורי אור - אור צח</v>
      </c>
      <c r="H153" t="str">
        <f>_xlfn.CONCAT("https://tablet.otzar.org/",CHAR(35),"/book/646906/p/-1/t/1/fs/0/start/0/end/0/c")</f>
        <v>https://tablet.otzar.org/#/book/646906/p/-1/t/1/fs/0/start/0/end/0/c</v>
      </c>
    </row>
    <row r="154" spans="1:8" x14ac:dyDescent="0.25">
      <c r="A154">
        <v>608701</v>
      </c>
      <c r="B154" t="s">
        <v>342</v>
      </c>
      <c r="C154" t="s">
        <v>343</v>
      </c>
      <c r="D154" t="s">
        <v>10</v>
      </c>
      <c r="E154" t="s">
        <v>22</v>
      </c>
      <c r="F154" t="s">
        <v>27</v>
      </c>
      <c r="G154" t="str">
        <f>HYPERLINK(_xlfn.CONCAT("https://tablet.otzar.org/",CHAR(35),"/exKotar/608701"),"מאיר טוב - 16 כרכים")</f>
        <v>מאיר טוב - 16 כרכים</v>
      </c>
      <c r="H154" t="str">
        <f>_xlfn.CONCAT("https://tablet.otzar.org/",CHAR(35),"/exKotar/608701")</f>
        <v>https://tablet.otzar.org/#/exKotar/608701</v>
      </c>
    </row>
    <row r="155" spans="1:8" x14ac:dyDescent="0.25">
      <c r="A155">
        <v>608716</v>
      </c>
      <c r="B155" t="s">
        <v>344</v>
      </c>
      <c r="C155" t="s">
        <v>343</v>
      </c>
      <c r="D155" t="s">
        <v>10</v>
      </c>
      <c r="E155" t="s">
        <v>47</v>
      </c>
      <c r="F155" t="s">
        <v>27</v>
      </c>
      <c r="G155" t="str">
        <f>HYPERLINK(_xlfn.CONCAT("https://tablet.otzar.org/",CHAR(35),"/exKotar/608716"),"מאיר טוב עם רש""""י - 5 כרכים")</f>
        <v>מאיר טוב עם רש""י - 5 כרכים</v>
      </c>
      <c r="H155" t="str">
        <f>_xlfn.CONCAT("https://tablet.otzar.org/",CHAR(35),"/exKotar/608716")</f>
        <v>https://tablet.otzar.org/#/exKotar/608716</v>
      </c>
    </row>
    <row r="156" spans="1:8" x14ac:dyDescent="0.25">
      <c r="A156">
        <v>194036</v>
      </c>
      <c r="B156" t="s">
        <v>345</v>
      </c>
      <c r="C156" t="s">
        <v>346</v>
      </c>
      <c r="D156" t="s">
        <v>10</v>
      </c>
      <c r="E156" t="s">
        <v>113</v>
      </c>
      <c r="G156" t="str">
        <f>HYPERLINK(_xlfn.CONCAT("https://tablet.otzar.org/",CHAR(35),"/exKotar/194036"),"מאמץ כח &lt;מהדורת אהבת שלום&gt;  - 2 כרכים")</f>
        <v>מאמץ כח &lt;מהדורת אהבת שלום&gt;  - 2 כרכים</v>
      </c>
      <c r="H156" t="str">
        <f>_xlfn.CONCAT("https://tablet.otzar.org/",CHAR(35),"/exKotar/194036")</f>
        <v>https://tablet.otzar.org/#/exKotar/194036</v>
      </c>
    </row>
    <row r="157" spans="1:8" x14ac:dyDescent="0.25">
      <c r="A157">
        <v>150358</v>
      </c>
      <c r="B157" t="s">
        <v>347</v>
      </c>
      <c r="C157" t="s">
        <v>21</v>
      </c>
      <c r="D157" t="s">
        <v>10</v>
      </c>
      <c r="E157" t="s">
        <v>107</v>
      </c>
      <c r="F157" t="s">
        <v>23</v>
      </c>
      <c r="G157" t="str">
        <f>HYPERLINK(_xlfn.CONCAT("https://tablet.otzar.org/",CHAR(35),"/book/150358/p/-1/t/1/fs/0/start/0/end/0/c"),"מאמר פסיעותיו של אברהם אבינו ע""""ה")</f>
        <v>מאמר פסיעותיו של אברהם אבינו ע""ה</v>
      </c>
      <c r="H157" t="str">
        <f>_xlfn.CONCAT("https://tablet.otzar.org/",CHAR(35),"/book/150358/p/-1/t/1/fs/0/start/0/end/0/c")</f>
        <v>https://tablet.otzar.org/#/book/150358/p/-1/t/1/fs/0/start/0/end/0/c</v>
      </c>
    </row>
    <row r="158" spans="1:8" x14ac:dyDescent="0.25">
      <c r="A158">
        <v>630771</v>
      </c>
      <c r="B158" t="s">
        <v>348</v>
      </c>
      <c r="C158" t="s">
        <v>21</v>
      </c>
      <c r="D158" t="s">
        <v>10</v>
      </c>
      <c r="E158" t="s">
        <v>19</v>
      </c>
      <c r="F158" t="s">
        <v>23</v>
      </c>
      <c r="G158" t="str">
        <f>HYPERLINK(_xlfn.CONCAT("https://tablet.otzar.org/",CHAR(35),"/book/630771/p/-1/t/1/fs/0/start/0/end/0/c"),"מבוא שערים &lt;מהדורת אהבת שלום&gt;")</f>
        <v>מבוא שערים &lt;מהדורת אהבת שלום&gt;</v>
      </c>
      <c r="H158" t="str">
        <f>_xlfn.CONCAT("https://tablet.otzar.org/",CHAR(35),"/book/630771/p/-1/t/1/fs/0/start/0/end/0/c")</f>
        <v>https://tablet.otzar.org/#/book/630771/p/-1/t/1/fs/0/start/0/end/0/c</v>
      </c>
    </row>
    <row r="159" spans="1:8" x14ac:dyDescent="0.25">
      <c r="A159">
        <v>160004</v>
      </c>
      <c r="B159" t="s">
        <v>349</v>
      </c>
      <c r="C159" t="s">
        <v>75</v>
      </c>
      <c r="D159" t="s">
        <v>10</v>
      </c>
      <c r="E159" t="s">
        <v>89</v>
      </c>
      <c r="F159" t="s">
        <v>12</v>
      </c>
      <c r="G159" t="str">
        <f>HYPERLINK(_xlfn.CONCAT("https://tablet.otzar.org/",CHAR(35),"/book/160004/p/-1/t/1/fs/0/start/0/end/0/c"),"מבצע קודש הדפסת ספרי גדולי רבני ג'רבא")</f>
        <v>מבצע קודש הדפסת ספרי גדולי רבני ג'רבא</v>
      </c>
      <c r="H159" t="str">
        <f>_xlfn.CONCAT("https://tablet.otzar.org/",CHAR(35),"/book/160004/p/-1/t/1/fs/0/start/0/end/0/c")</f>
        <v>https://tablet.otzar.org/#/book/160004/p/-1/t/1/fs/0/start/0/end/0/c</v>
      </c>
    </row>
    <row r="160" spans="1:8" x14ac:dyDescent="0.25">
      <c r="A160">
        <v>623123</v>
      </c>
      <c r="B160" t="s">
        <v>350</v>
      </c>
      <c r="C160" t="s">
        <v>9</v>
      </c>
      <c r="D160" t="s">
        <v>10</v>
      </c>
      <c r="E160" t="s">
        <v>11</v>
      </c>
      <c r="G160" t="str">
        <f>HYPERLINK(_xlfn.CONCAT("https://tablet.otzar.org/",CHAR(35),"/book/623123/p/-1/t/1/fs/0/start/0/end/0/c"),"מגילות קוצ'ין")</f>
        <v>מגילות קוצ'ין</v>
      </c>
      <c r="H160" t="str">
        <f>_xlfn.CONCAT("https://tablet.otzar.org/",CHAR(35),"/book/623123/p/-1/t/1/fs/0/start/0/end/0/c")</f>
        <v>https://tablet.otzar.org/#/book/623123/p/-1/t/1/fs/0/start/0/end/0/c</v>
      </c>
    </row>
    <row r="161" spans="1:8" x14ac:dyDescent="0.25">
      <c r="A161">
        <v>150799</v>
      </c>
      <c r="B161" t="s">
        <v>351</v>
      </c>
      <c r="C161" t="s">
        <v>227</v>
      </c>
      <c r="D161" t="s">
        <v>10</v>
      </c>
      <c r="E161" t="s">
        <v>228</v>
      </c>
      <c r="F161" t="s">
        <v>65</v>
      </c>
      <c r="G161" t="str">
        <f>HYPERLINK(_xlfn.CONCAT("https://tablet.otzar.org/",CHAR(35),"/book/150799/p/-1/t/1/fs/0/start/0/end/0/c"),"מגילת סמנים, תשובה מיראה")</f>
        <v>מגילת סמנים, תשובה מיראה</v>
      </c>
      <c r="H161" t="str">
        <f>_xlfn.CONCAT("https://tablet.otzar.org/",CHAR(35),"/book/150799/p/-1/t/1/fs/0/start/0/end/0/c")</f>
        <v>https://tablet.otzar.org/#/book/150799/p/-1/t/1/fs/0/start/0/end/0/c</v>
      </c>
    </row>
    <row r="162" spans="1:8" x14ac:dyDescent="0.25">
      <c r="A162">
        <v>150832</v>
      </c>
      <c r="B162" t="s">
        <v>352</v>
      </c>
      <c r="C162" t="s">
        <v>331</v>
      </c>
      <c r="D162" t="s">
        <v>10</v>
      </c>
      <c r="E162" t="s">
        <v>101</v>
      </c>
      <c r="F162" t="s">
        <v>12</v>
      </c>
      <c r="G162" t="str">
        <f>HYPERLINK(_xlfn.CONCAT("https://tablet.otzar.org/",CHAR(35),"/book/150832/p/-1/t/1/fs/0/start/0/end/0/c"),"מדבר קדמות &lt;אהבת שלום&gt;")</f>
        <v>מדבר קדמות &lt;אהבת שלום&gt;</v>
      </c>
      <c r="H162" t="str">
        <f>_xlfn.CONCAT("https://tablet.otzar.org/",CHAR(35),"/book/150832/p/-1/t/1/fs/0/start/0/end/0/c")</f>
        <v>https://tablet.otzar.org/#/book/150832/p/-1/t/1/fs/0/start/0/end/0/c</v>
      </c>
    </row>
    <row r="163" spans="1:8" x14ac:dyDescent="0.25">
      <c r="A163">
        <v>163312</v>
      </c>
      <c r="B163" t="s">
        <v>353</v>
      </c>
      <c r="C163" t="s">
        <v>354</v>
      </c>
      <c r="D163" t="s">
        <v>10</v>
      </c>
      <c r="E163" t="s">
        <v>85</v>
      </c>
      <c r="F163" t="s">
        <v>198</v>
      </c>
      <c r="G163" t="str">
        <f>HYPERLINK(_xlfn.CONCAT("https://tablet.otzar.org/",CHAR(35),"/book/163312/p/-1/t/1/fs/0/start/0/end/0/c"),"מוסר והתעוררות הלב לתקיעת שופר כמנהג בית אל")</f>
        <v>מוסר והתעוררות הלב לתקיעת שופר כמנהג בית אל</v>
      </c>
      <c r="H163" t="str">
        <f>_xlfn.CONCAT("https://tablet.otzar.org/",CHAR(35),"/book/163312/p/-1/t/1/fs/0/start/0/end/0/c")</f>
        <v>https://tablet.otzar.org/#/book/163312/p/-1/t/1/fs/0/start/0/end/0/c</v>
      </c>
    </row>
    <row r="164" spans="1:8" x14ac:dyDescent="0.25">
      <c r="A164">
        <v>143552</v>
      </c>
      <c r="B164" t="s">
        <v>355</v>
      </c>
      <c r="C164" t="s">
        <v>356</v>
      </c>
      <c r="D164" t="s">
        <v>10</v>
      </c>
      <c r="E164" t="s">
        <v>228</v>
      </c>
      <c r="F164" t="s">
        <v>42</v>
      </c>
      <c r="G164" t="str">
        <f>HYPERLINK(_xlfn.CONCAT("https://tablet.otzar.org/",CHAR(35),"/book/143552/p/-1/t/1/fs/0/start/0/end/0/c"),"מורה באצבע &lt;עמודי הוראה&gt;")</f>
        <v>מורה באצבע &lt;עמודי הוראה&gt;</v>
      </c>
      <c r="H164" t="str">
        <f>_xlfn.CONCAT("https://tablet.otzar.org/",CHAR(35),"/book/143552/p/-1/t/1/fs/0/start/0/end/0/c")</f>
        <v>https://tablet.otzar.org/#/book/143552/p/-1/t/1/fs/0/start/0/end/0/c</v>
      </c>
    </row>
    <row r="165" spans="1:8" x14ac:dyDescent="0.25">
      <c r="A165">
        <v>150825</v>
      </c>
      <c r="B165" t="s">
        <v>357</v>
      </c>
      <c r="C165" t="s">
        <v>358</v>
      </c>
      <c r="D165" t="s">
        <v>10</v>
      </c>
      <c r="E165" t="s">
        <v>76</v>
      </c>
      <c r="F165" t="s">
        <v>42</v>
      </c>
      <c r="G165" t="str">
        <f>HYPERLINK(_xlfn.CONCAT("https://tablet.otzar.org/",CHAR(35),"/book/150825/p/-1/t/1/fs/0/start/0/end/0/c"),"מורה באצבע &lt;שערי הקודש&gt;")</f>
        <v>מורה באצבע &lt;שערי הקודש&gt;</v>
      </c>
      <c r="H165" t="str">
        <f>_xlfn.CONCAT("https://tablet.otzar.org/",CHAR(35),"/book/150825/p/-1/t/1/fs/0/start/0/end/0/c")</f>
        <v>https://tablet.otzar.org/#/book/150825/p/-1/t/1/fs/0/start/0/end/0/c</v>
      </c>
    </row>
    <row r="166" spans="1:8" x14ac:dyDescent="0.25">
      <c r="A166">
        <v>150392</v>
      </c>
      <c r="B166" t="s">
        <v>359</v>
      </c>
      <c r="C166" t="s">
        <v>212</v>
      </c>
      <c r="D166" t="s">
        <v>10</v>
      </c>
      <c r="E166" t="s">
        <v>95</v>
      </c>
      <c r="F166" t="s">
        <v>23</v>
      </c>
      <c r="G166" t="str">
        <f>HYPERLINK(_xlfn.CONCAT("https://tablet.otzar.org/",CHAR(35),"/exKotar/150392"),"מזכיר שלום - 2 כרכים")</f>
        <v>מזכיר שלום - 2 כרכים</v>
      </c>
      <c r="H166" t="str">
        <f>_xlfn.CONCAT("https://tablet.otzar.org/",CHAR(35),"/exKotar/150392")</f>
        <v>https://tablet.otzar.org/#/exKotar/150392</v>
      </c>
    </row>
    <row r="167" spans="1:8" x14ac:dyDescent="0.25">
      <c r="A167">
        <v>630777</v>
      </c>
      <c r="B167" t="s">
        <v>360</v>
      </c>
      <c r="C167" t="s">
        <v>212</v>
      </c>
      <c r="D167" t="s">
        <v>10</v>
      </c>
      <c r="E167" t="s">
        <v>47</v>
      </c>
      <c r="F167" t="s">
        <v>23</v>
      </c>
      <c r="G167" t="str">
        <f>HYPERLINK(_xlfn.CONCAT("https://tablet.otzar.org/",CHAR(35),"/exKotar/630777"),"מזכיר שלום &lt;מהדורת אהבת שלום&gt;  - 2 כרכים")</f>
        <v>מזכיר שלום &lt;מהדורת אהבת שלום&gt;  - 2 כרכים</v>
      </c>
      <c r="H167" t="str">
        <f>_xlfn.CONCAT("https://tablet.otzar.org/",CHAR(35),"/exKotar/630777")</f>
        <v>https://tablet.otzar.org/#/exKotar/630777</v>
      </c>
    </row>
    <row r="168" spans="1:8" x14ac:dyDescent="0.25">
      <c r="A168">
        <v>150299</v>
      </c>
      <c r="B168" t="s">
        <v>361</v>
      </c>
      <c r="C168" t="s">
        <v>237</v>
      </c>
      <c r="D168" t="s">
        <v>10</v>
      </c>
      <c r="E168" t="s">
        <v>362</v>
      </c>
      <c r="F168" t="s">
        <v>235</v>
      </c>
      <c r="G168" t="str">
        <f>HYPERLINK(_xlfn.CONCAT("https://tablet.otzar.org/",CHAR(35),"/book/150299/p/-1/t/1/fs/0/start/0/end/0/c"),"מחנה יהודה")</f>
        <v>מחנה יהודה</v>
      </c>
      <c r="H168" t="str">
        <f>_xlfn.CONCAT("https://tablet.otzar.org/",CHAR(35),"/book/150299/p/-1/t/1/fs/0/start/0/end/0/c")</f>
        <v>https://tablet.otzar.org/#/book/150299/p/-1/t/1/fs/0/start/0/end/0/c</v>
      </c>
    </row>
    <row r="169" spans="1:8" x14ac:dyDescent="0.25">
      <c r="A169">
        <v>150254</v>
      </c>
      <c r="B169" t="s">
        <v>363</v>
      </c>
      <c r="C169" t="s">
        <v>364</v>
      </c>
      <c r="D169" t="s">
        <v>10</v>
      </c>
      <c r="E169" t="s">
        <v>55</v>
      </c>
      <c r="F169" t="s">
        <v>251</v>
      </c>
      <c r="G169" t="str">
        <f>HYPERLINK(_xlfn.CONCAT("https://tablet.otzar.org/",CHAR(35),"/exKotar/150254"),"מימי שלמה - 2 כרכים")</f>
        <v>מימי שלמה - 2 כרכים</v>
      </c>
      <c r="H169" t="str">
        <f>_xlfn.CONCAT("https://tablet.otzar.org/",CHAR(35),"/exKotar/150254")</f>
        <v>https://tablet.otzar.org/#/exKotar/150254</v>
      </c>
    </row>
    <row r="170" spans="1:8" x14ac:dyDescent="0.25">
      <c r="A170">
        <v>150400</v>
      </c>
      <c r="B170" t="s">
        <v>365</v>
      </c>
      <c r="C170" t="s">
        <v>366</v>
      </c>
      <c r="D170" t="s">
        <v>10</v>
      </c>
      <c r="E170" t="s">
        <v>60</v>
      </c>
      <c r="F170" t="s">
        <v>213</v>
      </c>
      <c r="G170" t="str">
        <f>HYPERLINK(_xlfn.CONCAT("https://tablet.otzar.org/",CHAR(35),"/book/150400/p/-1/t/1/fs/0/start/0/end/0/c"),"מכשירי מילה")</f>
        <v>מכשירי מילה</v>
      </c>
      <c r="H170" t="str">
        <f>_xlfn.CONCAT("https://tablet.otzar.org/",CHAR(35),"/book/150400/p/-1/t/1/fs/0/start/0/end/0/c")</f>
        <v>https://tablet.otzar.org/#/book/150400/p/-1/t/1/fs/0/start/0/end/0/c</v>
      </c>
    </row>
    <row r="171" spans="1:8" x14ac:dyDescent="0.25">
      <c r="A171">
        <v>150804</v>
      </c>
      <c r="B171" t="s">
        <v>367</v>
      </c>
      <c r="C171" t="s">
        <v>227</v>
      </c>
      <c r="D171" t="s">
        <v>10</v>
      </c>
      <c r="E171" t="s">
        <v>101</v>
      </c>
      <c r="F171" t="s">
        <v>232</v>
      </c>
      <c r="G171" t="str">
        <f>HYPERLINK(_xlfn.CONCAT("https://tablet.otzar.org/",CHAR(35),"/book/150804/p/-1/t/1/fs/0/start/0/end/0/c"),"מכשירי מצוה, שמר את הדבר, אותו אדבר")</f>
        <v>מכשירי מצוה, שמר את הדבר, אותו אדבר</v>
      </c>
      <c r="H171" t="str">
        <f>_xlfn.CONCAT("https://tablet.otzar.org/",CHAR(35),"/book/150804/p/-1/t/1/fs/0/start/0/end/0/c")</f>
        <v>https://tablet.otzar.org/#/book/150804/p/-1/t/1/fs/0/start/0/end/0/c</v>
      </c>
    </row>
    <row r="172" spans="1:8" x14ac:dyDescent="0.25">
      <c r="A172">
        <v>180036</v>
      </c>
      <c r="B172" t="s">
        <v>368</v>
      </c>
      <c r="C172" t="s">
        <v>369</v>
      </c>
      <c r="E172" t="s">
        <v>370</v>
      </c>
      <c r="F172" t="s">
        <v>208</v>
      </c>
      <c r="G172" t="str">
        <f>HYPERLINK(_xlfn.CONCAT("https://tablet.otzar.org/",CHAR(35),"/book/180036/p/-1/t/1/fs/0/start/0/end/0/c"),"מכתב מאליהו &lt;נשמת כל חי - בין הרי""""ם&gt;")</f>
        <v>מכתב מאליהו &lt;נשמת כל חי - בין הרי""ם&gt;</v>
      </c>
      <c r="H172" t="str">
        <f>_xlfn.CONCAT("https://tablet.otzar.org/",CHAR(35),"/book/180036/p/-1/t/1/fs/0/start/0/end/0/c")</f>
        <v>https://tablet.otzar.org/#/book/180036/p/-1/t/1/fs/0/start/0/end/0/c</v>
      </c>
    </row>
    <row r="173" spans="1:8" x14ac:dyDescent="0.25">
      <c r="A173">
        <v>637941</v>
      </c>
      <c r="B173" t="s">
        <v>371</v>
      </c>
      <c r="C173" t="s">
        <v>369</v>
      </c>
      <c r="E173" t="s">
        <v>143</v>
      </c>
      <c r="G173" t="str">
        <f>HYPERLINK(_xlfn.CONCAT("https://tablet.otzar.org/",CHAR(35),"/book/637941/p/-1/t/1/fs/0/start/0/end/0/c"),"מכתב מאליהו")</f>
        <v>מכתב מאליהו</v>
      </c>
      <c r="H173" t="str">
        <f>_xlfn.CONCAT("https://tablet.otzar.org/",CHAR(35),"/book/637941/p/-1/t/1/fs/0/start/0/end/0/c")</f>
        <v>https://tablet.otzar.org/#/book/637941/p/-1/t/1/fs/0/start/0/end/0/c</v>
      </c>
    </row>
    <row r="174" spans="1:8" x14ac:dyDescent="0.25">
      <c r="A174">
        <v>150354</v>
      </c>
      <c r="B174" t="s">
        <v>372</v>
      </c>
      <c r="C174" t="s">
        <v>373</v>
      </c>
      <c r="D174" t="s">
        <v>10</v>
      </c>
      <c r="E174" t="s">
        <v>139</v>
      </c>
      <c r="F174" t="s">
        <v>99</v>
      </c>
      <c r="G174" t="str">
        <f>HYPERLINK(_xlfn.CONCAT("https://tablet.otzar.org/",CHAR(35),"/book/150354/p/-1/t/1/fs/0/start/0/end/0/c"),"מליץ טוב")</f>
        <v>מליץ טוב</v>
      </c>
      <c r="H174" t="str">
        <f>_xlfn.CONCAT("https://tablet.otzar.org/",CHAR(35),"/book/150354/p/-1/t/1/fs/0/start/0/end/0/c")</f>
        <v>https://tablet.otzar.org/#/book/150354/p/-1/t/1/fs/0/start/0/end/0/c</v>
      </c>
    </row>
    <row r="175" spans="1:8" x14ac:dyDescent="0.25">
      <c r="A175">
        <v>150221</v>
      </c>
      <c r="B175" t="s">
        <v>374</v>
      </c>
      <c r="C175" t="s">
        <v>375</v>
      </c>
      <c r="D175" t="s">
        <v>10</v>
      </c>
      <c r="E175" t="s">
        <v>26</v>
      </c>
      <c r="F175" t="s">
        <v>376</v>
      </c>
      <c r="G175" t="str">
        <f>HYPERLINK(_xlfn.CONCAT("https://tablet.otzar.org/",CHAR(35),"/book/150221/p/-1/t/1/fs/0/start/0/end/0/c"),"מלכי בקדש")</f>
        <v>מלכי בקדש</v>
      </c>
      <c r="H175" t="str">
        <f>_xlfn.CONCAT("https://tablet.otzar.org/",CHAR(35),"/book/150221/p/-1/t/1/fs/0/start/0/end/0/c")</f>
        <v>https://tablet.otzar.org/#/book/150221/p/-1/t/1/fs/0/start/0/end/0/c</v>
      </c>
    </row>
    <row r="176" spans="1:8" x14ac:dyDescent="0.25">
      <c r="A176">
        <v>193845</v>
      </c>
      <c r="B176" t="s">
        <v>377</v>
      </c>
      <c r="C176" t="s">
        <v>378</v>
      </c>
      <c r="D176" t="s">
        <v>10</v>
      </c>
      <c r="E176" t="s">
        <v>195</v>
      </c>
      <c r="F176" t="s">
        <v>208</v>
      </c>
      <c r="G176" t="str">
        <f>HYPERLINK(_xlfn.CONCAT("https://tablet.otzar.org/",CHAR(35),"/book/193845/p/-1/t/1/fs/0/start/0/end/0/c"),"מלל לאברהם - שו""""ת")</f>
        <v>מלל לאברהם - שו""ת</v>
      </c>
      <c r="H176" t="str">
        <f>_xlfn.CONCAT("https://tablet.otzar.org/",CHAR(35),"/book/193845/p/-1/t/1/fs/0/start/0/end/0/c")</f>
        <v>https://tablet.otzar.org/#/book/193845/p/-1/t/1/fs/0/start/0/end/0/c</v>
      </c>
    </row>
    <row r="177" spans="1:8" x14ac:dyDescent="0.25">
      <c r="A177">
        <v>610416</v>
      </c>
      <c r="B177" t="s">
        <v>379</v>
      </c>
      <c r="C177" t="s">
        <v>380</v>
      </c>
      <c r="D177" t="s">
        <v>10</v>
      </c>
      <c r="E177" t="s">
        <v>381</v>
      </c>
      <c r="G177" t="str">
        <f>HYPERLINK(_xlfn.CONCAT("https://tablet.otzar.org/",CHAR(35),"/exKotar/610416"),"מן הגנזים - 15 כרכים")</f>
        <v>מן הגנזים - 15 כרכים</v>
      </c>
      <c r="H177" t="str">
        <f>_xlfn.CONCAT("https://tablet.otzar.org/",CHAR(35),"/exKotar/610416")</f>
        <v>https://tablet.otzar.org/#/exKotar/610416</v>
      </c>
    </row>
    <row r="178" spans="1:8" x14ac:dyDescent="0.25">
      <c r="A178">
        <v>60670</v>
      </c>
      <c r="B178" t="s">
        <v>382</v>
      </c>
      <c r="C178" t="s">
        <v>29</v>
      </c>
      <c r="D178" t="s">
        <v>10</v>
      </c>
      <c r="E178" t="s">
        <v>383</v>
      </c>
      <c r="F178" t="s">
        <v>86</v>
      </c>
      <c r="G178" t="str">
        <f>HYPERLINK(_xlfn.CONCAT("https://tablet.otzar.org/",CHAR(35),"/book/60670/p/-1/t/1/fs/0/start/0/end/0/c"),"מנהגי ק""""ק """"בית יעקב"""" בחברון")</f>
        <v>מנהגי ק""ק ""בית יעקב"" בחברון</v>
      </c>
      <c r="H178" t="str">
        <f>_xlfn.CONCAT("https://tablet.otzar.org/",CHAR(35),"/book/60670/p/-1/t/1/fs/0/start/0/end/0/c")</f>
        <v>https://tablet.otzar.org/#/book/60670/p/-1/t/1/fs/0/start/0/end/0/c</v>
      </c>
    </row>
    <row r="179" spans="1:8" x14ac:dyDescent="0.25">
      <c r="A179">
        <v>150240</v>
      </c>
      <c r="B179" t="s">
        <v>384</v>
      </c>
      <c r="C179" t="s">
        <v>385</v>
      </c>
      <c r="D179" t="s">
        <v>10</v>
      </c>
      <c r="E179" t="s">
        <v>139</v>
      </c>
      <c r="F179" t="s">
        <v>27</v>
      </c>
      <c r="G179" t="str">
        <f>HYPERLINK(_xlfn.CONCAT("https://tablet.otzar.org/",CHAR(35),"/book/150240/p/-1/t/1/fs/0/start/0/end/0/c"),"מנחת יהודה")</f>
        <v>מנחת יהודה</v>
      </c>
      <c r="H179" t="str">
        <f>_xlfn.CONCAT("https://tablet.otzar.org/",CHAR(35),"/book/150240/p/-1/t/1/fs/0/start/0/end/0/c")</f>
        <v>https://tablet.otzar.org/#/book/150240/p/-1/t/1/fs/0/start/0/end/0/c</v>
      </c>
    </row>
    <row r="180" spans="1:8" x14ac:dyDescent="0.25">
      <c r="A180">
        <v>150843</v>
      </c>
      <c r="B180" t="s">
        <v>386</v>
      </c>
      <c r="C180" t="s">
        <v>387</v>
      </c>
      <c r="D180" t="s">
        <v>10</v>
      </c>
      <c r="E180" t="s">
        <v>228</v>
      </c>
      <c r="F180" t="s">
        <v>388</v>
      </c>
      <c r="G180" t="str">
        <f>HYPERLINK(_xlfn.CONCAT("https://tablet.otzar.org/",CHAR(35),"/book/150843/p/-1/t/1/fs/0/start/0/end/0/c"),"מנחת יוסף - פרי מגדים")</f>
        <v>מנחת יוסף - פרי מגדים</v>
      </c>
      <c r="H180" t="str">
        <f>_xlfn.CONCAT("https://tablet.otzar.org/",CHAR(35),"/book/150843/p/-1/t/1/fs/0/start/0/end/0/c")</f>
        <v>https://tablet.otzar.org/#/book/150843/p/-1/t/1/fs/0/start/0/end/0/c</v>
      </c>
    </row>
    <row r="181" spans="1:8" x14ac:dyDescent="0.25">
      <c r="A181">
        <v>150222</v>
      </c>
      <c r="B181" t="s">
        <v>389</v>
      </c>
      <c r="C181" t="s">
        <v>390</v>
      </c>
      <c r="D181" t="s">
        <v>10</v>
      </c>
      <c r="E181" t="s">
        <v>150</v>
      </c>
      <c r="F181" t="s">
        <v>198</v>
      </c>
      <c r="G181" t="str">
        <f>HYPERLINK(_xlfn.CONCAT("https://tablet.otzar.org/",CHAR(35),"/book/150222/p/-1/t/1/fs/0/start/0/end/0/c"),"מנחת יצחק - הגדה של פסח")</f>
        <v>מנחת יצחק - הגדה של פסח</v>
      </c>
      <c r="H181" t="str">
        <f>_xlfn.CONCAT("https://tablet.otzar.org/",CHAR(35),"/book/150222/p/-1/t/1/fs/0/start/0/end/0/c")</f>
        <v>https://tablet.otzar.org/#/book/150222/p/-1/t/1/fs/0/start/0/end/0/c</v>
      </c>
    </row>
    <row r="182" spans="1:8" x14ac:dyDescent="0.25">
      <c r="A182">
        <v>150277</v>
      </c>
      <c r="B182" t="s">
        <v>391</v>
      </c>
      <c r="C182" t="s">
        <v>392</v>
      </c>
      <c r="D182" t="s">
        <v>10</v>
      </c>
      <c r="E182" t="s">
        <v>101</v>
      </c>
      <c r="F182" t="s">
        <v>90</v>
      </c>
      <c r="G182" t="str">
        <f>HYPERLINK(_xlfn.CONCAT("https://tablet.otzar.org/",CHAR(35),"/book/150277/p/-1/t/1/fs/0/start/0/end/0/c"),"מנחת סוטה")</f>
        <v>מנחת סוטה</v>
      </c>
      <c r="H182" t="str">
        <f>_xlfn.CONCAT("https://tablet.otzar.org/",CHAR(35),"/book/150277/p/-1/t/1/fs/0/start/0/end/0/c")</f>
        <v>https://tablet.otzar.org/#/book/150277/p/-1/t/1/fs/0/start/0/end/0/c</v>
      </c>
    </row>
    <row r="183" spans="1:8" x14ac:dyDescent="0.25">
      <c r="A183">
        <v>150850</v>
      </c>
      <c r="B183" t="s">
        <v>393</v>
      </c>
      <c r="C183" t="s">
        <v>394</v>
      </c>
      <c r="D183" t="s">
        <v>10</v>
      </c>
      <c r="E183" t="s">
        <v>134</v>
      </c>
      <c r="F183" t="s">
        <v>90</v>
      </c>
      <c r="G183" t="str">
        <f>HYPERLINK(_xlfn.CONCAT("https://tablet.otzar.org/",CHAR(35),"/book/150850/p/-1/t/1/fs/0/start/0/end/0/c"),"מסכת הוריות ע""""פ נוסח ספרדי עם שינו""""ס")</f>
        <v>מסכת הוריות ע""פ נוסח ספרדי עם שינו""ס</v>
      </c>
      <c r="H183" t="str">
        <f>_xlfn.CONCAT("https://tablet.otzar.org/",CHAR(35),"/book/150850/p/-1/t/1/fs/0/start/0/end/0/c")</f>
        <v>https://tablet.otzar.org/#/book/150850/p/-1/t/1/fs/0/start/0/end/0/c</v>
      </c>
    </row>
    <row r="184" spans="1:8" x14ac:dyDescent="0.25">
      <c r="A184">
        <v>654845</v>
      </c>
      <c r="B184" t="s">
        <v>395</v>
      </c>
      <c r="C184" t="s">
        <v>9</v>
      </c>
      <c r="D184" t="s">
        <v>10</v>
      </c>
      <c r="E184" t="s">
        <v>15</v>
      </c>
      <c r="G184" t="str">
        <f>HYPERLINK(_xlfn.CONCAT("https://tablet.otzar.org/",CHAR(35),"/book/654845/p/-1/t/1/fs/0/start/0/end/0/c"),"מסכת תמורות")</f>
        <v>מסכת תמורות</v>
      </c>
      <c r="H184" t="str">
        <f>_xlfn.CONCAT("https://tablet.otzar.org/",CHAR(35),"/book/654845/p/-1/t/1/fs/0/start/0/end/0/c")</f>
        <v>https://tablet.otzar.org/#/book/654845/p/-1/t/1/fs/0/start/0/end/0/c</v>
      </c>
    </row>
    <row r="185" spans="1:8" x14ac:dyDescent="0.25">
      <c r="A185">
        <v>150282</v>
      </c>
      <c r="B185" t="s">
        <v>396</v>
      </c>
      <c r="C185" t="s">
        <v>189</v>
      </c>
      <c r="D185" t="s">
        <v>10</v>
      </c>
      <c r="E185" t="s">
        <v>397</v>
      </c>
      <c r="F185" t="s">
        <v>232</v>
      </c>
      <c r="G185" t="str">
        <f>HYPERLINK(_xlfn.CONCAT("https://tablet.otzar.org/",CHAR(35),"/book/150282/p/-1/t/1/fs/0/start/0/end/0/c"),"מעבר יבק &lt;מהדורת אהבת שלום&gt;")</f>
        <v>מעבר יבק &lt;מהדורת אהבת שלום&gt;</v>
      </c>
      <c r="H185" t="str">
        <f>_xlfn.CONCAT("https://tablet.otzar.org/",CHAR(35),"/book/150282/p/-1/t/1/fs/0/start/0/end/0/c")</f>
        <v>https://tablet.otzar.org/#/book/150282/p/-1/t/1/fs/0/start/0/end/0/c</v>
      </c>
    </row>
    <row r="186" spans="1:8" x14ac:dyDescent="0.25">
      <c r="A186">
        <v>150405</v>
      </c>
      <c r="B186" t="s">
        <v>398</v>
      </c>
      <c r="C186" t="s">
        <v>234</v>
      </c>
      <c r="D186" t="s">
        <v>10</v>
      </c>
      <c r="E186" t="s">
        <v>22</v>
      </c>
      <c r="F186" t="s">
        <v>140</v>
      </c>
      <c r="G186" t="str">
        <f>HYPERLINK(_xlfn.CONCAT("https://tablet.otzar.org/",CHAR(35),"/book/150405/p/-1/t/1/fs/0/start/0/end/0/c"),"מעשה אבות")</f>
        <v>מעשה אבות</v>
      </c>
      <c r="H186" t="str">
        <f>_xlfn.CONCAT("https://tablet.otzar.org/",CHAR(35),"/book/150405/p/-1/t/1/fs/0/start/0/end/0/c")</f>
        <v>https://tablet.otzar.org/#/book/150405/p/-1/t/1/fs/0/start/0/end/0/c</v>
      </c>
    </row>
    <row r="187" spans="1:8" x14ac:dyDescent="0.25">
      <c r="A187">
        <v>601405</v>
      </c>
      <c r="B187" t="s">
        <v>399</v>
      </c>
      <c r="C187" t="s">
        <v>212</v>
      </c>
      <c r="D187" t="s">
        <v>10</v>
      </c>
      <c r="E187" t="s">
        <v>47</v>
      </c>
      <c r="G187" t="str">
        <f>HYPERLINK(_xlfn.CONCAT("https://tablet.otzar.org/",CHAR(35),"/exKotar/601405"),"מעשה אליהו - 2 כרכים")</f>
        <v>מעשה אליהו - 2 כרכים</v>
      </c>
      <c r="H187" t="str">
        <f>_xlfn.CONCAT("https://tablet.otzar.org/",CHAR(35),"/exKotar/601405")</f>
        <v>https://tablet.otzar.org/#/exKotar/601405</v>
      </c>
    </row>
    <row r="188" spans="1:8" x14ac:dyDescent="0.25">
      <c r="A188">
        <v>150343</v>
      </c>
      <c r="B188" t="s">
        <v>400</v>
      </c>
      <c r="C188" t="s">
        <v>162</v>
      </c>
      <c r="D188" t="s">
        <v>10</v>
      </c>
      <c r="E188" t="s">
        <v>95</v>
      </c>
      <c r="F188" t="s">
        <v>401</v>
      </c>
      <c r="G188" t="str">
        <f>HYPERLINK(_xlfn.CONCAT("https://tablet.otzar.org/",CHAR(35),"/book/150343/p/-1/t/1/fs/0/start/0/end/0/c"),"מעשה בית דין")</f>
        <v>מעשה בית דין</v>
      </c>
      <c r="H188" t="str">
        <f>_xlfn.CONCAT("https://tablet.otzar.org/",CHAR(35),"/book/150343/p/-1/t/1/fs/0/start/0/end/0/c")</f>
        <v>https://tablet.otzar.org/#/book/150343/p/-1/t/1/fs/0/start/0/end/0/c</v>
      </c>
    </row>
    <row r="189" spans="1:8" x14ac:dyDescent="0.25">
      <c r="A189">
        <v>150227</v>
      </c>
      <c r="B189" t="s">
        <v>402</v>
      </c>
      <c r="C189" t="s">
        <v>234</v>
      </c>
      <c r="D189" t="s">
        <v>10</v>
      </c>
      <c r="E189" t="s">
        <v>22</v>
      </c>
      <c r="F189" t="s">
        <v>198</v>
      </c>
      <c r="G189" t="str">
        <f>HYPERLINK(_xlfn.CONCAT("https://tablet.otzar.org/",CHAR(35),"/book/150227/p/-1/t/1/fs/0/start/0/end/0/c"),"מעשה חי""""א")</f>
        <v>מעשה חי""א</v>
      </c>
      <c r="H189" t="str">
        <f>_xlfn.CONCAT("https://tablet.otzar.org/",CHAR(35),"/book/150227/p/-1/t/1/fs/0/start/0/end/0/c")</f>
        <v>https://tablet.otzar.org/#/book/150227/p/-1/t/1/fs/0/start/0/end/0/c</v>
      </c>
    </row>
    <row r="190" spans="1:8" x14ac:dyDescent="0.25">
      <c r="A190">
        <v>150327</v>
      </c>
      <c r="B190" t="s">
        <v>403</v>
      </c>
      <c r="C190" t="s">
        <v>404</v>
      </c>
      <c r="D190" t="s">
        <v>10</v>
      </c>
      <c r="E190" t="s">
        <v>52</v>
      </c>
      <c r="F190" t="s">
        <v>27</v>
      </c>
      <c r="G190" t="str">
        <f>HYPERLINK(_xlfn.CONCAT("https://tablet.otzar.org/",CHAR(35),"/exKotar/150327"),"מעשה חשב - 4 כרכים")</f>
        <v>מעשה חשב - 4 כרכים</v>
      </c>
      <c r="H190" t="str">
        <f>_xlfn.CONCAT("https://tablet.otzar.org/",CHAR(35),"/exKotar/150327")</f>
        <v>https://tablet.otzar.org/#/exKotar/150327</v>
      </c>
    </row>
    <row r="191" spans="1:8" x14ac:dyDescent="0.25">
      <c r="A191">
        <v>150336</v>
      </c>
      <c r="B191" t="s">
        <v>405</v>
      </c>
      <c r="C191" t="s">
        <v>406</v>
      </c>
      <c r="D191" t="s">
        <v>10</v>
      </c>
      <c r="E191" t="s">
        <v>407</v>
      </c>
      <c r="F191" t="s">
        <v>232</v>
      </c>
      <c r="G191" t="str">
        <f>HYPERLINK(_xlfn.CONCAT("https://tablet.otzar.org/",CHAR(35),"/book/150336/p/-1/t/1/fs/0/start/0/end/0/c"),"מעשה נסים")</f>
        <v>מעשה נסים</v>
      </c>
      <c r="H191" t="str">
        <f>_xlfn.CONCAT("https://tablet.otzar.org/",CHAR(35),"/book/150336/p/-1/t/1/fs/0/start/0/end/0/c")</f>
        <v>https://tablet.otzar.org/#/book/150336/p/-1/t/1/fs/0/start/0/end/0/c</v>
      </c>
    </row>
    <row r="192" spans="1:8" x14ac:dyDescent="0.25">
      <c r="A192">
        <v>646724</v>
      </c>
      <c r="B192" t="s">
        <v>408</v>
      </c>
      <c r="C192" t="s">
        <v>409</v>
      </c>
      <c r="D192" t="s">
        <v>10</v>
      </c>
      <c r="E192" t="s">
        <v>58</v>
      </c>
      <c r="G192" t="str">
        <f>HYPERLINK(_xlfn.CONCAT("https://tablet.otzar.org/",CHAR(35),"/book/646724/p/-1/t/1/fs/0/start/0/end/0/c"),"מעשה רב")</f>
        <v>מעשה רב</v>
      </c>
      <c r="H192" t="str">
        <f>_xlfn.CONCAT("https://tablet.otzar.org/",CHAR(35),"/book/646724/p/-1/t/1/fs/0/start/0/end/0/c")</f>
        <v>https://tablet.otzar.org/#/book/646724/p/-1/t/1/fs/0/start/0/end/0/c</v>
      </c>
    </row>
    <row r="193" spans="1:8" x14ac:dyDescent="0.25">
      <c r="A193">
        <v>22115</v>
      </c>
      <c r="B193" t="s">
        <v>410</v>
      </c>
      <c r="C193" t="s">
        <v>75</v>
      </c>
      <c r="D193" t="s">
        <v>10</v>
      </c>
      <c r="E193" t="s">
        <v>241</v>
      </c>
      <c r="F193" t="s">
        <v>71</v>
      </c>
      <c r="G193" t="str">
        <f>HYPERLINK(_xlfn.CONCAT("https://tablet.otzar.org/",CHAR(35),"/exKotar/22115"),"מקבציאל - 39 כרכים")</f>
        <v>מקבציאל - 39 כרכים</v>
      </c>
      <c r="H193" t="str">
        <f>_xlfn.CONCAT("https://tablet.otzar.org/",CHAR(35),"/exKotar/22115")</f>
        <v>https://tablet.otzar.org/#/exKotar/22115</v>
      </c>
    </row>
    <row r="194" spans="1:8" x14ac:dyDescent="0.25">
      <c r="A194">
        <v>150310</v>
      </c>
      <c r="B194" t="s">
        <v>411</v>
      </c>
      <c r="C194" t="s">
        <v>412</v>
      </c>
      <c r="D194" t="s">
        <v>10</v>
      </c>
      <c r="E194" t="s">
        <v>139</v>
      </c>
      <c r="F194" t="s">
        <v>135</v>
      </c>
      <c r="G194" t="str">
        <f>HYPERLINK(_xlfn.CONCAT("https://tablet.otzar.org/",CHAR(35),"/book/150310/p/-1/t/1/fs/0/start/0/end/0/c"),"מרפא לעצם &lt;אהבת שלום&gt;")</f>
        <v>מרפא לעצם &lt;אהבת שלום&gt;</v>
      </c>
      <c r="H194" t="str">
        <f>_xlfn.CONCAT("https://tablet.otzar.org/",CHAR(35),"/book/150310/p/-1/t/1/fs/0/start/0/end/0/c")</f>
        <v>https://tablet.otzar.org/#/book/150310/p/-1/t/1/fs/0/start/0/end/0/c</v>
      </c>
    </row>
    <row r="195" spans="1:8" x14ac:dyDescent="0.25">
      <c r="A195">
        <v>646845</v>
      </c>
      <c r="B195" t="s">
        <v>413</v>
      </c>
      <c r="C195" t="s">
        <v>414</v>
      </c>
      <c r="D195" t="s">
        <v>10</v>
      </c>
      <c r="E195" t="s">
        <v>58</v>
      </c>
      <c r="G195" t="str">
        <f>HYPERLINK(_xlfn.CONCAT("https://tablet.otzar.org/",CHAR(35),"/book/646845/p/-1/t/1/fs/0/start/0/end/0/c"),"משנה ברורה &lt;מהדורת אליבא דהלכתא&gt; - א")</f>
        <v>משנה ברורה &lt;מהדורת אליבא דהלכתא&gt; - א</v>
      </c>
      <c r="H195" t="str">
        <f>_xlfn.CONCAT("https://tablet.otzar.org/",CHAR(35),"/book/646845/p/-1/t/1/fs/0/start/0/end/0/c")</f>
        <v>https://tablet.otzar.org/#/book/646845/p/-1/t/1/fs/0/start/0/end/0/c</v>
      </c>
    </row>
    <row r="196" spans="1:8" x14ac:dyDescent="0.25">
      <c r="A196">
        <v>622344</v>
      </c>
      <c r="B196" t="s">
        <v>415</v>
      </c>
      <c r="C196" t="s">
        <v>416</v>
      </c>
      <c r="D196" t="s">
        <v>10</v>
      </c>
      <c r="E196" t="s">
        <v>19</v>
      </c>
      <c r="F196" t="s">
        <v>251</v>
      </c>
      <c r="G196" t="str">
        <f>HYPERLINK(_xlfn.CONCAT("https://tablet.otzar.org/",CHAR(35),"/exKotar/622344"),"משנה ברורה &lt;שינון הלכה  - 6 כרכים")</f>
        <v>משנה ברורה &lt;שינון הלכה  - 6 כרכים</v>
      </c>
      <c r="H196" t="str">
        <f>_xlfn.CONCAT("https://tablet.otzar.org/",CHAR(35),"/exKotar/622344")</f>
        <v>https://tablet.otzar.org/#/exKotar/622344</v>
      </c>
    </row>
    <row r="197" spans="1:8" x14ac:dyDescent="0.25">
      <c r="A197">
        <v>630772</v>
      </c>
      <c r="B197" t="s">
        <v>417</v>
      </c>
      <c r="C197" t="s">
        <v>418</v>
      </c>
      <c r="D197" t="s">
        <v>10</v>
      </c>
      <c r="E197" t="s">
        <v>19</v>
      </c>
      <c r="F197" t="s">
        <v>42</v>
      </c>
      <c r="G197" t="str">
        <f>HYPERLINK(_xlfn.CONCAT("https://tablet.otzar.org/",CHAR(35),"/exKotar/630772"),"משנה כסף על הרמב""""ם - 2 כרכים")</f>
        <v>משנה כסף על הרמב""ם - 2 כרכים</v>
      </c>
      <c r="H197" t="str">
        <f>_xlfn.CONCAT("https://tablet.otzar.org/",CHAR(35),"/exKotar/630772")</f>
        <v>https://tablet.otzar.org/#/exKotar/630772</v>
      </c>
    </row>
    <row r="198" spans="1:8" x14ac:dyDescent="0.25">
      <c r="A198">
        <v>654839</v>
      </c>
      <c r="B198" t="s">
        <v>419</v>
      </c>
      <c r="C198" t="s">
        <v>420</v>
      </c>
      <c r="D198" t="s">
        <v>10</v>
      </c>
      <c r="E198" t="s">
        <v>15</v>
      </c>
      <c r="G198" t="str">
        <f>HYPERLINK(_xlfn.CONCAT("https://tablet.otzar.org/",CHAR(35),"/book/654839/p/-1/t/1/fs/0/start/0/end/0/c"),"משנת הסת""""ם")</f>
        <v>משנת הסת""ם</v>
      </c>
      <c r="H198" t="str">
        <f>_xlfn.CONCAT("https://tablet.otzar.org/",CHAR(35),"/book/654839/p/-1/t/1/fs/0/start/0/end/0/c")</f>
        <v>https://tablet.otzar.org/#/book/654839/p/-1/t/1/fs/0/start/0/end/0/c</v>
      </c>
    </row>
    <row r="199" spans="1:8" x14ac:dyDescent="0.25">
      <c r="A199">
        <v>654818</v>
      </c>
      <c r="B199" t="s">
        <v>421</v>
      </c>
      <c r="C199" t="s">
        <v>422</v>
      </c>
      <c r="D199" t="s">
        <v>10</v>
      </c>
      <c r="E199" t="s">
        <v>143</v>
      </c>
      <c r="G199" t="str">
        <f>HYPERLINK(_xlfn.CONCAT("https://tablet.otzar.org/",CHAR(35),"/book/654818/p/-1/t/1/fs/0/start/0/end/0/c"),"משנת צדיקים")</f>
        <v>משנת צדיקים</v>
      </c>
      <c r="H199" t="str">
        <f>_xlfn.CONCAT("https://tablet.otzar.org/",CHAR(35),"/book/654818/p/-1/t/1/fs/0/start/0/end/0/c")</f>
        <v>https://tablet.otzar.org/#/book/654818/p/-1/t/1/fs/0/start/0/end/0/c</v>
      </c>
    </row>
    <row r="200" spans="1:8" x14ac:dyDescent="0.25">
      <c r="A200">
        <v>150247</v>
      </c>
      <c r="B200" t="s">
        <v>423</v>
      </c>
      <c r="C200" t="s">
        <v>273</v>
      </c>
      <c r="D200" t="s">
        <v>10</v>
      </c>
      <c r="E200" t="s">
        <v>52</v>
      </c>
      <c r="F200" t="s">
        <v>208</v>
      </c>
      <c r="G200" t="str">
        <f>HYPERLINK(_xlfn.CONCAT("https://tablet.otzar.org/",CHAR(35),"/book/150247/p/-1/t/1/fs/0/start/0/end/0/c"),"משפטי השם")</f>
        <v>משפטי השם</v>
      </c>
      <c r="H200" t="str">
        <f>_xlfn.CONCAT("https://tablet.otzar.org/",CHAR(35),"/book/150247/p/-1/t/1/fs/0/start/0/end/0/c")</f>
        <v>https://tablet.otzar.org/#/book/150247/p/-1/t/1/fs/0/start/0/end/0/c</v>
      </c>
    </row>
    <row r="201" spans="1:8" x14ac:dyDescent="0.25">
      <c r="A201">
        <v>150398</v>
      </c>
      <c r="B201" t="s">
        <v>424</v>
      </c>
      <c r="C201" t="s">
        <v>88</v>
      </c>
      <c r="D201" t="s">
        <v>10</v>
      </c>
      <c r="E201" t="s">
        <v>207</v>
      </c>
      <c r="F201" t="s">
        <v>208</v>
      </c>
      <c r="G201" t="str">
        <f>HYPERLINK(_xlfn.CONCAT("https://tablet.otzar.org/",CHAR(35),"/book/150398/p/-1/t/1/fs/0/start/0/end/0/c"),"משפטי צדק")</f>
        <v>משפטי צדק</v>
      </c>
      <c r="H201" t="str">
        <f>_xlfn.CONCAT("https://tablet.otzar.org/",CHAR(35),"/book/150398/p/-1/t/1/fs/0/start/0/end/0/c")</f>
        <v>https://tablet.otzar.org/#/book/150398/p/-1/t/1/fs/0/start/0/end/0/c</v>
      </c>
    </row>
    <row r="202" spans="1:8" x14ac:dyDescent="0.25">
      <c r="A202">
        <v>150306</v>
      </c>
      <c r="B202" t="s">
        <v>425</v>
      </c>
      <c r="C202" t="s">
        <v>412</v>
      </c>
      <c r="D202" t="s">
        <v>10</v>
      </c>
      <c r="E202" t="s">
        <v>139</v>
      </c>
      <c r="F202" t="s">
        <v>135</v>
      </c>
      <c r="G202" t="str">
        <f>HYPERLINK(_xlfn.CONCAT("https://tablet.otzar.org/",CHAR(35),"/book/150306/p/-1/t/1/fs/0/start/0/end/0/c"),"מתוק לנפש &lt;אהבת שלום&gt;")</f>
        <v>מתוק לנפש &lt;אהבת שלום&gt;</v>
      </c>
      <c r="H202" t="str">
        <f>_xlfn.CONCAT("https://tablet.otzar.org/",CHAR(35),"/book/150306/p/-1/t/1/fs/0/start/0/end/0/c")</f>
        <v>https://tablet.otzar.org/#/book/150306/p/-1/t/1/fs/0/start/0/end/0/c</v>
      </c>
    </row>
    <row r="203" spans="1:8" x14ac:dyDescent="0.25">
      <c r="A203">
        <v>150308</v>
      </c>
      <c r="B203" t="s">
        <v>426</v>
      </c>
      <c r="C203" t="s">
        <v>412</v>
      </c>
      <c r="D203" t="s">
        <v>10</v>
      </c>
      <c r="E203" t="s">
        <v>139</v>
      </c>
      <c r="F203" t="s">
        <v>135</v>
      </c>
      <c r="G203" t="str">
        <f>HYPERLINK(_xlfn.CONCAT("https://tablet.otzar.org/",CHAR(35),"/book/150308/p/-1/t/1/fs/0/start/0/end/0/c"),"מתוק מדבש טוב ירושלים &lt;אהבת שלום&gt;")</f>
        <v>מתוק מדבש טוב ירושלים &lt;אהבת שלום&gt;</v>
      </c>
      <c r="H203" t="str">
        <f>_xlfn.CONCAT("https://tablet.otzar.org/",CHAR(35),"/book/150308/p/-1/t/1/fs/0/start/0/end/0/c")</f>
        <v>https://tablet.otzar.org/#/book/150308/p/-1/t/1/fs/0/start/0/end/0/c</v>
      </c>
    </row>
    <row r="204" spans="1:8" x14ac:dyDescent="0.25">
      <c r="A204">
        <v>150261</v>
      </c>
      <c r="B204" t="s">
        <v>427</v>
      </c>
      <c r="C204" t="s">
        <v>25</v>
      </c>
      <c r="D204" t="s">
        <v>10</v>
      </c>
      <c r="E204" t="s">
        <v>139</v>
      </c>
      <c r="F204" t="s">
        <v>180</v>
      </c>
      <c r="G204" t="str">
        <f>HYPERLINK(_xlfn.CONCAT("https://tablet.otzar.org/",CHAR(35),"/book/150261/p/-1/t/1/fs/0/start/0/end/0/c"),"נער בוכה")</f>
        <v>נער בוכה</v>
      </c>
      <c r="H204" t="str">
        <f>_xlfn.CONCAT("https://tablet.otzar.org/",CHAR(35),"/book/150261/p/-1/t/1/fs/0/start/0/end/0/c")</f>
        <v>https://tablet.otzar.org/#/book/150261/p/-1/t/1/fs/0/start/0/end/0/c</v>
      </c>
    </row>
    <row r="205" spans="1:8" x14ac:dyDescent="0.25">
      <c r="A205">
        <v>150278</v>
      </c>
      <c r="B205" t="s">
        <v>428</v>
      </c>
      <c r="C205" t="s">
        <v>429</v>
      </c>
      <c r="D205" t="s">
        <v>10</v>
      </c>
      <c r="E205" t="s">
        <v>124</v>
      </c>
      <c r="F205" t="s">
        <v>235</v>
      </c>
      <c r="G205" t="str">
        <f>HYPERLINK(_xlfn.CONCAT("https://tablet.otzar.org/",CHAR(35),"/book/150278/p/-1/t/1/fs/0/start/0/end/0/c"),"נר יצחק - עמודי אהרן")</f>
        <v>נר יצחק - עמודי אהרן</v>
      </c>
      <c r="H205" t="str">
        <f>_xlfn.CONCAT("https://tablet.otzar.org/",CHAR(35),"/book/150278/p/-1/t/1/fs/0/start/0/end/0/c")</f>
        <v>https://tablet.otzar.org/#/book/150278/p/-1/t/1/fs/0/start/0/end/0/c</v>
      </c>
    </row>
    <row r="206" spans="1:8" x14ac:dyDescent="0.25">
      <c r="A206">
        <v>170097</v>
      </c>
      <c r="B206" t="s">
        <v>430</v>
      </c>
      <c r="C206" t="s">
        <v>431</v>
      </c>
      <c r="D206" t="s">
        <v>10</v>
      </c>
      <c r="E206" t="s">
        <v>81</v>
      </c>
      <c r="F206" t="s">
        <v>432</v>
      </c>
      <c r="G206" t="str">
        <f>HYPERLINK(_xlfn.CONCAT("https://tablet.otzar.org/",CHAR(35),"/book/170097/p/-1/t/1/fs/0/start/0/end/0/c"),"סדר הושענות ע""""פ ישועות יעקב")</f>
        <v>סדר הושענות ע""פ ישועות יעקב</v>
      </c>
      <c r="H206" t="str">
        <f>_xlfn.CONCAT("https://tablet.otzar.org/",CHAR(35),"/book/170097/p/-1/t/1/fs/0/start/0/end/0/c")</f>
        <v>https://tablet.otzar.org/#/book/170097/p/-1/t/1/fs/0/start/0/end/0/c</v>
      </c>
    </row>
    <row r="207" spans="1:8" x14ac:dyDescent="0.25">
      <c r="A207">
        <v>150827</v>
      </c>
      <c r="B207" t="s">
        <v>433</v>
      </c>
      <c r="C207" t="s">
        <v>98</v>
      </c>
      <c r="D207" t="s">
        <v>10</v>
      </c>
      <c r="E207" t="s">
        <v>26</v>
      </c>
      <c r="F207" t="s">
        <v>432</v>
      </c>
      <c r="G207" t="str">
        <f>HYPERLINK(_xlfn.CONCAT("https://tablet.otzar.org/",CHAR(35),"/book/150827/p/-1/t/1/fs/0/start/0/end/0/c"),"סדר הקפות לשמחת תורה")</f>
        <v>סדר הקפות לשמחת תורה</v>
      </c>
      <c r="H207" t="str">
        <f>_xlfn.CONCAT("https://tablet.otzar.org/",CHAR(35),"/book/150827/p/-1/t/1/fs/0/start/0/end/0/c")</f>
        <v>https://tablet.otzar.org/#/book/150827/p/-1/t/1/fs/0/start/0/end/0/c</v>
      </c>
    </row>
    <row r="208" spans="1:8" x14ac:dyDescent="0.25">
      <c r="A208">
        <v>186734</v>
      </c>
      <c r="B208" t="s">
        <v>434</v>
      </c>
      <c r="C208" t="s">
        <v>435</v>
      </c>
      <c r="D208" t="s">
        <v>10</v>
      </c>
      <c r="E208" t="s">
        <v>130</v>
      </c>
      <c r="F208" t="s">
        <v>432</v>
      </c>
      <c r="G208" t="str">
        <f>HYPERLINK(_xlfn.CONCAT("https://tablet.otzar.org/",CHAR(35),"/exKotar/186734"),"סדר סליחות עם ביאור סולח עוונות - 2 כרכים")</f>
        <v>סדר סליחות עם ביאור סולח עוונות - 2 כרכים</v>
      </c>
      <c r="H208" t="str">
        <f>_xlfn.CONCAT("https://tablet.otzar.org/",CHAR(35),"/exKotar/186734")</f>
        <v>https://tablet.otzar.org/#/exKotar/186734</v>
      </c>
    </row>
    <row r="209" spans="1:8" x14ac:dyDescent="0.25">
      <c r="A209">
        <v>150473</v>
      </c>
      <c r="B209" t="s">
        <v>436</v>
      </c>
      <c r="C209" t="s">
        <v>98</v>
      </c>
      <c r="D209" t="s">
        <v>10</v>
      </c>
      <c r="E209" t="s">
        <v>101</v>
      </c>
      <c r="F209" t="s">
        <v>437</v>
      </c>
      <c r="G209" t="str">
        <f>HYPERLINK(_xlfn.CONCAT("https://tablet.otzar.org/",CHAR(35),"/book/150473/p/-1/t/1/fs/0/start/0/end/0/c"),"סוכת שלום - סוכה")</f>
        <v>סוכת שלום - סוכה</v>
      </c>
      <c r="H209" t="str">
        <f>_xlfn.CONCAT("https://tablet.otzar.org/",CHAR(35),"/book/150473/p/-1/t/1/fs/0/start/0/end/0/c")</f>
        <v>https://tablet.otzar.org/#/book/150473/p/-1/t/1/fs/0/start/0/end/0/c</v>
      </c>
    </row>
    <row r="210" spans="1:8" x14ac:dyDescent="0.25">
      <c r="A210">
        <v>181297</v>
      </c>
      <c r="B210" t="s">
        <v>438</v>
      </c>
      <c r="C210" t="s">
        <v>439</v>
      </c>
      <c r="D210" t="s">
        <v>10</v>
      </c>
      <c r="E210" t="s">
        <v>370</v>
      </c>
      <c r="G210" t="str">
        <f>HYPERLINK(_xlfn.CONCAT("https://tablet.otzar.org/",CHAR(35),"/book/181297/p/-1/t/1/fs/0/start/0/end/0/c"),"סידור אור השנים - נוסח ק""""ק ספרדים")</f>
        <v>סידור אור השנים - נוסח ק""ק ספרדים</v>
      </c>
      <c r="H210" t="str">
        <f>_xlfn.CONCAT("https://tablet.otzar.org/",CHAR(35),"/book/181297/p/-1/t/1/fs/0/start/0/end/0/c")</f>
        <v>https://tablet.otzar.org/#/book/181297/p/-1/t/1/fs/0/start/0/end/0/c</v>
      </c>
    </row>
    <row r="211" spans="1:8" x14ac:dyDescent="0.25">
      <c r="A211">
        <v>654811</v>
      </c>
      <c r="B211" t="s">
        <v>440</v>
      </c>
      <c r="C211" t="s">
        <v>441</v>
      </c>
      <c r="D211" t="s">
        <v>10</v>
      </c>
      <c r="E211" t="s">
        <v>15</v>
      </c>
      <c r="G211" t="str">
        <f>HYPERLINK(_xlfn.CONCAT("https://tablet.otzar.org/",CHAR(35),"/book/654811/p/-1/t/1/fs/0/start/0/end/0/c"),"סידור בית מנוחה &lt;מהדורת אהבת שלום&gt;")</f>
        <v>סידור בית מנוחה &lt;מהדורת אהבת שלום&gt;</v>
      </c>
      <c r="H211" t="str">
        <f>_xlfn.CONCAT("https://tablet.otzar.org/",CHAR(35),"/book/654811/p/-1/t/1/fs/0/start/0/end/0/c")</f>
        <v>https://tablet.otzar.org/#/book/654811/p/-1/t/1/fs/0/start/0/end/0/c</v>
      </c>
    </row>
    <row r="212" spans="1:8" x14ac:dyDescent="0.25">
      <c r="A212">
        <v>654810</v>
      </c>
      <c r="B212" t="s">
        <v>442</v>
      </c>
      <c r="C212" t="s">
        <v>441</v>
      </c>
      <c r="D212" t="s">
        <v>10</v>
      </c>
      <c r="E212" t="s">
        <v>15</v>
      </c>
      <c r="G212" t="str">
        <f>HYPERLINK(_xlfn.CONCAT("https://tablet.otzar.org/",CHAR(35),"/book/654810/p/-1/t/1/fs/0/start/0/end/0/c"),"סידור בית עובד &lt;מהדורת אהבת שלום&gt;")</f>
        <v>סידור בית עובד &lt;מהדורת אהבת שלום&gt;</v>
      </c>
      <c r="H212" t="str">
        <f>_xlfn.CONCAT("https://tablet.otzar.org/",CHAR(35),"/book/654810/p/-1/t/1/fs/0/start/0/end/0/c")</f>
        <v>https://tablet.otzar.org/#/book/654810/p/-1/t/1/fs/0/start/0/end/0/c</v>
      </c>
    </row>
    <row r="213" spans="1:8" x14ac:dyDescent="0.25">
      <c r="A213">
        <v>196059</v>
      </c>
      <c r="B213" t="s">
        <v>443</v>
      </c>
      <c r="C213" t="s">
        <v>444</v>
      </c>
      <c r="D213" t="s">
        <v>10</v>
      </c>
      <c r="E213" t="s">
        <v>195</v>
      </c>
      <c r="F213" t="s">
        <v>99</v>
      </c>
      <c r="G213" t="str">
        <f>HYPERLINK(_xlfn.CONCAT("https://tablet.otzar.org/",CHAR(35),"/exKotar/196059"),"סידור האר""""י חמדת ישראל &lt;מהדורת אהבת שלום&gt;  - 2 כרכים")</f>
        <v>סידור האר""י חמדת ישראל &lt;מהדורת אהבת שלום&gt;  - 2 כרכים</v>
      </c>
      <c r="H213" t="str">
        <f>_xlfn.CONCAT("https://tablet.otzar.org/",CHAR(35),"/exKotar/196059")</f>
        <v>https://tablet.otzar.org/#/exKotar/196059</v>
      </c>
    </row>
    <row r="214" spans="1:8" x14ac:dyDescent="0.25">
      <c r="A214">
        <v>150363</v>
      </c>
      <c r="B214" t="s">
        <v>445</v>
      </c>
      <c r="C214" t="s">
        <v>331</v>
      </c>
      <c r="D214" t="s">
        <v>10</v>
      </c>
      <c r="E214" t="s">
        <v>139</v>
      </c>
      <c r="F214" t="s">
        <v>99</v>
      </c>
      <c r="G214" t="str">
        <f>HYPERLINK(_xlfn.CONCAT("https://tablet.otzar.org/",CHAR(35),"/book/150363/p/-1/t/1/fs/0/start/0/end/0/c"),"סידור החיד""""א &lt;אהבת שלום&gt;")</f>
        <v>סידור החיד""א &lt;אהבת שלום&gt;</v>
      </c>
      <c r="H214" t="str">
        <f>_xlfn.CONCAT("https://tablet.otzar.org/",CHAR(35),"/book/150363/p/-1/t/1/fs/0/start/0/end/0/c")</f>
        <v>https://tablet.otzar.org/#/book/150363/p/-1/t/1/fs/0/start/0/end/0/c</v>
      </c>
    </row>
    <row r="215" spans="1:8" x14ac:dyDescent="0.25">
      <c r="A215">
        <v>150281</v>
      </c>
      <c r="B215" t="s">
        <v>446</v>
      </c>
      <c r="C215" t="s">
        <v>439</v>
      </c>
      <c r="D215" t="s">
        <v>10</v>
      </c>
      <c r="E215" t="s">
        <v>55</v>
      </c>
      <c r="F215" t="s">
        <v>23</v>
      </c>
      <c r="G215" t="str">
        <f>HYPERLINK(_xlfn.CONCAT("https://tablet.otzar.org/",CHAR(35),"/book/150281/p/-1/t/1/fs/0/start/0/end/0/c"),"סידור הפרד""""ס")</f>
        <v>סידור הפרד""ס</v>
      </c>
      <c r="H215" t="str">
        <f>_xlfn.CONCAT("https://tablet.otzar.org/",CHAR(35),"/book/150281/p/-1/t/1/fs/0/start/0/end/0/c")</f>
        <v>https://tablet.otzar.org/#/book/150281/p/-1/t/1/fs/0/start/0/end/0/c</v>
      </c>
    </row>
    <row r="216" spans="1:8" x14ac:dyDescent="0.25">
      <c r="A216">
        <v>150207</v>
      </c>
      <c r="B216" t="s">
        <v>447</v>
      </c>
      <c r="C216" t="s">
        <v>197</v>
      </c>
      <c r="D216" t="s">
        <v>10</v>
      </c>
      <c r="E216" t="s">
        <v>107</v>
      </c>
      <c r="F216" t="s">
        <v>99</v>
      </c>
      <c r="G216" t="str">
        <f>HYPERLINK(_xlfn.CONCAT("https://tablet.otzar.org/",CHAR(35),"/exKotar/150207"),"סידור השל""""ה &lt;שער השמים&gt;  - 3 כרכים")</f>
        <v>סידור השל""ה &lt;שער השמים&gt;  - 3 כרכים</v>
      </c>
      <c r="H216" t="str">
        <f>_xlfn.CONCAT("https://tablet.otzar.org/",CHAR(35),"/exKotar/150207")</f>
        <v>https://tablet.otzar.org/#/exKotar/150207</v>
      </c>
    </row>
    <row r="217" spans="1:8" x14ac:dyDescent="0.25">
      <c r="A217">
        <v>61434</v>
      </c>
      <c r="B217" t="s">
        <v>448</v>
      </c>
      <c r="C217" t="s">
        <v>29</v>
      </c>
      <c r="D217" t="s">
        <v>10</v>
      </c>
      <c r="E217" t="s">
        <v>44</v>
      </c>
      <c r="F217" t="s">
        <v>56</v>
      </c>
      <c r="G217" t="str">
        <f>HYPERLINK(_xlfn.CONCAT("https://tablet.otzar.org/",CHAR(35),"/exKotar/61434"),"סידור כוונות הרש""""ש &lt;אהבת שלום&gt;  - 11 כרכים")</f>
        <v>סידור כוונות הרש""ש &lt;אהבת שלום&gt;  - 11 כרכים</v>
      </c>
      <c r="H217" t="str">
        <f>_xlfn.CONCAT("https://tablet.otzar.org/",CHAR(35),"/exKotar/61434")</f>
        <v>https://tablet.otzar.org/#/exKotar/61434</v>
      </c>
    </row>
    <row r="218" spans="1:8" x14ac:dyDescent="0.25">
      <c r="A218">
        <v>150833</v>
      </c>
      <c r="B218" t="s">
        <v>449</v>
      </c>
      <c r="C218" t="s">
        <v>450</v>
      </c>
      <c r="D218" t="s">
        <v>10</v>
      </c>
      <c r="E218" t="s">
        <v>101</v>
      </c>
      <c r="F218" t="s">
        <v>99</v>
      </c>
      <c r="G218" t="str">
        <f>HYPERLINK(_xlfn.CONCAT("https://tablet.otzar.org/",CHAR(35),"/exKotar/150833"),"סידור שער בנימין &lt;נוסח ק""""ק דמשק&gt; - 2 כרכים")</f>
        <v>סידור שער בנימין &lt;נוסח ק""ק דמשק&gt; - 2 כרכים</v>
      </c>
      <c r="H218" t="str">
        <f>_xlfn.CONCAT("https://tablet.otzar.org/",CHAR(35),"/exKotar/150833")</f>
        <v>https://tablet.otzar.org/#/exKotar/150833</v>
      </c>
    </row>
    <row r="219" spans="1:8" x14ac:dyDescent="0.25">
      <c r="A219">
        <v>151320</v>
      </c>
      <c r="B219" t="s">
        <v>451</v>
      </c>
      <c r="C219" t="s">
        <v>452</v>
      </c>
      <c r="D219" t="s">
        <v>10</v>
      </c>
      <c r="E219" t="s">
        <v>50</v>
      </c>
      <c r="G219" t="str">
        <f>HYPERLINK(_xlfn.CONCAT("https://tablet.otzar.org/",CHAR(35),"/book/151320/p/-1/t/1/fs/0/start/0/end/0/c"),"סידור תפלת רפאל")</f>
        <v>סידור תפלת רפאל</v>
      </c>
      <c r="H219" t="str">
        <f>_xlfn.CONCAT("https://tablet.otzar.org/",CHAR(35),"/book/151320/p/-1/t/1/fs/0/start/0/end/0/c")</f>
        <v>https://tablet.otzar.org/#/book/151320/p/-1/t/1/fs/0/start/0/end/0/c</v>
      </c>
    </row>
    <row r="220" spans="1:8" x14ac:dyDescent="0.25">
      <c r="A220">
        <v>150403</v>
      </c>
      <c r="B220" t="s">
        <v>453</v>
      </c>
      <c r="C220" t="s">
        <v>454</v>
      </c>
      <c r="D220" t="s">
        <v>10</v>
      </c>
      <c r="E220" t="s">
        <v>55</v>
      </c>
      <c r="F220" t="s">
        <v>12</v>
      </c>
      <c r="G220" t="str">
        <f>HYPERLINK(_xlfn.CONCAT("https://tablet.otzar.org/",CHAR(35),"/book/150403/p/-1/t/1/fs/0/start/0/end/0/c"),"סימנא דחיי")</f>
        <v>סימנא דחיי</v>
      </c>
      <c r="H220" t="str">
        <f>_xlfn.CONCAT("https://tablet.otzar.org/",CHAR(35),"/book/150403/p/-1/t/1/fs/0/start/0/end/0/c")</f>
        <v>https://tablet.otzar.org/#/book/150403/p/-1/t/1/fs/0/start/0/end/0/c</v>
      </c>
    </row>
    <row r="221" spans="1:8" x14ac:dyDescent="0.25">
      <c r="A221">
        <v>150826</v>
      </c>
      <c r="B221" t="s">
        <v>455</v>
      </c>
      <c r="C221" t="s">
        <v>456</v>
      </c>
      <c r="D221" t="s">
        <v>10</v>
      </c>
      <c r="E221" t="s">
        <v>22</v>
      </c>
      <c r="F221" t="s">
        <v>99</v>
      </c>
      <c r="G221" t="str">
        <f>HYPERLINK(_xlfn.CONCAT("https://tablet.otzar.org/",CHAR(35),"/book/150826/p/-1/t/1/fs/0/start/0/end/0/c"),"סליחות עם ביאור סולח עוונות")</f>
        <v>סליחות עם ביאור סולח עוונות</v>
      </c>
      <c r="H221" t="str">
        <f>_xlfn.CONCAT("https://tablet.otzar.org/",CHAR(35),"/book/150826/p/-1/t/1/fs/0/start/0/end/0/c")</f>
        <v>https://tablet.otzar.org/#/book/150826/p/-1/t/1/fs/0/start/0/end/0/c</v>
      </c>
    </row>
    <row r="222" spans="1:8" x14ac:dyDescent="0.25">
      <c r="A222">
        <v>150778</v>
      </c>
      <c r="B222" t="s">
        <v>457</v>
      </c>
      <c r="C222" t="s">
        <v>132</v>
      </c>
      <c r="D222" t="s">
        <v>10</v>
      </c>
      <c r="E222" t="s">
        <v>22</v>
      </c>
      <c r="F222" t="s">
        <v>90</v>
      </c>
      <c r="G222" t="str">
        <f>HYPERLINK(_xlfn.CONCAT("https://tablet.otzar.org/",CHAR(35),"/book/150778/p/-1/t/1/fs/0/start/0/end/0/c"),"סמיכת חכמים &lt;אהבת שלום&gt;")</f>
        <v>סמיכת חכמים &lt;אהבת שלום&gt;</v>
      </c>
      <c r="H222" t="str">
        <f>_xlfn.CONCAT("https://tablet.otzar.org/",CHAR(35),"/book/150778/p/-1/t/1/fs/0/start/0/end/0/c")</f>
        <v>https://tablet.otzar.org/#/book/150778/p/-1/t/1/fs/0/start/0/end/0/c</v>
      </c>
    </row>
    <row r="223" spans="1:8" x14ac:dyDescent="0.25">
      <c r="A223">
        <v>150387</v>
      </c>
      <c r="B223" t="s">
        <v>458</v>
      </c>
      <c r="C223" t="s">
        <v>459</v>
      </c>
      <c r="D223" t="s">
        <v>10</v>
      </c>
      <c r="E223" t="s">
        <v>397</v>
      </c>
      <c r="F223" t="s">
        <v>23</v>
      </c>
      <c r="G223" t="str">
        <f>HYPERLINK(_xlfn.CONCAT("https://tablet.otzar.org/",CHAR(35),"/book/150387/p/-1/t/1/fs/0/start/0/end/0/c"),"ספר הדרושים")</f>
        <v>ספר הדרושים</v>
      </c>
      <c r="H223" t="str">
        <f>_xlfn.CONCAT("https://tablet.otzar.org/",CHAR(35),"/book/150387/p/-1/t/1/fs/0/start/0/end/0/c")</f>
        <v>https://tablet.otzar.org/#/book/150387/p/-1/t/1/fs/0/start/0/end/0/c</v>
      </c>
    </row>
    <row r="224" spans="1:8" x14ac:dyDescent="0.25">
      <c r="A224">
        <v>646838</v>
      </c>
      <c r="B224" t="s">
        <v>460</v>
      </c>
      <c r="C224" t="s">
        <v>461</v>
      </c>
      <c r="D224" t="s">
        <v>10</v>
      </c>
      <c r="E224" t="s">
        <v>58</v>
      </c>
      <c r="G224" t="str">
        <f>HYPERLINK(_xlfn.CONCAT("https://tablet.otzar.org/",CHAR(35),"/exKotar/646838"),"ספר הזהר עם פירוש אמת ליעקב - 12 כרכים")</f>
        <v>ספר הזהר עם פירוש אמת ליעקב - 12 כרכים</v>
      </c>
      <c r="H224" t="str">
        <f>_xlfn.CONCAT("https://tablet.otzar.org/",CHAR(35),"/exKotar/646838")</f>
        <v>https://tablet.otzar.org/#/exKotar/646838</v>
      </c>
    </row>
    <row r="225" spans="1:8" x14ac:dyDescent="0.25">
      <c r="A225">
        <v>186736</v>
      </c>
      <c r="B225" t="s">
        <v>462</v>
      </c>
      <c r="C225" t="s">
        <v>463</v>
      </c>
      <c r="D225" t="s">
        <v>10</v>
      </c>
      <c r="E225" t="s">
        <v>370</v>
      </c>
      <c r="F225" t="s">
        <v>42</v>
      </c>
      <c r="G225" t="str">
        <f>HYPERLINK(_xlfn.CONCAT("https://tablet.otzar.org/",CHAR(35),"/exKotar/186736"),"ספר הזכרונות &lt;אהבת שלום&gt; - 2 כרכים")</f>
        <v>ספר הזכרונות &lt;אהבת שלום&gt; - 2 כרכים</v>
      </c>
      <c r="H225" t="str">
        <f>_xlfn.CONCAT("https://tablet.otzar.org/",CHAR(35),"/exKotar/186736")</f>
        <v>https://tablet.otzar.org/#/exKotar/186736</v>
      </c>
    </row>
    <row r="226" spans="1:8" x14ac:dyDescent="0.25">
      <c r="A226">
        <v>150289</v>
      </c>
      <c r="B226" t="s">
        <v>464</v>
      </c>
      <c r="C226" t="s">
        <v>465</v>
      </c>
      <c r="D226" t="s">
        <v>10</v>
      </c>
      <c r="E226" t="s">
        <v>107</v>
      </c>
      <c r="F226" t="s">
        <v>232</v>
      </c>
      <c r="G226" t="str">
        <f>HYPERLINK(_xlfn.CONCAT("https://tablet.otzar.org/",CHAR(35),"/exKotar/150289"),"ספר החינוך &lt;מעיל האפד&gt;  - 2 כרכים")</f>
        <v>ספר החינוך &lt;מעיל האפד&gt;  - 2 כרכים</v>
      </c>
      <c r="H226" t="str">
        <f>_xlfn.CONCAT("https://tablet.otzar.org/",CHAR(35),"/exKotar/150289")</f>
        <v>https://tablet.otzar.org/#/exKotar/150289</v>
      </c>
    </row>
    <row r="227" spans="1:8" x14ac:dyDescent="0.25">
      <c r="A227">
        <v>150204</v>
      </c>
      <c r="B227" t="s">
        <v>466</v>
      </c>
      <c r="C227" t="s">
        <v>459</v>
      </c>
      <c r="D227" t="s">
        <v>10</v>
      </c>
      <c r="E227" t="s">
        <v>50</v>
      </c>
      <c r="F227" t="s">
        <v>23</v>
      </c>
      <c r="G227" t="str">
        <f>HYPERLINK(_xlfn.CONCAT("https://tablet.otzar.org/",CHAR(35),"/book/150204/p/-1/t/1/fs/0/start/0/end/0/c"),"ספר הכוונות &lt;הישן&gt;")</f>
        <v>ספר הכוונות &lt;הישן&gt;</v>
      </c>
      <c r="H227" t="str">
        <f>_xlfn.CONCAT("https://tablet.otzar.org/",CHAR(35),"/book/150204/p/-1/t/1/fs/0/start/0/end/0/c")</f>
        <v>https://tablet.otzar.org/#/book/150204/p/-1/t/1/fs/0/start/0/end/0/c</v>
      </c>
    </row>
    <row r="228" spans="1:8" x14ac:dyDescent="0.25">
      <c r="A228">
        <v>150763</v>
      </c>
      <c r="B228" t="s">
        <v>467</v>
      </c>
      <c r="C228" t="s">
        <v>303</v>
      </c>
      <c r="D228" t="s">
        <v>10</v>
      </c>
      <c r="E228" t="s">
        <v>228</v>
      </c>
      <c r="F228" t="s">
        <v>468</v>
      </c>
      <c r="G228" t="str">
        <f>HYPERLINK(_xlfn.CONCAT("https://tablet.otzar.org/",CHAR(35),"/book/150763/p/-1/t/1/fs/0/start/0/end/0/c"),"ספר הכללים")</f>
        <v>ספר הכללים</v>
      </c>
      <c r="H228" t="str">
        <f>_xlfn.CONCAT("https://tablet.otzar.org/",CHAR(35),"/book/150763/p/-1/t/1/fs/0/start/0/end/0/c")</f>
        <v>https://tablet.otzar.org/#/book/150763/p/-1/t/1/fs/0/start/0/end/0/c</v>
      </c>
    </row>
    <row r="229" spans="1:8" x14ac:dyDescent="0.25">
      <c r="A229">
        <v>150753</v>
      </c>
      <c r="B229" t="s">
        <v>469</v>
      </c>
      <c r="C229" t="s">
        <v>303</v>
      </c>
      <c r="D229" t="s">
        <v>10</v>
      </c>
      <c r="E229" t="s">
        <v>228</v>
      </c>
      <c r="F229" t="s">
        <v>12</v>
      </c>
      <c r="G229" t="str">
        <f>HYPERLINK(_xlfn.CONCAT("https://tablet.otzar.org/",CHAR(35),"/exKotar/150753"),"ספר הליקוטים - 3 כרכים")</f>
        <v>ספר הליקוטים - 3 כרכים</v>
      </c>
      <c r="H229" t="str">
        <f>_xlfn.CONCAT("https://tablet.otzar.org/",CHAR(35),"/exKotar/150753")</f>
        <v>https://tablet.otzar.org/#/exKotar/150753</v>
      </c>
    </row>
    <row r="230" spans="1:8" x14ac:dyDescent="0.25">
      <c r="A230">
        <v>150360</v>
      </c>
      <c r="B230" t="s">
        <v>470</v>
      </c>
      <c r="C230" t="s">
        <v>21</v>
      </c>
      <c r="D230" t="s">
        <v>10</v>
      </c>
      <c r="E230" t="s">
        <v>107</v>
      </c>
      <c r="F230" t="s">
        <v>23</v>
      </c>
      <c r="G230" t="str">
        <f>HYPERLINK(_xlfn.CONCAT("https://tablet.otzar.org/",CHAR(35),"/book/150360/p/-1/t/1/fs/0/start/0/end/0/c"),"ספר יצירה &lt;עם פירוש מהרח""""ו&gt;")</f>
        <v>ספר יצירה &lt;עם פירוש מהרח""ו&gt;</v>
      </c>
      <c r="H230" t="str">
        <f>_xlfn.CONCAT("https://tablet.otzar.org/",CHAR(35),"/book/150360/p/-1/t/1/fs/0/start/0/end/0/c")</f>
        <v>https://tablet.otzar.org/#/book/150360/p/-1/t/1/fs/0/start/0/end/0/c</v>
      </c>
    </row>
    <row r="231" spans="1:8" x14ac:dyDescent="0.25">
      <c r="A231">
        <v>150232</v>
      </c>
      <c r="B231" t="s">
        <v>471</v>
      </c>
      <c r="C231" t="s">
        <v>273</v>
      </c>
      <c r="D231" t="s">
        <v>10</v>
      </c>
      <c r="E231" t="s">
        <v>207</v>
      </c>
      <c r="F231" t="s">
        <v>232</v>
      </c>
      <c r="G231" t="str">
        <f>HYPERLINK(_xlfn.CONCAT("https://tablet.otzar.org/",CHAR(35),"/exKotar/150232"),"ספר יראים &lt;עמודי הארזים&gt;  - 4 כרכים")</f>
        <v>ספר יראים &lt;עמודי הארזים&gt;  - 4 כרכים</v>
      </c>
      <c r="H231" t="str">
        <f>_xlfn.CONCAT("https://tablet.otzar.org/",CHAR(35),"/exKotar/150232")</f>
        <v>https://tablet.otzar.org/#/exKotar/150232</v>
      </c>
    </row>
    <row r="232" spans="1:8" x14ac:dyDescent="0.25">
      <c r="A232">
        <v>620313</v>
      </c>
      <c r="B232" t="s">
        <v>472</v>
      </c>
      <c r="C232" t="s">
        <v>9</v>
      </c>
      <c r="D232" t="s">
        <v>10</v>
      </c>
      <c r="E232" t="s">
        <v>47</v>
      </c>
      <c r="G232" t="str">
        <f>HYPERLINK(_xlfn.CONCAT("https://tablet.otzar.org/",CHAR(35),"/book/620313/p/-1/t/1/fs/0/start/0/end/0/c"),"ספרו של בדאי")</f>
        <v>ספרו של בדאי</v>
      </c>
      <c r="H232" t="str">
        <f>_xlfn.CONCAT("https://tablet.otzar.org/",CHAR(35),"/book/620313/p/-1/t/1/fs/0/start/0/end/0/c")</f>
        <v>https://tablet.otzar.org/#/book/620313/p/-1/t/1/fs/0/start/0/end/0/c</v>
      </c>
    </row>
    <row r="233" spans="1:8" x14ac:dyDescent="0.25">
      <c r="A233">
        <v>150524</v>
      </c>
      <c r="B233" t="s">
        <v>473</v>
      </c>
      <c r="C233" t="s">
        <v>49</v>
      </c>
      <c r="D233" t="s">
        <v>10</v>
      </c>
      <c r="E233" t="s">
        <v>52</v>
      </c>
      <c r="G233" t="str">
        <f>HYPERLINK(_xlfn.CONCAT("https://tablet.otzar.org/",CHAR(35),"/exKotar/150524"),"ספרים באנגלית - 22 כרכים")</f>
        <v>ספרים באנגלית - 22 כרכים</v>
      </c>
      <c r="H233" t="str">
        <f>_xlfn.CONCAT("https://tablet.otzar.org/",CHAR(35),"/exKotar/150524")</f>
        <v>https://tablet.otzar.org/#/exKotar/150524</v>
      </c>
    </row>
    <row r="234" spans="1:8" x14ac:dyDescent="0.25">
      <c r="A234">
        <v>151322</v>
      </c>
      <c r="B234" t="s">
        <v>474</v>
      </c>
      <c r="C234" t="s">
        <v>224</v>
      </c>
      <c r="D234" t="s">
        <v>475</v>
      </c>
      <c r="E234" t="s">
        <v>101</v>
      </c>
      <c r="G234" t="str">
        <f>HYPERLINK(_xlfn.CONCAT("https://tablet.otzar.org/",CHAR(35),"/exKotar/151322"),"ספרים בטורקית - 2 כרכים")</f>
        <v>ספרים בטורקית - 2 כרכים</v>
      </c>
      <c r="H234" t="str">
        <f>_xlfn.CONCAT("https://tablet.otzar.org/",CHAR(35),"/exKotar/151322")</f>
        <v>https://tablet.otzar.org/#/exKotar/151322</v>
      </c>
    </row>
    <row r="235" spans="1:8" x14ac:dyDescent="0.25">
      <c r="A235">
        <v>151277</v>
      </c>
      <c r="B235" t="s">
        <v>476</v>
      </c>
      <c r="C235" t="s">
        <v>224</v>
      </c>
      <c r="D235" t="s">
        <v>10</v>
      </c>
      <c r="E235" t="s">
        <v>50</v>
      </c>
      <c r="G235" t="str">
        <f>HYPERLINK(_xlfn.CONCAT("https://tablet.otzar.org/",CHAR(35),"/book/151277/p/-1/t/1/fs/0/start/0/end/0/c"),"ספרים בצרפתית - LA FOI, ET LA FOLIE")</f>
        <v>ספרים בצרפתית - LA FOI, ET LA FOLIE</v>
      </c>
      <c r="H235" t="str">
        <f>_xlfn.CONCAT("https://tablet.otzar.org/",CHAR(35),"/book/151277/p/-1/t/1/fs/0/start/0/end/0/c")</f>
        <v>https://tablet.otzar.org/#/book/151277/p/-1/t/1/fs/0/start/0/end/0/c</v>
      </c>
    </row>
    <row r="236" spans="1:8" x14ac:dyDescent="0.25">
      <c r="A236">
        <v>150326</v>
      </c>
      <c r="B236" t="s">
        <v>477</v>
      </c>
      <c r="C236" t="s">
        <v>63</v>
      </c>
      <c r="D236" t="s">
        <v>10</v>
      </c>
      <c r="E236" t="s">
        <v>146</v>
      </c>
      <c r="F236" t="s">
        <v>27</v>
      </c>
      <c r="G236" t="str">
        <f>HYPERLINK(_xlfn.CONCAT("https://tablet.otzar.org/",CHAR(35),"/book/150326/p/-1/t/1/fs/0/start/0/end/0/c"),"עבודת הצדקה")</f>
        <v>עבודת הצדקה</v>
      </c>
      <c r="H236" t="str">
        <f>_xlfn.CONCAT("https://tablet.otzar.org/",CHAR(35),"/book/150326/p/-1/t/1/fs/0/start/0/end/0/c")</f>
        <v>https://tablet.otzar.org/#/book/150326/p/-1/t/1/fs/0/start/0/end/0/c</v>
      </c>
    </row>
    <row r="237" spans="1:8" x14ac:dyDescent="0.25">
      <c r="A237">
        <v>196068</v>
      </c>
      <c r="B237" t="s">
        <v>478</v>
      </c>
      <c r="C237" t="s">
        <v>331</v>
      </c>
      <c r="D237" t="s">
        <v>10</v>
      </c>
      <c r="E237" t="s">
        <v>81</v>
      </c>
      <c r="F237" t="s">
        <v>261</v>
      </c>
      <c r="G237" t="str">
        <f>HYPERLINK(_xlfn.CONCAT("https://tablet.otzar.org/",CHAR(35),"/book/196068/p/-1/t/1/fs/0/start/0/end/0/c"),"עבודת הקודש &lt;מהדורת אהבת שלום&gt;")</f>
        <v>עבודת הקודש &lt;מהדורת אהבת שלום&gt;</v>
      </c>
      <c r="H237" t="str">
        <f>_xlfn.CONCAT("https://tablet.otzar.org/",CHAR(35),"/book/196068/p/-1/t/1/fs/0/start/0/end/0/c")</f>
        <v>https://tablet.otzar.org/#/book/196068/p/-1/t/1/fs/0/start/0/end/0/c</v>
      </c>
    </row>
    <row r="238" spans="1:8" x14ac:dyDescent="0.25">
      <c r="A238">
        <v>150823</v>
      </c>
      <c r="B238" t="s">
        <v>479</v>
      </c>
      <c r="C238" t="s">
        <v>29</v>
      </c>
      <c r="D238" t="s">
        <v>10</v>
      </c>
      <c r="E238" t="s">
        <v>134</v>
      </c>
      <c r="F238" t="s">
        <v>432</v>
      </c>
      <c r="G238" t="str">
        <f>HYPERLINK(_xlfn.CONCAT("https://tablet.otzar.org/",CHAR(35),"/book/150823/p/-1/t/1/fs/0/start/0/end/0/c"),"עד הגל הזה")</f>
        <v>עד הגל הזה</v>
      </c>
      <c r="H238" t="str">
        <f>_xlfn.CONCAT("https://tablet.otzar.org/",CHAR(35),"/book/150823/p/-1/t/1/fs/0/start/0/end/0/c")</f>
        <v>https://tablet.otzar.org/#/book/150823/p/-1/t/1/fs/0/start/0/end/0/c</v>
      </c>
    </row>
    <row r="239" spans="1:8" x14ac:dyDescent="0.25">
      <c r="A239">
        <v>620312</v>
      </c>
      <c r="B239" t="s">
        <v>480</v>
      </c>
      <c r="C239" t="s">
        <v>9</v>
      </c>
      <c r="D239" t="s">
        <v>10</v>
      </c>
      <c r="E239" t="s">
        <v>195</v>
      </c>
      <c r="F239" t="s">
        <v>12</v>
      </c>
      <c r="G239" t="str">
        <f>HYPERLINK(_xlfn.CONCAT("https://tablet.otzar.org/",CHAR(35),"/book/620312/p/-1/t/1/fs/0/start/0/end/0/c"),"עובר לסופר")</f>
        <v>עובר לסופר</v>
      </c>
      <c r="H239" t="str">
        <f>_xlfn.CONCAT("https://tablet.otzar.org/",CHAR(35),"/book/620312/p/-1/t/1/fs/0/start/0/end/0/c")</f>
        <v>https://tablet.otzar.org/#/book/620312/p/-1/t/1/fs/0/start/0/end/0/c</v>
      </c>
    </row>
    <row r="240" spans="1:8" x14ac:dyDescent="0.25">
      <c r="A240">
        <v>630773</v>
      </c>
      <c r="B240" t="s">
        <v>481</v>
      </c>
      <c r="C240" t="s">
        <v>346</v>
      </c>
      <c r="D240" t="s">
        <v>10</v>
      </c>
      <c r="E240" t="s">
        <v>19</v>
      </c>
      <c r="F240" t="s">
        <v>27</v>
      </c>
      <c r="G240" t="str">
        <f>HYPERLINK(_xlfn.CONCAT("https://tablet.otzar.org/",CHAR(35),"/book/630773/p/-1/t/1/fs/0/start/0/end/0/c"),"עולת שבת &lt;מהדורת אהבת שלום&gt;")</f>
        <v>עולת שבת &lt;מהדורת אהבת שלום&gt;</v>
      </c>
      <c r="H240" t="str">
        <f>_xlfn.CONCAT("https://tablet.otzar.org/",CHAR(35),"/book/630773/p/-1/t/1/fs/0/start/0/end/0/c")</f>
        <v>https://tablet.otzar.org/#/book/630773/p/-1/t/1/fs/0/start/0/end/0/c</v>
      </c>
    </row>
    <row r="241" spans="1:8" x14ac:dyDescent="0.25">
      <c r="A241">
        <v>150386</v>
      </c>
      <c r="B241" t="s">
        <v>482</v>
      </c>
      <c r="C241" t="s">
        <v>21</v>
      </c>
      <c r="D241" t="s">
        <v>10</v>
      </c>
      <c r="E241" t="s">
        <v>26</v>
      </c>
      <c r="F241" t="s">
        <v>23</v>
      </c>
      <c r="G241" t="str">
        <f>HYPERLINK(_xlfn.CONCAT("https://tablet.otzar.org/",CHAR(35),"/book/150386/p/-1/t/1/fs/0/start/0/end/0/c"),"עולת תמיד &lt;מהדורת אהבת שלום&gt;")</f>
        <v>עולת תמיד &lt;מהדורת אהבת שלום&gt;</v>
      </c>
      <c r="H241" t="str">
        <f>_xlfn.CONCAT("https://tablet.otzar.org/",CHAR(35),"/book/150386/p/-1/t/1/fs/0/start/0/end/0/c")</f>
        <v>https://tablet.otzar.org/#/book/150386/p/-1/t/1/fs/0/start/0/end/0/c</v>
      </c>
    </row>
    <row r="242" spans="1:8" x14ac:dyDescent="0.25">
      <c r="A242">
        <v>150257</v>
      </c>
      <c r="B242" t="s">
        <v>483</v>
      </c>
      <c r="C242" t="s">
        <v>327</v>
      </c>
      <c r="D242" t="s">
        <v>10</v>
      </c>
      <c r="E242" t="s">
        <v>52</v>
      </c>
      <c r="F242" t="s">
        <v>208</v>
      </c>
      <c r="G242" t="str">
        <f>HYPERLINK(_xlfn.CONCAT("https://tablet.otzar.org/",CHAR(35),"/book/150257/p/-1/t/1/fs/0/start/0/end/0/c"),"עזרת מצר")</f>
        <v>עזרת מצר</v>
      </c>
      <c r="H242" t="str">
        <f>_xlfn.CONCAT("https://tablet.otzar.org/",CHAR(35),"/book/150257/p/-1/t/1/fs/0/start/0/end/0/c")</f>
        <v>https://tablet.otzar.org/#/book/150257/p/-1/t/1/fs/0/start/0/end/0/c</v>
      </c>
    </row>
    <row r="243" spans="1:8" x14ac:dyDescent="0.25">
      <c r="A243">
        <v>150803</v>
      </c>
      <c r="B243" t="s">
        <v>484</v>
      </c>
      <c r="C243" t="s">
        <v>227</v>
      </c>
      <c r="D243" t="s">
        <v>10</v>
      </c>
      <c r="E243" t="s">
        <v>101</v>
      </c>
      <c r="F243" t="s">
        <v>90</v>
      </c>
      <c r="G243" t="str">
        <f>HYPERLINK(_xlfn.CONCAT("https://tablet.otzar.org/",CHAR(35),"/book/150803/p/-1/t/1/fs/0/start/0/end/0/c"),"עיני בנימין, קושט אמרי אמת")</f>
        <v>עיני בנימין, קושט אמרי אמת</v>
      </c>
      <c r="H243" t="str">
        <f>_xlfn.CONCAT("https://tablet.otzar.org/",CHAR(35),"/book/150803/p/-1/t/1/fs/0/start/0/end/0/c")</f>
        <v>https://tablet.otzar.org/#/book/150803/p/-1/t/1/fs/0/start/0/end/0/c</v>
      </c>
    </row>
    <row r="244" spans="1:8" x14ac:dyDescent="0.25">
      <c r="A244">
        <v>150399</v>
      </c>
      <c r="B244" t="s">
        <v>485</v>
      </c>
      <c r="C244" t="s">
        <v>486</v>
      </c>
      <c r="D244" t="s">
        <v>10</v>
      </c>
      <c r="E244" t="s">
        <v>124</v>
      </c>
      <c r="F244" t="s">
        <v>23</v>
      </c>
      <c r="G244" t="str">
        <f>HYPERLINK(_xlfn.CONCAT("https://tablet.otzar.org/",CHAR(35),"/book/150399/p/-1/t/1/fs/0/start/0/end/0/c"),"עלי נהר")</f>
        <v>עלי נהר</v>
      </c>
      <c r="H244" t="str">
        <f>_xlfn.CONCAT("https://tablet.otzar.org/",CHAR(35),"/book/150399/p/-1/t/1/fs/0/start/0/end/0/c")</f>
        <v>https://tablet.otzar.org/#/book/150399/p/-1/t/1/fs/0/start/0/end/0/c</v>
      </c>
    </row>
    <row r="245" spans="1:8" x14ac:dyDescent="0.25">
      <c r="A245">
        <v>150236</v>
      </c>
      <c r="B245" t="s">
        <v>487</v>
      </c>
      <c r="C245" t="s">
        <v>488</v>
      </c>
      <c r="D245" t="s">
        <v>10</v>
      </c>
      <c r="E245" t="s">
        <v>41</v>
      </c>
      <c r="F245" t="s">
        <v>23</v>
      </c>
      <c r="G245" t="str">
        <f>HYPERLINK(_xlfn.CONCAT("https://tablet.otzar.org/",CHAR(35),"/book/150236/p/-1/t/1/fs/0/start/0/end/0/c"),"עמודי הרזי""""ם")</f>
        <v>עמודי הרזי""ם</v>
      </c>
      <c r="H245" t="str">
        <f>_xlfn.CONCAT("https://tablet.otzar.org/",CHAR(35),"/book/150236/p/-1/t/1/fs/0/start/0/end/0/c")</f>
        <v>https://tablet.otzar.org/#/book/150236/p/-1/t/1/fs/0/start/0/end/0/c</v>
      </c>
    </row>
    <row r="246" spans="1:8" x14ac:dyDescent="0.25">
      <c r="A246">
        <v>150208</v>
      </c>
      <c r="B246" t="s">
        <v>489</v>
      </c>
      <c r="C246" t="s">
        <v>21</v>
      </c>
      <c r="D246" t="s">
        <v>10</v>
      </c>
      <c r="E246" t="s">
        <v>22</v>
      </c>
      <c r="F246" t="s">
        <v>23</v>
      </c>
      <c r="G246" t="str">
        <f>HYPERLINK(_xlfn.CONCAT("https://tablet.otzar.org/",CHAR(35),"/exKotar/150208"),"עץ הדעת טוב &lt;אהבת שלום&gt;  - 2 כרכים")</f>
        <v>עץ הדעת טוב &lt;אהבת שלום&gt;  - 2 כרכים</v>
      </c>
      <c r="H246" t="str">
        <f>_xlfn.CONCAT("https://tablet.otzar.org/",CHAR(35),"/exKotar/150208")</f>
        <v>https://tablet.otzar.org/#/exKotar/150208</v>
      </c>
    </row>
    <row r="247" spans="1:8" x14ac:dyDescent="0.25">
      <c r="A247">
        <v>608708</v>
      </c>
      <c r="B247" t="s">
        <v>490</v>
      </c>
      <c r="C247" t="s">
        <v>21</v>
      </c>
      <c r="D247" t="s">
        <v>10</v>
      </c>
      <c r="E247" t="s">
        <v>47</v>
      </c>
      <c r="F247" t="s">
        <v>23</v>
      </c>
      <c r="G247" t="str">
        <f>HYPERLINK(_xlfn.CONCAT("https://tablet.otzar.org/",CHAR(35),"/exKotar/608708"),"עץ חיים למהרח""""ו ז""""ל - 7 כרכים")</f>
        <v>עץ חיים למהרח""ו ז""ל - 7 כרכים</v>
      </c>
      <c r="H247" t="str">
        <f>_xlfn.CONCAT("https://tablet.otzar.org/",CHAR(35),"/exKotar/608708")</f>
        <v>https://tablet.otzar.org/#/exKotar/608708</v>
      </c>
    </row>
    <row r="248" spans="1:8" x14ac:dyDescent="0.25">
      <c r="A248">
        <v>646729</v>
      </c>
      <c r="B248" t="s">
        <v>491</v>
      </c>
      <c r="C248" t="s">
        <v>492</v>
      </c>
      <c r="D248" t="s">
        <v>10</v>
      </c>
      <c r="E248" t="s">
        <v>58</v>
      </c>
      <c r="F248" t="s">
        <v>493</v>
      </c>
      <c r="G248" t="str">
        <f>HYPERLINK(_xlfn.CONCAT("https://tablet.otzar.org/",CHAR(35),"/book/646729/p/-1/t/1/fs/0/start/0/end/0/c"),"ערך לחם - על התורה, נ""""ך, מאמרי חז""""ל")</f>
        <v>ערך לחם - על התורה, נ""ך, מאמרי חז""ל</v>
      </c>
      <c r="H248" t="str">
        <f>_xlfn.CONCAT("https://tablet.otzar.org/",CHAR(35),"/book/646729/p/-1/t/1/fs/0/start/0/end/0/c")</f>
        <v>https://tablet.otzar.org/#/book/646729/p/-1/t/1/fs/0/start/0/end/0/c</v>
      </c>
    </row>
    <row r="249" spans="1:8" x14ac:dyDescent="0.25">
      <c r="A249">
        <v>622326</v>
      </c>
      <c r="B249" t="s">
        <v>494</v>
      </c>
      <c r="C249" t="s">
        <v>29</v>
      </c>
      <c r="D249" t="s">
        <v>10</v>
      </c>
      <c r="E249" t="s">
        <v>11</v>
      </c>
      <c r="G249" t="str">
        <f>HYPERLINK(_xlfn.CONCAT("https://tablet.otzar.org/",CHAR(35),"/book/622326/p/-1/t/1/fs/0/start/0/end/0/c"),"פאת הים - שער הכונות א")</f>
        <v>פאת הים - שער הכונות א</v>
      </c>
      <c r="H249" t="str">
        <f>_xlfn.CONCAT("https://tablet.otzar.org/",CHAR(35),"/book/622326/p/-1/t/1/fs/0/start/0/end/0/c")</f>
        <v>https://tablet.otzar.org/#/book/622326/p/-1/t/1/fs/0/start/0/end/0/c</v>
      </c>
    </row>
    <row r="250" spans="1:8" x14ac:dyDescent="0.25">
      <c r="A250">
        <v>150401</v>
      </c>
      <c r="B250" t="s">
        <v>495</v>
      </c>
      <c r="C250" t="s">
        <v>73</v>
      </c>
      <c r="D250" t="s">
        <v>10</v>
      </c>
      <c r="E250" t="s">
        <v>107</v>
      </c>
      <c r="F250" t="s">
        <v>23</v>
      </c>
      <c r="G250" t="str">
        <f>HYPERLINK(_xlfn.CONCAT("https://tablet.otzar.org/",CHAR(35),"/exKotar/150401"),"פאת השדה - 2 כרכים")</f>
        <v>פאת השדה - 2 כרכים</v>
      </c>
      <c r="H250" t="str">
        <f>_xlfn.CONCAT("https://tablet.otzar.org/",CHAR(35),"/exKotar/150401")</f>
        <v>https://tablet.otzar.org/#/exKotar/150401</v>
      </c>
    </row>
    <row r="251" spans="1:8" x14ac:dyDescent="0.25">
      <c r="A251">
        <v>646717</v>
      </c>
      <c r="B251" t="s">
        <v>496</v>
      </c>
      <c r="C251" t="s">
        <v>329</v>
      </c>
      <c r="D251" t="s">
        <v>10</v>
      </c>
      <c r="E251" t="s">
        <v>58</v>
      </c>
      <c r="G251" t="str">
        <f>HYPERLINK(_xlfn.CONCAT("https://tablet.otzar.org/",CHAR(35),"/exKotar/646717"),"פחד יצחק - 2 כרכים")</f>
        <v>פחד יצחק - 2 כרכים</v>
      </c>
      <c r="H251" t="str">
        <f>_xlfn.CONCAT("https://tablet.otzar.org/",CHAR(35),"/exKotar/646717")</f>
        <v>https://tablet.otzar.org/#/exKotar/646717</v>
      </c>
    </row>
    <row r="252" spans="1:8" x14ac:dyDescent="0.25">
      <c r="A252">
        <v>150361</v>
      </c>
      <c r="B252" t="s">
        <v>497</v>
      </c>
      <c r="C252" t="s">
        <v>21</v>
      </c>
      <c r="D252" t="s">
        <v>10</v>
      </c>
      <c r="E252" t="s">
        <v>107</v>
      </c>
      <c r="F252" t="s">
        <v>23</v>
      </c>
      <c r="G252" t="str">
        <f>HYPERLINK(_xlfn.CONCAT("https://tablet.otzar.org/",CHAR(35),"/book/150361/p/-1/t/1/fs/0/start/0/end/0/c"),"פירוש ברית מנוחה לרבינו  האר""""י")</f>
        <v>פירוש ברית מנוחה לרבינו  האר""י</v>
      </c>
      <c r="H252" t="str">
        <f>_xlfn.CONCAT("https://tablet.otzar.org/",CHAR(35),"/book/150361/p/-1/t/1/fs/0/start/0/end/0/c")</f>
        <v>https://tablet.otzar.org/#/book/150361/p/-1/t/1/fs/0/start/0/end/0/c</v>
      </c>
    </row>
    <row r="253" spans="1:8" x14ac:dyDescent="0.25">
      <c r="A253">
        <v>170093</v>
      </c>
      <c r="B253" t="s">
        <v>498</v>
      </c>
      <c r="C253" t="s">
        <v>499</v>
      </c>
      <c r="D253" t="s">
        <v>10</v>
      </c>
      <c r="E253" t="s">
        <v>81</v>
      </c>
      <c r="F253" t="s">
        <v>90</v>
      </c>
      <c r="G253" t="str">
        <f>HYPERLINK(_xlfn.CONCAT("https://tablet.otzar.org/",CHAR(35),"/book/170093/p/-1/t/1/fs/0/start/0/end/0/c"),"פירוש הרשב""""ץ על ברכות")</f>
        <v>פירוש הרשב""ץ על ברכות</v>
      </c>
      <c r="H253" t="str">
        <f>_xlfn.CONCAT("https://tablet.otzar.org/",CHAR(35),"/book/170093/p/-1/t/1/fs/0/start/0/end/0/c")</f>
        <v>https://tablet.otzar.org/#/book/170093/p/-1/t/1/fs/0/start/0/end/0/c</v>
      </c>
    </row>
    <row r="254" spans="1:8" x14ac:dyDescent="0.25">
      <c r="A254">
        <v>150851</v>
      </c>
      <c r="B254" t="s">
        <v>500</v>
      </c>
      <c r="C254" t="s">
        <v>501</v>
      </c>
      <c r="D254" t="s">
        <v>10</v>
      </c>
      <c r="E254" t="s">
        <v>134</v>
      </c>
      <c r="G254" t="str">
        <f>HYPERLINK(_xlfn.CONCAT("https://tablet.otzar.org/",CHAR(35),"/book/150851/p/-1/t/1/fs/0/start/0/end/0/c"),"פירוש רש""""י להוריות ע""""פ כת""""י")</f>
        <v>פירוש רש""י להוריות ע""פ כת""י</v>
      </c>
      <c r="H254" t="str">
        <f>_xlfn.CONCAT("https://tablet.otzar.org/",CHAR(35),"/book/150851/p/-1/t/1/fs/0/start/0/end/0/c")</f>
        <v>https://tablet.otzar.org/#/book/150851/p/-1/t/1/fs/0/start/0/end/0/c</v>
      </c>
    </row>
    <row r="255" spans="1:8" x14ac:dyDescent="0.25">
      <c r="A255">
        <v>150303</v>
      </c>
      <c r="B255" t="s">
        <v>502</v>
      </c>
      <c r="C255" t="s">
        <v>49</v>
      </c>
      <c r="E255" t="s">
        <v>228</v>
      </c>
      <c r="F255" t="s">
        <v>42</v>
      </c>
      <c r="G255" t="str">
        <f>HYPERLINK(_xlfn.CONCAT("https://tablet.otzar.org/",CHAR(35),"/exKotar/150303"),"פסקי בן איש חי - 3 כרכים")</f>
        <v>פסקי בן איש חי - 3 כרכים</v>
      </c>
      <c r="H255" t="str">
        <f>_xlfn.CONCAT("https://tablet.otzar.org/",CHAR(35),"/exKotar/150303")</f>
        <v>https://tablet.otzar.org/#/exKotar/150303</v>
      </c>
    </row>
    <row r="256" spans="1:8" x14ac:dyDescent="0.25">
      <c r="A256">
        <v>150317</v>
      </c>
      <c r="B256" t="s">
        <v>503</v>
      </c>
      <c r="C256" t="s">
        <v>277</v>
      </c>
      <c r="D256" t="s">
        <v>10</v>
      </c>
      <c r="E256" t="s">
        <v>139</v>
      </c>
      <c r="F256" t="s">
        <v>251</v>
      </c>
      <c r="G256" t="str">
        <f>HYPERLINK(_xlfn.CONCAT("https://tablet.otzar.org/",CHAR(35),"/book/150317/p/-1/t/1/fs/0/start/0/end/0/c"),"פעמוני זהב - פעמון ורימון")</f>
        <v>פעמוני זהב - פעמון ורימון</v>
      </c>
      <c r="H256" t="str">
        <f>_xlfn.CONCAT("https://tablet.otzar.org/",CHAR(35),"/book/150317/p/-1/t/1/fs/0/start/0/end/0/c")</f>
        <v>https://tablet.otzar.org/#/book/150317/p/-1/t/1/fs/0/start/0/end/0/c</v>
      </c>
    </row>
    <row r="257" spans="1:8" x14ac:dyDescent="0.25">
      <c r="A257">
        <v>150251</v>
      </c>
      <c r="B257" t="s">
        <v>504</v>
      </c>
      <c r="C257" t="s">
        <v>505</v>
      </c>
      <c r="D257" t="s">
        <v>10</v>
      </c>
      <c r="E257" t="s">
        <v>397</v>
      </c>
      <c r="F257" t="s">
        <v>401</v>
      </c>
      <c r="G257" t="str">
        <f>HYPERLINK(_xlfn.CONCAT("https://tablet.otzar.org/",CHAR(35),"/book/150251/p/-1/t/1/fs/0/start/0/end/0/c"),"פרח מטה אהרן")</f>
        <v>פרח מטה אהרן</v>
      </c>
      <c r="H257" t="str">
        <f>_xlfn.CONCAT("https://tablet.otzar.org/",CHAR(35),"/book/150251/p/-1/t/1/fs/0/start/0/end/0/c")</f>
        <v>https://tablet.otzar.org/#/book/150251/p/-1/t/1/fs/0/start/0/end/0/c</v>
      </c>
    </row>
    <row r="258" spans="1:8" x14ac:dyDescent="0.25">
      <c r="A258">
        <v>176706</v>
      </c>
      <c r="B258" t="s">
        <v>506</v>
      </c>
      <c r="C258" t="s">
        <v>507</v>
      </c>
      <c r="D258" t="s">
        <v>10</v>
      </c>
      <c r="E258" t="s">
        <v>370</v>
      </c>
      <c r="F258" t="s">
        <v>508</v>
      </c>
      <c r="G258" t="str">
        <f>HYPERLINK(_xlfn.CONCAT("https://tablet.otzar.org/",CHAR(35),"/exKotar/176706"),"פרי עץ החיים - 5 כרכים")</f>
        <v>פרי עץ החיים - 5 כרכים</v>
      </c>
      <c r="H258" t="str">
        <f>_xlfn.CONCAT("https://tablet.otzar.org/",CHAR(35),"/exKotar/176706")</f>
        <v>https://tablet.otzar.org/#/exKotar/176706</v>
      </c>
    </row>
    <row r="259" spans="1:8" x14ac:dyDescent="0.25">
      <c r="A259">
        <v>144502</v>
      </c>
      <c r="B259" t="s">
        <v>509</v>
      </c>
      <c r="C259" t="s">
        <v>29</v>
      </c>
      <c r="D259" t="s">
        <v>10</v>
      </c>
      <c r="E259" t="s">
        <v>228</v>
      </c>
      <c r="F259" t="s">
        <v>23</v>
      </c>
      <c r="G259" t="str">
        <f>HYPERLINK(_xlfn.CONCAT("https://tablet.otzar.org/",CHAR(35),"/book/144502/p/-1/t/1/fs/0/start/0/end/0/c"),"פתח שער השמים - בנין אריאל")</f>
        <v>פתח שער השמים - בנין אריאל</v>
      </c>
      <c r="H259" t="str">
        <f>_xlfn.CONCAT("https://tablet.otzar.org/",CHAR(35),"/book/144502/p/-1/t/1/fs/0/start/0/end/0/c")</f>
        <v>https://tablet.otzar.org/#/book/144502/p/-1/t/1/fs/0/start/0/end/0/c</v>
      </c>
    </row>
    <row r="260" spans="1:8" x14ac:dyDescent="0.25">
      <c r="A260">
        <v>150384</v>
      </c>
      <c r="B260" t="s">
        <v>510</v>
      </c>
      <c r="C260" t="s">
        <v>184</v>
      </c>
      <c r="D260" t="s">
        <v>10</v>
      </c>
      <c r="E260" t="s">
        <v>44</v>
      </c>
      <c r="F260" t="s">
        <v>511</v>
      </c>
      <c r="G260" t="str">
        <f>HYPERLINK(_xlfn.CONCAT("https://tablet.otzar.org/",CHAR(35),"/book/150384/p/-1/t/1/fs/0/start/0/end/0/c"),"צדק ושלום")</f>
        <v>צדק ושלום</v>
      </c>
      <c r="H260" t="str">
        <f>_xlfn.CONCAT("https://tablet.otzar.org/",CHAR(35),"/book/150384/p/-1/t/1/fs/0/start/0/end/0/c")</f>
        <v>https://tablet.otzar.org/#/book/150384/p/-1/t/1/fs/0/start/0/end/0/c</v>
      </c>
    </row>
    <row r="261" spans="1:8" x14ac:dyDescent="0.25">
      <c r="A261">
        <v>150309</v>
      </c>
      <c r="B261" t="s">
        <v>512</v>
      </c>
      <c r="C261" t="s">
        <v>412</v>
      </c>
      <c r="D261" t="s">
        <v>10</v>
      </c>
      <c r="E261" t="s">
        <v>139</v>
      </c>
      <c r="F261" t="s">
        <v>135</v>
      </c>
      <c r="G261" t="str">
        <f>HYPERLINK(_xlfn.CONCAT("https://tablet.otzar.org/",CHAR(35),"/book/150309/p/-1/t/1/fs/0/start/0/end/0/c"),"צוף דבש &lt;אהבת שלום&gt;")</f>
        <v>צוף דבש &lt;אהבת שלום&gt;</v>
      </c>
      <c r="H261" t="str">
        <f>_xlfn.CONCAT("https://tablet.otzar.org/",CHAR(35),"/book/150309/p/-1/t/1/fs/0/start/0/end/0/c")</f>
        <v>https://tablet.otzar.org/#/book/150309/p/-1/t/1/fs/0/start/0/end/0/c</v>
      </c>
    </row>
    <row r="262" spans="1:8" x14ac:dyDescent="0.25">
      <c r="A262">
        <v>163316</v>
      </c>
      <c r="B262" t="s">
        <v>513</v>
      </c>
      <c r="C262" t="s">
        <v>103</v>
      </c>
      <c r="D262" t="s">
        <v>10</v>
      </c>
      <c r="E262" t="s">
        <v>514</v>
      </c>
      <c r="F262" t="s">
        <v>27</v>
      </c>
      <c r="G262" t="str">
        <f>HYPERLINK(_xlfn.CONCAT("https://tablet.otzar.org/",CHAR(35),"/book/163316/p/-1/t/1/fs/0/start/0/end/0/c"),"צלח רכב &lt;אהבת שלום&gt;")</f>
        <v>צלח רכב &lt;אהבת שלום&gt;</v>
      </c>
      <c r="H262" t="str">
        <f>_xlfn.CONCAT("https://tablet.otzar.org/",CHAR(35),"/book/163316/p/-1/t/1/fs/0/start/0/end/0/c")</f>
        <v>https://tablet.otzar.org/#/book/163316/p/-1/t/1/fs/0/start/0/end/0/c</v>
      </c>
    </row>
    <row r="263" spans="1:8" x14ac:dyDescent="0.25">
      <c r="A263">
        <v>150272</v>
      </c>
      <c r="B263" t="s">
        <v>515</v>
      </c>
      <c r="C263" t="s">
        <v>138</v>
      </c>
      <c r="D263" t="s">
        <v>10</v>
      </c>
      <c r="E263" t="s">
        <v>50</v>
      </c>
      <c r="F263" t="s">
        <v>27</v>
      </c>
      <c r="G263" t="str">
        <f>HYPERLINK(_xlfn.CONCAT("https://tablet.otzar.org/",CHAR(35),"/book/150272/p/-1/t/1/fs/0/start/0/end/0/c"),"צפנת פענח")</f>
        <v>צפנת פענח</v>
      </c>
      <c r="H263" t="str">
        <f>_xlfn.CONCAT("https://tablet.otzar.org/",CHAR(35),"/book/150272/p/-1/t/1/fs/0/start/0/end/0/c")</f>
        <v>https://tablet.otzar.org/#/book/150272/p/-1/t/1/fs/0/start/0/end/0/c</v>
      </c>
    </row>
    <row r="264" spans="1:8" x14ac:dyDescent="0.25">
      <c r="A264">
        <v>150779</v>
      </c>
      <c r="B264" t="s">
        <v>516</v>
      </c>
      <c r="C264" t="s">
        <v>132</v>
      </c>
      <c r="D264" t="s">
        <v>10</v>
      </c>
      <c r="E264" t="s">
        <v>22</v>
      </c>
      <c r="F264" t="s">
        <v>90</v>
      </c>
      <c r="G264" t="str">
        <f>HYPERLINK(_xlfn.CONCAT("https://tablet.otzar.org/",CHAR(35),"/book/150779/p/-1/t/1/fs/0/start/0/end/0/c"),"קדושה וברכה &lt;אהבת שלום&gt;")</f>
        <v>קדושה וברכה &lt;אהבת שלום&gt;</v>
      </c>
      <c r="H264" t="str">
        <f>_xlfn.CONCAT("https://tablet.otzar.org/",CHAR(35),"/book/150779/p/-1/t/1/fs/0/start/0/end/0/c")</f>
        <v>https://tablet.otzar.org/#/book/150779/p/-1/t/1/fs/0/start/0/end/0/c</v>
      </c>
    </row>
    <row r="265" spans="1:8" x14ac:dyDescent="0.25">
      <c r="A265">
        <v>150250</v>
      </c>
      <c r="B265" t="s">
        <v>517</v>
      </c>
      <c r="C265" t="s">
        <v>505</v>
      </c>
      <c r="D265" t="s">
        <v>10</v>
      </c>
      <c r="E265" t="s">
        <v>139</v>
      </c>
      <c r="F265" t="s">
        <v>518</v>
      </c>
      <c r="G265" t="str">
        <f>HYPERLINK(_xlfn.CONCAT("https://tablet.otzar.org/",CHAR(35),"/book/150250/p/-1/t/1/fs/0/start/0/end/0/c"),"קדושת אהרן")</f>
        <v>קדושת אהרן</v>
      </c>
      <c r="H265" t="str">
        <f>_xlfn.CONCAT("https://tablet.otzar.org/",CHAR(35),"/book/150250/p/-1/t/1/fs/0/start/0/end/0/c")</f>
        <v>https://tablet.otzar.org/#/book/150250/p/-1/t/1/fs/0/start/0/end/0/c</v>
      </c>
    </row>
    <row r="266" spans="1:8" x14ac:dyDescent="0.25">
      <c r="A266">
        <v>150202</v>
      </c>
      <c r="B266" t="s">
        <v>519</v>
      </c>
      <c r="C266" t="s">
        <v>21</v>
      </c>
      <c r="D266" t="s">
        <v>10</v>
      </c>
      <c r="E266" t="s">
        <v>520</v>
      </c>
      <c r="F266" t="s">
        <v>23</v>
      </c>
      <c r="G266" t="str">
        <f>HYPERLINK(_xlfn.CONCAT("https://tablet.otzar.org/",CHAR(35),"/book/150202/p/-1/t/1/fs/0/start/0/end/0/c"),"קהילת יעקב")</f>
        <v>קהילת יעקב</v>
      </c>
      <c r="H266" t="str">
        <f>_xlfn.CONCAT("https://tablet.otzar.org/",CHAR(35),"/book/150202/p/-1/t/1/fs/0/start/0/end/0/c")</f>
        <v>https://tablet.otzar.org/#/book/150202/p/-1/t/1/fs/0/start/0/end/0/c</v>
      </c>
    </row>
    <row r="267" spans="1:8" x14ac:dyDescent="0.25">
      <c r="A267">
        <v>181461</v>
      </c>
      <c r="B267" t="s">
        <v>521</v>
      </c>
      <c r="C267" t="s">
        <v>142</v>
      </c>
      <c r="D267" t="s">
        <v>10</v>
      </c>
      <c r="E267" t="s">
        <v>85</v>
      </c>
      <c r="G267" t="str">
        <f>HYPERLINK(_xlfn.CONCAT("https://tablet.otzar.org/",CHAR(35),"/book/181461/p/-1/t/1/fs/0/start/0/end/0/c"),"קובץ אמת ליעקב גליון ה &lt;ביצה&gt;")</f>
        <v>קובץ אמת ליעקב גליון ה &lt;ביצה&gt;</v>
      </c>
      <c r="H267" t="str">
        <f>_xlfn.CONCAT("https://tablet.otzar.org/",CHAR(35),"/book/181461/p/-1/t/1/fs/0/start/0/end/0/c")</f>
        <v>https://tablet.otzar.org/#/book/181461/p/-1/t/1/fs/0/start/0/end/0/c</v>
      </c>
    </row>
    <row r="268" spans="1:8" x14ac:dyDescent="0.25">
      <c r="A268">
        <v>186737</v>
      </c>
      <c r="B268" t="s">
        <v>522</v>
      </c>
      <c r="C268" t="s">
        <v>142</v>
      </c>
      <c r="D268" t="s">
        <v>10</v>
      </c>
      <c r="E268" t="s">
        <v>370</v>
      </c>
      <c r="G268" t="str">
        <f>HYPERLINK(_xlfn.CONCAT("https://tablet.otzar.org/",CHAR(35),"/book/186737/p/-1/t/1/fs/0/start/0/end/0/c"),"קובץ אמת ליעקב גליון ז &lt;נדה&gt;")</f>
        <v>קובץ אמת ליעקב גליון ז &lt;נדה&gt;</v>
      </c>
      <c r="H268" t="str">
        <f>_xlfn.CONCAT("https://tablet.otzar.org/",CHAR(35),"/book/186737/p/-1/t/1/fs/0/start/0/end/0/c")</f>
        <v>https://tablet.otzar.org/#/book/186737/p/-1/t/1/fs/0/start/0/end/0/c</v>
      </c>
    </row>
    <row r="269" spans="1:8" x14ac:dyDescent="0.25">
      <c r="A269">
        <v>60181</v>
      </c>
      <c r="B269" t="s">
        <v>523</v>
      </c>
      <c r="C269" t="s">
        <v>142</v>
      </c>
      <c r="D269" t="s">
        <v>10</v>
      </c>
      <c r="E269" t="s">
        <v>76</v>
      </c>
      <c r="F269" t="s">
        <v>437</v>
      </c>
      <c r="G269" t="str">
        <f>HYPERLINK(_xlfn.CONCAT("https://tablet.otzar.org/",CHAR(35),"/exKotar/60181"),"קובץ אמת ליעקב - 5 כרכים")</f>
        <v>קובץ אמת ליעקב - 5 כרכים</v>
      </c>
      <c r="H269" t="str">
        <f>_xlfn.CONCAT("https://tablet.otzar.org/",CHAR(35),"/exKotar/60181")</f>
        <v>https://tablet.otzar.org/#/exKotar/60181</v>
      </c>
    </row>
    <row r="270" spans="1:8" x14ac:dyDescent="0.25">
      <c r="A270">
        <v>638844</v>
      </c>
      <c r="B270" t="s">
        <v>524</v>
      </c>
      <c r="C270" t="s">
        <v>525</v>
      </c>
      <c r="D270" t="s">
        <v>18</v>
      </c>
      <c r="E270" t="s">
        <v>143</v>
      </c>
      <c r="G270" t="str">
        <f>HYPERLINK(_xlfn.CONCAT("https://tablet.otzar.org/",CHAR(35),"/book/638844/p/-1/t/1/fs/0/start/0/end/0/c"),"קובץ הערות וחידושים אהבת שלום - שבת")</f>
        <v>קובץ הערות וחידושים אהבת שלום - שבת</v>
      </c>
      <c r="H270" t="str">
        <f>_xlfn.CONCAT("https://tablet.otzar.org/",CHAR(35),"/book/638844/p/-1/t/1/fs/0/start/0/end/0/c")</f>
        <v>https://tablet.otzar.org/#/book/638844/p/-1/t/1/fs/0/start/0/end/0/c</v>
      </c>
    </row>
    <row r="271" spans="1:8" x14ac:dyDescent="0.25">
      <c r="A271">
        <v>163320</v>
      </c>
      <c r="B271" t="s">
        <v>526</v>
      </c>
      <c r="C271" t="s">
        <v>142</v>
      </c>
      <c r="D271" t="s">
        <v>527</v>
      </c>
      <c r="E271" t="s">
        <v>85</v>
      </c>
      <c r="F271" t="s">
        <v>437</v>
      </c>
      <c r="G271" t="str">
        <f>HYPERLINK(_xlfn.CONCAT("https://tablet.otzar.org/",CHAR(35),"/book/163320/p/-1/t/1/fs/0/start/0/end/0/c"),"קובץ חידו""""ת אהבת שלום - חולין")</f>
        <v>קובץ חידו""ת אהבת שלום - חולין</v>
      </c>
      <c r="H271" t="str">
        <f>_xlfn.CONCAT("https://tablet.otzar.org/",CHAR(35),"/book/163320/p/-1/t/1/fs/0/start/0/end/0/c")</f>
        <v>https://tablet.otzar.org/#/book/163320/p/-1/t/1/fs/0/start/0/end/0/c</v>
      </c>
    </row>
    <row r="272" spans="1:8" x14ac:dyDescent="0.25">
      <c r="A272">
        <v>150788</v>
      </c>
      <c r="B272" t="s">
        <v>528</v>
      </c>
      <c r="C272" t="s">
        <v>25</v>
      </c>
      <c r="D272" t="s">
        <v>10</v>
      </c>
      <c r="E272" t="s">
        <v>397</v>
      </c>
      <c r="F272" t="s">
        <v>27</v>
      </c>
      <c r="G272" t="str">
        <f>HYPERLINK(_xlfn.CONCAT("https://tablet.otzar.org/",CHAR(35),"/book/150788/p/-1/t/1/fs/0/start/0/end/0/c"),"קול אליהו")</f>
        <v>קול אליהו</v>
      </c>
      <c r="H272" t="str">
        <f>_xlfn.CONCAT("https://tablet.otzar.org/",CHAR(35),"/book/150788/p/-1/t/1/fs/0/start/0/end/0/c")</f>
        <v>https://tablet.otzar.org/#/book/150788/p/-1/t/1/fs/0/start/0/end/0/c</v>
      </c>
    </row>
    <row r="273" spans="1:8" x14ac:dyDescent="0.25">
      <c r="A273">
        <v>170094</v>
      </c>
      <c r="B273" t="s">
        <v>529</v>
      </c>
      <c r="C273" t="s">
        <v>454</v>
      </c>
      <c r="D273" t="s">
        <v>10</v>
      </c>
      <c r="E273" t="s">
        <v>81</v>
      </c>
      <c r="F273" t="s">
        <v>99</v>
      </c>
      <c r="G273" t="str">
        <f>HYPERLINK(_xlfn.CONCAT("https://tablet.otzar.org/",CHAR(35),"/exKotar/170094"),"קול החיים - 2 כרכים")</f>
        <v>קול החיים - 2 כרכים</v>
      </c>
      <c r="H273" t="str">
        <f>_xlfn.CONCAT("https://tablet.otzar.org/",CHAR(35),"/exKotar/170094")</f>
        <v>https://tablet.otzar.org/#/exKotar/170094</v>
      </c>
    </row>
    <row r="274" spans="1:8" x14ac:dyDescent="0.25">
      <c r="A274">
        <v>151234</v>
      </c>
      <c r="B274" t="s">
        <v>530</v>
      </c>
      <c r="C274" t="s">
        <v>323</v>
      </c>
      <c r="D274" t="s">
        <v>10</v>
      </c>
      <c r="E274" t="s">
        <v>531</v>
      </c>
      <c r="F274" t="s">
        <v>27</v>
      </c>
      <c r="G274" t="str">
        <f>HYPERLINK(_xlfn.CONCAT("https://tablet.otzar.org/",CHAR(35),"/book/151234/p/-1/t/1/fs/0/start/0/end/0/c"),"קונטרס אור שבעת הימים")</f>
        <v>קונטרס אור שבעת הימים</v>
      </c>
      <c r="H274" t="str">
        <f>_xlfn.CONCAT("https://tablet.otzar.org/",CHAR(35),"/book/151234/p/-1/t/1/fs/0/start/0/end/0/c")</f>
        <v>https://tablet.otzar.org/#/book/151234/p/-1/t/1/fs/0/start/0/end/0/c</v>
      </c>
    </row>
    <row r="275" spans="1:8" x14ac:dyDescent="0.25">
      <c r="A275">
        <v>608696</v>
      </c>
      <c r="B275" t="s">
        <v>532</v>
      </c>
      <c r="C275" t="s">
        <v>29</v>
      </c>
      <c r="D275" t="s">
        <v>10</v>
      </c>
      <c r="E275" t="s">
        <v>47</v>
      </c>
      <c r="F275" t="s">
        <v>42</v>
      </c>
      <c r="G275" t="str">
        <f>HYPERLINK(_xlfn.CONCAT("https://tablet.otzar.org/",CHAR(35),"/book/608696/p/-1/t/1/fs/0/start/0/end/0/c"),"קונטרס ברכת ט""""ק שלא נפשט בלילה לדעת האר""""י ז""""ל")</f>
        <v>קונטרס ברכת ט""ק שלא נפשט בלילה לדעת האר""י ז""ל</v>
      </c>
      <c r="H275" t="str">
        <f>_xlfn.CONCAT("https://tablet.otzar.org/",CHAR(35),"/book/608696/p/-1/t/1/fs/0/start/0/end/0/c")</f>
        <v>https://tablet.otzar.org/#/book/608696/p/-1/t/1/fs/0/start/0/end/0/c</v>
      </c>
    </row>
    <row r="276" spans="1:8" x14ac:dyDescent="0.25">
      <c r="A276">
        <v>150505</v>
      </c>
      <c r="B276" t="s">
        <v>533</v>
      </c>
      <c r="C276" t="s">
        <v>49</v>
      </c>
      <c r="E276" t="s">
        <v>55</v>
      </c>
      <c r="F276" t="s">
        <v>180</v>
      </c>
      <c r="G276" t="str">
        <f>HYPERLINK(_xlfn.CONCAT("https://tablet.otzar.org/",CHAR(35),"/book/150505/p/-1/t/1/fs/0/start/0/end/0/c"),"קונטרס דרושים לבר מצוה")</f>
        <v>קונטרס דרושים לבר מצוה</v>
      </c>
      <c r="H276" t="str">
        <f>_xlfn.CONCAT("https://tablet.otzar.org/",CHAR(35),"/book/150505/p/-1/t/1/fs/0/start/0/end/0/c")</f>
        <v>https://tablet.otzar.org/#/book/150505/p/-1/t/1/fs/0/start/0/end/0/c</v>
      </c>
    </row>
    <row r="277" spans="1:8" x14ac:dyDescent="0.25">
      <c r="A277">
        <v>160019</v>
      </c>
      <c r="B277" t="s">
        <v>534</v>
      </c>
      <c r="C277" t="s">
        <v>29</v>
      </c>
      <c r="D277" t="s">
        <v>10</v>
      </c>
      <c r="E277" t="s">
        <v>41</v>
      </c>
      <c r="F277" t="s">
        <v>535</v>
      </c>
      <c r="G277" t="str">
        <f>HYPERLINK(_xlfn.CONCAT("https://tablet.otzar.org/",CHAR(35),"/book/160019/p/-1/t/1/fs/0/start/0/end/0/c"),"קונטרס ויצץ ציץ")</f>
        <v>קונטרס ויצץ ציץ</v>
      </c>
      <c r="H277" t="str">
        <f>_xlfn.CONCAT("https://tablet.otzar.org/",CHAR(35),"/book/160019/p/-1/t/1/fs/0/start/0/end/0/c")</f>
        <v>https://tablet.otzar.org/#/book/160019/p/-1/t/1/fs/0/start/0/end/0/c</v>
      </c>
    </row>
    <row r="278" spans="1:8" x14ac:dyDescent="0.25">
      <c r="A278">
        <v>150429</v>
      </c>
      <c r="B278" t="s">
        <v>536</v>
      </c>
      <c r="C278" t="s">
        <v>537</v>
      </c>
      <c r="D278" t="s">
        <v>10</v>
      </c>
      <c r="E278" t="s">
        <v>26</v>
      </c>
      <c r="F278" t="s">
        <v>12</v>
      </c>
      <c r="G278" t="str">
        <f>HYPERLINK(_xlfn.CONCAT("https://tablet.otzar.org/",CHAR(35),"/book/150429/p/-1/t/1/fs/0/start/0/end/0/c"),"קונטרס יגל יעקב")</f>
        <v>קונטרס יגל יעקב</v>
      </c>
      <c r="H278" t="str">
        <f>_xlfn.CONCAT("https://tablet.otzar.org/",CHAR(35),"/book/150429/p/-1/t/1/fs/0/start/0/end/0/c")</f>
        <v>https://tablet.otzar.org/#/book/150429/p/-1/t/1/fs/0/start/0/end/0/c</v>
      </c>
    </row>
    <row r="279" spans="1:8" x14ac:dyDescent="0.25">
      <c r="A279">
        <v>643153</v>
      </c>
      <c r="B279" t="s">
        <v>538</v>
      </c>
      <c r="C279" t="s">
        <v>29</v>
      </c>
      <c r="D279" t="s">
        <v>10</v>
      </c>
      <c r="E279" t="s">
        <v>383</v>
      </c>
      <c r="G279" t="str">
        <f>HYPERLINK(_xlfn.CONCAT("https://tablet.otzar.org/",CHAR(35),"/book/643153/p/-1/t/1/fs/0/start/0/end/0/c"),"קונטרס פודה ומציל")</f>
        <v>קונטרס פודה ומציל</v>
      </c>
      <c r="H279" t="str">
        <f>_xlfn.CONCAT("https://tablet.otzar.org/",CHAR(35),"/book/643153/p/-1/t/1/fs/0/start/0/end/0/c")</f>
        <v>https://tablet.otzar.org/#/book/643153/p/-1/t/1/fs/0/start/0/end/0/c</v>
      </c>
    </row>
    <row r="280" spans="1:8" x14ac:dyDescent="0.25">
      <c r="A280">
        <v>617930</v>
      </c>
      <c r="B280" t="s">
        <v>539</v>
      </c>
      <c r="C280" t="s">
        <v>29</v>
      </c>
      <c r="D280" t="s">
        <v>10</v>
      </c>
      <c r="E280" t="s">
        <v>520</v>
      </c>
      <c r="G280" t="str">
        <f>HYPERLINK(_xlfn.CONCAT("https://tablet.otzar.org/",CHAR(35),"/book/617930/p/-1/t/1/fs/0/start/0/end/0/c"),"קונטרס ציון לנפש חיה")</f>
        <v>קונטרס ציון לנפש חיה</v>
      </c>
      <c r="H280" t="str">
        <f>_xlfn.CONCAT("https://tablet.otzar.org/",CHAR(35),"/book/617930/p/-1/t/1/fs/0/start/0/end/0/c")</f>
        <v>https://tablet.otzar.org/#/book/617930/p/-1/t/1/fs/0/start/0/end/0/c</v>
      </c>
    </row>
    <row r="281" spans="1:8" x14ac:dyDescent="0.25">
      <c r="A281">
        <v>150362</v>
      </c>
      <c r="B281" t="s">
        <v>540</v>
      </c>
      <c r="C281" t="s">
        <v>29</v>
      </c>
      <c r="D281" t="s">
        <v>10</v>
      </c>
      <c r="E281" t="s">
        <v>107</v>
      </c>
      <c r="F281" t="s">
        <v>45</v>
      </c>
      <c r="G281" t="str">
        <f>HYPERLINK(_xlfn.CONCAT("https://tablet.otzar.org/",CHAR(35),"/book/150362/p/-1/t/1/fs/0/start/0/end/0/c"),"קונטרס שנות חיים")</f>
        <v>קונטרס שנות חיים</v>
      </c>
      <c r="H281" t="str">
        <f>_xlfn.CONCAT("https://tablet.otzar.org/",CHAR(35),"/book/150362/p/-1/t/1/fs/0/start/0/end/0/c")</f>
        <v>https://tablet.otzar.org/#/book/150362/p/-1/t/1/fs/0/start/0/end/0/c</v>
      </c>
    </row>
    <row r="282" spans="1:8" x14ac:dyDescent="0.25">
      <c r="A282">
        <v>150839</v>
      </c>
      <c r="B282" t="s">
        <v>541</v>
      </c>
      <c r="C282" t="s">
        <v>542</v>
      </c>
      <c r="D282" t="s">
        <v>10</v>
      </c>
      <c r="E282" t="s">
        <v>101</v>
      </c>
      <c r="F282" t="s">
        <v>45</v>
      </c>
      <c r="G282" t="str">
        <f>HYPERLINK(_xlfn.CONCAT("https://tablet.otzar.org/",CHAR(35),"/book/150839/p/-1/t/1/fs/0/start/0/end/0/c"),"קורא הדורות &lt;אהבת שלום&gt;")</f>
        <v>קורא הדורות &lt;אהבת שלום&gt;</v>
      </c>
      <c r="H282" t="str">
        <f>_xlfn.CONCAT("https://tablet.otzar.org/",CHAR(35),"/book/150839/p/-1/t/1/fs/0/start/0/end/0/c")</f>
        <v>https://tablet.otzar.org/#/book/150839/p/-1/t/1/fs/0/start/0/end/0/c</v>
      </c>
    </row>
    <row r="283" spans="1:8" x14ac:dyDescent="0.25">
      <c r="A283">
        <v>150819</v>
      </c>
      <c r="B283" t="s">
        <v>543</v>
      </c>
      <c r="C283" t="s">
        <v>544</v>
      </c>
      <c r="D283" t="s">
        <v>10</v>
      </c>
      <c r="E283" t="s">
        <v>228</v>
      </c>
      <c r="F283" t="s">
        <v>251</v>
      </c>
      <c r="G283" t="str">
        <f>HYPERLINK(_xlfn.CONCAT("https://tablet.otzar.org/",CHAR(35),"/exKotar/150819"),"קיצור שלחן ערוך - 4 כרכים")</f>
        <v>קיצור שלחן ערוך - 4 כרכים</v>
      </c>
      <c r="H283" t="str">
        <f>_xlfn.CONCAT("https://tablet.otzar.org/",CHAR(35),"/exKotar/150819")</f>
        <v>https://tablet.otzar.org/#/exKotar/150819</v>
      </c>
    </row>
    <row r="284" spans="1:8" x14ac:dyDescent="0.25">
      <c r="A284">
        <v>150388</v>
      </c>
      <c r="B284" t="s">
        <v>545</v>
      </c>
      <c r="C284" t="s">
        <v>546</v>
      </c>
      <c r="D284" t="s">
        <v>10</v>
      </c>
      <c r="E284" t="s">
        <v>95</v>
      </c>
      <c r="F284" t="s">
        <v>23</v>
      </c>
      <c r="G284" t="str">
        <f>HYPERLINK(_xlfn.CONCAT("https://tablet.otzar.org/",CHAR(35),"/book/150388/p/-1/t/1/fs/0/start/0/end/0/c"),"קנין פירות")</f>
        <v>קנין פירות</v>
      </c>
      <c r="H284" t="str">
        <f>_xlfn.CONCAT("https://tablet.otzar.org/",CHAR(35),"/book/150388/p/-1/t/1/fs/0/start/0/end/0/c")</f>
        <v>https://tablet.otzar.org/#/book/150388/p/-1/t/1/fs/0/start/0/end/0/c</v>
      </c>
    </row>
    <row r="285" spans="1:8" x14ac:dyDescent="0.25">
      <c r="A285">
        <v>150298</v>
      </c>
      <c r="B285" t="s">
        <v>547</v>
      </c>
      <c r="C285" t="s">
        <v>548</v>
      </c>
      <c r="D285" t="s">
        <v>10</v>
      </c>
      <c r="E285" t="s">
        <v>52</v>
      </c>
      <c r="F285" t="s">
        <v>104</v>
      </c>
      <c r="G285" t="str">
        <f>HYPERLINK(_xlfn.CONCAT("https://tablet.otzar.org/",CHAR(35),"/book/150298/p/-1/t/1/fs/0/start/0/end/0/c"),"קציני אר""""ץ")</f>
        <v>קציני אר""ץ</v>
      </c>
      <c r="H285" t="str">
        <f>_xlfn.CONCAT("https://tablet.otzar.org/",CHAR(35),"/book/150298/p/-1/t/1/fs/0/start/0/end/0/c")</f>
        <v>https://tablet.otzar.org/#/book/150298/p/-1/t/1/fs/0/start/0/end/0/c</v>
      </c>
    </row>
    <row r="286" spans="1:8" x14ac:dyDescent="0.25">
      <c r="A286">
        <v>150280</v>
      </c>
      <c r="B286" t="s">
        <v>549</v>
      </c>
      <c r="C286" t="s">
        <v>366</v>
      </c>
      <c r="D286" t="s">
        <v>10</v>
      </c>
      <c r="E286" t="s">
        <v>241</v>
      </c>
      <c r="F286" t="s">
        <v>550</v>
      </c>
      <c r="G286" t="str">
        <f>HYPERLINK(_xlfn.CONCAT("https://tablet.otzar.org/",CHAR(35),"/book/150280/p/-1/t/1/fs/0/start/0/end/0/c"),"קרבן אש""""ה &lt;אהבת שלום&gt;")</f>
        <v>קרבן אש""ה &lt;אהבת שלום&gt;</v>
      </c>
      <c r="H286" t="str">
        <f>_xlfn.CONCAT("https://tablet.otzar.org/",CHAR(35),"/book/150280/p/-1/t/1/fs/0/start/0/end/0/c")</f>
        <v>https://tablet.otzar.org/#/book/150280/p/-1/t/1/fs/0/start/0/end/0/c</v>
      </c>
    </row>
    <row r="287" spans="1:8" x14ac:dyDescent="0.25">
      <c r="A287">
        <v>150220</v>
      </c>
      <c r="B287" t="s">
        <v>551</v>
      </c>
      <c r="C287" t="s">
        <v>166</v>
      </c>
      <c r="D287" t="s">
        <v>10</v>
      </c>
      <c r="E287" t="s">
        <v>22</v>
      </c>
      <c r="F287" t="s">
        <v>198</v>
      </c>
      <c r="G287" t="str">
        <f>HYPERLINK(_xlfn.CONCAT("https://tablet.otzar.org/",CHAR(35),"/book/150220/p/-1/t/1/fs/0/start/0/end/0/c"),"קרבן פסח")</f>
        <v>קרבן פסח</v>
      </c>
      <c r="H287" t="str">
        <f>_xlfn.CONCAT("https://tablet.otzar.org/",CHAR(35),"/book/150220/p/-1/t/1/fs/0/start/0/end/0/c")</f>
        <v>https://tablet.otzar.org/#/book/150220/p/-1/t/1/fs/0/start/0/end/0/c</v>
      </c>
    </row>
    <row r="288" spans="1:8" x14ac:dyDescent="0.25">
      <c r="A288">
        <v>194038</v>
      </c>
      <c r="B288" t="s">
        <v>552</v>
      </c>
      <c r="C288" t="s">
        <v>212</v>
      </c>
      <c r="D288" t="s">
        <v>10</v>
      </c>
      <c r="E288" t="s">
        <v>113</v>
      </c>
      <c r="G288" t="str">
        <f>HYPERLINK(_xlfn.CONCAT("https://tablet.otzar.org/",CHAR(35),"/book/194038/p/-1/t/1/fs/0/start/0/end/0/c"),"קרנות צדיק - ליקוטי אליהו - מנהגי ק""""ק בית יעקב")</f>
        <v>קרנות צדיק - ליקוטי אליהו - מנהגי ק""ק בית יעקב</v>
      </c>
      <c r="H288" t="str">
        <f>_xlfn.CONCAT("https://tablet.otzar.org/",CHAR(35),"/book/194038/p/-1/t/1/fs/0/start/0/end/0/c")</f>
        <v>https://tablet.otzar.org/#/book/194038/p/-1/t/1/fs/0/start/0/end/0/c</v>
      </c>
    </row>
    <row r="289" spans="1:8" x14ac:dyDescent="0.25">
      <c r="A289">
        <v>151238</v>
      </c>
      <c r="B289" t="s">
        <v>553</v>
      </c>
      <c r="C289" t="s">
        <v>277</v>
      </c>
      <c r="D289" t="s">
        <v>10</v>
      </c>
      <c r="E289" t="s">
        <v>554</v>
      </c>
      <c r="F289" t="s">
        <v>208</v>
      </c>
      <c r="G289" t="str">
        <f>HYPERLINK(_xlfn.CONCAT("https://tablet.otzar.org/",CHAR(35),"/book/151238/p/-1/t/1/fs/0/start/0/end/0/c"),"קרני רא""""ם")</f>
        <v>קרני רא""ם</v>
      </c>
      <c r="H289" t="str">
        <f>_xlfn.CONCAT("https://tablet.otzar.org/",CHAR(35),"/book/151238/p/-1/t/1/fs/0/start/0/end/0/c")</f>
        <v>https://tablet.otzar.org/#/book/151238/p/-1/t/1/fs/0/start/0/end/0/c</v>
      </c>
    </row>
    <row r="290" spans="1:8" x14ac:dyDescent="0.25">
      <c r="A290">
        <v>151237</v>
      </c>
      <c r="B290" t="s">
        <v>555</v>
      </c>
      <c r="C290" t="s">
        <v>556</v>
      </c>
      <c r="D290" t="s">
        <v>10</v>
      </c>
      <c r="E290" t="s">
        <v>557</v>
      </c>
      <c r="F290" t="s">
        <v>77</v>
      </c>
      <c r="G290" t="str">
        <f>HYPERLINK(_xlfn.CONCAT("https://tablet.otzar.org/",CHAR(35),"/book/151237/p/-1/t/1/fs/0/start/0/end/0/c"),"ראשית תרומה")</f>
        <v>ראשית תרומה</v>
      </c>
      <c r="H290" t="str">
        <f>_xlfn.CONCAT("https://tablet.otzar.org/",CHAR(35),"/book/151237/p/-1/t/1/fs/0/start/0/end/0/c")</f>
        <v>https://tablet.otzar.org/#/book/151237/p/-1/t/1/fs/0/start/0/end/0/c</v>
      </c>
    </row>
    <row r="291" spans="1:8" x14ac:dyDescent="0.25">
      <c r="A291">
        <v>608711</v>
      </c>
      <c r="B291" t="s">
        <v>558</v>
      </c>
      <c r="C291" t="s">
        <v>29</v>
      </c>
      <c r="D291" t="s">
        <v>10</v>
      </c>
      <c r="E291" t="s">
        <v>47</v>
      </c>
      <c r="F291" t="s">
        <v>12</v>
      </c>
      <c r="G291" t="str">
        <f>HYPERLINK(_xlfn.CONCAT("https://tablet.otzar.org/",CHAR(35),"/exKotar/608711"),"רוח הי""""ם - 2 כרכים")</f>
        <v>רוח הי""ם - 2 כרכים</v>
      </c>
      <c r="H291" t="str">
        <f>_xlfn.CONCAT("https://tablet.otzar.org/",CHAR(35),"/exKotar/608711")</f>
        <v>https://tablet.otzar.org/#/exKotar/608711</v>
      </c>
    </row>
    <row r="292" spans="1:8" x14ac:dyDescent="0.25">
      <c r="A292">
        <v>637937</v>
      </c>
      <c r="B292" t="s">
        <v>559</v>
      </c>
      <c r="C292" t="s">
        <v>560</v>
      </c>
      <c r="D292" t="s">
        <v>18</v>
      </c>
      <c r="E292" t="s">
        <v>143</v>
      </c>
      <c r="G292" t="str">
        <f>HYPERLINK(_xlfn.CONCAT("https://tablet.otzar.org/",CHAR(35),"/book/637937/p/-1/t/1/fs/0/start/0/end/0/c"),"רנו ליעקב")</f>
        <v>רנו ליעקב</v>
      </c>
      <c r="H292" t="str">
        <f>_xlfn.CONCAT("https://tablet.otzar.org/",CHAR(35),"/book/637937/p/-1/t/1/fs/0/start/0/end/0/c")</f>
        <v>https://tablet.otzar.org/#/book/637937/p/-1/t/1/fs/0/start/0/end/0/c</v>
      </c>
    </row>
    <row r="293" spans="1:8" x14ac:dyDescent="0.25">
      <c r="A293">
        <v>150369</v>
      </c>
      <c r="B293" t="s">
        <v>561</v>
      </c>
      <c r="C293" t="s">
        <v>29</v>
      </c>
      <c r="D293" t="s">
        <v>10</v>
      </c>
      <c r="E293" t="s">
        <v>134</v>
      </c>
      <c r="F293" t="s">
        <v>562</v>
      </c>
      <c r="G293" t="str">
        <f>HYPERLINK(_xlfn.CONCAT("https://tablet.otzar.org/",CHAR(35),"/book/150369/p/-1/t/1/fs/0/start/0/end/0/c"),"רני עקרה")</f>
        <v>רני עקרה</v>
      </c>
      <c r="H293" t="str">
        <f>_xlfn.CONCAT("https://tablet.otzar.org/",CHAR(35),"/book/150369/p/-1/t/1/fs/0/start/0/end/0/c")</f>
        <v>https://tablet.otzar.org/#/book/150369/p/-1/t/1/fs/0/start/0/end/0/c</v>
      </c>
    </row>
    <row r="294" spans="1:8" x14ac:dyDescent="0.25">
      <c r="A294">
        <v>150319</v>
      </c>
      <c r="B294" t="s">
        <v>563</v>
      </c>
      <c r="C294" t="s">
        <v>564</v>
      </c>
      <c r="D294" t="s">
        <v>10</v>
      </c>
      <c r="E294" t="s">
        <v>134</v>
      </c>
      <c r="F294" t="s">
        <v>208</v>
      </c>
      <c r="G294" t="str">
        <f>HYPERLINK(_xlfn.CONCAT("https://tablet.otzar.org/",CHAR(35),"/exKotar/150319"),"שאלו לברוך - 4 כרכים")</f>
        <v>שאלו לברוך - 4 כרכים</v>
      </c>
      <c r="H294" t="str">
        <f>_xlfn.CONCAT("https://tablet.otzar.org/",CHAR(35),"/exKotar/150319")</f>
        <v>https://tablet.otzar.org/#/exKotar/150319</v>
      </c>
    </row>
    <row r="295" spans="1:8" x14ac:dyDescent="0.25">
      <c r="A295">
        <v>654815</v>
      </c>
      <c r="B295" t="s">
        <v>565</v>
      </c>
      <c r="C295" t="s">
        <v>566</v>
      </c>
      <c r="D295" t="s">
        <v>10</v>
      </c>
      <c r="E295" t="s">
        <v>15</v>
      </c>
      <c r="G295" t="str">
        <f>HYPERLINK(_xlfn.CONCAT("https://tablet.otzar.org/",CHAR(35),"/book/654815/p/-1/t/1/fs/0/start/0/end/0/c"),"שאלות ותשובות רבינו יוסף אבן ציאח")</f>
        <v>שאלות ותשובות רבינו יוסף אבן ציאח</v>
      </c>
      <c r="H295" t="str">
        <f>_xlfn.CONCAT("https://tablet.otzar.org/",CHAR(35),"/book/654815/p/-1/t/1/fs/0/start/0/end/0/c")</f>
        <v>https://tablet.otzar.org/#/book/654815/p/-1/t/1/fs/0/start/0/end/0/c</v>
      </c>
    </row>
    <row r="296" spans="1:8" x14ac:dyDescent="0.25">
      <c r="A296">
        <v>150349</v>
      </c>
      <c r="B296" t="s">
        <v>567</v>
      </c>
      <c r="C296" t="s">
        <v>568</v>
      </c>
      <c r="D296" t="s">
        <v>10</v>
      </c>
      <c r="E296" t="s">
        <v>139</v>
      </c>
      <c r="F296" t="s">
        <v>180</v>
      </c>
      <c r="G296" t="str">
        <f>HYPERLINK(_xlfn.CONCAT("https://tablet.otzar.org/",CHAR(35),"/book/150349/p/-1/t/1/fs/0/start/0/end/0/c"),"שארית יעקב - משכנות יעקב")</f>
        <v>שארית יעקב - משכנות יעקב</v>
      </c>
      <c r="H296" t="str">
        <f>_xlfn.CONCAT("https://tablet.otzar.org/",CHAR(35),"/book/150349/p/-1/t/1/fs/0/start/0/end/0/c")</f>
        <v>https://tablet.otzar.org/#/book/150349/p/-1/t/1/fs/0/start/0/end/0/c</v>
      </c>
    </row>
    <row r="297" spans="1:8" x14ac:dyDescent="0.25">
      <c r="A297">
        <v>150225</v>
      </c>
      <c r="B297" t="s">
        <v>569</v>
      </c>
      <c r="C297" t="s">
        <v>264</v>
      </c>
      <c r="D297" t="s">
        <v>10</v>
      </c>
      <c r="E297" t="s">
        <v>26</v>
      </c>
      <c r="F297" t="s">
        <v>198</v>
      </c>
      <c r="G297" t="str">
        <f>HYPERLINK(_xlfn.CONCAT("https://tablet.otzar.org/",CHAR(35),"/book/150225/p/-1/t/1/fs/0/start/0/end/0/c"),"שבח פסח &lt;אהבת שלום&gt;")</f>
        <v>שבח פסח &lt;אהבת שלום&gt;</v>
      </c>
      <c r="H297" t="str">
        <f>_xlfn.CONCAT("https://tablet.otzar.org/",CHAR(35),"/book/150225/p/-1/t/1/fs/0/start/0/end/0/c")</f>
        <v>https://tablet.otzar.org/#/book/150225/p/-1/t/1/fs/0/start/0/end/0/c</v>
      </c>
    </row>
    <row r="298" spans="1:8" x14ac:dyDescent="0.25">
      <c r="A298">
        <v>150426</v>
      </c>
      <c r="B298" t="s">
        <v>570</v>
      </c>
      <c r="C298" t="s">
        <v>571</v>
      </c>
      <c r="D298" t="s">
        <v>10</v>
      </c>
      <c r="E298" t="s">
        <v>107</v>
      </c>
      <c r="F298" t="s">
        <v>245</v>
      </c>
      <c r="G298" t="str">
        <f>HYPERLINK(_xlfn.CONCAT("https://tablet.otzar.org/",CHAR(35),"/book/150426/p/-1/t/1/fs/0/start/0/end/0/c"),"שבחי האר""""י &lt;תולדות האר""""י&gt;")</f>
        <v>שבחי האר""י &lt;תולדות האר""י&gt;</v>
      </c>
      <c r="H298" t="str">
        <f>_xlfn.CONCAT("https://tablet.otzar.org/",CHAR(35),"/book/150426/p/-1/t/1/fs/0/start/0/end/0/c")</f>
        <v>https://tablet.otzar.org/#/book/150426/p/-1/t/1/fs/0/start/0/end/0/c</v>
      </c>
    </row>
    <row r="299" spans="1:8" x14ac:dyDescent="0.25">
      <c r="A299">
        <v>150307</v>
      </c>
      <c r="B299" t="s">
        <v>572</v>
      </c>
      <c r="C299" t="s">
        <v>412</v>
      </c>
      <c r="D299" t="s">
        <v>10</v>
      </c>
      <c r="E299" t="s">
        <v>139</v>
      </c>
      <c r="F299" t="s">
        <v>573</v>
      </c>
      <c r="G299" t="str">
        <f>HYPERLINK(_xlfn.CONCAT("https://tablet.otzar.org/",CHAR(35),"/book/150307/p/-1/t/1/fs/0/start/0/end/0/c"),"שבט מישור &lt;אהבת שלום&gt;")</f>
        <v>שבט מישור &lt;אהבת שלום&gt;</v>
      </c>
      <c r="H299" t="str">
        <f>_xlfn.CONCAT("https://tablet.otzar.org/",CHAR(35),"/book/150307/p/-1/t/1/fs/0/start/0/end/0/c")</f>
        <v>https://tablet.otzar.org/#/book/150307/p/-1/t/1/fs/0/start/0/end/0/c</v>
      </c>
    </row>
    <row r="300" spans="1:8" x14ac:dyDescent="0.25">
      <c r="A300">
        <v>150798</v>
      </c>
      <c r="B300" t="s">
        <v>574</v>
      </c>
      <c r="C300" t="s">
        <v>227</v>
      </c>
      <c r="D300" t="s">
        <v>10</v>
      </c>
      <c r="E300" t="s">
        <v>150</v>
      </c>
      <c r="F300" t="s">
        <v>90</v>
      </c>
      <c r="G300" t="str">
        <f>HYPERLINK(_xlfn.CONCAT("https://tablet.otzar.org/",CHAR(35),"/book/150798/p/-1/t/1/fs/0/start/0/end/0/c"),"שבת אחים")</f>
        <v>שבת אחים</v>
      </c>
      <c r="H300" t="str">
        <f>_xlfn.CONCAT("https://tablet.otzar.org/",CHAR(35),"/book/150798/p/-1/t/1/fs/0/start/0/end/0/c")</f>
        <v>https://tablet.otzar.org/#/book/150798/p/-1/t/1/fs/0/start/0/end/0/c</v>
      </c>
    </row>
    <row r="301" spans="1:8" x14ac:dyDescent="0.25">
      <c r="A301">
        <v>150495</v>
      </c>
      <c r="B301" t="s">
        <v>575</v>
      </c>
      <c r="C301" t="s">
        <v>576</v>
      </c>
      <c r="D301" t="s">
        <v>10</v>
      </c>
      <c r="E301" t="s">
        <v>22</v>
      </c>
      <c r="F301" t="s">
        <v>90</v>
      </c>
      <c r="G301" t="str">
        <f>HYPERLINK(_xlfn.CONCAT("https://tablet.otzar.org/",CHAR(35),"/exKotar/150495"),"שדה יצחק - 4 כרכים")</f>
        <v>שדה יצחק - 4 כרכים</v>
      </c>
      <c r="H301" t="str">
        <f>_xlfn.CONCAT("https://tablet.otzar.org/",CHAR(35),"/exKotar/150495")</f>
        <v>https://tablet.otzar.org/#/exKotar/150495</v>
      </c>
    </row>
    <row r="302" spans="1:8" x14ac:dyDescent="0.25">
      <c r="A302">
        <v>150390</v>
      </c>
      <c r="B302" t="s">
        <v>577</v>
      </c>
      <c r="C302" t="s">
        <v>578</v>
      </c>
      <c r="D302" t="s">
        <v>10</v>
      </c>
      <c r="E302" t="s">
        <v>383</v>
      </c>
      <c r="F302" t="s">
        <v>208</v>
      </c>
      <c r="G302" t="str">
        <f>HYPERLINK(_xlfn.CONCAT("https://tablet.otzar.org/",CHAR(35),"/book/150390/p/-1/t/1/fs/0/start/0/end/0/c"),"שו""""ת מהר""""א אשכנזי")</f>
        <v>שו""ת מהר""א אשכנזי</v>
      </c>
      <c r="H302" t="str">
        <f>_xlfn.CONCAT("https://tablet.otzar.org/",CHAR(35),"/book/150390/p/-1/t/1/fs/0/start/0/end/0/c")</f>
        <v>https://tablet.otzar.org/#/book/150390/p/-1/t/1/fs/0/start/0/end/0/c</v>
      </c>
    </row>
    <row r="303" spans="1:8" x14ac:dyDescent="0.25">
      <c r="A303">
        <v>630776</v>
      </c>
      <c r="B303" t="s">
        <v>579</v>
      </c>
      <c r="C303" t="s">
        <v>544</v>
      </c>
      <c r="D303" t="s">
        <v>10</v>
      </c>
      <c r="E303" t="s">
        <v>19</v>
      </c>
      <c r="F303" t="s">
        <v>235</v>
      </c>
      <c r="G303" t="str">
        <f>HYPERLINK(_xlfn.CONCAT("https://tablet.otzar.org/",CHAR(35),"/book/630776/p/-1/t/1/fs/0/start/0/end/0/c"),"שו""""ת רבי ברוך")</f>
        <v>שו""ת רבי ברוך</v>
      </c>
      <c r="H303" t="str">
        <f>_xlfn.CONCAT("https://tablet.otzar.org/",CHAR(35),"/book/630776/p/-1/t/1/fs/0/start/0/end/0/c")</f>
        <v>https://tablet.otzar.org/#/book/630776/p/-1/t/1/fs/0/start/0/end/0/c</v>
      </c>
    </row>
    <row r="304" spans="1:8" x14ac:dyDescent="0.25">
      <c r="A304">
        <v>150348</v>
      </c>
      <c r="B304" t="s">
        <v>580</v>
      </c>
      <c r="C304" t="s">
        <v>581</v>
      </c>
      <c r="D304" t="s">
        <v>10</v>
      </c>
      <c r="E304" t="s">
        <v>41</v>
      </c>
      <c r="F304" t="s">
        <v>208</v>
      </c>
      <c r="G304" t="str">
        <f>HYPERLINK(_xlfn.CONCAT("https://tablet.otzar.org/",CHAR(35),"/book/150348/p/-1/t/1/fs/0/start/0/end/0/c"),"שו""""ת רבי שלום הכהן מקושטא")</f>
        <v>שו""ת רבי שלום הכהן מקושטא</v>
      </c>
      <c r="H304" t="str">
        <f>_xlfn.CONCAT("https://tablet.otzar.org/",CHAR(35),"/book/150348/p/-1/t/1/fs/0/start/0/end/0/c")</f>
        <v>https://tablet.otzar.org/#/book/150348/p/-1/t/1/fs/0/start/0/end/0/c</v>
      </c>
    </row>
    <row r="305" spans="1:8" x14ac:dyDescent="0.25">
      <c r="A305">
        <v>163315</v>
      </c>
      <c r="B305" t="s">
        <v>582</v>
      </c>
      <c r="C305" t="s">
        <v>387</v>
      </c>
      <c r="D305" t="s">
        <v>10</v>
      </c>
      <c r="E305" t="s">
        <v>85</v>
      </c>
      <c r="F305" t="s">
        <v>23</v>
      </c>
      <c r="G305" t="str">
        <f>HYPERLINK(_xlfn.CONCAT("https://tablet.otzar.org/",CHAR(35),"/book/163315/p/-1/t/1/fs/0/start/0/end/0/c"),"שומר אמונים מבוא פתחים &lt;אהבת שלום&gt;")</f>
        <v>שומר אמונים מבוא פתחים &lt;אהבת שלום&gt;</v>
      </c>
      <c r="H305" t="str">
        <f>_xlfn.CONCAT("https://tablet.otzar.org/",CHAR(35),"/book/163315/p/-1/t/1/fs/0/start/0/end/0/c")</f>
        <v>https://tablet.otzar.org/#/book/163315/p/-1/t/1/fs/0/start/0/end/0/c</v>
      </c>
    </row>
    <row r="306" spans="1:8" x14ac:dyDescent="0.25">
      <c r="A306">
        <v>176898</v>
      </c>
      <c r="B306" t="s">
        <v>583</v>
      </c>
      <c r="C306" t="s">
        <v>584</v>
      </c>
      <c r="E306" t="s">
        <v>130</v>
      </c>
      <c r="F306" t="s">
        <v>432</v>
      </c>
      <c r="G306" t="str">
        <f>HYPERLINK(_xlfn.CONCAT("https://tablet.otzar.org/",CHAR(35),"/book/176898/p/-1/t/1/fs/0/start/0/end/0/c"),"שיח חיים")</f>
        <v>שיח חיים</v>
      </c>
      <c r="H306" t="str">
        <f>_xlfn.CONCAT("https://tablet.otzar.org/",CHAR(35),"/book/176898/p/-1/t/1/fs/0/start/0/end/0/c")</f>
        <v>https://tablet.otzar.org/#/book/176898/p/-1/t/1/fs/0/start/0/end/0/c</v>
      </c>
    </row>
    <row r="307" spans="1:8" x14ac:dyDescent="0.25">
      <c r="A307">
        <v>646726</v>
      </c>
      <c r="B307" t="s">
        <v>585</v>
      </c>
      <c r="C307" t="s">
        <v>212</v>
      </c>
      <c r="D307" t="s">
        <v>10</v>
      </c>
      <c r="E307" t="s">
        <v>58</v>
      </c>
      <c r="G307" t="str">
        <f>HYPERLINK(_xlfn.CONCAT("https://tablet.otzar.org/",CHAR(35),"/book/646726/p/-1/t/1/fs/0/start/0/end/0/c"),"שיח יצחק &lt;מהדורת אהבת שלום&gt;")</f>
        <v>שיח יצחק &lt;מהדורת אהבת שלום&gt;</v>
      </c>
      <c r="H307" t="str">
        <f>_xlfn.CONCAT("https://tablet.otzar.org/",CHAR(35),"/book/646726/p/-1/t/1/fs/0/start/0/end/0/c")</f>
        <v>https://tablet.otzar.org/#/book/646726/p/-1/t/1/fs/0/start/0/end/0/c</v>
      </c>
    </row>
    <row r="308" spans="1:8" x14ac:dyDescent="0.25">
      <c r="A308">
        <v>170096</v>
      </c>
      <c r="B308" t="s">
        <v>586</v>
      </c>
      <c r="C308" t="s">
        <v>29</v>
      </c>
      <c r="D308" t="s">
        <v>10</v>
      </c>
      <c r="E308" t="s">
        <v>130</v>
      </c>
      <c r="F308" t="s">
        <v>587</v>
      </c>
      <c r="G308" t="str">
        <f>HYPERLINK(_xlfn.CONCAT("https://tablet.otzar.org/",CHAR(35),"/exKotar/170096"),"שיחות ומאמרים - 2 כרכים")</f>
        <v>שיחות ומאמרים - 2 כרכים</v>
      </c>
      <c r="H308" t="str">
        <f>_xlfn.CONCAT("https://tablet.otzar.org/",CHAR(35),"/exKotar/170096")</f>
        <v>https://tablet.otzar.org/#/exKotar/170096</v>
      </c>
    </row>
    <row r="309" spans="1:8" x14ac:dyDescent="0.25">
      <c r="A309">
        <v>150342</v>
      </c>
      <c r="B309" t="s">
        <v>588</v>
      </c>
      <c r="C309" t="s">
        <v>589</v>
      </c>
      <c r="D309" t="s">
        <v>10</v>
      </c>
      <c r="E309" t="s">
        <v>64</v>
      </c>
      <c r="F309" t="s">
        <v>590</v>
      </c>
      <c r="G309" t="str">
        <f>HYPERLINK(_xlfn.CONCAT("https://tablet.otzar.org/",CHAR(35),"/book/150342/p/-1/t/1/fs/0/start/0/end/0/c"),"שיחת דקלים")</f>
        <v>שיחת דקלים</v>
      </c>
      <c r="H309" t="str">
        <f>_xlfn.CONCAT("https://tablet.otzar.org/",CHAR(35),"/book/150342/p/-1/t/1/fs/0/start/0/end/0/c")</f>
        <v>https://tablet.otzar.org/#/book/150342/p/-1/t/1/fs/0/start/0/end/0/c</v>
      </c>
    </row>
    <row r="310" spans="1:8" x14ac:dyDescent="0.25">
      <c r="A310">
        <v>150791</v>
      </c>
      <c r="B310" t="s">
        <v>591</v>
      </c>
      <c r="C310" t="s">
        <v>592</v>
      </c>
      <c r="D310" t="s">
        <v>10</v>
      </c>
      <c r="E310" t="s">
        <v>150</v>
      </c>
      <c r="F310" t="s">
        <v>90</v>
      </c>
      <c r="G310" t="str">
        <f>HYPERLINK(_xlfn.CONCAT("https://tablet.otzar.org/",CHAR(35),"/exKotar/150791"),"שיטה מקובצת &lt;אהבת שלום&gt;  - 2 כרכים")</f>
        <v>שיטה מקובצת &lt;אהבת שלום&gt;  - 2 כרכים</v>
      </c>
      <c r="H310" t="str">
        <f>_xlfn.CONCAT("https://tablet.otzar.org/",CHAR(35),"/exKotar/150791")</f>
        <v>https://tablet.otzar.org/#/exKotar/150791</v>
      </c>
    </row>
    <row r="311" spans="1:8" x14ac:dyDescent="0.25">
      <c r="A311">
        <v>150837</v>
      </c>
      <c r="B311" t="s">
        <v>593</v>
      </c>
      <c r="C311" t="s">
        <v>594</v>
      </c>
      <c r="D311" t="s">
        <v>10</v>
      </c>
      <c r="E311" t="s">
        <v>101</v>
      </c>
      <c r="F311" t="s">
        <v>90</v>
      </c>
      <c r="G311" t="str">
        <f>HYPERLINK(_xlfn.CONCAT("https://tablet.otzar.org/",CHAR(35),"/exKotar/150837"),"שיטה על מסכת בבא קמא למהריק""""ש - 2 כרכים")</f>
        <v>שיטה על מסכת בבא קמא למהריק""ש - 2 כרכים</v>
      </c>
      <c r="H311" t="str">
        <f>_xlfn.CONCAT("https://tablet.otzar.org/",CHAR(35),"/exKotar/150837")</f>
        <v>https://tablet.otzar.org/#/exKotar/150837</v>
      </c>
    </row>
    <row r="312" spans="1:8" x14ac:dyDescent="0.25">
      <c r="A312">
        <v>181452</v>
      </c>
      <c r="B312" t="s">
        <v>595</v>
      </c>
      <c r="C312" t="s">
        <v>596</v>
      </c>
      <c r="D312" t="s">
        <v>597</v>
      </c>
      <c r="E312" t="s">
        <v>370</v>
      </c>
      <c r="F312" t="s">
        <v>213</v>
      </c>
      <c r="G312" t="str">
        <f>HYPERLINK(_xlfn.CONCAT("https://tablet.otzar.org/",CHAR(35),"/book/181452/p/-1/t/1/fs/0/start/0/end/0/c"),"שינון הלכה אליבא דהלכתא - שבת")</f>
        <v>שינון הלכה אליבא דהלכתא - שבת</v>
      </c>
      <c r="H312" t="str">
        <f>_xlfn.CONCAT("https://tablet.otzar.org/",CHAR(35),"/book/181452/p/-1/t/1/fs/0/start/0/end/0/c")</f>
        <v>https://tablet.otzar.org/#/book/181452/p/-1/t/1/fs/0/start/0/end/0/c</v>
      </c>
    </row>
    <row r="313" spans="1:8" x14ac:dyDescent="0.25">
      <c r="A313">
        <v>180035</v>
      </c>
      <c r="B313" t="s">
        <v>598</v>
      </c>
      <c r="C313" t="s">
        <v>599</v>
      </c>
      <c r="D313" t="s">
        <v>10</v>
      </c>
      <c r="E313" t="s">
        <v>130</v>
      </c>
      <c r="F313" t="s">
        <v>27</v>
      </c>
      <c r="G313" t="str">
        <f>HYPERLINK(_xlfn.CONCAT("https://tablet.otzar.org/",CHAR(35),"/book/180035/p/-1/t/1/fs/0/start/0/end/0/c"),"שיר השירים  ע""""פ שיר חדש")</f>
        <v>שיר השירים  ע""פ שיר חדש</v>
      </c>
      <c r="H313" t="str">
        <f>_xlfn.CONCAT("https://tablet.otzar.org/",CHAR(35),"/book/180035/p/-1/t/1/fs/0/start/0/end/0/c")</f>
        <v>https://tablet.otzar.org/#/book/180035/p/-1/t/1/fs/0/start/0/end/0/c</v>
      </c>
    </row>
    <row r="314" spans="1:8" x14ac:dyDescent="0.25">
      <c r="A314">
        <v>150507</v>
      </c>
      <c r="B314" t="s">
        <v>600</v>
      </c>
      <c r="C314" t="s">
        <v>601</v>
      </c>
      <c r="D314" t="s">
        <v>10</v>
      </c>
      <c r="E314" t="s">
        <v>64</v>
      </c>
      <c r="F314" t="s">
        <v>23</v>
      </c>
      <c r="G314" t="str">
        <f>HYPERLINK(_xlfn.CONCAT("https://tablet.otzar.org/",CHAR(35),"/book/150507/p/-1/t/1/fs/0/start/0/end/0/c"),"שלום ירושלם")</f>
        <v>שלום ירושלם</v>
      </c>
      <c r="H314" t="str">
        <f>_xlfn.CONCAT("https://tablet.otzar.org/",CHAR(35),"/book/150507/p/-1/t/1/fs/0/start/0/end/0/c")</f>
        <v>https://tablet.otzar.org/#/book/150507/p/-1/t/1/fs/0/start/0/end/0/c</v>
      </c>
    </row>
    <row r="315" spans="1:8" x14ac:dyDescent="0.25">
      <c r="A315">
        <v>646725</v>
      </c>
      <c r="B315" t="s">
        <v>602</v>
      </c>
      <c r="C315" t="s">
        <v>603</v>
      </c>
      <c r="D315" t="s">
        <v>10</v>
      </c>
      <c r="E315" t="s">
        <v>58</v>
      </c>
      <c r="G315" t="str">
        <f>HYPERLINK(_xlfn.CONCAT("https://tablet.otzar.org/",CHAR(35),"/exKotar/646725"),"שלחן מלכים ביאור על עץ חיים - 2 כרכים")</f>
        <v>שלחן מלכים ביאור על עץ חיים - 2 כרכים</v>
      </c>
      <c r="H315" t="str">
        <f>_xlfn.CONCAT("https://tablet.otzar.org/",CHAR(35),"/exKotar/646725")</f>
        <v>https://tablet.otzar.org/#/exKotar/646725</v>
      </c>
    </row>
    <row r="316" spans="1:8" x14ac:dyDescent="0.25">
      <c r="A316">
        <v>637946</v>
      </c>
      <c r="B316" t="s">
        <v>604</v>
      </c>
      <c r="C316" t="s">
        <v>605</v>
      </c>
      <c r="D316" t="s">
        <v>18</v>
      </c>
      <c r="E316" t="s">
        <v>58</v>
      </c>
      <c r="G316" t="str">
        <f>HYPERLINK(_xlfn.CONCAT("https://tablet.otzar.org/",CHAR(35),"/book/637946/p/-1/t/1/fs/0/start/0/end/0/c"),"שלחן ערוך הלכות חנוכה &lt;חידושי דינים - עצי היע""""ר&gt;")</f>
        <v>שלחן ערוך הלכות חנוכה &lt;חידושי דינים - עצי היע""ר&gt;</v>
      </c>
      <c r="H316" t="str">
        <f>_xlfn.CONCAT("https://tablet.otzar.org/",CHAR(35),"/book/637946/p/-1/t/1/fs/0/start/0/end/0/c")</f>
        <v>https://tablet.otzar.org/#/book/637946/p/-1/t/1/fs/0/start/0/end/0/c</v>
      </c>
    </row>
    <row r="317" spans="1:8" x14ac:dyDescent="0.25">
      <c r="A317">
        <v>150269</v>
      </c>
      <c r="B317" t="s">
        <v>606</v>
      </c>
      <c r="C317" t="s">
        <v>607</v>
      </c>
      <c r="D317" t="s">
        <v>10</v>
      </c>
      <c r="E317" t="s">
        <v>150</v>
      </c>
      <c r="F317" t="s">
        <v>42</v>
      </c>
      <c r="G317" t="str">
        <f>HYPERLINK(_xlfn.CONCAT("https://tablet.otzar.org/",CHAR(35),"/book/150269/p/-1/t/1/fs/0/start/0/end/0/c"),"שלמי חגיגה &lt;אהבת שלום&gt;")</f>
        <v>שלמי חגיגה &lt;אהבת שלום&gt;</v>
      </c>
      <c r="H317" t="str">
        <f>_xlfn.CONCAT("https://tablet.otzar.org/",CHAR(35),"/book/150269/p/-1/t/1/fs/0/start/0/end/0/c")</f>
        <v>https://tablet.otzar.org/#/book/150269/p/-1/t/1/fs/0/start/0/end/0/c</v>
      </c>
    </row>
    <row r="318" spans="1:8" x14ac:dyDescent="0.25">
      <c r="A318">
        <v>150268</v>
      </c>
      <c r="B318" t="s">
        <v>608</v>
      </c>
      <c r="C318" t="s">
        <v>607</v>
      </c>
      <c r="D318" t="s">
        <v>10</v>
      </c>
      <c r="E318" t="s">
        <v>150</v>
      </c>
      <c r="F318" t="s">
        <v>42</v>
      </c>
      <c r="G318" t="str">
        <f>HYPERLINK(_xlfn.CONCAT("https://tablet.otzar.org/",CHAR(35),"/book/150268/p/-1/t/1/fs/0/start/0/end/0/c"),"שלמי צבור &lt;אהבת שלום&gt;")</f>
        <v>שלמי צבור &lt;אהבת שלום&gt;</v>
      </c>
      <c r="H318" t="str">
        <f>_xlfn.CONCAT("https://tablet.otzar.org/",CHAR(35),"/book/150268/p/-1/t/1/fs/0/start/0/end/0/c")</f>
        <v>https://tablet.otzar.org/#/book/150268/p/-1/t/1/fs/0/start/0/end/0/c</v>
      </c>
    </row>
    <row r="319" spans="1:8" x14ac:dyDescent="0.25">
      <c r="A319">
        <v>150782</v>
      </c>
      <c r="B319" t="s">
        <v>609</v>
      </c>
      <c r="C319" t="s">
        <v>610</v>
      </c>
      <c r="D319" t="s">
        <v>10</v>
      </c>
      <c r="E319" t="s">
        <v>22</v>
      </c>
      <c r="F319" t="s">
        <v>45</v>
      </c>
      <c r="G319" t="str">
        <f>HYPERLINK(_xlfn.CONCAT("https://tablet.otzar.org/",CHAR(35),"/book/150782/p/-1/t/1/fs/0/start/0/end/0/c"),"שלשלת זהב &lt;אהבת שלום&gt;")</f>
        <v>שלשלת זהב &lt;אהבת שלום&gt;</v>
      </c>
      <c r="H319" t="str">
        <f>_xlfn.CONCAT("https://tablet.otzar.org/",CHAR(35),"/book/150782/p/-1/t/1/fs/0/start/0/end/0/c")</f>
        <v>https://tablet.otzar.org/#/book/150782/p/-1/t/1/fs/0/start/0/end/0/c</v>
      </c>
    </row>
    <row r="320" spans="1:8" x14ac:dyDescent="0.25">
      <c r="A320">
        <v>150284</v>
      </c>
      <c r="B320" t="s">
        <v>611</v>
      </c>
      <c r="C320" t="s">
        <v>92</v>
      </c>
      <c r="D320" t="s">
        <v>10</v>
      </c>
      <c r="E320" t="s">
        <v>612</v>
      </c>
      <c r="G320" t="str">
        <f>HYPERLINK(_xlfn.CONCAT("https://tablet.otzar.org/",CHAR(35),"/book/150284/p/-1/t/1/fs/0/start/0/end/0/c"),"שם משמעון")</f>
        <v>שם משמעון</v>
      </c>
      <c r="H320" t="str">
        <f>_xlfn.CONCAT("https://tablet.otzar.org/",CHAR(35),"/book/150284/p/-1/t/1/fs/0/start/0/end/0/c")</f>
        <v>https://tablet.otzar.org/#/book/150284/p/-1/t/1/fs/0/start/0/end/0/c</v>
      </c>
    </row>
    <row r="321" spans="1:8" x14ac:dyDescent="0.25">
      <c r="A321">
        <v>630775</v>
      </c>
      <c r="B321" t="s">
        <v>613</v>
      </c>
      <c r="C321" t="s">
        <v>599</v>
      </c>
      <c r="D321" t="s">
        <v>10</v>
      </c>
      <c r="E321" t="s">
        <v>19</v>
      </c>
      <c r="F321" t="s">
        <v>90</v>
      </c>
      <c r="G321" t="str">
        <f>HYPERLINK(_xlfn.CONCAT("https://tablet.otzar.org/",CHAR(35),"/book/630775/p/-1/t/1/fs/0/start/0/end/0/c"),"שמן הטוב &lt;מהדורת אהבת שלום&gt;")</f>
        <v>שמן הטוב &lt;מהדורת אהבת שלום&gt;</v>
      </c>
      <c r="H321" t="str">
        <f>_xlfn.CONCAT("https://tablet.otzar.org/",CHAR(35),"/book/630775/p/-1/t/1/fs/0/start/0/end/0/c")</f>
        <v>https://tablet.otzar.org/#/book/630775/p/-1/t/1/fs/0/start/0/end/0/c</v>
      </c>
    </row>
    <row r="322" spans="1:8" x14ac:dyDescent="0.25">
      <c r="A322">
        <v>150283</v>
      </c>
      <c r="B322" t="s">
        <v>614</v>
      </c>
      <c r="C322" t="s">
        <v>615</v>
      </c>
      <c r="D322" t="s">
        <v>10</v>
      </c>
      <c r="E322" t="s">
        <v>50</v>
      </c>
      <c r="F322" t="s">
        <v>27</v>
      </c>
      <c r="G322" t="str">
        <f>HYPERLINK(_xlfn.CONCAT("https://tablet.otzar.org/",CHAR(35),"/book/150283/p/-1/t/1/fs/0/start/0/end/0/c"),"שמן המור")</f>
        <v>שמן המור</v>
      </c>
      <c r="H322" t="str">
        <f>_xlfn.CONCAT("https://tablet.otzar.org/",CHAR(35),"/book/150283/p/-1/t/1/fs/0/start/0/end/0/c")</f>
        <v>https://tablet.otzar.org/#/book/150283/p/-1/t/1/fs/0/start/0/end/0/c</v>
      </c>
    </row>
    <row r="323" spans="1:8" x14ac:dyDescent="0.25">
      <c r="A323">
        <v>646721</v>
      </c>
      <c r="B323" t="s">
        <v>616</v>
      </c>
      <c r="C323" t="s">
        <v>617</v>
      </c>
      <c r="D323" t="s">
        <v>10</v>
      </c>
      <c r="E323" t="s">
        <v>58</v>
      </c>
      <c r="G323" t="str">
        <f>HYPERLINK(_xlfn.CONCAT("https://tablet.otzar.org/",CHAR(35),"/book/646721/p/-1/t/1/fs/0/start/0/end/0/c"),"שמן המר &lt;מהדורת אהבת שלום&gt;")</f>
        <v>שמן המר &lt;מהדורת אהבת שלום&gt;</v>
      </c>
      <c r="H323" t="str">
        <f>_xlfn.CONCAT("https://tablet.otzar.org/",CHAR(35),"/book/646721/p/-1/t/1/fs/0/start/0/end/0/c")</f>
        <v>https://tablet.otzar.org/#/book/646721/p/-1/t/1/fs/0/start/0/end/0/c</v>
      </c>
    </row>
    <row r="324" spans="1:8" x14ac:dyDescent="0.25">
      <c r="A324">
        <v>170098</v>
      </c>
      <c r="B324" t="s">
        <v>618</v>
      </c>
      <c r="C324" t="s">
        <v>619</v>
      </c>
      <c r="D324" t="s">
        <v>10</v>
      </c>
      <c r="E324" t="s">
        <v>85</v>
      </c>
      <c r="F324" t="s">
        <v>23</v>
      </c>
      <c r="G324" t="str">
        <f>HYPERLINK(_xlfn.CONCAT("https://tablet.otzar.org/",CHAR(35),"/exKotar/170098"),"שמן ששון &lt;מהדורת אהבת שלום&gt;  - 5 כרכים")</f>
        <v>שמן ששון &lt;מהדורת אהבת שלום&gt;  - 5 כרכים</v>
      </c>
      <c r="H324" t="str">
        <f>_xlfn.CONCAT("https://tablet.otzar.org/",CHAR(35),"/exKotar/170098")</f>
        <v>https://tablet.otzar.org/#/exKotar/170098</v>
      </c>
    </row>
    <row r="325" spans="1:8" x14ac:dyDescent="0.25">
      <c r="A325">
        <v>150300</v>
      </c>
      <c r="B325" t="s">
        <v>620</v>
      </c>
      <c r="C325" t="s">
        <v>621</v>
      </c>
      <c r="D325" t="s">
        <v>10</v>
      </c>
      <c r="E325" t="s">
        <v>26</v>
      </c>
      <c r="F325" t="s">
        <v>180</v>
      </c>
      <c r="G325" t="str">
        <f>HYPERLINK(_xlfn.CONCAT("https://tablet.otzar.org/",CHAR(35),"/book/150300/p/-1/t/1/fs/0/start/0/end/0/c"),"שמע שמואל")</f>
        <v>שמע שמואל</v>
      </c>
      <c r="H325" t="str">
        <f>_xlfn.CONCAT("https://tablet.otzar.org/",CHAR(35),"/book/150300/p/-1/t/1/fs/0/start/0/end/0/c")</f>
        <v>https://tablet.otzar.org/#/book/150300/p/-1/t/1/fs/0/start/0/end/0/c</v>
      </c>
    </row>
    <row r="326" spans="1:8" x14ac:dyDescent="0.25">
      <c r="A326">
        <v>188201</v>
      </c>
      <c r="B326" t="s">
        <v>622</v>
      </c>
      <c r="C326" t="s">
        <v>29</v>
      </c>
      <c r="D326" t="s">
        <v>10</v>
      </c>
      <c r="E326" t="s">
        <v>113</v>
      </c>
      <c r="G326" t="str">
        <f>HYPERLINK(_xlfn.CONCAT("https://tablet.otzar.org/",CHAR(35),"/book/188201/p/-1/t/1/fs/0/start/0/end/0/c"),"שנות חיים")</f>
        <v>שנות חיים</v>
      </c>
      <c r="H326" t="str">
        <f>_xlfn.CONCAT("https://tablet.otzar.org/",CHAR(35),"/book/188201/p/-1/t/1/fs/0/start/0/end/0/c")</f>
        <v>https://tablet.otzar.org/#/book/188201/p/-1/t/1/fs/0/start/0/end/0/c</v>
      </c>
    </row>
    <row r="327" spans="1:8" x14ac:dyDescent="0.25">
      <c r="A327">
        <v>182570</v>
      </c>
      <c r="B327" t="s">
        <v>623</v>
      </c>
      <c r="C327" t="s">
        <v>624</v>
      </c>
      <c r="D327" t="s">
        <v>10</v>
      </c>
      <c r="E327" t="s">
        <v>370</v>
      </c>
      <c r="G327" t="str">
        <f>HYPERLINK(_xlfn.CONCAT("https://tablet.otzar.org/",CHAR(35),"/book/182570/p/-1/t/1/fs/0/start/0/end/0/c"),"שער הגלגולים עם ביאור בני אהרן &lt;מהדורת אהבת שלום&gt;")</f>
        <v>שער הגלגולים עם ביאור בני אהרן &lt;מהדורת אהבת שלום&gt;</v>
      </c>
      <c r="H327" t="str">
        <f>_xlfn.CONCAT("https://tablet.otzar.org/",CHAR(35),"/book/182570/p/-1/t/1/fs/0/start/0/end/0/c")</f>
        <v>https://tablet.otzar.org/#/book/182570/p/-1/t/1/fs/0/start/0/end/0/c</v>
      </c>
    </row>
    <row r="328" spans="1:8" x14ac:dyDescent="0.25">
      <c r="A328">
        <v>150844</v>
      </c>
      <c r="B328" t="s">
        <v>625</v>
      </c>
      <c r="C328" t="s">
        <v>626</v>
      </c>
      <c r="D328" t="s">
        <v>10</v>
      </c>
      <c r="E328" t="s">
        <v>557</v>
      </c>
      <c r="G328" t="str">
        <f>HYPERLINK(_xlfn.CONCAT("https://tablet.otzar.org/",CHAR(35),"/book/150844/p/-1/t/1/fs/0/start/0/end/0/c"),"שער המצות")</f>
        <v>שער המצות</v>
      </c>
      <c r="H328" t="str">
        <f>_xlfn.CONCAT("https://tablet.otzar.org/",CHAR(35),"/book/150844/p/-1/t/1/fs/0/start/0/end/0/c")</f>
        <v>https://tablet.otzar.org/#/book/150844/p/-1/t/1/fs/0/start/0/end/0/c</v>
      </c>
    </row>
    <row r="329" spans="1:8" x14ac:dyDescent="0.25">
      <c r="A329">
        <v>150355</v>
      </c>
      <c r="B329" t="s">
        <v>627</v>
      </c>
      <c r="C329" t="s">
        <v>628</v>
      </c>
      <c r="D329" t="s">
        <v>10</v>
      </c>
      <c r="E329" t="s">
        <v>52</v>
      </c>
      <c r="F329" t="s">
        <v>27</v>
      </c>
      <c r="G329" t="str">
        <f>HYPERLINK(_xlfn.CONCAT("https://tablet.otzar.org/",CHAR(35),"/book/150355/p/-1/t/1/fs/0/start/0/end/0/c"),"שער שמעון")</f>
        <v>שער שמעון</v>
      </c>
      <c r="H329" t="str">
        <f>_xlfn.CONCAT("https://tablet.otzar.org/",CHAR(35),"/book/150355/p/-1/t/1/fs/0/start/0/end/0/c")</f>
        <v>https://tablet.otzar.org/#/book/150355/p/-1/t/1/fs/0/start/0/end/0/c</v>
      </c>
    </row>
    <row r="330" spans="1:8" x14ac:dyDescent="0.25">
      <c r="A330">
        <v>646720</v>
      </c>
      <c r="B330" t="s">
        <v>629</v>
      </c>
      <c r="C330" t="s">
        <v>409</v>
      </c>
      <c r="D330" t="s">
        <v>10</v>
      </c>
      <c r="E330" t="s">
        <v>58</v>
      </c>
      <c r="G330" t="str">
        <f>HYPERLINK(_xlfn.CONCAT("https://tablet.otzar.org/",CHAR(35),"/book/646720/p/-1/t/1/fs/0/start/0/end/0/c"),"שערי ירושלים")</f>
        <v>שערי ירושלים</v>
      </c>
      <c r="H330" t="str">
        <f>_xlfn.CONCAT("https://tablet.otzar.org/",CHAR(35),"/book/646720/p/-1/t/1/fs/0/start/0/end/0/c")</f>
        <v>https://tablet.otzar.org/#/book/646720/p/-1/t/1/fs/0/start/0/end/0/c</v>
      </c>
    </row>
    <row r="331" spans="1:8" x14ac:dyDescent="0.25">
      <c r="A331">
        <v>150359</v>
      </c>
      <c r="B331" t="s">
        <v>630</v>
      </c>
      <c r="C331" t="s">
        <v>21</v>
      </c>
      <c r="D331" t="s">
        <v>10</v>
      </c>
      <c r="E331" t="s">
        <v>107</v>
      </c>
      <c r="F331" t="s">
        <v>23</v>
      </c>
      <c r="G331" t="str">
        <f>HYPERLINK(_xlfn.CONCAT("https://tablet.otzar.org/",CHAR(35),"/book/150359/p/-1/t/1/fs/0/start/0/end/0/c"),"שערי קדושה - חלק רביעי")</f>
        <v>שערי קדושה - חלק רביעי</v>
      </c>
      <c r="H331" t="str">
        <f>_xlfn.CONCAT("https://tablet.otzar.org/",CHAR(35),"/book/150359/p/-1/t/1/fs/0/start/0/end/0/c")</f>
        <v>https://tablet.otzar.org/#/book/150359/p/-1/t/1/fs/0/start/0/end/0/c</v>
      </c>
    </row>
    <row r="332" spans="1:8" x14ac:dyDescent="0.25">
      <c r="A332">
        <v>150253</v>
      </c>
      <c r="B332" t="s">
        <v>631</v>
      </c>
      <c r="C332" t="s">
        <v>632</v>
      </c>
      <c r="D332" t="s">
        <v>10</v>
      </c>
      <c r="E332" t="s">
        <v>107</v>
      </c>
      <c r="F332" t="s">
        <v>90</v>
      </c>
      <c r="G332" t="str">
        <f>HYPERLINK(_xlfn.CONCAT("https://tablet.otzar.org/",CHAR(35),"/book/150253/p/-1/t/1/fs/0/start/0/end/0/c"),"שערי תורה &lt;בבא מציעא, בבא בתרא&gt;")</f>
        <v>שערי תורה &lt;בבא מציעא, בבא בתרא&gt;</v>
      </c>
      <c r="H332" t="str">
        <f>_xlfn.CONCAT("https://tablet.otzar.org/",CHAR(35),"/book/150253/p/-1/t/1/fs/0/start/0/end/0/c")</f>
        <v>https://tablet.otzar.org/#/book/150253/p/-1/t/1/fs/0/start/0/end/0/c</v>
      </c>
    </row>
    <row r="333" spans="1:8" x14ac:dyDescent="0.25">
      <c r="A333">
        <v>194040</v>
      </c>
      <c r="B333" t="s">
        <v>633</v>
      </c>
      <c r="C333" t="s">
        <v>184</v>
      </c>
      <c r="D333" t="s">
        <v>10</v>
      </c>
      <c r="E333" t="s">
        <v>113</v>
      </c>
      <c r="G333" t="str">
        <f>HYPERLINK(_xlfn.CONCAT("https://tablet.otzar.org/",CHAR(35),"/book/194040/p/-1/t/1/fs/0/start/0/end/0/c"),"שפת אמת &lt;מהדורת אהבת שלום&gt;")</f>
        <v>שפת אמת &lt;מהדורת אהבת שלום&gt;</v>
      </c>
      <c r="H333" t="str">
        <f>_xlfn.CONCAT("https://tablet.otzar.org/",CHAR(35),"/book/194040/p/-1/t/1/fs/0/start/0/end/0/c")</f>
        <v>https://tablet.otzar.org/#/book/194040/p/-1/t/1/fs/0/start/0/end/0/c</v>
      </c>
    </row>
    <row r="334" spans="1:8" x14ac:dyDescent="0.25">
      <c r="A334">
        <v>150395</v>
      </c>
      <c r="B334" t="s">
        <v>634</v>
      </c>
      <c r="C334" t="s">
        <v>184</v>
      </c>
      <c r="D334" t="s">
        <v>10</v>
      </c>
      <c r="E334" t="s">
        <v>44</v>
      </c>
      <c r="F334" t="s">
        <v>23</v>
      </c>
      <c r="G334" t="str">
        <f>HYPERLINK(_xlfn.CONCAT("https://tablet.otzar.org/",CHAR(35),"/book/150395/p/-1/t/1/fs/0/start/0/end/0/c"),"שפת אמת")</f>
        <v>שפת אמת</v>
      </c>
      <c r="H334" t="str">
        <f>_xlfn.CONCAT("https://tablet.otzar.org/",CHAR(35),"/book/150395/p/-1/t/1/fs/0/start/0/end/0/c")</f>
        <v>https://tablet.otzar.org/#/book/150395/p/-1/t/1/fs/0/start/0/end/0/c</v>
      </c>
    </row>
    <row r="335" spans="1:8" x14ac:dyDescent="0.25">
      <c r="A335">
        <v>150810</v>
      </c>
      <c r="B335" t="s">
        <v>635</v>
      </c>
      <c r="C335" t="s">
        <v>29</v>
      </c>
      <c r="D335" t="s">
        <v>10</v>
      </c>
      <c r="E335" t="s">
        <v>139</v>
      </c>
      <c r="F335" t="s">
        <v>636</v>
      </c>
      <c r="G335" t="str">
        <f>HYPERLINK(_xlfn.CONCAT("https://tablet.otzar.org/",CHAR(35),"/exKotar/150810"),"שפת הים - 5 כרכים")</f>
        <v>שפת הים - 5 כרכים</v>
      </c>
      <c r="H335" t="str">
        <f>_xlfn.CONCAT("https://tablet.otzar.org/",CHAR(35),"/exKotar/150810")</f>
        <v>https://tablet.otzar.org/#/exKotar/150810</v>
      </c>
    </row>
    <row r="336" spans="1:8" x14ac:dyDescent="0.25">
      <c r="A336">
        <v>150432</v>
      </c>
      <c r="B336" t="s">
        <v>637</v>
      </c>
      <c r="C336" t="s">
        <v>29</v>
      </c>
      <c r="D336" t="s">
        <v>10</v>
      </c>
      <c r="E336" t="s">
        <v>44</v>
      </c>
      <c r="F336" t="s">
        <v>23</v>
      </c>
      <c r="G336" t="str">
        <f>HYPERLINK(_xlfn.CONCAT("https://tablet.otzar.org/",CHAR(35),"/exKotar/150432"),"שרשי הים - 6 כרכים")</f>
        <v>שרשי הים - 6 כרכים</v>
      </c>
      <c r="H336" t="str">
        <f>_xlfn.CONCAT("https://tablet.otzar.org/",CHAR(35),"/exKotar/150432")</f>
        <v>https://tablet.otzar.org/#/exKotar/150432</v>
      </c>
    </row>
    <row r="337" spans="1:8" x14ac:dyDescent="0.25">
      <c r="A337">
        <v>170101</v>
      </c>
      <c r="B337" t="s">
        <v>638</v>
      </c>
      <c r="C337" t="s">
        <v>103</v>
      </c>
      <c r="D337" t="s">
        <v>10</v>
      </c>
      <c r="E337" t="s">
        <v>81</v>
      </c>
      <c r="F337" t="s">
        <v>27</v>
      </c>
      <c r="G337" t="str">
        <f>HYPERLINK(_xlfn.CONCAT("https://tablet.otzar.org/",CHAR(35),"/book/170101/p/-1/t/1/fs/0/start/0/end/0/c"),"תהלות ישראל")</f>
        <v>תהלות ישראל</v>
      </c>
      <c r="H337" t="str">
        <f>_xlfn.CONCAT("https://tablet.otzar.org/",CHAR(35),"/book/170101/p/-1/t/1/fs/0/start/0/end/0/c")</f>
        <v>https://tablet.otzar.org/#/book/170101/p/-1/t/1/fs/0/start/0/end/0/c</v>
      </c>
    </row>
    <row r="338" spans="1:8" x14ac:dyDescent="0.25">
      <c r="A338">
        <v>180034</v>
      </c>
      <c r="B338" t="s">
        <v>639</v>
      </c>
      <c r="C338" t="s">
        <v>599</v>
      </c>
      <c r="D338" t="s">
        <v>10</v>
      </c>
      <c r="E338" t="s">
        <v>370</v>
      </c>
      <c r="F338" t="s">
        <v>27</v>
      </c>
      <c r="G338" t="str">
        <f>HYPERLINK(_xlfn.CONCAT("https://tablet.otzar.org/",CHAR(35),"/book/180034/p/-1/t/1/fs/0/start/0/end/0/c"),"תהלים ע""""פ נאוה תהלה")</f>
        <v>תהלים ע""פ נאוה תהלה</v>
      </c>
      <c r="H338" t="str">
        <f>_xlfn.CONCAT("https://tablet.otzar.org/",CHAR(35),"/book/180034/p/-1/t/1/fs/0/start/0/end/0/c")</f>
        <v>https://tablet.otzar.org/#/book/180034/p/-1/t/1/fs/0/start/0/end/0/c</v>
      </c>
    </row>
    <row r="339" spans="1:8" x14ac:dyDescent="0.25">
      <c r="A339">
        <v>150849</v>
      </c>
      <c r="B339" t="s">
        <v>640</v>
      </c>
      <c r="C339" t="s">
        <v>641</v>
      </c>
      <c r="D339" t="s">
        <v>10</v>
      </c>
      <c r="E339" t="s">
        <v>134</v>
      </c>
      <c r="G339" t="str">
        <f>HYPERLINK(_xlfn.CONCAT("https://tablet.otzar.org/",CHAR(35),"/book/150849/p/-1/t/1/fs/0/start/0/end/0/c"),"תוספות הרא""""ש &lt;אהבת שלום&gt; - הוריות")</f>
        <v>תוספות הרא""ש &lt;אהבת שלום&gt; - הוריות</v>
      </c>
      <c r="H339" t="str">
        <f>_xlfn.CONCAT("https://tablet.otzar.org/",CHAR(35),"/book/150849/p/-1/t/1/fs/0/start/0/end/0/c")</f>
        <v>https://tablet.otzar.org/#/book/150849/p/-1/t/1/fs/0/start/0/end/0/c</v>
      </c>
    </row>
    <row r="340" spans="1:8" x14ac:dyDescent="0.25">
      <c r="A340">
        <v>150316</v>
      </c>
      <c r="B340" t="s">
        <v>642</v>
      </c>
      <c r="C340" t="s">
        <v>277</v>
      </c>
      <c r="D340" t="s">
        <v>10</v>
      </c>
      <c r="E340" t="s">
        <v>139</v>
      </c>
      <c r="F340" t="s">
        <v>208</v>
      </c>
      <c r="G340" t="str">
        <f>HYPERLINK(_xlfn.CONCAT("https://tablet.otzar.org/",CHAR(35),"/book/150316/p/-1/t/1/fs/0/start/0/end/0/c"),"תועפות ראם א - ב")</f>
        <v>תועפות ראם א - ב</v>
      </c>
      <c r="H340" t="str">
        <f>_xlfn.CONCAT("https://tablet.otzar.org/",CHAR(35),"/book/150316/p/-1/t/1/fs/0/start/0/end/0/c")</f>
        <v>https://tablet.otzar.org/#/book/150316/p/-1/t/1/fs/0/start/0/end/0/c</v>
      </c>
    </row>
    <row r="341" spans="1:8" x14ac:dyDescent="0.25">
      <c r="A341">
        <v>646907</v>
      </c>
      <c r="B341" t="s">
        <v>643</v>
      </c>
      <c r="C341" t="s">
        <v>54</v>
      </c>
      <c r="D341" t="s">
        <v>10</v>
      </c>
      <c r="E341" t="s">
        <v>58</v>
      </c>
      <c r="G341" t="str">
        <f>HYPERLINK(_xlfn.CONCAT("https://tablet.otzar.org/",CHAR(35),"/book/646907/p/-1/t/1/fs/0/start/0/end/0/c"),"תורה אור - אור בהיר-אור שבת-אור נר-אור צדיקים")</f>
        <v>תורה אור - אור בהיר-אור שבת-אור נר-אור צדיקים</v>
      </c>
      <c r="H341" t="str">
        <f>_xlfn.CONCAT("https://tablet.otzar.org/",CHAR(35),"/book/646907/p/-1/t/1/fs/0/start/0/end/0/c")</f>
        <v>https://tablet.otzar.org/#/book/646907/p/-1/t/1/fs/0/start/0/end/0/c</v>
      </c>
    </row>
    <row r="342" spans="1:8" x14ac:dyDescent="0.25">
      <c r="A342">
        <v>181293</v>
      </c>
      <c r="B342" t="s">
        <v>644</v>
      </c>
      <c r="C342" t="s">
        <v>49</v>
      </c>
      <c r="E342" t="s">
        <v>130</v>
      </c>
      <c r="G342" t="str">
        <f>HYPERLINK(_xlfn.CONCAT("https://tablet.otzar.org/",CHAR(35),"/book/181293/p/-1/t/1/fs/0/start/0/end/0/c"),"תורה לשמה &lt;מהדורת אהבת שלום&gt;")</f>
        <v>תורה לשמה &lt;מהדורת אהבת שלום&gt;</v>
      </c>
      <c r="H342" t="str">
        <f>_xlfn.CONCAT("https://tablet.otzar.org/",CHAR(35),"/book/181293/p/-1/t/1/fs/0/start/0/end/0/c")</f>
        <v>https://tablet.otzar.org/#/book/181293/p/-1/t/1/fs/0/start/0/end/0/c</v>
      </c>
    </row>
    <row r="343" spans="1:8" x14ac:dyDescent="0.25">
      <c r="A343">
        <v>150356</v>
      </c>
      <c r="B343" t="s">
        <v>645</v>
      </c>
      <c r="C343" t="s">
        <v>646</v>
      </c>
      <c r="D343" t="s">
        <v>10</v>
      </c>
      <c r="E343" t="s">
        <v>134</v>
      </c>
      <c r="F343" t="s">
        <v>647</v>
      </c>
      <c r="G343" t="str">
        <f>HYPERLINK(_xlfn.CONCAT("https://tablet.otzar.org/",CHAR(35),"/exKotar/150356"),"תורת הגלגול - 2 כרכים")</f>
        <v>תורת הגלגול - 2 כרכים</v>
      </c>
      <c r="H343" t="str">
        <f>_xlfn.CONCAT("https://tablet.otzar.org/",CHAR(35),"/exKotar/150356")</f>
        <v>https://tablet.otzar.org/#/exKotar/150356</v>
      </c>
    </row>
    <row r="344" spans="1:8" x14ac:dyDescent="0.25">
      <c r="A344">
        <v>150305</v>
      </c>
      <c r="B344" t="s">
        <v>648</v>
      </c>
      <c r="C344" t="s">
        <v>331</v>
      </c>
      <c r="D344" t="s">
        <v>10</v>
      </c>
      <c r="E344" t="s">
        <v>30</v>
      </c>
      <c r="G344" t="str">
        <f>HYPERLINK(_xlfn.CONCAT("https://tablet.otzar.org/",CHAR(35),"/exKotar/150305"),"תורת החיד""""א - 2 כרכים")</f>
        <v>תורת החיד""א - 2 כרכים</v>
      </c>
      <c r="H344" t="str">
        <f>_xlfn.CONCAT("https://tablet.otzar.org/",CHAR(35),"/exKotar/150305")</f>
        <v>https://tablet.otzar.org/#/exKotar/150305</v>
      </c>
    </row>
    <row r="345" spans="1:8" x14ac:dyDescent="0.25">
      <c r="A345">
        <v>646727</v>
      </c>
      <c r="B345" t="s">
        <v>649</v>
      </c>
      <c r="C345" t="s">
        <v>650</v>
      </c>
      <c r="D345" t="s">
        <v>10</v>
      </c>
      <c r="E345" t="s">
        <v>58</v>
      </c>
      <c r="G345" t="str">
        <f>HYPERLINK(_xlfn.CONCAT("https://tablet.otzar.org/",CHAR(35),"/book/646727/p/-1/t/1/fs/0/start/0/end/0/c"),"תורת המנהגים מנהגי קושטא")</f>
        <v>תורת המנהגים מנהגי קושטא</v>
      </c>
      <c r="H345" t="str">
        <f>_xlfn.CONCAT("https://tablet.otzar.org/",CHAR(35),"/book/646727/p/-1/t/1/fs/0/start/0/end/0/c")</f>
        <v>https://tablet.otzar.org/#/book/646727/p/-1/t/1/fs/0/start/0/end/0/c</v>
      </c>
    </row>
    <row r="346" spans="1:8" x14ac:dyDescent="0.25">
      <c r="A346">
        <v>150286</v>
      </c>
      <c r="B346" t="s">
        <v>651</v>
      </c>
      <c r="C346" t="s">
        <v>652</v>
      </c>
      <c r="D346" t="s">
        <v>10</v>
      </c>
      <c r="E346" t="s">
        <v>139</v>
      </c>
      <c r="F346" t="s">
        <v>27</v>
      </c>
      <c r="G346" t="str">
        <f>HYPERLINK(_xlfn.CONCAT("https://tablet.otzar.org/",CHAR(35),"/exKotar/150286"),"תורת המנחה &lt;מהדורת אהבת שלום&gt;  - 2 כרכים")</f>
        <v>תורת המנחה &lt;מהדורת אהבת שלום&gt;  - 2 כרכים</v>
      </c>
      <c r="H346" t="str">
        <f>_xlfn.CONCAT("https://tablet.otzar.org/",CHAR(35),"/exKotar/150286")</f>
        <v>https://tablet.otzar.org/#/exKotar/150286</v>
      </c>
    </row>
    <row r="347" spans="1:8" x14ac:dyDescent="0.25">
      <c r="A347">
        <v>622324</v>
      </c>
      <c r="B347" t="s">
        <v>653</v>
      </c>
      <c r="C347" t="s">
        <v>654</v>
      </c>
      <c r="D347" t="s">
        <v>10</v>
      </c>
      <c r="E347" t="s">
        <v>47</v>
      </c>
      <c r="G347" t="str">
        <f>HYPERLINK(_xlfn.CONCAT("https://tablet.otzar.org/",CHAR(35),"/book/622324/p/-1/t/1/fs/0/start/0/end/0/c"),"תורת המרבי""""ץ - א ב")</f>
        <v>תורת המרבי""ץ - א ב</v>
      </c>
      <c r="H347" t="str">
        <f>_xlfn.CONCAT("https://tablet.otzar.org/",CHAR(35),"/book/622324/p/-1/t/1/fs/0/start/0/end/0/c")</f>
        <v>https://tablet.otzar.org/#/book/622324/p/-1/t/1/fs/0/start/0/end/0/c</v>
      </c>
    </row>
    <row r="348" spans="1:8" x14ac:dyDescent="0.25">
      <c r="A348">
        <v>654840</v>
      </c>
      <c r="B348" t="s">
        <v>655</v>
      </c>
      <c r="C348" t="s">
        <v>656</v>
      </c>
      <c r="D348" t="s">
        <v>10</v>
      </c>
      <c r="E348" t="s">
        <v>15</v>
      </c>
      <c r="G348" t="str">
        <f>HYPERLINK(_xlfn.CONCAT("https://tablet.otzar.org/",CHAR(35),"/book/654840/p/-1/t/1/fs/0/start/0/end/0/c"),"תורת המשבי""""ר")</f>
        <v>תורת המשבי""ר</v>
      </c>
      <c r="H348" t="str">
        <f>_xlfn.CONCAT("https://tablet.otzar.org/",CHAR(35),"/book/654840/p/-1/t/1/fs/0/start/0/end/0/c")</f>
        <v>https://tablet.otzar.org/#/book/654840/p/-1/t/1/fs/0/start/0/end/0/c</v>
      </c>
    </row>
    <row r="349" spans="1:8" x14ac:dyDescent="0.25">
      <c r="A349">
        <v>646716</v>
      </c>
      <c r="B349" t="s">
        <v>657</v>
      </c>
      <c r="C349" t="s">
        <v>658</v>
      </c>
      <c r="D349" t="s">
        <v>10</v>
      </c>
      <c r="E349" t="s">
        <v>58</v>
      </c>
      <c r="G349" t="str">
        <f>HYPERLINK(_xlfn.CONCAT("https://tablet.otzar.org/",CHAR(35),"/book/646716/p/-1/t/1/fs/0/start/0/end/0/c"),"תורת חכם &lt;מהדורת אהבת שלום&gt;")</f>
        <v>תורת חכם &lt;מהדורת אהבת שלום&gt;</v>
      </c>
      <c r="H349" t="str">
        <f>_xlfn.CONCAT("https://tablet.otzar.org/",CHAR(35),"/book/646716/p/-1/t/1/fs/0/start/0/end/0/c")</f>
        <v>https://tablet.otzar.org/#/book/646716/p/-1/t/1/fs/0/start/0/end/0/c</v>
      </c>
    </row>
    <row r="350" spans="1:8" x14ac:dyDescent="0.25">
      <c r="A350">
        <v>162238</v>
      </c>
      <c r="B350" t="s">
        <v>659</v>
      </c>
      <c r="C350" t="s">
        <v>660</v>
      </c>
      <c r="D350" t="s">
        <v>10</v>
      </c>
      <c r="E350" t="s">
        <v>85</v>
      </c>
      <c r="F350" t="s">
        <v>79</v>
      </c>
      <c r="G350" t="str">
        <f>HYPERLINK(_xlfn.CONCAT("https://tablet.otzar.org/",CHAR(35),"/book/162238/p/-1/t/1/fs/0/start/0/end/0/c"),"תורת יקותיאל")</f>
        <v>תורת יקותיאל</v>
      </c>
      <c r="H350" t="str">
        <f>_xlfn.CONCAT("https://tablet.otzar.org/",CHAR(35),"/book/162238/p/-1/t/1/fs/0/start/0/end/0/c")</f>
        <v>https://tablet.otzar.org/#/book/162238/p/-1/t/1/fs/0/start/0/end/0/c</v>
      </c>
    </row>
    <row r="351" spans="1:8" x14ac:dyDescent="0.25">
      <c r="A351">
        <v>630774</v>
      </c>
      <c r="B351" t="s">
        <v>661</v>
      </c>
      <c r="C351" t="s">
        <v>346</v>
      </c>
      <c r="D351" t="s">
        <v>10</v>
      </c>
      <c r="E351" t="s">
        <v>19</v>
      </c>
      <c r="F351" t="s">
        <v>180</v>
      </c>
      <c r="G351" t="str">
        <f>HYPERLINK(_xlfn.CONCAT("https://tablet.otzar.org/",CHAR(35),"/book/630774/p/-1/t/1/fs/0/start/0/end/0/c"),"תורת משה &lt;מהדורת אהבת שלום&gt;")</f>
        <v>תורת משה &lt;מהדורת אהבת שלום&gt;</v>
      </c>
      <c r="H351" t="str">
        <f>_xlfn.CONCAT("https://tablet.otzar.org/",CHAR(35),"/book/630774/p/-1/t/1/fs/0/start/0/end/0/c")</f>
        <v>https://tablet.otzar.org/#/book/630774/p/-1/t/1/fs/0/start/0/end/0/c</v>
      </c>
    </row>
    <row r="352" spans="1:8" x14ac:dyDescent="0.25">
      <c r="A352">
        <v>150366</v>
      </c>
      <c r="B352" t="s">
        <v>662</v>
      </c>
      <c r="C352" t="s">
        <v>663</v>
      </c>
      <c r="D352" t="s">
        <v>10</v>
      </c>
      <c r="E352" t="s">
        <v>44</v>
      </c>
      <c r="F352" t="s">
        <v>27</v>
      </c>
      <c r="G352" t="str">
        <f>HYPERLINK(_xlfn.CONCAT("https://tablet.otzar.org/",CHAR(35),"/exKotar/150366"),"תורת משה - 2 כרכים")</f>
        <v>תורת משה - 2 כרכים</v>
      </c>
      <c r="H352" t="str">
        <f>_xlfn.CONCAT("https://tablet.otzar.org/",CHAR(35),"/exKotar/150366")</f>
        <v>https://tablet.otzar.org/#/exKotar/150366</v>
      </c>
    </row>
    <row r="353" spans="1:8" x14ac:dyDescent="0.25">
      <c r="A353">
        <v>150467</v>
      </c>
      <c r="B353" t="s">
        <v>664</v>
      </c>
      <c r="C353" t="s">
        <v>98</v>
      </c>
      <c r="D353" t="s">
        <v>10</v>
      </c>
      <c r="E353" t="s">
        <v>228</v>
      </c>
      <c r="F353" t="s">
        <v>508</v>
      </c>
      <c r="G353" t="str">
        <f>HYPERLINK(_xlfn.CONCAT("https://tablet.otzar.org/",CHAR(35),"/book/150467/p/-1/t/1/fs/0/start/0/end/0/c"),"תורת רפאל &lt;א&gt; מלאכות שבת א")</f>
        <v>תורת רפאל &lt;א&gt; מלאכות שבת א</v>
      </c>
      <c r="H353" t="str">
        <f>_xlfn.CONCAT("https://tablet.otzar.org/",CHAR(35),"/book/150467/p/-1/t/1/fs/0/start/0/end/0/c")</f>
        <v>https://tablet.otzar.org/#/book/150467/p/-1/t/1/fs/0/start/0/end/0/c</v>
      </c>
    </row>
    <row r="354" spans="1:8" x14ac:dyDescent="0.25">
      <c r="A354">
        <v>150468</v>
      </c>
      <c r="B354" t="s">
        <v>665</v>
      </c>
      <c r="C354" t="s">
        <v>98</v>
      </c>
      <c r="D354" t="s">
        <v>10</v>
      </c>
      <c r="E354" t="s">
        <v>76</v>
      </c>
      <c r="F354" t="s">
        <v>508</v>
      </c>
      <c r="G354" t="str">
        <f>HYPERLINK(_xlfn.CONCAT("https://tablet.otzar.org/",CHAR(35),"/book/150468/p/-1/t/1/fs/0/start/0/end/0/c"),"תורת רפאל &lt;ב&gt; מלאכות שבת ב")</f>
        <v>תורת רפאל &lt;ב&gt; מלאכות שבת ב</v>
      </c>
      <c r="H354" t="str">
        <f>_xlfn.CONCAT("https://tablet.otzar.org/",CHAR(35),"/book/150468/p/-1/t/1/fs/0/start/0/end/0/c")</f>
        <v>https://tablet.otzar.org/#/book/150468/p/-1/t/1/fs/0/start/0/end/0/c</v>
      </c>
    </row>
    <row r="355" spans="1:8" x14ac:dyDescent="0.25">
      <c r="A355">
        <v>150469</v>
      </c>
      <c r="B355" t="s">
        <v>666</v>
      </c>
      <c r="C355" t="s">
        <v>98</v>
      </c>
      <c r="D355" t="s">
        <v>10</v>
      </c>
      <c r="E355" t="s">
        <v>76</v>
      </c>
      <c r="F355" t="s">
        <v>508</v>
      </c>
      <c r="G355" t="str">
        <f>HYPERLINK(_xlfn.CONCAT("https://tablet.otzar.org/",CHAR(35),"/book/150469/p/-1/t/1/fs/0/start/0/end/0/c"),"תורת רפאל &lt;ג&gt; מלאכות שבת ג")</f>
        <v>תורת רפאל &lt;ג&gt; מלאכות שבת ג</v>
      </c>
      <c r="H355" t="str">
        <f>_xlfn.CONCAT("https://tablet.otzar.org/",CHAR(35),"/book/150469/p/-1/t/1/fs/0/start/0/end/0/c")</f>
        <v>https://tablet.otzar.org/#/book/150469/p/-1/t/1/fs/0/start/0/end/0/c</v>
      </c>
    </row>
    <row r="356" spans="1:8" x14ac:dyDescent="0.25">
      <c r="A356">
        <v>150470</v>
      </c>
      <c r="B356" t="s">
        <v>667</v>
      </c>
      <c r="C356" t="s">
        <v>98</v>
      </c>
      <c r="D356" t="s">
        <v>10</v>
      </c>
      <c r="E356" t="s">
        <v>152</v>
      </c>
      <c r="F356" t="s">
        <v>437</v>
      </c>
      <c r="G356" t="str">
        <f>HYPERLINK(_xlfn.CONCAT("https://tablet.otzar.org/",CHAR(35),"/book/150470/p/-1/t/1/fs/0/start/0/end/0/c"),"תורת רפאל - סוכה")</f>
        <v>תורת רפאל - סוכה</v>
      </c>
      <c r="H356" t="str">
        <f>_xlfn.CONCAT("https://tablet.otzar.org/",CHAR(35),"/book/150470/p/-1/t/1/fs/0/start/0/end/0/c")</f>
        <v>https://tablet.otzar.org/#/book/150470/p/-1/t/1/fs/0/start/0/end/0/c</v>
      </c>
    </row>
    <row r="357" spans="1:8" x14ac:dyDescent="0.25">
      <c r="A357">
        <v>161714</v>
      </c>
      <c r="B357" t="s">
        <v>668</v>
      </c>
      <c r="C357" t="s">
        <v>98</v>
      </c>
      <c r="D357" t="s">
        <v>10</v>
      </c>
      <c r="E357" t="s">
        <v>514</v>
      </c>
      <c r="F357" t="s">
        <v>669</v>
      </c>
      <c r="G357" t="str">
        <f>HYPERLINK(_xlfn.CONCAT("https://tablet.otzar.org/",CHAR(35),"/book/161714/p/-1/t/1/fs/0/start/0/end/0/c"),"תורת רפאל &lt;ד&gt; מלאכות שבת ד")</f>
        <v>תורת רפאל &lt;ד&gt; מלאכות שבת ד</v>
      </c>
      <c r="H357" t="str">
        <f>_xlfn.CONCAT("https://tablet.otzar.org/",CHAR(35),"/book/161714/p/-1/t/1/fs/0/start/0/end/0/c")</f>
        <v>https://tablet.otzar.org/#/book/161714/p/-1/t/1/fs/0/start/0/end/0/c</v>
      </c>
    </row>
    <row r="358" spans="1:8" x14ac:dyDescent="0.25">
      <c r="A358">
        <v>186733</v>
      </c>
      <c r="B358" t="s">
        <v>670</v>
      </c>
      <c r="C358" t="s">
        <v>98</v>
      </c>
      <c r="D358" t="s">
        <v>10</v>
      </c>
      <c r="E358" t="s">
        <v>370</v>
      </c>
      <c r="G358" t="str">
        <f>HYPERLINK(_xlfn.CONCAT("https://tablet.otzar.org/",CHAR(35),"/book/186733/p/-1/t/1/fs/0/start/0/end/0/c"),"תורת רפאל &lt;ה&gt; מלאכות שבת ה")</f>
        <v>תורת רפאל &lt;ה&gt; מלאכות שבת ה</v>
      </c>
      <c r="H358" t="str">
        <f>_xlfn.CONCAT("https://tablet.otzar.org/",CHAR(35),"/book/186733/p/-1/t/1/fs/0/start/0/end/0/c")</f>
        <v>https://tablet.otzar.org/#/book/186733/p/-1/t/1/fs/0/start/0/end/0/c</v>
      </c>
    </row>
    <row r="359" spans="1:8" x14ac:dyDescent="0.25">
      <c r="A359">
        <v>186731</v>
      </c>
      <c r="B359" t="s">
        <v>671</v>
      </c>
      <c r="C359" t="s">
        <v>672</v>
      </c>
      <c r="D359" t="s">
        <v>10</v>
      </c>
      <c r="E359" t="s">
        <v>370</v>
      </c>
      <c r="G359" t="str">
        <f>HYPERLINK(_xlfn.CONCAT("https://tablet.otzar.org/",CHAR(35),"/book/186731/p/-1/t/1/fs/0/start/0/end/0/c"),"תלמוד מסכת עדיות למהר""""ש סיריליאו")</f>
        <v>תלמוד מסכת עדיות למהר""ש סיריליאו</v>
      </c>
      <c r="H359" t="str">
        <f>_xlfn.CONCAT("https://tablet.otzar.org/",CHAR(35),"/book/186731/p/-1/t/1/fs/0/start/0/end/0/c")</f>
        <v>https://tablet.otzar.org/#/book/186731/p/-1/t/1/fs/0/start/0/end/0/c</v>
      </c>
    </row>
    <row r="360" spans="1:8" x14ac:dyDescent="0.25">
      <c r="A360">
        <v>601406</v>
      </c>
      <c r="B360" t="s">
        <v>673</v>
      </c>
      <c r="C360" t="s">
        <v>29</v>
      </c>
      <c r="D360" t="s">
        <v>10</v>
      </c>
      <c r="E360" t="s">
        <v>47</v>
      </c>
      <c r="G360" t="str">
        <f>HYPERLINK(_xlfn.CONCAT("https://tablet.otzar.org/",CHAR(35),"/exKotar/601406"),"תמים תהיה השלם - 2 כרכים")</f>
        <v>תמים תהיה השלם - 2 כרכים</v>
      </c>
      <c r="H360" t="str">
        <f>_xlfn.CONCAT("https://tablet.otzar.org/",CHAR(35),"/exKotar/601406")</f>
        <v>https://tablet.otzar.org/#/exKotar/601406</v>
      </c>
    </row>
    <row r="361" spans="1:8" x14ac:dyDescent="0.25">
      <c r="A361">
        <v>150391</v>
      </c>
      <c r="B361" t="s">
        <v>674</v>
      </c>
      <c r="C361" t="s">
        <v>212</v>
      </c>
      <c r="D361" t="s">
        <v>10</v>
      </c>
      <c r="E361" t="s">
        <v>383</v>
      </c>
      <c r="F361" t="s">
        <v>208</v>
      </c>
      <c r="G361" t="str">
        <f>HYPERLINK(_xlfn.CONCAT("https://tablet.otzar.org/",CHAR(35),"/book/150391/p/-1/t/1/fs/0/start/0/end/0/c"),"תנא דבי אליהו")</f>
        <v>תנא דבי אליהו</v>
      </c>
      <c r="H361" t="str">
        <f>_xlfn.CONCAT("https://tablet.otzar.org/",CHAR(35),"/book/150391/p/-1/t/1/fs/0/start/0/end/0/c")</f>
        <v>https://tablet.otzar.org/#/book/150391/p/-1/t/1/fs/0/start/0/end/0/c</v>
      </c>
    </row>
    <row r="362" spans="1:8" x14ac:dyDescent="0.25">
      <c r="A362">
        <v>637938</v>
      </c>
      <c r="B362" t="s">
        <v>675</v>
      </c>
      <c r="C362" t="s">
        <v>560</v>
      </c>
      <c r="D362" t="s">
        <v>18</v>
      </c>
      <c r="E362" t="s">
        <v>143</v>
      </c>
      <c r="G362" t="str">
        <f>HYPERLINK(_xlfn.CONCAT("https://tablet.otzar.org/",CHAR(35),"/book/637938/p/-1/t/1/fs/0/start/0/end/0/c"),"תפארת אדם")</f>
        <v>תפארת אדם</v>
      </c>
      <c r="H362" t="str">
        <f>_xlfn.CONCAT("https://tablet.otzar.org/",CHAR(35),"/book/637938/p/-1/t/1/fs/0/start/0/end/0/c")</f>
        <v>https://tablet.otzar.org/#/book/637938/p/-1/t/1/fs/0/start/0/end/0/c</v>
      </c>
    </row>
    <row r="363" spans="1:8" x14ac:dyDescent="0.25">
      <c r="A363">
        <v>620830</v>
      </c>
      <c r="B363" t="s">
        <v>676</v>
      </c>
      <c r="C363" t="s">
        <v>409</v>
      </c>
      <c r="D363" t="s">
        <v>10</v>
      </c>
      <c r="E363" t="s">
        <v>19</v>
      </c>
      <c r="F363" t="s">
        <v>99</v>
      </c>
      <c r="G363" t="str">
        <f>HYPERLINK(_xlfn.CONCAT("https://tablet.otzar.org/",CHAR(35),"/book/620830/p/-1/t/1/fs/0/start/0/end/0/c"),"תפלה למשה")</f>
        <v>תפלה למשה</v>
      </c>
      <c r="H363" t="str">
        <f>_xlfn.CONCAT("https://tablet.otzar.org/",CHAR(35),"/book/620830/p/-1/t/1/fs/0/start/0/end/0/c")</f>
        <v>https://tablet.otzar.org/#/book/620830/p/-1/t/1/fs/0/start/0/end/0/c</v>
      </c>
    </row>
    <row r="364" spans="1:8" x14ac:dyDescent="0.25">
      <c r="A364">
        <v>150800</v>
      </c>
      <c r="B364" t="s">
        <v>677</v>
      </c>
      <c r="C364" t="s">
        <v>227</v>
      </c>
      <c r="D364" t="s">
        <v>10</v>
      </c>
      <c r="E364" t="s">
        <v>50</v>
      </c>
      <c r="F364" t="s">
        <v>99</v>
      </c>
      <c r="G364" t="str">
        <f>HYPERLINK(_xlfn.CONCAT("https://tablet.otzar.org/",CHAR(35),"/book/150800/p/-1/t/1/fs/0/start/0/end/0/c"),"תפלת דוד &lt;אהבת שלום&gt;")</f>
        <v>תפלת דוד &lt;אהבת שלום&gt;</v>
      </c>
      <c r="H364" t="str">
        <f>_xlfn.CONCAT("https://tablet.otzar.org/",CHAR(35),"/book/150800/p/-1/t/1/fs/0/start/0/end/0/c")</f>
        <v>https://tablet.otzar.org/#/book/150800/p/-1/t/1/fs/0/start/0/end/0/c</v>
      </c>
    </row>
    <row r="365" spans="1:8" x14ac:dyDescent="0.25">
      <c r="A365">
        <v>150273</v>
      </c>
      <c r="B365" t="s">
        <v>678</v>
      </c>
      <c r="C365" t="s">
        <v>679</v>
      </c>
      <c r="D365" t="s">
        <v>10</v>
      </c>
      <c r="E365" t="s">
        <v>397</v>
      </c>
      <c r="F365" t="s">
        <v>86</v>
      </c>
      <c r="G365" t="str">
        <f>HYPERLINK(_xlfn.CONCAT("https://tablet.otzar.org/",CHAR(35),"/book/150273/p/-1/t/1/fs/0/start/0/end/0/c"),"תקנות חכמי מכנאס - א")</f>
        <v>תקנות חכמי מכנאס - א</v>
      </c>
      <c r="H365" t="str">
        <f>_xlfn.CONCAT("https://tablet.otzar.org/",CHAR(35),"/book/150273/p/-1/t/1/fs/0/start/0/end/0/c")</f>
        <v>https://tablet.otzar.org/#/book/150273/p/-1/t/1/fs/0/start/0/end/0/c</v>
      </c>
    </row>
    <row r="366" spans="1:8" x14ac:dyDescent="0.25">
      <c r="A366">
        <v>60659</v>
      </c>
      <c r="B366" t="s">
        <v>680</v>
      </c>
      <c r="C366" t="s">
        <v>29</v>
      </c>
      <c r="D366" t="s">
        <v>10</v>
      </c>
      <c r="E366" t="s">
        <v>139</v>
      </c>
      <c r="F366" t="s">
        <v>681</v>
      </c>
      <c r="G366" t="str">
        <f>HYPERLINK(_xlfn.CONCAT("https://tablet.otzar.org/",CHAR(35),"/book/60659/p/-1/t/1/fs/0/start/0/end/0/c"),"תקנת השבים")</f>
        <v>תקנת השבים</v>
      </c>
      <c r="H366" t="str">
        <f>_xlfn.CONCAT("https://tablet.otzar.org/",CHAR(35),"/book/60659/p/-1/t/1/fs/0/start/0/end/0/c")</f>
        <v>https://tablet.otzar.org/#/book/60659/p/-1/t/1/fs/0/start/0/end/0/c</v>
      </c>
    </row>
    <row r="367" spans="1:8" x14ac:dyDescent="0.25">
      <c r="A367">
        <v>150382</v>
      </c>
      <c r="B367" t="s">
        <v>682</v>
      </c>
      <c r="C367" t="s">
        <v>683</v>
      </c>
      <c r="D367" t="s">
        <v>10</v>
      </c>
      <c r="E367" t="s">
        <v>557</v>
      </c>
      <c r="F367" t="s">
        <v>12</v>
      </c>
      <c r="G367" t="str">
        <f>HYPERLINK(_xlfn.CONCAT("https://tablet.otzar.org/",CHAR(35),"/book/150382/p/-1/t/1/fs/0/start/0/end/0/c"),"תקפו של רפאל")</f>
        <v>תקפו של רפאל</v>
      </c>
      <c r="H367" t="str">
        <f>_xlfn.CONCAT("https://tablet.otzar.org/",CHAR(35),"/book/150382/p/-1/t/1/fs/0/start/0/end/0/c")</f>
        <v>https://tablet.otzar.org/#/book/150382/p/-1/t/1/fs/0/start/0/end/0/c</v>
      </c>
    </row>
    <row r="368" spans="1:8" x14ac:dyDescent="0.25">
      <c r="A368">
        <v>150380</v>
      </c>
      <c r="B368" t="s">
        <v>684</v>
      </c>
      <c r="C368" t="s">
        <v>685</v>
      </c>
      <c r="D368" t="s">
        <v>10</v>
      </c>
      <c r="E368" t="s">
        <v>383</v>
      </c>
      <c r="F368" t="s">
        <v>12</v>
      </c>
      <c r="G368" t="str">
        <f>HYPERLINK(_xlfn.CONCAT("https://tablet.otzar.org/",CHAR(35),"/book/150380/p/-1/t/1/fs/0/start/0/end/0/c"),"תרומה גדולה")</f>
        <v>תרומה גדולה</v>
      </c>
      <c r="H368" t="str">
        <f>_xlfn.CONCAT("https://tablet.otzar.org/",CHAR(35),"/book/150380/p/-1/t/1/fs/0/start/0/end/0/c")</f>
        <v>https://tablet.otzar.org/#/book/150380/p/-1/t/1/fs/0/start/0/end/0/c</v>
      </c>
    </row>
    <row r="369" spans="1:8" x14ac:dyDescent="0.25">
      <c r="A369">
        <v>150311</v>
      </c>
      <c r="B369" t="s">
        <v>686</v>
      </c>
      <c r="C369" t="s">
        <v>138</v>
      </c>
      <c r="D369" t="s">
        <v>10</v>
      </c>
      <c r="E369" t="s">
        <v>383</v>
      </c>
      <c r="F369" t="s">
        <v>90</v>
      </c>
      <c r="G369" t="str">
        <f>HYPERLINK(_xlfn.CONCAT("https://tablet.otzar.org/",CHAR(35),"/exKotar/150311"),"תרומת הדשן - 6 כרכים")</f>
        <v>תרומת הדשן - 6 כרכים</v>
      </c>
      <c r="H369" t="str">
        <f>_xlfn.CONCAT("https://tablet.otzar.org/",CHAR(35),"/exKotar/150311")</f>
        <v>https://tablet.otzar.org/#/exKotar/150311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אהבת שלום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2023-03-05T09:34:16Z</dcterms:created>
  <dcterms:modified xsi:type="dcterms:W3CDTF">2023-03-05T09:34:16Z</dcterms:modified>
</cp:coreProperties>
</file>