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89D7FC2A-961E-4B5E-8C3D-3A115E02EA62}" xr6:coauthVersionLast="47" xr6:coauthVersionMax="47" xr10:uidLastSave="{00000000-0000-0000-0000-000000000000}"/>
  <bookViews>
    <workbookView xWindow="690" yWindow="2685" windowWidth="26625" windowHeight="12405" xr2:uid="{B069EF33-22F4-42B5-BCFD-03FFEE55C33E}"/>
  </bookViews>
  <sheets>
    <sheet name="List of books מאגרים - ספריית ח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G1001" i="1"/>
  <c r="H1001" i="1"/>
  <c r="G1002" i="1"/>
  <c r="H1002" i="1"/>
  <c r="G1003" i="1"/>
  <c r="H1003" i="1"/>
  <c r="G1004" i="1"/>
  <c r="H1004" i="1"/>
  <c r="G1005" i="1"/>
  <c r="H1005" i="1"/>
  <c r="G1006" i="1"/>
  <c r="H1006" i="1"/>
  <c r="G1007" i="1"/>
  <c r="H1007" i="1"/>
  <c r="G1008" i="1"/>
  <c r="H1008" i="1"/>
  <c r="G1009" i="1"/>
  <c r="H1009" i="1"/>
  <c r="G1010" i="1"/>
  <c r="H1010" i="1"/>
  <c r="G1011" i="1"/>
  <c r="H1011" i="1"/>
  <c r="G1012" i="1"/>
  <c r="H1012" i="1"/>
  <c r="G1013" i="1"/>
  <c r="H1013" i="1"/>
  <c r="G1014" i="1"/>
  <c r="H1014" i="1"/>
  <c r="G1015" i="1"/>
  <c r="H1015" i="1"/>
  <c r="G1016" i="1"/>
  <c r="H1016" i="1"/>
  <c r="G1017" i="1"/>
  <c r="H1017" i="1"/>
  <c r="G1018" i="1"/>
  <c r="H1018" i="1"/>
  <c r="G1019" i="1"/>
  <c r="H1019" i="1"/>
  <c r="G1020" i="1"/>
  <c r="H1020" i="1"/>
  <c r="G1021" i="1"/>
  <c r="H1021" i="1"/>
  <c r="G1022" i="1"/>
  <c r="H1022" i="1"/>
  <c r="G1023" i="1"/>
  <c r="H1023" i="1"/>
  <c r="G1024" i="1"/>
  <c r="H1024" i="1"/>
  <c r="G1025" i="1"/>
  <c r="H1025" i="1"/>
  <c r="G1026" i="1"/>
  <c r="H1026" i="1"/>
  <c r="G1027" i="1"/>
  <c r="H1027" i="1"/>
  <c r="G1028" i="1"/>
  <c r="H1028" i="1"/>
  <c r="G1029" i="1"/>
  <c r="H1029" i="1"/>
  <c r="G1030" i="1"/>
  <c r="H1030" i="1"/>
  <c r="G1031" i="1"/>
  <c r="H1031" i="1"/>
  <c r="G1032" i="1"/>
  <c r="H1032" i="1"/>
  <c r="G1033" i="1"/>
  <c r="H1033" i="1"/>
  <c r="G1034" i="1"/>
  <c r="H1034" i="1"/>
  <c r="G1035" i="1"/>
  <c r="H1035" i="1"/>
  <c r="G1036" i="1"/>
  <c r="H1036" i="1"/>
  <c r="G1037" i="1"/>
  <c r="H1037" i="1"/>
  <c r="G1038" i="1"/>
  <c r="H1038" i="1"/>
  <c r="G1039" i="1"/>
  <c r="H1039" i="1"/>
  <c r="G1040" i="1"/>
  <c r="H1040" i="1"/>
  <c r="G1041" i="1"/>
  <c r="H1041" i="1"/>
  <c r="G1042" i="1"/>
  <c r="H1042" i="1"/>
  <c r="G1043" i="1"/>
  <c r="H1043" i="1"/>
  <c r="G1044" i="1"/>
  <c r="H1044" i="1"/>
  <c r="G1045" i="1"/>
  <c r="H1045" i="1"/>
  <c r="G1046" i="1"/>
  <c r="H1046" i="1"/>
  <c r="G1047" i="1"/>
  <c r="H1047" i="1"/>
  <c r="G1048" i="1"/>
  <c r="H1048" i="1"/>
  <c r="G1049" i="1"/>
  <c r="H1049" i="1"/>
  <c r="G1050" i="1"/>
  <c r="H1050" i="1"/>
  <c r="G1051" i="1"/>
  <c r="H1051" i="1"/>
  <c r="G1052" i="1"/>
  <c r="H1052" i="1"/>
  <c r="G1053" i="1"/>
  <c r="H1053" i="1"/>
  <c r="G1054" i="1"/>
  <c r="H1054" i="1"/>
  <c r="G1055" i="1"/>
  <c r="H1055" i="1"/>
  <c r="G1056" i="1"/>
  <c r="H1056" i="1"/>
  <c r="G1057" i="1"/>
  <c r="H1057" i="1"/>
  <c r="G1058" i="1"/>
  <c r="H1058" i="1"/>
  <c r="G1059" i="1"/>
  <c r="H1059" i="1"/>
  <c r="G1060" i="1"/>
  <c r="H1060" i="1"/>
  <c r="G1061" i="1"/>
  <c r="H1061" i="1"/>
  <c r="G1062" i="1"/>
  <c r="H1062" i="1"/>
  <c r="G1063" i="1"/>
  <c r="H1063" i="1"/>
  <c r="G1064" i="1"/>
  <c r="H1064" i="1"/>
  <c r="G1065" i="1"/>
  <c r="H1065" i="1"/>
  <c r="G1066" i="1"/>
  <c r="H1066" i="1"/>
  <c r="G1067" i="1"/>
  <c r="H1067" i="1"/>
  <c r="G1068" i="1"/>
  <c r="H1068" i="1"/>
  <c r="G1069" i="1"/>
  <c r="H1069" i="1"/>
  <c r="G1070" i="1"/>
  <c r="H1070" i="1"/>
  <c r="G1071" i="1"/>
  <c r="H1071" i="1"/>
  <c r="G1072" i="1"/>
  <c r="H1072" i="1"/>
  <c r="G1073" i="1"/>
  <c r="H1073" i="1"/>
  <c r="G1074" i="1"/>
  <c r="H1074" i="1"/>
  <c r="G1075" i="1"/>
  <c r="H1075" i="1"/>
  <c r="G1076" i="1"/>
  <c r="H1076" i="1"/>
  <c r="G1077" i="1"/>
  <c r="H1077" i="1"/>
  <c r="G1078" i="1"/>
  <c r="H1078" i="1"/>
  <c r="G1079" i="1"/>
  <c r="H1079" i="1"/>
  <c r="G1080" i="1"/>
  <c r="H1080" i="1"/>
  <c r="G1081" i="1"/>
  <c r="H1081" i="1"/>
  <c r="G1082" i="1"/>
  <c r="H1082" i="1"/>
  <c r="G1083" i="1"/>
  <c r="H1083" i="1"/>
  <c r="G1084" i="1"/>
  <c r="H1084" i="1"/>
  <c r="G1085" i="1"/>
  <c r="H1085" i="1"/>
  <c r="G1086" i="1"/>
  <c r="H1086" i="1"/>
  <c r="G1087" i="1"/>
  <c r="H1087" i="1"/>
  <c r="G1088" i="1"/>
  <c r="H1088" i="1"/>
  <c r="G1089" i="1"/>
  <c r="H1089" i="1"/>
  <c r="G1090" i="1"/>
  <c r="H1090" i="1"/>
  <c r="G1091" i="1"/>
  <c r="H1091" i="1"/>
  <c r="G1092" i="1"/>
  <c r="H1092" i="1"/>
  <c r="G1093" i="1"/>
  <c r="H1093" i="1"/>
  <c r="G1094" i="1"/>
  <c r="H1094" i="1"/>
  <c r="G1095" i="1"/>
  <c r="H1095" i="1"/>
  <c r="G1096" i="1"/>
  <c r="H1096" i="1"/>
  <c r="G1097" i="1"/>
  <c r="H1097" i="1"/>
  <c r="G1098" i="1"/>
  <c r="H1098" i="1"/>
  <c r="G1099" i="1"/>
  <c r="H1099" i="1"/>
  <c r="G1100" i="1"/>
  <c r="H1100" i="1"/>
  <c r="G1101" i="1"/>
  <c r="H1101" i="1"/>
  <c r="G1102" i="1"/>
  <c r="H1102" i="1"/>
  <c r="G1103" i="1"/>
  <c r="H1103" i="1"/>
  <c r="G1104" i="1"/>
  <c r="H1104" i="1"/>
  <c r="G1105" i="1"/>
  <c r="H1105" i="1"/>
  <c r="G1106" i="1"/>
  <c r="H1106" i="1"/>
  <c r="G1107" i="1"/>
  <c r="H1107" i="1"/>
  <c r="G1108" i="1"/>
  <c r="H1108" i="1"/>
  <c r="G1109" i="1"/>
  <c r="H1109" i="1"/>
  <c r="G1110" i="1"/>
  <c r="H1110" i="1"/>
  <c r="G1111" i="1"/>
  <c r="H1111" i="1"/>
  <c r="G1112" i="1"/>
  <c r="H1112" i="1"/>
  <c r="G1113" i="1"/>
  <c r="H1113" i="1"/>
  <c r="G1114" i="1"/>
  <c r="H1114" i="1"/>
  <c r="G1115" i="1"/>
  <c r="H1115" i="1"/>
  <c r="G1116" i="1"/>
  <c r="H1116" i="1"/>
  <c r="G1117" i="1"/>
  <c r="H1117" i="1"/>
  <c r="G1118" i="1"/>
  <c r="H1118" i="1"/>
  <c r="G1119" i="1"/>
  <c r="H1119" i="1"/>
  <c r="G1120" i="1"/>
  <c r="H1120" i="1"/>
  <c r="G1121" i="1"/>
  <c r="H1121" i="1"/>
  <c r="G1122" i="1"/>
  <c r="H1122" i="1"/>
  <c r="G1123" i="1"/>
  <c r="H1123" i="1"/>
  <c r="G1124" i="1"/>
  <c r="H1124" i="1"/>
  <c r="G1125" i="1"/>
  <c r="H1125" i="1"/>
  <c r="G1126" i="1"/>
  <c r="H1126" i="1"/>
  <c r="G1127" i="1"/>
  <c r="H1127" i="1"/>
  <c r="G1128" i="1"/>
  <c r="H1128" i="1"/>
  <c r="G1129" i="1"/>
  <c r="H1129" i="1"/>
  <c r="G1130" i="1"/>
  <c r="H1130" i="1"/>
  <c r="G1131" i="1"/>
  <c r="H1131" i="1"/>
  <c r="G1132" i="1"/>
  <c r="H1132" i="1"/>
  <c r="G1133" i="1"/>
  <c r="H1133" i="1"/>
  <c r="G1134" i="1"/>
  <c r="H1134" i="1"/>
  <c r="G1135" i="1"/>
  <c r="H1135" i="1"/>
  <c r="G1136" i="1"/>
  <c r="H1136" i="1"/>
  <c r="G1137" i="1"/>
  <c r="H1137" i="1"/>
  <c r="G1138" i="1"/>
  <c r="H1138" i="1"/>
  <c r="G1139" i="1"/>
  <c r="H1139" i="1"/>
  <c r="G1140" i="1"/>
  <c r="H1140" i="1"/>
  <c r="G1141" i="1"/>
  <c r="H1141" i="1"/>
  <c r="G1142" i="1"/>
  <c r="H1142" i="1"/>
  <c r="G1143" i="1"/>
  <c r="H1143" i="1"/>
  <c r="G1144" i="1"/>
  <c r="H1144" i="1"/>
  <c r="G1145" i="1"/>
  <c r="H1145" i="1"/>
  <c r="G1146" i="1"/>
  <c r="H1146" i="1"/>
  <c r="G1147" i="1"/>
  <c r="H1147" i="1"/>
  <c r="G1148" i="1"/>
  <c r="H1148" i="1"/>
  <c r="G1149" i="1"/>
  <c r="H1149" i="1"/>
  <c r="G1150" i="1"/>
  <c r="H1150" i="1"/>
  <c r="G1151" i="1"/>
  <c r="H1151" i="1"/>
  <c r="G1152" i="1"/>
  <c r="H1152" i="1"/>
  <c r="G1153" i="1"/>
  <c r="H1153" i="1"/>
  <c r="G1154" i="1"/>
  <c r="H1154" i="1"/>
  <c r="G1155" i="1"/>
  <c r="H1155" i="1"/>
  <c r="G1156" i="1"/>
  <c r="H1156" i="1"/>
  <c r="G1157" i="1"/>
  <c r="H1157" i="1"/>
  <c r="G1158" i="1"/>
  <c r="H1158" i="1"/>
  <c r="G1159" i="1"/>
  <c r="H1159" i="1"/>
  <c r="G1160" i="1"/>
  <c r="H1160" i="1"/>
  <c r="G1161" i="1"/>
  <c r="H1161" i="1"/>
  <c r="G1162" i="1"/>
  <c r="H1162" i="1"/>
  <c r="G1163" i="1"/>
  <c r="H1163" i="1"/>
  <c r="G1164" i="1"/>
  <c r="H1164" i="1"/>
  <c r="G1165" i="1"/>
  <c r="H1165" i="1"/>
  <c r="G1166" i="1"/>
  <c r="H1166" i="1"/>
  <c r="G1167" i="1"/>
  <c r="H1167" i="1"/>
  <c r="G1168" i="1"/>
  <c r="H1168" i="1"/>
  <c r="G1169" i="1"/>
  <c r="H1169" i="1"/>
  <c r="G1170" i="1"/>
  <c r="H1170" i="1"/>
  <c r="G1171" i="1"/>
  <c r="H1171" i="1"/>
  <c r="G1172" i="1"/>
  <c r="H1172" i="1"/>
  <c r="G1173" i="1"/>
  <c r="H1173" i="1"/>
  <c r="G1174" i="1"/>
  <c r="H1174" i="1"/>
  <c r="G1175" i="1"/>
  <c r="H1175" i="1"/>
  <c r="G1176" i="1"/>
  <c r="H1176" i="1"/>
  <c r="G1177" i="1"/>
  <c r="H1177" i="1"/>
  <c r="G1178" i="1"/>
  <c r="H1178" i="1"/>
  <c r="G1179" i="1"/>
  <c r="H1179" i="1"/>
  <c r="G1180" i="1"/>
  <c r="H1180" i="1"/>
  <c r="G1181" i="1"/>
  <c r="H1181" i="1"/>
  <c r="G1182" i="1"/>
  <c r="H1182" i="1"/>
  <c r="G1183" i="1"/>
  <c r="H1183" i="1"/>
  <c r="G1184" i="1"/>
  <c r="H1184" i="1"/>
  <c r="G1185" i="1"/>
  <c r="H1185" i="1"/>
  <c r="G1186" i="1"/>
  <c r="H1186" i="1"/>
  <c r="G1187" i="1"/>
  <c r="H1187" i="1"/>
  <c r="G1188" i="1"/>
  <c r="H1188" i="1"/>
  <c r="G1189" i="1"/>
  <c r="H1189" i="1"/>
  <c r="G1190" i="1"/>
  <c r="H1190" i="1"/>
  <c r="G1191" i="1"/>
  <c r="H1191" i="1"/>
  <c r="G1192" i="1"/>
  <c r="H1192" i="1"/>
  <c r="G1193" i="1"/>
  <c r="H1193" i="1"/>
  <c r="G1194" i="1"/>
  <c r="H1194" i="1"/>
  <c r="G1195" i="1"/>
  <c r="H1195" i="1"/>
  <c r="G1196" i="1"/>
  <c r="H1196" i="1"/>
  <c r="G1197" i="1"/>
  <c r="H1197" i="1"/>
  <c r="G1198" i="1"/>
  <c r="H1198" i="1"/>
  <c r="G1199" i="1"/>
  <c r="H1199" i="1"/>
  <c r="G1200" i="1"/>
  <c r="H1200" i="1"/>
  <c r="G1201" i="1"/>
  <c r="H1201" i="1"/>
  <c r="G1202" i="1"/>
  <c r="H1202" i="1"/>
  <c r="G1203" i="1"/>
  <c r="H1203" i="1"/>
  <c r="G1204" i="1"/>
  <c r="H1204" i="1"/>
  <c r="G1205" i="1"/>
  <c r="H1205" i="1"/>
  <c r="G1206" i="1"/>
  <c r="H1206" i="1"/>
  <c r="G1207" i="1"/>
  <c r="H1207" i="1"/>
  <c r="G1208" i="1"/>
  <c r="H1208" i="1"/>
  <c r="G1209" i="1"/>
  <c r="H1209" i="1"/>
  <c r="G1210" i="1"/>
  <c r="H1210" i="1"/>
  <c r="G1211" i="1"/>
  <c r="H1211" i="1"/>
  <c r="G1212" i="1"/>
  <c r="H1212" i="1"/>
  <c r="G1213" i="1"/>
  <c r="H1213" i="1"/>
  <c r="G1214" i="1"/>
  <c r="H1214" i="1"/>
  <c r="G1215" i="1"/>
  <c r="H1215" i="1"/>
  <c r="G1216" i="1"/>
  <c r="H1216" i="1"/>
  <c r="G1217" i="1"/>
  <c r="H1217" i="1"/>
  <c r="G1218" i="1"/>
  <c r="H1218" i="1"/>
  <c r="G1219" i="1"/>
  <c r="H1219" i="1"/>
  <c r="G1220" i="1"/>
  <c r="H1220" i="1"/>
  <c r="G1221" i="1"/>
  <c r="H1221" i="1"/>
  <c r="G1222" i="1"/>
  <c r="H1222" i="1"/>
  <c r="G1223" i="1"/>
  <c r="H1223" i="1"/>
  <c r="G1224" i="1"/>
  <c r="H1224" i="1"/>
  <c r="G1225" i="1"/>
  <c r="H1225" i="1"/>
  <c r="G1226" i="1"/>
  <c r="H1226" i="1"/>
  <c r="G1227" i="1"/>
  <c r="H1227" i="1"/>
  <c r="G1228" i="1"/>
  <c r="H1228" i="1"/>
  <c r="G1229" i="1"/>
  <c r="H1229" i="1"/>
  <c r="G1230" i="1"/>
  <c r="H1230" i="1"/>
  <c r="G1231" i="1"/>
  <c r="H1231" i="1"/>
  <c r="G1232" i="1"/>
  <c r="H1232" i="1"/>
  <c r="G1233" i="1"/>
  <c r="H1233" i="1"/>
  <c r="G1234" i="1"/>
  <c r="H1234" i="1"/>
  <c r="G1235" i="1"/>
  <c r="H1235" i="1"/>
  <c r="G1236" i="1"/>
  <c r="H1236" i="1"/>
  <c r="G1237" i="1"/>
  <c r="H1237" i="1"/>
  <c r="G1238" i="1"/>
  <c r="H1238" i="1"/>
  <c r="G1239" i="1"/>
  <c r="H1239" i="1"/>
  <c r="G1240" i="1"/>
  <c r="H1240" i="1"/>
  <c r="G1241" i="1"/>
  <c r="H1241" i="1"/>
  <c r="G1242" i="1"/>
  <c r="H1242" i="1"/>
  <c r="G1243" i="1"/>
  <c r="H1243" i="1"/>
  <c r="G1244" i="1"/>
  <c r="H1244" i="1"/>
  <c r="G1245" i="1"/>
  <c r="H1245" i="1"/>
  <c r="G1246" i="1"/>
  <c r="H1246" i="1"/>
  <c r="G1247" i="1"/>
  <c r="H1247" i="1"/>
  <c r="G1248" i="1"/>
  <c r="H1248" i="1"/>
  <c r="G1249" i="1"/>
  <c r="H1249" i="1"/>
  <c r="G1250" i="1"/>
  <c r="H1250" i="1"/>
  <c r="G1251" i="1"/>
  <c r="H1251" i="1"/>
  <c r="G1252" i="1"/>
  <c r="H1252" i="1"/>
  <c r="G1253" i="1"/>
  <c r="H1253" i="1"/>
  <c r="G1254" i="1"/>
  <c r="H1254" i="1"/>
  <c r="G1255" i="1"/>
  <c r="H1255" i="1"/>
  <c r="G1256" i="1"/>
  <c r="H1256" i="1"/>
  <c r="G1257" i="1"/>
  <c r="H1257" i="1"/>
  <c r="G1258" i="1"/>
  <c r="H1258" i="1"/>
  <c r="G1259" i="1"/>
  <c r="H1259" i="1"/>
  <c r="G1260" i="1"/>
  <c r="H1260" i="1"/>
  <c r="G1261" i="1"/>
  <c r="H1261" i="1"/>
  <c r="G1262" i="1"/>
  <c r="H1262" i="1"/>
  <c r="G1263" i="1"/>
  <c r="H1263" i="1"/>
  <c r="G1264" i="1"/>
  <c r="H1264" i="1"/>
  <c r="G1265" i="1"/>
  <c r="H1265" i="1"/>
  <c r="G1266" i="1"/>
  <c r="H1266" i="1"/>
  <c r="G1267" i="1"/>
  <c r="H1267" i="1"/>
  <c r="G1268" i="1"/>
  <c r="H1268" i="1"/>
  <c r="G1269" i="1"/>
  <c r="H1269" i="1"/>
  <c r="G1270" i="1"/>
  <c r="H1270" i="1"/>
  <c r="G1271" i="1"/>
  <c r="H1271" i="1"/>
  <c r="G1272" i="1"/>
  <c r="H1272" i="1"/>
  <c r="G1273" i="1"/>
  <c r="H1273" i="1"/>
  <c r="G1274" i="1"/>
  <c r="H1274" i="1"/>
  <c r="G1275" i="1"/>
  <c r="H1275" i="1"/>
  <c r="G1276" i="1"/>
  <c r="H1276" i="1"/>
  <c r="G1277" i="1"/>
  <c r="H1277" i="1"/>
  <c r="G1278" i="1"/>
  <c r="H1278" i="1"/>
  <c r="G1279" i="1"/>
  <c r="H1279" i="1"/>
  <c r="G1280" i="1"/>
  <c r="H1280" i="1"/>
  <c r="G1281" i="1"/>
  <c r="H1281" i="1"/>
  <c r="G1282" i="1"/>
  <c r="H1282" i="1"/>
  <c r="G1283" i="1"/>
  <c r="H1283" i="1"/>
  <c r="G1284" i="1"/>
  <c r="H1284" i="1"/>
  <c r="G1285" i="1"/>
  <c r="H1285" i="1"/>
  <c r="G1286" i="1"/>
  <c r="H1286" i="1"/>
  <c r="G1287" i="1"/>
  <c r="H1287" i="1"/>
  <c r="G1288" i="1"/>
  <c r="H1288" i="1"/>
  <c r="G1289" i="1"/>
  <c r="H1289" i="1"/>
  <c r="G1290" i="1"/>
  <c r="H1290" i="1"/>
  <c r="G1291" i="1"/>
  <c r="H1291" i="1"/>
  <c r="G1292" i="1"/>
  <c r="H1292" i="1"/>
  <c r="G1293" i="1"/>
  <c r="H1293" i="1"/>
  <c r="G1294" i="1"/>
  <c r="H1294" i="1"/>
  <c r="G1295" i="1"/>
  <c r="H1295" i="1"/>
  <c r="G1296" i="1"/>
  <c r="H1296" i="1"/>
  <c r="G1297" i="1"/>
  <c r="H1297" i="1"/>
  <c r="G1298" i="1"/>
  <c r="H1298" i="1"/>
  <c r="G1299" i="1"/>
  <c r="H1299" i="1"/>
  <c r="G1300" i="1"/>
  <c r="H1300" i="1"/>
  <c r="G1301" i="1"/>
  <c r="H1301" i="1"/>
  <c r="G1302" i="1"/>
  <c r="H1302" i="1"/>
  <c r="G1303" i="1"/>
  <c r="H1303" i="1"/>
  <c r="G1304" i="1"/>
  <c r="H1304" i="1"/>
  <c r="G1305" i="1"/>
  <c r="H1305" i="1"/>
  <c r="G1306" i="1"/>
  <c r="H1306" i="1"/>
  <c r="G1307" i="1"/>
  <c r="H1307" i="1"/>
  <c r="G1308" i="1"/>
  <c r="H1308" i="1"/>
  <c r="G1309" i="1"/>
  <c r="H1309" i="1"/>
  <c r="G1310" i="1"/>
  <c r="H1310" i="1"/>
  <c r="G1311" i="1"/>
  <c r="H1311" i="1"/>
  <c r="G1312" i="1"/>
  <c r="H1312" i="1"/>
  <c r="G1313" i="1"/>
  <c r="H1313" i="1"/>
  <c r="G1314" i="1"/>
  <c r="H1314" i="1"/>
  <c r="G1315" i="1"/>
  <c r="H1315" i="1"/>
  <c r="G1316" i="1"/>
  <c r="H1316" i="1"/>
  <c r="G1317" i="1"/>
  <c r="H1317" i="1"/>
  <c r="G1318" i="1"/>
  <c r="H1318" i="1"/>
  <c r="G1319" i="1"/>
  <c r="H1319" i="1"/>
  <c r="G1320" i="1"/>
  <c r="H1320" i="1"/>
  <c r="G1321" i="1"/>
  <c r="H1321" i="1"/>
  <c r="G1322" i="1"/>
  <c r="H1322" i="1"/>
  <c r="G1323" i="1"/>
  <c r="H1323" i="1"/>
  <c r="G1324" i="1"/>
  <c r="H1324" i="1"/>
  <c r="G1325" i="1"/>
  <c r="H1325" i="1"/>
  <c r="G1326" i="1"/>
  <c r="H1326" i="1"/>
  <c r="G1327" i="1"/>
  <c r="H1327" i="1"/>
  <c r="G1328" i="1"/>
  <c r="H1328" i="1"/>
  <c r="G1329" i="1"/>
  <c r="H1329" i="1"/>
  <c r="G1330" i="1"/>
  <c r="H1330" i="1"/>
  <c r="G1331" i="1"/>
  <c r="H1331" i="1"/>
  <c r="G1332" i="1"/>
  <c r="H1332" i="1"/>
  <c r="G1333" i="1"/>
  <c r="H1333" i="1"/>
  <c r="G1334" i="1"/>
  <c r="H1334" i="1"/>
  <c r="G1335" i="1"/>
  <c r="H1335" i="1"/>
  <c r="G1336" i="1"/>
  <c r="H1336" i="1"/>
  <c r="G1337" i="1"/>
  <c r="H1337" i="1"/>
  <c r="G1338" i="1"/>
  <c r="H1338" i="1"/>
  <c r="G1339" i="1"/>
  <c r="H1339" i="1"/>
  <c r="G1340" i="1"/>
  <c r="H1340" i="1"/>
  <c r="G1341" i="1"/>
  <c r="H1341" i="1"/>
  <c r="G1342" i="1"/>
  <c r="H1342" i="1"/>
  <c r="G1343" i="1"/>
  <c r="H1343" i="1"/>
  <c r="G1344" i="1"/>
  <c r="H1344" i="1"/>
  <c r="G1345" i="1"/>
  <c r="H1345" i="1"/>
  <c r="G1346" i="1"/>
  <c r="H1346" i="1"/>
  <c r="G1347" i="1"/>
  <c r="H1347" i="1"/>
  <c r="G1348" i="1"/>
  <c r="H1348" i="1"/>
  <c r="G1349" i="1"/>
  <c r="H1349" i="1"/>
  <c r="G1350" i="1"/>
  <c r="H1350" i="1"/>
  <c r="G1351" i="1"/>
  <c r="H1351" i="1"/>
  <c r="G1352" i="1"/>
  <c r="H1352" i="1"/>
  <c r="G1353" i="1"/>
  <c r="H1353" i="1"/>
  <c r="G1354" i="1"/>
  <c r="H1354" i="1"/>
  <c r="G1355" i="1"/>
  <c r="H1355" i="1"/>
  <c r="G1356" i="1"/>
  <c r="H1356" i="1"/>
  <c r="G1357" i="1"/>
  <c r="H1357" i="1"/>
  <c r="G1358" i="1"/>
  <c r="H1358" i="1"/>
  <c r="G1359" i="1"/>
  <c r="H1359" i="1"/>
  <c r="G1360" i="1"/>
  <c r="H1360" i="1"/>
  <c r="G1361" i="1"/>
  <c r="H1361" i="1"/>
  <c r="G1362" i="1"/>
  <c r="H1362" i="1"/>
  <c r="G1363" i="1"/>
  <c r="H1363" i="1"/>
  <c r="G1364" i="1"/>
  <c r="H1364" i="1"/>
  <c r="G1365" i="1"/>
  <c r="H1365" i="1"/>
  <c r="G1366" i="1"/>
  <c r="H1366" i="1"/>
  <c r="G1367" i="1"/>
  <c r="H1367" i="1"/>
  <c r="G1368" i="1"/>
  <c r="H1368" i="1"/>
  <c r="G1369" i="1"/>
  <c r="H1369" i="1"/>
  <c r="G1370" i="1"/>
  <c r="H1370" i="1"/>
  <c r="G1371" i="1"/>
  <c r="H1371" i="1"/>
  <c r="G1372" i="1"/>
  <c r="H1372" i="1"/>
  <c r="G1373" i="1"/>
  <c r="H1373" i="1"/>
  <c r="G1374" i="1"/>
  <c r="H1374" i="1"/>
  <c r="G1375" i="1"/>
  <c r="H1375" i="1"/>
  <c r="G1376" i="1"/>
  <c r="H1376" i="1"/>
  <c r="G1377" i="1"/>
  <c r="H1377" i="1"/>
  <c r="G1378" i="1"/>
  <c r="H1378" i="1"/>
  <c r="G1379" i="1"/>
  <c r="H1379" i="1"/>
  <c r="G1380" i="1"/>
  <c r="H1380" i="1"/>
  <c r="G1381" i="1"/>
  <c r="H1381" i="1"/>
  <c r="G1382" i="1"/>
  <c r="H1382" i="1"/>
  <c r="G1383" i="1"/>
  <c r="H1383" i="1"/>
  <c r="G1384" i="1"/>
  <c r="H1384" i="1"/>
  <c r="G1385" i="1"/>
  <c r="H1385" i="1"/>
  <c r="G1386" i="1"/>
  <c r="H1386" i="1"/>
  <c r="G1387" i="1"/>
  <c r="H1387" i="1"/>
  <c r="G1388" i="1"/>
  <c r="H1388" i="1"/>
  <c r="G1389" i="1"/>
  <c r="H1389" i="1"/>
  <c r="G1390" i="1"/>
  <c r="H1390" i="1"/>
  <c r="G1391" i="1"/>
  <c r="H1391" i="1"/>
  <c r="G1392" i="1"/>
  <c r="H1392" i="1"/>
  <c r="G1393" i="1"/>
  <c r="H1393" i="1"/>
  <c r="G1394" i="1"/>
  <c r="H1394" i="1"/>
  <c r="G1395" i="1"/>
  <c r="H1395" i="1"/>
  <c r="G1396" i="1"/>
  <c r="H1396" i="1"/>
  <c r="G1397" i="1"/>
  <c r="H1397" i="1"/>
  <c r="G1398" i="1"/>
  <c r="H1398" i="1"/>
  <c r="G1399" i="1"/>
  <c r="H1399" i="1"/>
  <c r="G1400" i="1"/>
  <c r="H1400" i="1"/>
  <c r="G1401" i="1"/>
  <c r="H1401" i="1"/>
  <c r="G1402" i="1"/>
  <c r="H1402" i="1"/>
  <c r="G1403" i="1"/>
  <c r="H1403" i="1"/>
  <c r="G1404" i="1"/>
  <c r="H1404" i="1"/>
  <c r="G1405" i="1"/>
  <c r="H1405" i="1"/>
  <c r="G1406" i="1"/>
  <c r="H1406" i="1"/>
  <c r="G1407" i="1"/>
  <c r="H1407" i="1"/>
  <c r="G1408" i="1"/>
  <c r="H1408" i="1"/>
  <c r="G1409" i="1"/>
  <c r="H1409" i="1"/>
  <c r="G1410" i="1"/>
  <c r="H1410" i="1"/>
  <c r="G1411" i="1"/>
  <c r="H1411" i="1"/>
  <c r="G1412" i="1"/>
  <c r="H1412" i="1"/>
  <c r="G1413" i="1"/>
  <c r="H1413" i="1"/>
  <c r="G1414" i="1"/>
  <c r="H1414" i="1"/>
  <c r="G1415" i="1"/>
  <c r="H1415" i="1"/>
  <c r="G1416" i="1"/>
  <c r="H1416" i="1"/>
  <c r="G1417" i="1"/>
  <c r="H1417" i="1"/>
  <c r="G1418" i="1"/>
  <c r="H1418" i="1"/>
  <c r="G1419" i="1"/>
  <c r="H1419" i="1"/>
  <c r="G1420" i="1"/>
  <c r="H1420" i="1"/>
  <c r="G1421" i="1"/>
  <c r="H1421" i="1"/>
  <c r="G1422" i="1"/>
  <c r="H1422" i="1"/>
  <c r="G1423" i="1"/>
  <c r="H1423" i="1"/>
  <c r="G1424" i="1"/>
  <c r="H1424" i="1"/>
  <c r="G1425" i="1"/>
  <c r="H1425" i="1"/>
  <c r="G1426" i="1"/>
  <c r="H1426" i="1"/>
  <c r="G1427" i="1"/>
  <c r="H1427" i="1"/>
  <c r="G1428" i="1"/>
  <c r="H1428" i="1"/>
  <c r="G1429" i="1"/>
  <c r="H1429" i="1"/>
  <c r="G1430" i="1"/>
  <c r="H1430" i="1"/>
  <c r="G1431" i="1"/>
  <c r="H1431" i="1"/>
  <c r="G1432" i="1"/>
  <c r="H1432" i="1"/>
  <c r="G1433" i="1"/>
  <c r="H1433" i="1"/>
  <c r="G1434" i="1"/>
  <c r="H1434" i="1"/>
  <c r="G1435" i="1"/>
  <c r="H1435" i="1"/>
  <c r="G1436" i="1"/>
  <c r="H1436" i="1"/>
  <c r="G1437" i="1"/>
  <c r="H1437" i="1"/>
  <c r="G1438" i="1"/>
  <c r="H1438" i="1"/>
  <c r="G1439" i="1"/>
  <c r="H1439" i="1"/>
  <c r="G1440" i="1"/>
  <c r="H1440" i="1"/>
  <c r="G1441" i="1"/>
  <c r="H1441" i="1"/>
  <c r="G1442" i="1"/>
  <c r="H1442" i="1"/>
  <c r="G1443" i="1"/>
  <c r="H1443" i="1"/>
  <c r="G1444" i="1"/>
  <c r="H1444" i="1"/>
  <c r="G1445" i="1"/>
  <c r="H1445" i="1"/>
  <c r="G1446" i="1"/>
  <c r="H1446" i="1"/>
  <c r="G1447" i="1"/>
  <c r="H1447" i="1"/>
  <c r="G1448" i="1"/>
  <c r="H1448" i="1"/>
  <c r="G1449" i="1"/>
  <c r="H1449" i="1"/>
  <c r="G1450" i="1"/>
  <c r="H1450" i="1"/>
  <c r="G1451" i="1"/>
  <c r="H1451" i="1"/>
  <c r="G1452" i="1"/>
  <c r="H1452" i="1"/>
  <c r="G1453" i="1"/>
  <c r="H1453" i="1"/>
  <c r="G1454" i="1"/>
  <c r="H1454" i="1"/>
  <c r="G1455" i="1"/>
  <c r="H1455" i="1"/>
  <c r="G1456" i="1"/>
  <c r="H1456" i="1"/>
  <c r="G1457" i="1"/>
  <c r="H1457" i="1"/>
  <c r="G1458" i="1"/>
  <c r="H1458" i="1"/>
  <c r="G1459" i="1"/>
  <c r="H1459" i="1"/>
  <c r="G1460" i="1"/>
  <c r="H1460" i="1"/>
  <c r="G1461" i="1"/>
  <c r="H1461" i="1"/>
  <c r="G1462" i="1"/>
  <c r="H1462" i="1"/>
  <c r="G1463" i="1"/>
  <c r="H1463" i="1"/>
  <c r="G1464" i="1"/>
  <c r="H1464" i="1"/>
  <c r="G1465" i="1"/>
  <c r="H1465" i="1"/>
  <c r="G1466" i="1"/>
  <c r="H1466" i="1"/>
  <c r="G1467" i="1"/>
  <c r="H1467" i="1"/>
  <c r="G1468" i="1"/>
  <c r="H1468" i="1"/>
  <c r="G1469" i="1"/>
  <c r="H1469" i="1"/>
  <c r="G1470" i="1"/>
  <c r="H1470" i="1"/>
  <c r="G1471" i="1"/>
  <c r="H1471" i="1"/>
  <c r="G1472" i="1"/>
  <c r="H1472" i="1"/>
  <c r="G1473" i="1"/>
  <c r="H1473" i="1"/>
  <c r="G1474" i="1"/>
  <c r="H1474" i="1"/>
  <c r="G1475" i="1"/>
  <c r="H1475" i="1"/>
  <c r="G1476" i="1"/>
  <c r="H1476" i="1"/>
  <c r="G1477" i="1"/>
  <c r="H1477" i="1"/>
  <c r="G1478" i="1"/>
  <c r="H1478" i="1"/>
  <c r="G1479" i="1"/>
  <c r="H1479" i="1"/>
  <c r="G1480" i="1"/>
  <c r="H1480" i="1"/>
  <c r="G1481" i="1"/>
  <c r="H1481" i="1"/>
  <c r="G1482" i="1"/>
  <c r="H1482" i="1"/>
  <c r="G1483" i="1"/>
  <c r="H1483" i="1"/>
  <c r="G1484" i="1"/>
  <c r="H1484" i="1"/>
  <c r="G1485" i="1"/>
  <c r="H1485" i="1"/>
  <c r="G1486" i="1"/>
  <c r="H1486" i="1"/>
  <c r="G1487" i="1"/>
  <c r="H1487" i="1"/>
  <c r="G1488" i="1"/>
  <c r="H1488" i="1"/>
  <c r="G1489" i="1"/>
  <c r="H1489" i="1"/>
  <c r="G1490" i="1"/>
  <c r="H1490" i="1"/>
  <c r="G1491" i="1"/>
  <c r="H1491" i="1"/>
  <c r="G1492" i="1"/>
  <c r="H1492" i="1"/>
  <c r="G1493" i="1"/>
  <c r="H1493" i="1"/>
  <c r="G1494" i="1"/>
  <c r="H1494" i="1"/>
  <c r="G1495" i="1"/>
  <c r="H1495" i="1"/>
  <c r="G1496" i="1"/>
  <c r="H1496" i="1"/>
  <c r="G1497" i="1"/>
  <c r="H1497" i="1"/>
  <c r="G1498" i="1"/>
  <c r="H1498" i="1"/>
  <c r="G1499" i="1"/>
  <c r="H1499" i="1"/>
  <c r="G1500" i="1"/>
  <c r="H1500" i="1"/>
  <c r="G1501" i="1"/>
  <c r="H1501" i="1"/>
  <c r="G1502" i="1"/>
  <c r="H1502" i="1"/>
  <c r="G1503" i="1"/>
  <c r="H1503" i="1"/>
  <c r="G1504" i="1"/>
  <c r="H1504" i="1"/>
  <c r="G1505" i="1"/>
  <c r="H1505" i="1"/>
  <c r="G1506" i="1"/>
  <c r="H1506" i="1"/>
  <c r="G1507" i="1"/>
  <c r="H1507" i="1"/>
  <c r="G1508" i="1"/>
  <c r="H1508" i="1"/>
  <c r="G1509" i="1"/>
  <c r="H1509" i="1"/>
  <c r="G1510" i="1"/>
  <c r="H1510" i="1"/>
  <c r="G1511" i="1"/>
  <c r="H1511" i="1"/>
  <c r="G1512" i="1"/>
  <c r="H1512" i="1"/>
  <c r="G1513" i="1"/>
  <c r="H1513" i="1"/>
  <c r="G1514" i="1"/>
  <c r="H1514" i="1"/>
  <c r="G1515" i="1"/>
  <c r="H1515" i="1"/>
  <c r="G1516" i="1"/>
  <c r="H1516" i="1"/>
  <c r="G1517" i="1"/>
  <c r="H1517" i="1"/>
  <c r="G1518" i="1"/>
  <c r="H1518" i="1"/>
  <c r="G1519" i="1"/>
  <c r="H1519" i="1"/>
  <c r="G1520" i="1"/>
  <c r="H1520" i="1"/>
  <c r="G1521" i="1"/>
  <c r="H1521" i="1"/>
  <c r="G1522" i="1"/>
  <c r="H1522" i="1"/>
  <c r="G1523" i="1"/>
  <c r="H1523" i="1"/>
  <c r="G1524" i="1"/>
  <c r="H1524" i="1"/>
  <c r="G1525" i="1"/>
  <c r="H1525" i="1"/>
  <c r="G1526" i="1"/>
  <c r="H1526" i="1"/>
  <c r="G1527" i="1"/>
  <c r="H1527" i="1"/>
  <c r="G1528" i="1"/>
  <c r="H1528" i="1"/>
  <c r="G1529" i="1"/>
  <c r="H1529" i="1"/>
  <c r="G1530" i="1"/>
  <c r="H1530" i="1"/>
  <c r="G1531" i="1"/>
  <c r="H1531" i="1"/>
  <c r="G1532" i="1"/>
  <c r="H1532" i="1"/>
  <c r="G1533" i="1"/>
  <c r="H1533" i="1"/>
  <c r="G1534" i="1"/>
  <c r="H1534" i="1"/>
  <c r="G1535" i="1"/>
  <c r="H1535" i="1"/>
  <c r="G1536" i="1"/>
  <c r="H1536" i="1"/>
  <c r="G1537" i="1"/>
  <c r="H1537" i="1"/>
  <c r="G1538" i="1"/>
  <c r="H1538" i="1"/>
  <c r="G1539" i="1"/>
  <c r="H1539" i="1"/>
  <c r="G1540" i="1"/>
  <c r="H1540" i="1"/>
  <c r="G1541" i="1"/>
  <c r="H1541" i="1"/>
  <c r="G1542" i="1"/>
  <c r="H1542" i="1"/>
  <c r="G1543" i="1"/>
  <c r="H1543" i="1"/>
  <c r="G1544" i="1"/>
  <c r="H1544" i="1"/>
  <c r="G1545" i="1"/>
  <c r="H1545" i="1"/>
  <c r="G1546" i="1"/>
  <c r="H1546" i="1"/>
  <c r="G1547" i="1"/>
  <c r="H1547" i="1"/>
  <c r="G1548" i="1"/>
  <c r="H1548" i="1"/>
  <c r="G1549" i="1"/>
  <c r="H1549" i="1"/>
  <c r="G1550" i="1"/>
  <c r="H1550" i="1"/>
  <c r="G1551" i="1"/>
  <c r="H1551" i="1"/>
  <c r="G1552" i="1"/>
  <c r="H1552" i="1"/>
  <c r="G1553" i="1"/>
  <c r="H1553" i="1"/>
  <c r="G1554" i="1"/>
  <c r="H1554" i="1"/>
  <c r="G1555" i="1"/>
  <c r="H1555" i="1"/>
  <c r="G1556" i="1"/>
  <c r="H1556" i="1"/>
  <c r="G1557" i="1"/>
  <c r="H1557" i="1"/>
  <c r="G1558" i="1"/>
  <c r="H1558" i="1"/>
  <c r="G1559" i="1"/>
  <c r="H1559" i="1"/>
  <c r="G1560" i="1"/>
  <c r="H1560" i="1"/>
  <c r="G1561" i="1"/>
  <c r="H1561" i="1"/>
  <c r="G1562" i="1"/>
  <c r="H1562" i="1"/>
  <c r="G1563" i="1"/>
  <c r="H1563" i="1"/>
  <c r="G1564" i="1"/>
  <c r="H1564" i="1"/>
  <c r="G1565" i="1"/>
  <c r="H1565" i="1"/>
  <c r="G1566" i="1"/>
  <c r="H1566" i="1"/>
  <c r="G1567" i="1"/>
  <c r="H1567" i="1"/>
  <c r="G1568" i="1"/>
  <c r="H1568" i="1"/>
  <c r="G1569" i="1"/>
  <c r="H1569" i="1"/>
  <c r="G1570" i="1"/>
  <c r="H1570" i="1"/>
  <c r="G1571" i="1"/>
  <c r="H1571" i="1"/>
  <c r="G1572" i="1"/>
  <c r="H1572" i="1"/>
  <c r="G1573" i="1"/>
  <c r="H1573" i="1"/>
  <c r="G1574" i="1"/>
  <c r="H1574" i="1"/>
  <c r="G1575" i="1"/>
  <c r="H1575" i="1"/>
  <c r="G1576" i="1"/>
  <c r="H1576" i="1"/>
  <c r="G1577" i="1"/>
  <c r="H1577" i="1"/>
  <c r="G1578" i="1"/>
  <c r="H1578" i="1"/>
  <c r="G1579" i="1"/>
  <c r="H1579" i="1"/>
  <c r="G1580" i="1"/>
  <c r="H1580" i="1"/>
  <c r="G1581" i="1"/>
  <c r="H1581" i="1"/>
  <c r="G1582" i="1"/>
  <c r="H1582" i="1"/>
  <c r="G1583" i="1"/>
  <c r="H1583" i="1"/>
  <c r="G1584" i="1"/>
  <c r="H1584" i="1"/>
  <c r="G1585" i="1"/>
  <c r="H1585" i="1"/>
  <c r="G1586" i="1"/>
  <c r="H1586" i="1"/>
  <c r="G1587" i="1"/>
  <c r="H1587" i="1"/>
  <c r="G1588" i="1"/>
  <c r="H1588" i="1"/>
  <c r="G1589" i="1"/>
  <c r="H1589" i="1"/>
  <c r="G1590" i="1"/>
  <c r="H1590" i="1"/>
  <c r="G1591" i="1"/>
  <c r="H1591" i="1"/>
  <c r="G1592" i="1"/>
  <c r="H1592" i="1"/>
  <c r="G1593" i="1"/>
  <c r="H1593" i="1"/>
  <c r="G1594" i="1"/>
  <c r="H1594" i="1"/>
  <c r="G1595" i="1"/>
  <c r="H1595" i="1"/>
  <c r="G1596" i="1"/>
  <c r="H1596" i="1"/>
  <c r="G1597" i="1"/>
  <c r="H1597" i="1"/>
  <c r="G1598" i="1"/>
  <c r="H1598" i="1"/>
  <c r="G1599" i="1"/>
  <c r="H1599" i="1"/>
  <c r="G1600" i="1"/>
  <c r="H1600" i="1"/>
  <c r="G1601" i="1"/>
  <c r="H1601" i="1"/>
  <c r="G1602" i="1"/>
  <c r="H1602" i="1"/>
  <c r="G1603" i="1"/>
  <c r="H1603" i="1"/>
  <c r="G1604" i="1"/>
  <c r="H1604" i="1"/>
  <c r="G1605" i="1"/>
  <c r="H1605" i="1"/>
  <c r="G1606" i="1"/>
  <c r="H1606" i="1"/>
  <c r="G1607" i="1"/>
  <c r="H1607" i="1"/>
  <c r="G1608" i="1"/>
  <c r="H1608" i="1"/>
  <c r="G1609" i="1"/>
  <c r="H1609" i="1"/>
  <c r="G1610" i="1"/>
  <c r="H1610" i="1"/>
  <c r="G1611" i="1"/>
  <c r="H1611" i="1"/>
  <c r="G1612" i="1"/>
  <c r="H1612" i="1"/>
  <c r="G1613" i="1"/>
  <c r="H1613" i="1"/>
  <c r="G1614" i="1"/>
  <c r="H1614" i="1"/>
  <c r="G1615" i="1"/>
  <c r="H1615" i="1"/>
  <c r="G1616" i="1"/>
  <c r="H1616" i="1"/>
  <c r="G1617" i="1"/>
  <c r="H1617" i="1"/>
  <c r="G1618" i="1"/>
  <c r="H1618" i="1"/>
  <c r="G1619" i="1"/>
  <c r="H1619" i="1"/>
  <c r="G1620" i="1"/>
  <c r="H1620" i="1"/>
  <c r="G1621" i="1"/>
  <c r="H1621" i="1"/>
  <c r="G1622" i="1"/>
  <c r="H1622" i="1"/>
  <c r="G1623" i="1"/>
  <c r="H1623" i="1"/>
  <c r="G1624" i="1"/>
  <c r="H1624" i="1"/>
  <c r="G1625" i="1"/>
  <c r="H1625" i="1"/>
  <c r="G1626" i="1"/>
  <c r="H1626" i="1"/>
  <c r="G1627" i="1"/>
  <c r="H1627" i="1"/>
  <c r="G1628" i="1"/>
  <c r="H1628" i="1"/>
  <c r="G1629" i="1"/>
  <c r="H1629" i="1"/>
  <c r="G1630" i="1"/>
  <c r="H1630" i="1"/>
  <c r="G1631" i="1"/>
  <c r="H1631" i="1"/>
  <c r="G1632" i="1"/>
  <c r="H1632" i="1"/>
  <c r="G1633" i="1"/>
  <c r="H1633" i="1"/>
  <c r="G1634" i="1"/>
  <c r="H1634" i="1"/>
  <c r="G1635" i="1"/>
  <c r="H1635" i="1"/>
  <c r="G1636" i="1"/>
  <c r="H1636" i="1"/>
  <c r="G1637" i="1"/>
  <c r="H1637" i="1"/>
  <c r="G1638" i="1"/>
  <c r="H1638" i="1"/>
  <c r="G1639" i="1"/>
  <c r="H1639" i="1"/>
  <c r="G1640" i="1"/>
  <c r="H1640" i="1"/>
  <c r="G1641" i="1"/>
  <c r="H1641" i="1"/>
  <c r="G1642" i="1"/>
  <c r="H1642" i="1"/>
  <c r="G1643" i="1"/>
  <c r="H1643" i="1"/>
  <c r="G1644" i="1"/>
  <c r="H1644" i="1"/>
  <c r="G1645" i="1"/>
  <c r="H1645" i="1"/>
  <c r="G1646" i="1"/>
  <c r="H1646" i="1"/>
  <c r="G1647" i="1"/>
  <c r="H1647" i="1"/>
  <c r="G1648" i="1"/>
  <c r="H1648" i="1"/>
  <c r="G1649" i="1"/>
  <c r="H1649" i="1"/>
  <c r="G1650" i="1"/>
  <c r="H1650" i="1"/>
  <c r="G1651" i="1"/>
  <c r="H1651" i="1"/>
  <c r="G1652" i="1"/>
  <c r="H1652" i="1"/>
  <c r="G1653" i="1"/>
  <c r="H1653" i="1"/>
  <c r="G1654" i="1"/>
  <c r="H1654" i="1"/>
  <c r="G1655" i="1"/>
  <c r="H1655" i="1"/>
  <c r="G1656" i="1"/>
  <c r="H1656" i="1"/>
  <c r="G1657" i="1"/>
  <c r="H1657" i="1"/>
  <c r="G1658" i="1"/>
  <c r="H1658" i="1"/>
  <c r="G1659" i="1"/>
  <c r="H1659" i="1"/>
  <c r="G1660" i="1"/>
  <c r="H1660" i="1"/>
  <c r="G1661" i="1"/>
  <c r="H1661" i="1"/>
  <c r="G1662" i="1"/>
  <c r="H1662" i="1"/>
  <c r="G1663" i="1"/>
  <c r="H1663" i="1"/>
  <c r="G1664" i="1"/>
  <c r="H1664" i="1"/>
  <c r="G1665" i="1"/>
  <c r="H1665" i="1"/>
  <c r="G1666" i="1"/>
  <c r="H1666" i="1"/>
  <c r="G1667" i="1"/>
  <c r="H1667" i="1"/>
  <c r="G1668" i="1"/>
  <c r="H1668" i="1"/>
  <c r="G1669" i="1"/>
  <c r="H1669" i="1"/>
  <c r="G1670" i="1"/>
  <c r="H1670" i="1"/>
  <c r="G1671" i="1"/>
  <c r="H1671" i="1"/>
  <c r="G1672" i="1"/>
  <c r="H1672" i="1"/>
  <c r="G1673" i="1"/>
  <c r="H1673" i="1"/>
  <c r="G1674" i="1"/>
  <c r="H1674" i="1"/>
  <c r="G1675" i="1"/>
  <c r="H1675" i="1"/>
  <c r="G1676" i="1"/>
  <c r="H1676" i="1"/>
  <c r="G1677" i="1"/>
  <c r="H1677" i="1"/>
  <c r="G1678" i="1"/>
  <c r="H1678" i="1"/>
  <c r="G1679" i="1"/>
  <c r="H1679" i="1"/>
  <c r="G1680" i="1"/>
  <c r="H1680" i="1"/>
  <c r="G1681" i="1"/>
  <c r="H1681" i="1"/>
  <c r="G1682" i="1"/>
  <c r="H1682" i="1"/>
  <c r="G1683" i="1"/>
  <c r="H1683" i="1"/>
  <c r="G1684" i="1"/>
  <c r="H1684" i="1"/>
  <c r="G1685" i="1"/>
  <c r="H1685" i="1"/>
  <c r="G1686" i="1"/>
  <c r="H1686" i="1"/>
  <c r="G1687" i="1"/>
  <c r="H1687" i="1"/>
  <c r="G1688" i="1"/>
  <c r="H1688" i="1"/>
  <c r="G1689" i="1"/>
  <c r="H1689" i="1"/>
  <c r="G1690" i="1"/>
  <c r="H1690" i="1"/>
  <c r="G1691" i="1"/>
  <c r="H1691" i="1"/>
  <c r="G1692" i="1"/>
  <c r="H1692" i="1"/>
  <c r="G1693" i="1"/>
  <c r="H1693" i="1"/>
  <c r="G1694" i="1"/>
  <c r="H1694" i="1"/>
  <c r="G1695" i="1"/>
  <c r="H1695" i="1"/>
  <c r="G1696" i="1"/>
  <c r="H1696" i="1"/>
  <c r="G1697" i="1"/>
  <c r="H1697" i="1"/>
  <c r="G1698" i="1"/>
  <c r="H1698" i="1"/>
  <c r="G1699" i="1"/>
  <c r="H1699" i="1"/>
  <c r="G1700" i="1"/>
  <c r="H1700" i="1"/>
  <c r="G1701" i="1"/>
  <c r="H1701" i="1"/>
  <c r="G1702" i="1"/>
  <c r="H1702" i="1"/>
  <c r="G1703" i="1"/>
  <c r="H1703" i="1"/>
  <c r="G1704" i="1"/>
  <c r="H1704" i="1"/>
  <c r="G1705" i="1"/>
  <c r="H1705" i="1"/>
  <c r="G1706" i="1"/>
  <c r="H1706" i="1"/>
  <c r="G1707" i="1"/>
  <c r="H1707" i="1"/>
  <c r="G1708" i="1"/>
  <c r="H1708" i="1"/>
  <c r="G1709" i="1"/>
  <c r="H1709" i="1"/>
  <c r="G1710" i="1"/>
  <c r="H1710" i="1"/>
  <c r="G1711" i="1"/>
  <c r="H1711" i="1"/>
  <c r="G1712" i="1"/>
  <c r="H1712" i="1"/>
  <c r="G1713" i="1"/>
  <c r="H1713" i="1"/>
  <c r="G1714" i="1"/>
  <c r="H1714" i="1"/>
  <c r="G1715" i="1"/>
  <c r="H1715" i="1"/>
  <c r="G1716" i="1"/>
  <c r="H1716" i="1"/>
  <c r="G1717" i="1"/>
  <c r="H1717" i="1"/>
  <c r="G1718" i="1"/>
  <c r="H1718" i="1"/>
  <c r="G1719" i="1"/>
  <c r="H1719" i="1"/>
  <c r="G1720" i="1"/>
  <c r="H1720" i="1"/>
  <c r="G1721" i="1"/>
  <c r="H1721" i="1"/>
  <c r="G1722" i="1"/>
  <c r="H1722" i="1"/>
  <c r="G1723" i="1"/>
  <c r="H1723" i="1"/>
  <c r="G1724" i="1"/>
  <c r="H1724" i="1"/>
  <c r="G1725" i="1"/>
  <c r="H1725" i="1"/>
  <c r="G1726" i="1"/>
  <c r="H1726" i="1"/>
  <c r="G1727" i="1"/>
  <c r="H1727" i="1"/>
  <c r="G1728" i="1"/>
  <c r="H1728" i="1"/>
  <c r="G1729" i="1"/>
  <c r="H1729" i="1"/>
  <c r="G1730" i="1"/>
  <c r="H1730" i="1"/>
  <c r="G1731" i="1"/>
  <c r="H1731" i="1"/>
  <c r="G1732" i="1"/>
  <c r="H1732" i="1"/>
  <c r="G1733" i="1"/>
  <c r="H1733" i="1"/>
  <c r="G1734" i="1"/>
  <c r="H1734" i="1"/>
  <c r="G1735" i="1"/>
  <c r="H1735" i="1"/>
  <c r="G1736" i="1"/>
  <c r="H1736" i="1"/>
  <c r="G1737" i="1"/>
  <c r="H1737" i="1"/>
  <c r="G1738" i="1"/>
  <c r="H1738" i="1"/>
  <c r="G1739" i="1"/>
  <c r="H1739" i="1"/>
  <c r="G1740" i="1"/>
  <c r="H1740" i="1"/>
  <c r="G1741" i="1"/>
  <c r="H1741" i="1"/>
  <c r="G1742" i="1"/>
  <c r="H1742" i="1"/>
  <c r="G1743" i="1"/>
  <c r="H1743" i="1"/>
  <c r="G1744" i="1"/>
  <c r="H1744" i="1"/>
  <c r="G1745" i="1"/>
  <c r="H1745" i="1"/>
  <c r="G1746" i="1"/>
  <c r="H1746" i="1"/>
  <c r="G1747" i="1"/>
  <c r="H1747" i="1"/>
  <c r="G1748" i="1"/>
  <c r="H1748" i="1"/>
  <c r="G1749" i="1"/>
  <c r="H1749" i="1"/>
  <c r="G1750" i="1"/>
  <c r="H1750" i="1"/>
  <c r="G1751" i="1"/>
  <c r="H1751" i="1"/>
  <c r="G1752" i="1"/>
  <c r="H1752" i="1"/>
  <c r="G1753" i="1"/>
  <c r="H1753" i="1"/>
  <c r="G1754" i="1"/>
  <c r="H1754" i="1"/>
  <c r="G1755" i="1"/>
  <c r="H1755" i="1"/>
  <c r="G1756" i="1"/>
  <c r="H1756" i="1"/>
  <c r="G1757" i="1"/>
  <c r="H1757" i="1"/>
  <c r="G1758" i="1"/>
  <c r="H1758" i="1"/>
  <c r="G1759" i="1"/>
  <c r="H1759" i="1"/>
  <c r="G1760" i="1"/>
  <c r="H1760" i="1"/>
  <c r="G1761" i="1"/>
  <c r="H1761" i="1"/>
  <c r="G1762" i="1"/>
  <c r="H1762" i="1"/>
  <c r="G1763" i="1"/>
  <c r="H1763" i="1"/>
  <c r="G1764" i="1"/>
  <c r="H1764" i="1"/>
  <c r="G1765" i="1"/>
  <c r="H1765" i="1"/>
  <c r="G1766" i="1"/>
  <c r="H1766" i="1"/>
  <c r="G1767" i="1"/>
  <c r="H1767" i="1"/>
  <c r="G1768" i="1"/>
  <c r="H1768" i="1"/>
  <c r="G1769" i="1"/>
  <c r="H1769" i="1"/>
  <c r="G1770" i="1"/>
  <c r="H1770" i="1"/>
  <c r="G1771" i="1"/>
  <c r="H1771" i="1"/>
  <c r="G1772" i="1"/>
  <c r="H1772" i="1"/>
  <c r="G1773" i="1"/>
  <c r="H1773" i="1"/>
  <c r="G1774" i="1"/>
  <c r="H1774" i="1"/>
  <c r="G1775" i="1"/>
  <c r="H1775" i="1"/>
  <c r="G1776" i="1"/>
  <c r="H1776" i="1"/>
  <c r="G1777" i="1"/>
  <c r="H1777" i="1"/>
  <c r="G1778" i="1"/>
  <c r="H1778" i="1"/>
  <c r="G1779" i="1"/>
  <c r="H1779" i="1"/>
  <c r="G1780" i="1"/>
  <c r="H1780" i="1"/>
  <c r="G1781" i="1"/>
  <c r="H1781" i="1"/>
  <c r="G1782" i="1"/>
  <c r="H1782" i="1"/>
  <c r="G1783" i="1"/>
  <c r="H1783" i="1"/>
  <c r="G1784" i="1"/>
  <c r="H1784" i="1"/>
  <c r="G1785" i="1"/>
  <c r="H1785" i="1"/>
  <c r="G1786" i="1"/>
  <c r="H1786" i="1"/>
  <c r="G1787" i="1"/>
  <c r="H1787" i="1"/>
  <c r="G1788" i="1"/>
  <c r="H1788" i="1"/>
  <c r="G1789" i="1"/>
  <c r="H1789" i="1"/>
  <c r="G1790" i="1"/>
  <c r="H1790" i="1"/>
  <c r="G1791" i="1"/>
  <c r="H1791" i="1"/>
  <c r="G1792" i="1"/>
  <c r="H1792" i="1"/>
  <c r="G1793" i="1"/>
  <c r="H1793" i="1"/>
  <c r="G1794" i="1"/>
  <c r="H1794" i="1"/>
  <c r="G1795" i="1"/>
  <c r="H1795" i="1"/>
  <c r="G1796" i="1"/>
  <c r="H1796" i="1"/>
  <c r="G1797" i="1"/>
  <c r="H1797" i="1"/>
  <c r="G1798" i="1"/>
  <c r="H1798" i="1"/>
  <c r="G1799" i="1"/>
  <c r="H1799" i="1"/>
  <c r="G1800" i="1"/>
  <c r="H1800" i="1"/>
  <c r="G1801" i="1"/>
  <c r="H1801" i="1"/>
  <c r="G1802" i="1"/>
  <c r="H1802" i="1"/>
  <c r="G1803" i="1"/>
  <c r="H1803" i="1"/>
  <c r="G1804" i="1"/>
  <c r="H1804" i="1"/>
  <c r="G1805" i="1"/>
  <c r="H1805" i="1"/>
  <c r="G1806" i="1"/>
  <c r="H1806" i="1"/>
  <c r="G1807" i="1"/>
  <c r="H1807" i="1"/>
  <c r="G1808" i="1"/>
  <c r="H1808" i="1"/>
  <c r="G1809" i="1"/>
  <c r="H1809" i="1"/>
  <c r="G1810" i="1"/>
  <c r="H1810" i="1"/>
  <c r="G1811" i="1"/>
  <c r="H1811" i="1"/>
  <c r="G1812" i="1"/>
  <c r="H1812" i="1"/>
  <c r="G1813" i="1"/>
  <c r="H1813" i="1"/>
  <c r="G1814" i="1"/>
  <c r="H1814" i="1"/>
  <c r="G1815" i="1"/>
  <c r="H1815" i="1"/>
  <c r="G1816" i="1"/>
  <c r="H1816" i="1"/>
  <c r="G1817" i="1"/>
  <c r="H1817" i="1"/>
  <c r="G1818" i="1"/>
  <c r="H1818" i="1"/>
  <c r="G1819" i="1"/>
  <c r="H1819" i="1"/>
  <c r="G1820" i="1"/>
  <c r="H1820" i="1"/>
  <c r="G1821" i="1"/>
  <c r="H1821" i="1"/>
  <c r="G1822" i="1"/>
  <c r="H1822" i="1"/>
  <c r="G1823" i="1"/>
  <c r="H1823" i="1"/>
  <c r="G1824" i="1"/>
  <c r="H1824" i="1"/>
  <c r="G1825" i="1"/>
  <c r="H1825" i="1"/>
  <c r="G1826" i="1"/>
  <c r="H1826" i="1"/>
  <c r="G1827" i="1"/>
  <c r="H1827" i="1"/>
  <c r="G1828" i="1"/>
  <c r="H1828" i="1"/>
  <c r="G1829" i="1"/>
  <c r="H1829" i="1"/>
  <c r="G1830" i="1"/>
  <c r="H1830" i="1"/>
  <c r="G1831" i="1"/>
  <c r="H1831" i="1"/>
  <c r="G1832" i="1"/>
  <c r="H1832" i="1"/>
  <c r="G1833" i="1"/>
  <c r="H1833" i="1"/>
  <c r="G1834" i="1"/>
  <c r="H1834" i="1"/>
  <c r="G1835" i="1"/>
  <c r="H1835" i="1"/>
  <c r="G1836" i="1"/>
  <c r="H1836" i="1"/>
  <c r="G1837" i="1"/>
  <c r="H1837" i="1"/>
  <c r="G1838" i="1"/>
  <c r="H1838" i="1"/>
  <c r="G1839" i="1"/>
  <c r="H1839" i="1"/>
  <c r="G1840" i="1"/>
  <c r="H1840" i="1"/>
  <c r="G1841" i="1"/>
  <c r="H1841" i="1"/>
  <c r="G1842" i="1"/>
  <c r="H1842" i="1"/>
  <c r="G1843" i="1"/>
  <c r="H1843" i="1"/>
  <c r="G1844" i="1"/>
  <c r="H1844" i="1"/>
  <c r="G1845" i="1"/>
  <c r="H1845" i="1"/>
  <c r="G1846" i="1"/>
  <c r="H1846" i="1"/>
  <c r="G1847" i="1"/>
  <c r="H1847" i="1"/>
  <c r="G1848" i="1"/>
  <c r="H1848" i="1"/>
  <c r="G1849" i="1"/>
  <c r="H1849" i="1"/>
  <c r="G1850" i="1"/>
  <c r="H1850" i="1"/>
  <c r="G1851" i="1"/>
  <c r="H1851" i="1"/>
  <c r="G1852" i="1"/>
  <c r="H1852" i="1"/>
  <c r="G1853" i="1"/>
  <c r="H1853" i="1"/>
  <c r="G1854" i="1"/>
  <c r="H1854" i="1"/>
  <c r="G1855" i="1"/>
  <c r="H1855" i="1"/>
  <c r="G1856" i="1"/>
  <c r="H1856" i="1"/>
  <c r="G1857" i="1"/>
  <c r="H1857" i="1"/>
  <c r="G1858" i="1"/>
  <c r="H1858" i="1"/>
  <c r="G1859" i="1"/>
  <c r="H1859" i="1"/>
  <c r="G1860" i="1"/>
  <c r="H1860" i="1"/>
  <c r="G1861" i="1"/>
  <c r="H1861" i="1"/>
  <c r="G1862" i="1"/>
  <c r="H1862" i="1"/>
  <c r="G1863" i="1"/>
  <c r="H1863" i="1"/>
  <c r="G1864" i="1"/>
  <c r="H1864" i="1"/>
  <c r="G1865" i="1"/>
  <c r="H1865" i="1"/>
  <c r="G1866" i="1"/>
  <c r="H1866" i="1"/>
  <c r="G1867" i="1"/>
  <c r="H1867" i="1"/>
  <c r="G1868" i="1"/>
  <c r="H1868" i="1"/>
  <c r="G1869" i="1"/>
  <c r="H1869" i="1"/>
  <c r="G1870" i="1"/>
  <c r="H1870" i="1"/>
  <c r="G1871" i="1"/>
  <c r="H1871" i="1"/>
  <c r="G1872" i="1"/>
  <c r="H1872" i="1"/>
  <c r="G1873" i="1"/>
  <c r="H1873" i="1"/>
  <c r="G1874" i="1"/>
  <c r="H1874" i="1"/>
  <c r="G1875" i="1"/>
  <c r="H1875" i="1"/>
  <c r="G1876" i="1"/>
  <c r="H1876" i="1"/>
  <c r="G1877" i="1"/>
  <c r="H1877" i="1"/>
  <c r="G1878" i="1"/>
  <c r="H1878" i="1"/>
  <c r="G1879" i="1"/>
  <c r="H1879" i="1"/>
  <c r="G1880" i="1"/>
  <c r="H1880" i="1"/>
  <c r="G1881" i="1"/>
  <c r="H1881" i="1"/>
  <c r="G1882" i="1"/>
  <c r="H1882" i="1"/>
  <c r="G1883" i="1"/>
  <c r="H1883" i="1"/>
  <c r="G1884" i="1"/>
  <c r="H1884" i="1"/>
  <c r="G1885" i="1"/>
  <c r="H1885" i="1"/>
  <c r="G1886" i="1"/>
  <c r="H1886" i="1"/>
  <c r="G1887" i="1"/>
  <c r="H1887" i="1"/>
  <c r="G1888" i="1"/>
  <c r="H1888" i="1"/>
  <c r="G1889" i="1"/>
  <c r="H1889" i="1"/>
  <c r="G1890" i="1"/>
  <c r="H1890" i="1"/>
  <c r="G1891" i="1"/>
  <c r="H1891" i="1"/>
  <c r="G1892" i="1"/>
  <c r="H1892" i="1"/>
  <c r="G1893" i="1"/>
  <c r="H1893" i="1"/>
  <c r="G1894" i="1"/>
  <c r="H1894" i="1"/>
  <c r="G1895" i="1"/>
  <c r="H1895" i="1"/>
  <c r="G1896" i="1"/>
  <c r="H1896" i="1"/>
  <c r="G1897" i="1"/>
  <c r="H1897" i="1"/>
  <c r="G1898" i="1"/>
  <c r="H1898" i="1"/>
  <c r="G1899" i="1"/>
  <c r="H1899" i="1"/>
  <c r="G1900" i="1"/>
  <c r="H1900" i="1"/>
  <c r="G1901" i="1"/>
  <c r="H1901" i="1"/>
  <c r="G1902" i="1"/>
  <c r="H1902" i="1"/>
  <c r="G1903" i="1"/>
  <c r="H1903" i="1"/>
  <c r="G1904" i="1"/>
  <c r="H1904" i="1"/>
  <c r="G1905" i="1"/>
  <c r="H1905" i="1"/>
  <c r="G1906" i="1"/>
  <c r="H1906" i="1"/>
  <c r="G1907" i="1"/>
  <c r="H1907" i="1"/>
  <c r="G1908" i="1"/>
  <c r="H1908" i="1"/>
  <c r="G1909" i="1"/>
  <c r="H1909" i="1"/>
  <c r="G1910" i="1"/>
  <c r="H1910" i="1"/>
  <c r="G1911" i="1"/>
  <c r="H1911" i="1"/>
  <c r="G1912" i="1"/>
  <c r="H1912" i="1"/>
  <c r="G1913" i="1"/>
  <c r="H1913" i="1"/>
  <c r="G1914" i="1"/>
  <c r="H1914" i="1"/>
  <c r="G1915" i="1"/>
  <c r="H1915" i="1"/>
  <c r="G1916" i="1"/>
  <c r="H1916" i="1"/>
  <c r="G1917" i="1"/>
  <c r="H1917" i="1"/>
  <c r="G1918" i="1"/>
  <c r="H1918" i="1"/>
  <c r="G1919" i="1"/>
  <c r="H1919" i="1"/>
  <c r="G1920" i="1"/>
  <c r="H1920" i="1"/>
  <c r="G1921" i="1"/>
  <c r="H1921" i="1"/>
  <c r="G1922" i="1"/>
  <c r="H1922" i="1"/>
  <c r="G1923" i="1"/>
  <c r="H1923" i="1"/>
  <c r="G1924" i="1"/>
  <c r="H1924" i="1"/>
  <c r="G1925" i="1"/>
  <c r="H1925" i="1"/>
  <c r="G1926" i="1"/>
  <c r="H1926" i="1"/>
  <c r="G1927" i="1"/>
  <c r="H1927" i="1"/>
  <c r="G1928" i="1"/>
  <c r="H1928" i="1"/>
  <c r="G1929" i="1"/>
  <c r="H1929" i="1"/>
  <c r="G1930" i="1"/>
  <c r="H1930" i="1"/>
  <c r="G1931" i="1"/>
  <c r="H1931" i="1"/>
  <c r="G1932" i="1"/>
  <c r="H1932" i="1"/>
  <c r="G1933" i="1"/>
  <c r="H1933" i="1"/>
  <c r="G1934" i="1"/>
  <c r="H1934" i="1"/>
  <c r="G1935" i="1"/>
  <c r="H1935" i="1"/>
  <c r="G1936" i="1"/>
  <c r="H1936" i="1"/>
  <c r="G1937" i="1"/>
  <c r="H1937" i="1"/>
  <c r="G1938" i="1"/>
  <c r="H1938" i="1"/>
  <c r="G1939" i="1"/>
  <c r="H1939" i="1"/>
  <c r="G1940" i="1"/>
  <c r="H1940" i="1"/>
  <c r="G1941" i="1"/>
  <c r="H1941" i="1"/>
  <c r="G1942" i="1"/>
  <c r="H1942" i="1"/>
  <c r="G1943" i="1"/>
  <c r="H1943" i="1"/>
  <c r="G1944" i="1"/>
  <c r="H1944" i="1"/>
  <c r="G1945" i="1"/>
  <c r="H1945" i="1"/>
  <c r="G1946" i="1"/>
  <c r="H1946" i="1"/>
  <c r="G1947" i="1"/>
  <c r="H1947" i="1"/>
  <c r="G1948" i="1"/>
  <c r="H1948" i="1"/>
  <c r="G1949" i="1"/>
  <c r="H1949" i="1"/>
  <c r="G1950" i="1"/>
  <c r="H1950" i="1"/>
  <c r="G1951" i="1"/>
  <c r="H1951" i="1"/>
  <c r="G1952" i="1"/>
  <c r="H1952" i="1"/>
  <c r="G1953" i="1"/>
  <c r="H1953" i="1"/>
  <c r="G1954" i="1"/>
  <c r="H1954" i="1"/>
  <c r="G1955" i="1"/>
  <c r="H1955" i="1"/>
  <c r="G1956" i="1"/>
  <c r="H1956" i="1"/>
  <c r="G1957" i="1"/>
  <c r="H1957" i="1"/>
  <c r="G1958" i="1"/>
  <c r="H1958" i="1"/>
  <c r="G1959" i="1"/>
  <c r="H1959" i="1"/>
  <c r="G1960" i="1"/>
  <c r="H1960" i="1"/>
  <c r="G1961" i="1"/>
  <c r="H1961" i="1"/>
  <c r="G1962" i="1"/>
  <c r="H1962" i="1"/>
  <c r="G1963" i="1"/>
  <c r="H1963" i="1"/>
  <c r="G1964" i="1"/>
  <c r="H1964" i="1"/>
  <c r="G1965" i="1"/>
  <c r="H1965" i="1"/>
  <c r="G1966" i="1"/>
  <c r="H1966" i="1"/>
  <c r="G1967" i="1"/>
  <c r="H1967" i="1"/>
  <c r="G1968" i="1"/>
  <c r="H1968" i="1"/>
  <c r="G1969" i="1"/>
  <c r="H1969" i="1"/>
  <c r="G1970" i="1"/>
  <c r="H1970" i="1"/>
  <c r="G1971" i="1"/>
  <c r="H1971" i="1"/>
  <c r="G1972" i="1"/>
  <c r="H1972" i="1"/>
  <c r="G1973" i="1"/>
  <c r="H1973" i="1"/>
  <c r="G1974" i="1"/>
  <c r="H1974" i="1"/>
  <c r="G1975" i="1"/>
  <c r="H1975" i="1"/>
  <c r="G1976" i="1"/>
  <c r="H1976" i="1"/>
  <c r="G1977" i="1"/>
  <c r="H1977" i="1"/>
  <c r="G1978" i="1"/>
  <c r="H1978" i="1"/>
  <c r="G1979" i="1"/>
  <c r="H1979" i="1"/>
  <c r="G1980" i="1"/>
  <c r="H1980" i="1"/>
  <c r="G1981" i="1"/>
  <c r="H1981" i="1"/>
  <c r="G1982" i="1"/>
  <c r="H1982" i="1"/>
  <c r="G1983" i="1"/>
  <c r="H1983" i="1"/>
  <c r="G1984" i="1"/>
  <c r="H1984" i="1"/>
  <c r="G1985" i="1"/>
  <c r="H1985" i="1"/>
  <c r="G1986" i="1"/>
  <c r="H1986" i="1"/>
  <c r="G1987" i="1"/>
  <c r="H1987" i="1"/>
  <c r="G1988" i="1"/>
  <c r="H1988" i="1"/>
  <c r="G1989" i="1"/>
  <c r="H1989" i="1"/>
  <c r="G1990" i="1"/>
  <c r="H1990" i="1"/>
  <c r="G1991" i="1"/>
  <c r="H1991" i="1"/>
  <c r="G1992" i="1"/>
  <c r="H1992" i="1"/>
  <c r="G1993" i="1"/>
  <c r="H1993" i="1"/>
  <c r="G1994" i="1"/>
  <c r="H1994" i="1"/>
  <c r="G1995" i="1"/>
  <c r="H1995" i="1"/>
  <c r="G1996" i="1"/>
  <c r="H1996" i="1"/>
  <c r="G1997" i="1"/>
  <c r="H1997" i="1"/>
  <c r="G1998" i="1"/>
  <c r="H1998" i="1"/>
  <c r="G1999" i="1"/>
  <c r="H1999" i="1"/>
  <c r="G2000" i="1"/>
  <c r="H2000" i="1"/>
  <c r="G2001" i="1"/>
  <c r="H2001" i="1"/>
  <c r="G2002" i="1"/>
  <c r="H2002" i="1"/>
  <c r="G2003" i="1"/>
  <c r="H2003" i="1"/>
  <c r="G2004" i="1"/>
  <c r="H2004" i="1"/>
  <c r="G2005" i="1"/>
  <c r="H2005" i="1"/>
  <c r="G2006" i="1"/>
  <c r="H2006" i="1"/>
  <c r="G2007" i="1"/>
  <c r="H2007" i="1"/>
  <c r="G2008" i="1"/>
  <c r="H2008" i="1"/>
  <c r="G2009" i="1"/>
  <c r="H2009" i="1"/>
  <c r="G2010" i="1"/>
  <c r="H2010" i="1"/>
  <c r="G2011" i="1"/>
  <c r="H2011" i="1"/>
  <c r="G2012" i="1"/>
  <c r="H2012" i="1"/>
  <c r="G2013" i="1"/>
  <c r="H2013" i="1"/>
  <c r="G2014" i="1"/>
  <c r="H2014" i="1"/>
  <c r="G2015" i="1"/>
  <c r="H2015" i="1"/>
  <c r="G2016" i="1"/>
  <c r="H2016" i="1"/>
  <c r="G2017" i="1"/>
  <c r="H2017" i="1"/>
  <c r="G2018" i="1"/>
  <c r="H2018" i="1"/>
  <c r="G2019" i="1"/>
  <c r="H2019" i="1"/>
  <c r="G2020" i="1"/>
  <c r="H2020" i="1"/>
  <c r="G2021" i="1"/>
  <c r="H2021" i="1"/>
  <c r="G2022" i="1"/>
  <c r="H2022" i="1"/>
  <c r="G2023" i="1"/>
  <c r="H2023" i="1"/>
  <c r="G2024" i="1"/>
  <c r="H2024" i="1"/>
  <c r="G2025" i="1"/>
  <c r="H2025" i="1"/>
  <c r="G2026" i="1"/>
  <c r="H2026" i="1"/>
  <c r="G2027" i="1"/>
  <c r="H2027" i="1"/>
  <c r="G2028" i="1"/>
  <c r="H2028" i="1"/>
  <c r="G2029" i="1"/>
  <c r="H2029" i="1"/>
  <c r="G2030" i="1"/>
  <c r="H2030" i="1"/>
  <c r="G2031" i="1"/>
  <c r="H2031" i="1"/>
  <c r="G2032" i="1"/>
  <c r="H2032" i="1"/>
  <c r="G2033" i="1"/>
  <c r="H2033" i="1"/>
  <c r="G2034" i="1"/>
  <c r="H2034" i="1"/>
  <c r="G2035" i="1"/>
  <c r="H2035" i="1"/>
  <c r="G2036" i="1"/>
  <c r="H2036" i="1"/>
  <c r="G2037" i="1"/>
  <c r="H2037" i="1"/>
  <c r="G2038" i="1"/>
  <c r="H2038" i="1"/>
  <c r="G2039" i="1"/>
  <c r="H2039" i="1"/>
  <c r="G2040" i="1"/>
  <c r="H2040" i="1"/>
  <c r="G2041" i="1"/>
  <c r="H2041" i="1"/>
  <c r="G2042" i="1"/>
  <c r="H2042" i="1"/>
  <c r="G2043" i="1"/>
  <c r="H2043" i="1"/>
  <c r="G2044" i="1"/>
  <c r="H2044" i="1"/>
  <c r="G2045" i="1"/>
  <c r="H2045" i="1"/>
  <c r="G2046" i="1"/>
  <c r="H2046" i="1"/>
  <c r="G2047" i="1"/>
  <c r="H2047" i="1"/>
  <c r="G2048" i="1"/>
  <c r="H2048" i="1"/>
  <c r="G2049" i="1"/>
  <c r="H2049" i="1"/>
  <c r="G2050" i="1"/>
  <c r="H2050" i="1"/>
  <c r="G2051" i="1"/>
  <c r="H2051" i="1"/>
  <c r="G2052" i="1"/>
  <c r="H2052" i="1"/>
  <c r="G2053" i="1"/>
  <c r="H2053" i="1"/>
  <c r="G2054" i="1"/>
  <c r="H2054" i="1"/>
  <c r="G2055" i="1"/>
  <c r="H2055" i="1"/>
  <c r="G2056" i="1"/>
  <c r="H2056" i="1"/>
  <c r="G2057" i="1"/>
  <c r="H2057" i="1"/>
  <c r="G2058" i="1"/>
  <c r="H2058" i="1"/>
  <c r="G2059" i="1"/>
  <c r="H2059" i="1"/>
  <c r="G2060" i="1"/>
  <c r="H2060" i="1"/>
  <c r="G2061" i="1"/>
  <c r="H2061" i="1"/>
  <c r="G2062" i="1"/>
  <c r="H2062" i="1"/>
  <c r="G2063" i="1"/>
  <c r="H2063" i="1"/>
  <c r="G2064" i="1"/>
  <c r="H2064" i="1"/>
  <c r="G2065" i="1"/>
  <c r="H2065" i="1"/>
  <c r="G2066" i="1"/>
  <c r="H2066" i="1"/>
  <c r="G2067" i="1"/>
  <c r="H2067" i="1"/>
  <c r="G2068" i="1"/>
  <c r="H2068" i="1"/>
  <c r="G2069" i="1"/>
  <c r="H2069" i="1"/>
  <c r="G2070" i="1"/>
  <c r="H2070" i="1"/>
  <c r="G2071" i="1"/>
  <c r="H2071" i="1"/>
  <c r="G2072" i="1"/>
  <c r="H2072" i="1"/>
  <c r="G2073" i="1"/>
  <c r="H2073" i="1"/>
  <c r="G2074" i="1"/>
  <c r="H2074" i="1"/>
  <c r="G2075" i="1"/>
  <c r="H2075" i="1"/>
  <c r="G2076" i="1"/>
  <c r="H2076" i="1"/>
  <c r="G2077" i="1"/>
  <c r="H2077" i="1"/>
  <c r="G2078" i="1"/>
  <c r="H2078" i="1"/>
  <c r="G2079" i="1"/>
  <c r="H2079" i="1"/>
  <c r="G2080" i="1"/>
  <c r="H2080" i="1"/>
  <c r="G2081" i="1"/>
  <c r="H2081" i="1"/>
  <c r="G2082" i="1"/>
  <c r="H2082" i="1"/>
  <c r="G2083" i="1"/>
  <c r="H2083" i="1"/>
  <c r="G2084" i="1"/>
  <c r="H2084" i="1"/>
  <c r="G2085" i="1"/>
  <c r="H2085" i="1"/>
  <c r="G2086" i="1"/>
  <c r="H2086" i="1"/>
  <c r="G2087" i="1"/>
  <c r="H2087" i="1"/>
  <c r="G2088" i="1"/>
  <c r="H2088" i="1"/>
  <c r="G2089" i="1"/>
  <c r="H2089" i="1"/>
  <c r="G2090" i="1"/>
  <c r="H2090" i="1"/>
  <c r="G2091" i="1"/>
  <c r="H2091" i="1"/>
  <c r="G2092" i="1"/>
  <c r="H2092" i="1"/>
  <c r="G2093" i="1"/>
  <c r="H2093" i="1"/>
  <c r="G2094" i="1"/>
  <c r="H2094" i="1"/>
  <c r="G2095" i="1"/>
  <c r="H2095" i="1"/>
  <c r="G2096" i="1"/>
  <c r="H2096" i="1"/>
  <c r="G2097" i="1"/>
  <c r="H2097" i="1"/>
  <c r="G2098" i="1"/>
  <c r="H2098" i="1"/>
  <c r="G2099" i="1"/>
  <c r="H2099" i="1"/>
  <c r="G2100" i="1"/>
  <c r="H2100" i="1"/>
  <c r="G2101" i="1"/>
  <c r="H2101" i="1"/>
  <c r="G2102" i="1"/>
  <c r="H2102" i="1"/>
  <c r="G2103" i="1"/>
  <c r="H2103" i="1"/>
  <c r="G2104" i="1"/>
  <c r="H2104" i="1"/>
  <c r="G2105" i="1"/>
  <c r="H2105" i="1"/>
  <c r="G2106" i="1"/>
  <c r="H2106" i="1"/>
  <c r="G2107" i="1"/>
  <c r="H2107" i="1"/>
  <c r="G2108" i="1"/>
  <c r="H2108" i="1"/>
  <c r="G2109" i="1"/>
  <c r="H2109" i="1"/>
  <c r="G2110" i="1"/>
  <c r="H2110" i="1"/>
  <c r="G2111" i="1"/>
  <c r="H2111" i="1"/>
  <c r="G2112" i="1"/>
  <c r="H2112" i="1"/>
  <c r="G2113" i="1"/>
  <c r="H2113" i="1"/>
  <c r="G2114" i="1"/>
  <c r="H2114" i="1"/>
  <c r="G2115" i="1"/>
  <c r="H2115" i="1"/>
  <c r="G2116" i="1"/>
  <c r="H2116" i="1"/>
  <c r="G2117" i="1"/>
  <c r="H2117" i="1"/>
  <c r="G2118" i="1"/>
  <c r="H2118" i="1"/>
  <c r="G2119" i="1"/>
  <c r="H2119" i="1"/>
  <c r="G2120" i="1"/>
  <c r="H2120" i="1"/>
  <c r="G2121" i="1"/>
  <c r="H2121" i="1"/>
  <c r="G2122" i="1"/>
  <c r="H2122" i="1"/>
  <c r="G2123" i="1"/>
  <c r="H2123" i="1"/>
  <c r="G2124" i="1"/>
  <c r="H2124" i="1"/>
  <c r="G2125" i="1"/>
  <c r="H2125" i="1"/>
  <c r="G2126" i="1"/>
  <c r="H2126" i="1"/>
  <c r="G2127" i="1"/>
  <c r="H2127" i="1"/>
  <c r="G2128" i="1"/>
  <c r="H2128" i="1"/>
  <c r="G2129" i="1"/>
  <c r="H2129" i="1"/>
  <c r="G2130" i="1"/>
  <c r="H2130" i="1"/>
  <c r="G2131" i="1"/>
  <c r="H2131" i="1"/>
  <c r="G2132" i="1"/>
  <c r="H2132" i="1"/>
  <c r="G2133" i="1"/>
  <c r="H2133" i="1"/>
  <c r="G2134" i="1"/>
  <c r="H2134" i="1"/>
  <c r="G2135" i="1"/>
  <c r="H2135" i="1"/>
  <c r="G2136" i="1"/>
  <c r="H2136" i="1"/>
  <c r="G2137" i="1"/>
  <c r="H2137" i="1"/>
  <c r="G2138" i="1"/>
  <c r="H2138" i="1"/>
  <c r="G2139" i="1"/>
  <c r="H2139" i="1"/>
  <c r="G2140" i="1"/>
  <c r="H2140" i="1"/>
  <c r="G2141" i="1"/>
  <c r="H2141" i="1"/>
  <c r="G2142" i="1"/>
  <c r="H2142" i="1"/>
  <c r="G2143" i="1"/>
  <c r="H2143" i="1"/>
  <c r="G2144" i="1"/>
  <c r="H2144" i="1"/>
  <c r="G2145" i="1"/>
  <c r="H2145" i="1"/>
  <c r="G2146" i="1"/>
  <c r="H2146" i="1"/>
  <c r="G2147" i="1"/>
  <c r="H2147" i="1"/>
  <c r="G2148" i="1"/>
  <c r="H2148" i="1"/>
  <c r="G2149" i="1"/>
  <c r="H2149" i="1"/>
  <c r="G2150" i="1"/>
  <c r="H2150" i="1"/>
  <c r="G2151" i="1"/>
  <c r="H2151" i="1"/>
  <c r="G2152" i="1"/>
  <c r="H2152" i="1"/>
  <c r="G2153" i="1"/>
  <c r="H2153" i="1"/>
  <c r="G2154" i="1"/>
  <c r="H2154" i="1"/>
  <c r="G2155" i="1"/>
  <c r="H2155" i="1"/>
  <c r="G2156" i="1"/>
  <c r="H2156" i="1"/>
  <c r="G2157" i="1"/>
  <c r="H2157" i="1"/>
  <c r="G2158" i="1"/>
  <c r="H2158" i="1"/>
  <c r="G2159" i="1"/>
  <c r="H2159" i="1"/>
  <c r="G2160" i="1"/>
  <c r="H2160" i="1"/>
  <c r="G2161" i="1"/>
  <c r="H2161" i="1"/>
  <c r="G2162" i="1"/>
  <c r="H2162" i="1"/>
  <c r="G2163" i="1"/>
  <c r="H2163" i="1"/>
  <c r="G2164" i="1"/>
  <c r="H2164" i="1"/>
  <c r="G2165" i="1"/>
  <c r="H2165" i="1"/>
  <c r="G2166" i="1"/>
  <c r="H2166" i="1"/>
  <c r="G2167" i="1"/>
  <c r="H2167" i="1"/>
  <c r="G2168" i="1"/>
  <c r="H2168" i="1"/>
  <c r="G2169" i="1"/>
  <c r="H2169" i="1"/>
  <c r="G2170" i="1"/>
  <c r="H2170" i="1"/>
  <c r="G2171" i="1"/>
  <c r="H2171" i="1"/>
  <c r="G2172" i="1"/>
  <c r="H2172" i="1"/>
  <c r="G2173" i="1"/>
  <c r="H2173" i="1"/>
  <c r="G2174" i="1"/>
  <c r="H2174" i="1"/>
  <c r="G2175" i="1"/>
  <c r="H2175" i="1"/>
  <c r="G2176" i="1"/>
  <c r="H2176" i="1"/>
  <c r="G2177" i="1"/>
  <c r="H2177" i="1"/>
  <c r="G2178" i="1"/>
  <c r="H2178" i="1"/>
  <c r="G2179" i="1"/>
  <c r="H2179" i="1"/>
  <c r="G2180" i="1"/>
  <c r="H2180" i="1"/>
  <c r="G2181" i="1"/>
  <c r="H2181" i="1"/>
  <c r="G2182" i="1"/>
  <c r="H2182" i="1"/>
  <c r="G2183" i="1"/>
  <c r="H2183" i="1"/>
  <c r="G2184" i="1"/>
  <c r="H2184" i="1"/>
  <c r="G2185" i="1"/>
  <c r="H2185" i="1"/>
  <c r="G2186" i="1"/>
  <c r="H2186" i="1"/>
  <c r="G2187" i="1"/>
  <c r="H2187" i="1"/>
  <c r="G2188" i="1"/>
  <c r="H2188" i="1"/>
  <c r="G2189" i="1"/>
  <c r="H2189" i="1"/>
  <c r="G2190" i="1"/>
  <c r="H2190" i="1"/>
  <c r="G2191" i="1"/>
  <c r="H2191" i="1"/>
  <c r="G2192" i="1"/>
  <c r="H2192" i="1"/>
  <c r="G2193" i="1"/>
  <c r="H2193" i="1"/>
  <c r="G2194" i="1"/>
  <c r="H2194" i="1"/>
  <c r="G2195" i="1"/>
  <c r="H2195" i="1"/>
  <c r="G2196" i="1"/>
  <c r="H2196" i="1"/>
  <c r="G2197" i="1"/>
  <c r="H2197" i="1"/>
  <c r="G2198" i="1"/>
  <c r="H2198" i="1"/>
  <c r="G2199" i="1"/>
  <c r="H2199" i="1"/>
  <c r="G2200" i="1"/>
  <c r="H2200" i="1"/>
  <c r="G2201" i="1"/>
  <c r="H2201" i="1"/>
  <c r="G2202" i="1"/>
  <c r="H2202" i="1"/>
  <c r="G2203" i="1"/>
  <c r="H2203" i="1"/>
  <c r="G2204" i="1"/>
  <c r="H2204" i="1"/>
  <c r="G2205" i="1"/>
  <c r="H2205" i="1"/>
  <c r="G2206" i="1"/>
  <c r="H2206" i="1"/>
  <c r="G2207" i="1"/>
  <c r="H2207" i="1"/>
  <c r="G2208" i="1"/>
  <c r="H2208" i="1"/>
  <c r="G2209" i="1"/>
  <c r="H2209" i="1"/>
  <c r="G2210" i="1"/>
  <c r="H2210" i="1"/>
  <c r="G2211" i="1"/>
  <c r="H2211" i="1"/>
  <c r="G2212" i="1"/>
  <c r="H2212" i="1"/>
  <c r="G2213" i="1"/>
  <c r="H2213" i="1"/>
  <c r="G2214" i="1"/>
  <c r="H2214" i="1"/>
  <c r="G2215" i="1"/>
  <c r="H2215" i="1"/>
  <c r="G2216" i="1"/>
  <c r="H2216" i="1"/>
  <c r="G2217" i="1"/>
  <c r="H2217" i="1"/>
  <c r="G2218" i="1"/>
  <c r="H2218" i="1"/>
  <c r="G2219" i="1"/>
  <c r="H2219" i="1"/>
  <c r="G2220" i="1"/>
  <c r="H2220" i="1"/>
  <c r="G2221" i="1"/>
  <c r="H2221" i="1"/>
  <c r="G2222" i="1"/>
  <c r="H2222" i="1"/>
  <c r="G2223" i="1"/>
  <c r="H2223" i="1"/>
  <c r="G2224" i="1"/>
  <c r="H2224" i="1"/>
  <c r="G2225" i="1"/>
  <c r="H2225" i="1"/>
  <c r="G2226" i="1"/>
  <c r="H2226" i="1"/>
  <c r="G2227" i="1"/>
  <c r="H2227" i="1"/>
  <c r="G2228" i="1"/>
  <c r="H2228" i="1"/>
  <c r="G2229" i="1"/>
  <c r="H2229" i="1"/>
  <c r="G2230" i="1"/>
  <c r="H2230" i="1"/>
  <c r="G2231" i="1"/>
  <c r="H2231" i="1"/>
  <c r="G2232" i="1"/>
  <c r="H2232" i="1"/>
  <c r="G2233" i="1"/>
  <c r="H2233" i="1"/>
  <c r="G2234" i="1"/>
  <c r="H2234" i="1"/>
  <c r="G2235" i="1"/>
  <c r="H2235" i="1"/>
  <c r="G2236" i="1"/>
  <c r="H2236" i="1"/>
  <c r="G2237" i="1"/>
  <c r="H2237" i="1"/>
  <c r="G2238" i="1"/>
  <c r="H2238" i="1"/>
  <c r="G2239" i="1"/>
  <c r="H2239" i="1"/>
  <c r="G2240" i="1"/>
  <c r="H2240" i="1"/>
  <c r="G2241" i="1"/>
  <c r="H2241" i="1"/>
  <c r="G2242" i="1"/>
  <c r="H2242" i="1"/>
  <c r="G2243" i="1"/>
  <c r="H2243" i="1"/>
  <c r="G2244" i="1"/>
  <c r="H2244" i="1"/>
  <c r="G2245" i="1"/>
  <c r="H2245" i="1"/>
  <c r="G2246" i="1"/>
  <c r="H2246" i="1"/>
  <c r="G2247" i="1"/>
  <c r="H2247" i="1"/>
  <c r="G2248" i="1"/>
  <c r="H2248" i="1"/>
  <c r="G2249" i="1"/>
  <c r="H2249" i="1"/>
  <c r="G2250" i="1"/>
  <c r="H2250" i="1"/>
  <c r="G2251" i="1"/>
  <c r="H2251" i="1"/>
  <c r="G2252" i="1"/>
  <c r="H2252" i="1"/>
  <c r="G2253" i="1"/>
  <c r="H2253" i="1"/>
  <c r="G2254" i="1"/>
  <c r="H2254" i="1"/>
  <c r="G2255" i="1"/>
  <c r="H2255" i="1"/>
  <c r="G2256" i="1"/>
  <c r="H2256" i="1"/>
  <c r="G2257" i="1"/>
  <c r="H2257" i="1"/>
  <c r="G2258" i="1"/>
  <c r="H2258" i="1"/>
  <c r="G2259" i="1"/>
  <c r="H2259" i="1"/>
  <c r="G2260" i="1"/>
  <c r="H2260" i="1"/>
  <c r="G2261" i="1"/>
  <c r="H2261" i="1"/>
  <c r="G2262" i="1"/>
  <c r="H2262" i="1"/>
  <c r="G2263" i="1"/>
  <c r="H2263" i="1"/>
  <c r="G2264" i="1"/>
  <c r="H2264" i="1"/>
  <c r="G2265" i="1"/>
  <c r="H2265" i="1"/>
  <c r="G2266" i="1"/>
  <c r="H2266" i="1"/>
  <c r="G2267" i="1"/>
  <c r="H2267" i="1"/>
  <c r="G2268" i="1"/>
  <c r="H2268" i="1"/>
  <c r="G2269" i="1"/>
  <c r="H2269" i="1"/>
  <c r="G2270" i="1"/>
  <c r="H2270" i="1"/>
  <c r="G2271" i="1"/>
  <c r="H2271" i="1"/>
  <c r="G2272" i="1"/>
  <c r="H2272" i="1"/>
  <c r="G2273" i="1"/>
  <c r="H2273" i="1"/>
  <c r="G2274" i="1"/>
  <c r="H2274" i="1"/>
  <c r="G2275" i="1"/>
  <c r="H2275" i="1"/>
  <c r="G2276" i="1"/>
  <c r="H2276" i="1"/>
  <c r="G2277" i="1"/>
  <c r="H2277" i="1"/>
  <c r="G2278" i="1"/>
  <c r="H2278" i="1"/>
  <c r="G2279" i="1"/>
  <c r="H2279" i="1"/>
  <c r="G2280" i="1"/>
  <c r="H2280" i="1"/>
  <c r="G2281" i="1"/>
  <c r="H2281" i="1"/>
  <c r="G2282" i="1"/>
  <c r="H2282" i="1"/>
  <c r="G2283" i="1"/>
  <c r="H2283" i="1"/>
  <c r="G2284" i="1"/>
  <c r="H2284" i="1"/>
  <c r="G2285" i="1"/>
  <c r="H2285" i="1"/>
  <c r="G2286" i="1"/>
  <c r="H2286" i="1"/>
  <c r="G2287" i="1"/>
  <c r="H2287" i="1"/>
  <c r="G2288" i="1"/>
  <c r="H2288" i="1"/>
  <c r="G2289" i="1"/>
  <c r="H2289" i="1"/>
  <c r="G2290" i="1"/>
  <c r="H2290" i="1"/>
  <c r="G2291" i="1"/>
  <c r="H2291" i="1"/>
  <c r="G2292" i="1"/>
  <c r="H2292" i="1"/>
  <c r="G2293" i="1"/>
  <c r="H2293" i="1"/>
  <c r="G2294" i="1"/>
  <c r="H2294" i="1"/>
  <c r="G2295" i="1"/>
  <c r="H2295" i="1"/>
  <c r="G2296" i="1"/>
  <c r="H2296" i="1"/>
  <c r="G2297" i="1"/>
  <c r="H2297" i="1"/>
  <c r="G2298" i="1"/>
  <c r="H2298" i="1"/>
  <c r="G2299" i="1"/>
  <c r="H2299" i="1"/>
  <c r="G2300" i="1"/>
  <c r="H2300" i="1"/>
  <c r="G2301" i="1"/>
  <c r="H2301" i="1"/>
  <c r="G2302" i="1"/>
  <c r="H2302" i="1"/>
  <c r="G2303" i="1"/>
  <c r="H2303" i="1"/>
  <c r="G2304" i="1"/>
  <c r="H2304" i="1"/>
  <c r="G2305" i="1"/>
  <c r="H2305" i="1"/>
  <c r="G2306" i="1"/>
  <c r="H2306" i="1"/>
  <c r="G2307" i="1"/>
  <c r="H2307" i="1"/>
  <c r="G2308" i="1"/>
  <c r="H2308" i="1"/>
  <c r="G2309" i="1"/>
  <c r="H2309" i="1"/>
  <c r="G2310" i="1"/>
  <c r="H2310" i="1"/>
  <c r="G2311" i="1"/>
  <c r="H2311" i="1"/>
  <c r="G2312" i="1"/>
  <c r="H2312" i="1"/>
  <c r="G2313" i="1"/>
  <c r="H2313" i="1"/>
  <c r="G2314" i="1"/>
  <c r="H2314" i="1"/>
  <c r="G2315" i="1"/>
  <c r="H2315" i="1"/>
  <c r="G2316" i="1"/>
  <c r="H2316" i="1"/>
  <c r="G2317" i="1"/>
  <c r="H2317" i="1"/>
  <c r="G2318" i="1"/>
  <c r="H2318" i="1"/>
  <c r="G2319" i="1"/>
  <c r="H2319" i="1"/>
  <c r="G2320" i="1"/>
  <c r="H2320" i="1"/>
  <c r="G2321" i="1"/>
  <c r="H2321" i="1"/>
  <c r="G2322" i="1"/>
  <c r="H2322" i="1"/>
  <c r="G2323" i="1"/>
  <c r="H2323" i="1"/>
  <c r="G2324" i="1"/>
  <c r="H2324" i="1"/>
  <c r="G2325" i="1"/>
  <c r="H2325" i="1"/>
  <c r="G2326" i="1"/>
  <c r="H2326" i="1"/>
  <c r="G2327" i="1"/>
  <c r="H2327" i="1"/>
  <c r="G2328" i="1"/>
  <c r="H2328" i="1"/>
  <c r="G2329" i="1"/>
  <c r="H2329" i="1"/>
  <c r="G2330" i="1"/>
  <c r="H2330" i="1"/>
  <c r="G2331" i="1"/>
  <c r="H2331" i="1"/>
  <c r="G2332" i="1"/>
  <c r="H2332" i="1"/>
  <c r="G2333" i="1"/>
  <c r="H2333" i="1"/>
  <c r="G2334" i="1"/>
  <c r="H2334" i="1"/>
  <c r="G2335" i="1"/>
  <c r="H2335" i="1"/>
  <c r="G2336" i="1"/>
  <c r="H2336" i="1"/>
  <c r="G2337" i="1"/>
  <c r="H2337" i="1"/>
  <c r="G2338" i="1"/>
  <c r="H2338" i="1"/>
  <c r="G2339" i="1"/>
  <c r="H2339" i="1"/>
  <c r="G2340" i="1"/>
  <c r="H2340" i="1"/>
  <c r="G2341" i="1"/>
  <c r="H2341" i="1"/>
  <c r="G2342" i="1"/>
  <c r="H2342" i="1"/>
  <c r="G2343" i="1"/>
  <c r="H2343" i="1"/>
  <c r="G2344" i="1"/>
  <c r="H2344" i="1"/>
  <c r="G2345" i="1"/>
  <c r="H2345" i="1"/>
  <c r="G2346" i="1"/>
  <c r="H2346" i="1"/>
  <c r="G2347" i="1"/>
  <c r="H2347" i="1"/>
  <c r="G2348" i="1"/>
  <c r="H2348" i="1"/>
  <c r="G2349" i="1"/>
  <c r="H2349" i="1"/>
  <c r="G2350" i="1"/>
  <c r="H2350" i="1"/>
  <c r="G2351" i="1"/>
  <c r="H2351" i="1"/>
  <c r="G2352" i="1"/>
  <c r="H2352" i="1"/>
  <c r="G2353" i="1"/>
  <c r="H2353" i="1"/>
  <c r="G2354" i="1"/>
  <c r="H2354" i="1"/>
  <c r="G2355" i="1"/>
  <c r="H2355" i="1"/>
  <c r="G2356" i="1"/>
  <c r="H2356" i="1"/>
  <c r="G2357" i="1"/>
  <c r="H2357" i="1"/>
  <c r="G2358" i="1"/>
  <c r="H2358" i="1"/>
  <c r="G2359" i="1"/>
  <c r="H2359" i="1"/>
  <c r="G2360" i="1"/>
  <c r="H2360" i="1"/>
  <c r="G2361" i="1"/>
  <c r="H2361" i="1"/>
  <c r="G2362" i="1"/>
  <c r="H2362" i="1"/>
  <c r="G2363" i="1"/>
  <c r="H2363" i="1"/>
  <c r="G2364" i="1"/>
  <c r="H2364" i="1"/>
  <c r="G2365" i="1"/>
  <c r="H2365" i="1"/>
  <c r="G2366" i="1"/>
  <c r="H2366" i="1"/>
  <c r="G2367" i="1"/>
  <c r="H2367" i="1"/>
  <c r="G2368" i="1"/>
  <c r="H2368" i="1"/>
  <c r="G2369" i="1"/>
  <c r="H2369" i="1"/>
  <c r="G2370" i="1"/>
  <c r="H2370" i="1"/>
  <c r="G2371" i="1"/>
  <c r="H2371" i="1"/>
  <c r="G2372" i="1"/>
  <c r="H2372" i="1"/>
  <c r="G2373" i="1"/>
  <c r="H2373" i="1"/>
  <c r="G2374" i="1"/>
  <c r="H2374" i="1"/>
  <c r="G2375" i="1"/>
  <c r="H2375" i="1"/>
  <c r="G2376" i="1"/>
  <c r="H2376" i="1"/>
  <c r="G2377" i="1"/>
  <c r="H2377" i="1"/>
  <c r="G2378" i="1"/>
  <c r="H2378" i="1"/>
  <c r="G2379" i="1"/>
  <c r="H2379" i="1"/>
  <c r="G2380" i="1"/>
  <c r="H2380" i="1"/>
  <c r="G2381" i="1"/>
  <c r="H2381" i="1"/>
  <c r="G2382" i="1"/>
  <c r="H2382" i="1"/>
  <c r="G2383" i="1"/>
  <c r="H2383" i="1"/>
  <c r="G2384" i="1"/>
  <c r="H2384" i="1"/>
  <c r="G2385" i="1"/>
  <c r="H2385" i="1"/>
  <c r="G2386" i="1"/>
  <c r="H2386" i="1"/>
  <c r="G2387" i="1"/>
  <c r="H2387" i="1"/>
  <c r="G2388" i="1"/>
  <c r="H2388" i="1"/>
  <c r="G2389" i="1"/>
  <c r="H2389" i="1"/>
  <c r="G2390" i="1"/>
  <c r="H2390" i="1"/>
  <c r="G2391" i="1"/>
  <c r="H2391" i="1"/>
  <c r="G2392" i="1"/>
  <c r="H2392" i="1"/>
  <c r="G2393" i="1"/>
  <c r="H2393" i="1"/>
  <c r="G2394" i="1"/>
  <c r="H2394" i="1"/>
  <c r="G2395" i="1"/>
  <c r="H2395" i="1"/>
  <c r="G2396" i="1"/>
  <c r="H2396" i="1"/>
  <c r="G2397" i="1"/>
  <c r="H2397" i="1"/>
  <c r="G2398" i="1"/>
  <c r="H2398" i="1"/>
  <c r="G2399" i="1"/>
  <c r="H2399" i="1"/>
  <c r="G2400" i="1"/>
  <c r="H2400" i="1"/>
  <c r="G2401" i="1"/>
  <c r="H2401" i="1"/>
  <c r="G2402" i="1"/>
  <c r="H2402" i="1"/>
  <c r="G2403" i="1"/>
  <c r="H2403" i="1"/>
  <c r="G2404" i="1"/>
  <c r="H2404" i="1"/>
  <c r="G2405" i="1"/>
  <c r="H2405" i="1"/>
  <c r="G2406" i="1"/>
  <c r="H2406" i="1"/>
  <c r="G2407" i="1"/>
  <c r="H2407" i="1"/>
  <c r="G2408" i="1"/>
  <c r="H2408" i="1"/>
  <c r="G2409" i="1"/>
  <c r="H2409" i="1"/>
  <c r="G2410" i="1"/>
  <c r="H2410" i="1"/>
  <c r="G2411" i="1"/>
  <c r="H2411" i="1"/>
  <c r="G2412" i="1"/>
  <c r="H2412" i="1"/>
  <c r="G2413" i="1"/>
  <c r="H2413" i="1"/>
  <c r="G2414" i="1"/>
  <c r="H2414" i="1"/>
  <c r="G2415" i="1"/>
  <c r="H2415" i="1"/>
  <c r="G2416" i="1"/>
  <c r="H2416" i="1"/>
  <c r="G2417" i="1"/>
  <c r="H2417" i="1"/>
  <c r="G2418" i="1"/>
  <c r="H2418" i="1"/>
  <c r="G2419" i="1"/>
  <c r="H2419" i="1"/>
  <c r="G2420" i="1"/>
  <c r="H2420" i="1"/>
  <c r="G2421" i="1"/>
  <c r="H2421" i="1"/>
  <c r="G2422" i="1"/>
  <c r="H2422" i="1"/>
  <c r="G2423" i="1"/>
  <c r="H2423" i="1"/>
  <c r="G2424" i="1"/>
  <c r="H2424" i="1"/>
  <c r="G2425" i="1"/>
  <c r="H2425" i="1"/>
  <c r="G2426" i="1"/>
  <c r="H2426" i="1"/>
  <c r="G2427" i="1"/>
  <c r="H2427" i="1"/>
  <c r="G2428" i="1"/>
  <c r="H2428" i="1"/>
  <c r="G2429" i="1"/>
  <c r="H2429" i="1"/>
  <c r="G2430" i="1"/>
  <c r="H2430" i="1"/>
  <c r="G2431" i="1"/>
  <c r="H2431" i="1"/>
  <c r="G2432" i="1"/>
  <c r="H2432" i="1"/>
  <c r="G2433" i="1"/>
  <c r="H2433" i="1"/>
  <c r="G2434" i="1"/>
  <c r="H2434" i="1"/>
  <c r="G2435" i="1"/>
  <c r="H2435" i="1"/>
  <c r="G2436" i="1"/>
  <c r="H2436" i="1"/>
  <c r="G2437" i="1"/>
  <c r="H2437" i="1"/>
  <c r="G2438" i="1"/>
  <c r="H2438" i="1"/>
  <c r="G2439" i="1"/>
  <c r="H2439" i="1"/>
  <c r="G2440" i="1"/>
  <c r="H2440" i="1"/>
  <c r="G2441" i="1"/>
  <c r="H2441" i="1"/>
  <c r="G2442" i="1"/>
  <c r="H2442" i="1"/>
  <c r="G2443" i="1"/>
  <c r="H2443" i="1"/>
  <c r="G2444" i="1"/>
  <c r="H2444" i="1"/>
  <c r="G2445" i="1"/>
  <c r="H2445" i="1"/>
  <c r="G2446" i="1"/>
  <c r="H2446" i="1"/>
  <c r="G2447" i="1"/>
  <c r="H2447" i="1"/>
  <c r="G2448" i="1"/>
  <c r="H2448" i="1"/>
  <c r="G2449" i="1"/>
  <c r="H2449" i="1"/>
  <c r="G2450" i="1"/>
  <c r="H2450" i="1"/>
  <c r="G2451" i="1"/>
  <c r="H2451" i="1"/>
  <c r="G2452" i="1"/>
  <c r="H2452" i="1"/>
  <c r="G2453" i="1"/>
  <c r="H2453" i="1"/>
  <c r="G2454" i="1"/>
  <c r="H2454" i="1"/>
  <c r="G2455" i="1"/>
  <c r="H2455" i="1"/>
  <c r="G2456" i="1"/>
  <c r="H2456" i="1"/>
  <c r="G2457" i="1"/>
  <c r="H2457" i="1"/>
  <c r="G2458" i="1"/>
  <c r="H2458" i="1"/>
  <c r="G2459" i="1"/>
  <c r="H2459" i="1"/>
  <c r="G2460" i="1"/>
  <c r="H2460" i="1"/>
  <c r="G2461" i="1"/>
  <c r="H2461" i="1"/>
  <c r="G2462" i="1"/>
  <c r="H2462" i="1"/>
  <c r="G2463" i="1"/>
  <c r="H2463" i="1"/>
  <c r="G2464" i="1"/>
  <c r="H2464" i="1"/>
  <c r="G2465" i="1"/>
  <c r="H2465" i="1"/>
  <c r="G2466" i="1"/>
  <c r="H2466" i="1"/>
  <c r="G2467" i="1"/>
  <c r="H2467" i="1"/>
  <c r="G2468" i="1"/>
  <c r="H2468" i="1"/>
</calcChain>
</file>

<file path=xl/sharedStrings.xml><?xml version="1.0" encoding="utf-8"?>
<sst xmlns="http://schemas.openxmlformats.org/spreadsheetml/2006/main" count="12002" uniqueCount="3817">
  <si>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</si>
  <si>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</si>
  <si>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</si>
  <si>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</si>
  <si>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</si>
  <si>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</si>
  <si>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</si>
  <si>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</si>
  <si>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אבינו מלכנו - ראש השנה ב</t>
  </si>
  <si>
    <t>ועד חיילי בית דוד</t>
  </si>
  <si>
    <t>ניו יורק</t>
  </si>
  <si>
    <t>תשע"ט</t>
  </si>
  <si>
    <t>ספריית חב''ד</t>
  </si>
  <si>
    <t>אביעה חידות</t>
  </si>
  <si>
    <t>סופר, יחזקאל</t>
  </si>
  <si>
    <t>כפר חב"ד</t>
  </si>
  <si>
    <t>תשע"א</t>
  </si>
  <si>
    <t>אבני חן - תולדות משפחת חן לדורותיה</t>
  </si>
  <si>
    <t>ליין, אליעזר - ברגר, שניאור זלמן</t>
  </si>
  <si>
    <t>תשע"ה</t>
  </si>
  <si>
    <t>תולדות עם ישראל</t>
  </si>
  <si>
    <t>אבני חן ב</t>
  </si>
  <si>
    <t>רבני משפחת חן</t>
  </si>
  <si>
    <t>ברוקלין</t>
  </si>
  <si>
    <t>תשפ"א</t>
  </si>
  <si>
    <t>קבצים וכתבי עת, ספרי זכרון ויובל</t>
  </si>
  <si>
    <t>אגודת חב"ד במדינות חבר העמים</t>
  </si>
  <si>
    <t>לוין, שלום דובער</t>
  </si>
  <si>
    <t>חמ"ד</t>
  </si>
  <si>
    <t>תש"ס</t>
  </si>
  <si>
    <t>אגורה באהלך - א</t>
  </si>
  <si>
    <t>פרקש, מרדכי</t>
  </si>
  <si>
    <t>ושינגטון|וושינגטון</t>
  </si>
  <si>
    <t>תשס"ח</t>
  </si>
  <si>
    <t>הלכה ומנהג, שאלות ותשובות</t>
  </si>
  <si>
    <t>אגלי נוחם</t>
  </si>
  <si>
    <t>ספר זכרון</t>
  </si>
  <si>
    <t>ירושלים</t>
  </si>
  <si>
    <t>תשנ"ג</t>
  </si>
  <si>
    <t>אגלי נוחם (נספח)</t>
  </si>
  <si>
    <t>תשנ"ד</t>
  </si>
  <si>
    <t>אגרות חסיד</t>
  </si>
  <si>
    <t>צימר, אוריאל</t>
  </si>
  <si>
    <t>נושאים שונים</t>
  </si>
  <si>
    <t>אגרות מלך - 2 כרכים</t>
  </si>
  <si>
    <t>שניאורסון, מנחם מנדל בן לוי יצחק</t>
  </si>
  <si>
    <t>תשנ"ב</t>
  </si>
  <si>
    <t>אגרות נבחרות מתוך ספר אגרות קודש</t>
  </si>
  <si>
    <t>קונטרסי תשורה משמחות חסידות חב"ד</t>
  </si>
  <si>
    <t>תש"ע</t>
  </si>
  <si>
    <t>אגרות קדש - 2 כרכים</t>
  </si>
  <si>
    <t>תשל"ב</t>
  </si>
  <si>
    <t>אגרות קודש</t>
  </si>
  <si>
    <t>שניאורסון, שמואל בן מנחם מנדל</t>
  </si>
  <si>
    <t>תשס"ב</t>
  </si>
  <si>
    <t>אגרות קודש - קונטרס מילואים</t>
  </si>
  <si>
    <t>קונטרס מילואים לכל האגרות קודש</t>
  </si>
  <si>
    <t>תשמ"א</t>
  </si>
  <si>
    <t>אגרות קודש &lt;טקסט&gt; - כרך יד</t>
  </si>
  <si>
    <t>שניאורסון, יוסף יצחק בן שלום דוב בר</t>
  </si>
  <si>
    <t>תשס"ז</t>
  </si>
  <si>
    <t>שניאורסון, מנחם מנדל בן שלום שכנא</t>
  </si>
  <si>
    <t>תשע"ג</t>
  </si>
  <si>
    <t>אגרות קודש - 34 כרכים</t>
  </si>
  <si>
    <t>תשמ"ז</t>
  </si>
  <si>
    <t>אגרות קודש - 17 כרכים</t>
  </si>
  <si>
    <t>תשמ"ב</t>
  </si>
  <si>
    <t>אגרות קודש - 6 כרכים</t>
  </si>
  <si>
    <t>שניאורסון, שלום דוב בר בן שמואל</t>
  </si>
  <si>
    <t>תשמ"ו</t>
  </si>
  <si>
    <t>אגרות קודש &lt;טקסט&gt;  - 5 כרכים</t>
  </si>
  <si>
    <t>אגרות קודש (אדמו"ר האמצעי)</t>
  </si>
  <si>
    <t>שניאורי, דוב בר בן שניאור זלמן</t>
  </si>
  <si>
    <t>אגרות קודש (אדמו"ר הזקן, האמצעי, והצ"צ) - 2 כרכים</t>
  </si>
  <si>
    <t>אגרות קודש בנושא החינוך</t>
  </si>
  <si>
    <t>תשמ"ד</t>
  </si>
  <si>
    <t>נושאים שונים, ספריית חב''ד</t>
  </si>
  <si>
    <t>אגרות קודש בענין בטחון בה'</t>
  </si>
  <si>
    <t>ליקוט ממכתבי כ"ק אדמו"ר</t>
  </si>
  <si>
    <t>תשס"ג</t>
  </si>
  <si>
    <t>אגרות קודש מאת כ"ק אדמו"ר הזקן</t>
  </si>
  <si>
    <t>שניאור זלמן בן ברוך מלאדי</t>
  </si>
  <si>
    <t>תשע"ב</t>
  </si>
  <si>
    <t>אגרות קודש מתורגמות - 4 כרכים</t>
  </si>
  <si>
    <t>אגרות רבינו משה בן מימון</t>
  </si>
  <si>
    <t>משה בן מימון (רמב"ם)</t>
  </si>
  <si>
    <t>תש"ל</t>
  </si>
  <si>
    <t>אגרת הקדש עם ביאור המאור שבתורה - 2 כרכים</t>
  </si>
  <si>
    <t>תשע"ד</t>
  </si>
  <si>
    <t>אגרת התשובה עם ביאור השווה לכל נפש</t>
  </si>
  <si>
    <t>כהן, יואל</t>
  </si>
  <si>
    <t>חש"ד</t>
  </si>
  <si>
    <t>אגרת התשובה עם ביאורי הרבי מליובאוויטש</t>
  </si>
  <si>
    <t>שניאור זלמן בן ברוך מלאדי - שניאורסון, מנחם מנדל בן לוי יצחק</t>
  </si>
  <si>
    <t>מחשבה ומוסר, ספריית חב''ד</t>
  </si>
  <si>
    <t>אגרת התשובה עם פירוש ועיונים</t>
  </si>
  <si>
    <t>חסידות, מחשבה ומוסר</t>
  </si>
  <si>
    <t>אגרת מבוארת - 3 כרכים</t>
  </si>
  <si>
    <t>פתח תקווה</t>
  </si>
  <si>
    <t>תשע"ו</t>
  </si>
  <si>
    <t>ספריית חב''ד, תנ''ך</t>
  </si>
  <si>
    <t>אדמה שמים ותהום</t>
  </si>
  <si>
    <t>גינזבורג, יצחק בן שמשון</t>
  </si>
  <si>
    <t>תשנ"ט</t>
  </si>
  <si>
    <t>אדמו"ר האמצעי</t>
  </si>
  <si>
    <t>סיפורים ופתגמים אודותיו</t>
  </si>
  <si>
    <t>אדמו"ר הצמח צדק ותנועת ההשכלה (הוצאה ה')</t>
  </si>
  <si>
    <t>תשל"ט</t>
  </si>
  <si>
    <t>אדמו"ר הצמח צדק ותנועת ההשכלה (הוצאה ו')</t>
  </si>
  <si>
    <t>אדמו"רי חב"ד ויהדות אוסטריה</t>
  </si>
  <si>
    <t>מרכז חב"ד ליובאווטש אוסטריה</t>
  </si>
  <si>
    <t>וינה</t>
  </si>
  <si>
    <t>אדמו"רי חב"ד ויהדות בוכרה</t>
  </si>
  <si>
    <t>וולף, זושא</t>
  </si>
  <si>
    <t>אדמו"רי חב"ד ויהדות ברזיל</t>
  </si>
  <si>
    <t>תשע"ח</t>
  </si>
  <si>
    <t>אדמו"רי חב"ד ויהדות גרוזיה</t>
  </si>
  <si>
    <t>מכון הספר - תפארת רפאל</t>
  </si>
  <si>
    <t>לוד</t>
  </si>
  <si>
    <t>אדמו"רי חב"ד ויהדות גרמניה</t>
  </si>
  <si>
    <t>מכון היכל מנחם</t>
  </si>
  <si>
    <t>אדמו"רי חב"ד ויהדות קרים</t>
  </si>
  <si>
    <t>חש"מ</t>
  </si>
  <si>
    <t>אדמו"רי חב"ד ויהדות רומניה</t>
  </si>
  <si>
    <t>אהבת המלך</t>
  </si>
  <si>
    <t>קובץ</t>
  </si>
  <si>
    <t>קריית אונו</t>
  </si>
  <si>
    <t>אהבת ישראל - 16 כרכים</t>
  </si>
  <si>
    <t>קריית מוצקין</t>
  </si>
  <si>
    <t>תשנ"ח</t>
  </si>
  <si>
    <t>אהבת ישראל של יונה הנביא - יום הכיפורים</t>
  </si>
  <si>
    <t>מועדי ישראל</t>
  </si>
  <si>
    <t>אהלי ליובאוויטש - 5 כרכים</t>
  </si>
  <si>
    <t>אהלי ליובאוויטש</t>
  </si>
  <si>
    <t>תשנ"ה</t>
  </si>
  <si>
    <t>אהלי ליובאוויטש - 2 כרכים</t>
  </si>
  <si>
    <t>גוראריה, אליהו יוחנן בן נתן</t>
  </si>
  <si>
    <t>אהלי שם - 9 כרכים</t>
  </si>
  <si>
    <t>אהלי שם</t>
  </si>
  <si>
    <t>תשמ"ט</t>
  </si>
  <si>
    <t>אהלי תורה - 22 כרכים</t>
  </si>
  <si>
    <t>אהלי תורה</t>
  </si>
  <si>
    <t>תשל"ו</t>
  </si>
  <si>
    <t>ספריית חב''ד, קבצים וכתבי עת, ספרי זכרון ויובל, תלמוד בבלי</t>
  </si>
  <si>
    <t>אהלי תורה - 3 כרכים</t>
  </si>
  <si>
    <t>תש"מ</t>
  </si>
  <si>
    <t>אוהב עמו ישראל</t>
  </si>
  <si>
    <t>גינזבורג, יוסף</t>
  </si>
  <si>
    <t>תשנ"ו</t>
  </si>
  <si>
    <t>מחשבה ומוסר</t>
  </si>
  <si>
    <t>אונזער בוך - 2 כרכים</t>
  </si>
  <si>
    <t>ליפשיץ, ישראל יצחק</t>
  </si>
  <si>
    <t>תש"ה</t>
  </si>
  <si>
    <t>אוסף תמונות מבית חב"ד</t>
  </si>
  <si>
    <t>אוסף תמונות</t>
  </si>
  <si>
    <t>אוסף תמונות של הרבי</t>
  </si>
  <si>
    <t>אוצר אגרות קודש</t>
  </si>
  <si>
    <t>אוצר החסידים</t>
  </si>
  <si>
    <t>סקירה אודות זכיות יוצרים של קה"ת</t>
  </si>
  <si>
    <t>אלעד</t>
  </si>
  <si>
    <t>אוצר המלך</t>
  </si>
  <si>
    <t>הלכה ומנהג, ספריית חב''ד</t>
  </si>
  <si>
    <t>אוצר הנפש - 3 כרכים</t>
  </si>
  <si>
    <t>חסידות</t>
  </si>
  <si>
    <t>אוצר התוועדויות - 2 כרכים</t>
  </si>
  <si>
    <t>אוצר חסידי חב"ד - 2 כרכים</t>
  </si>
  <si>
    <t>תשפ"ב</t>
  </si>
  <si>
    <t>אוצר ליקוטי שיחות &lt;ביאורי רש"י על התורה&gt;</t>
  </si>
  <si>
    <t>אוצר לקוטי שיחות - 2 כרכים</t>
  </si>
  <si>
    <t>אוצר מאמרי חסידות</t>
  </si>
  <si>
    <t>אוצר מנהגי חב"ד - 2 כרכים</t>
  </si>
  <si>
    <t>מונדשיין, יהושע בן מרדכי שמואל</t>
  </si>
  <si>
    <t>אוצר מנהגים והוראות - יו"ד</t>
  </si>
  <si>
    <t>ביסטריצקי, ישכר שלמה</t>
  </si>
  <si>
    <t>תשס"ו</t>
  </si>
  <si>
    <t>ספריית חב''ד, קבלה</t>
  </si>
  <si>
    <t>אוצר מרשימות הרבי הריי"ץ</t>
  </si>
  <si>
    <t>אוצר סיפורי חב"ד - 16 כרכים</t>
  </si>
  <si>
    <t>גליצנשטיין, אברהם חנוך</t>
  </si>
  <si>
    <t>אוצר סיפורי ליובאוויטש - א</t>
  </si>
  <si>
    <t>אוצר סיפורי ליובאוויטש</t>
  </si>
  <si>
    <t>תשמ"ח</t>
  </si>
  <si>
    <t>אוצר פתגמי חב"ד - 4 כרכים</t>
  </si>
  <si>
    <t>פרידמן, אלתר אליהו הכהן</t>
  </si>
  <si>
    <t>אוצר פתגמים</t>
  </si>
  <si>
    <t>תש"פ</t>
  </si>
  <si>
    <t>אוצר רשימות</t>
  </si>
  <si>
    <t>אוצר של התקשרות</t>
  </si>
  <si>
    <t>אוירכמן, בריינדל</t>
  </si>
  <si>
    <t>אוצרות הבעל שם טוב - 2 כרכים</t>
  </si>
  <si>
    <t>ריטרמן, זאב</t>
  </si>
  <si>
    <t>קריית מלאכי</t>
  </si>
  <si>
    <t>תשס"ה</t>
  </si>
  <si>
    <t>אוצרות ההגדה</t>
  </si>
  <si>
    <t>מלוקט ממשנתו של כ"ק אדמו"ר מליובאוויטש</t>
  </si>
  <si>
    <t>אוצרות ההגדה לתלמיד</t>
  </si>
  <si>
    <t>ממן, שלמה חנניה</t>
  </si>
  <si>
    <t>קריית גת</t>
  </si>
  <si>
    <t>אוצרות המגילה - מגילת אסתר</t>
  </si>
  <si>
    <t>מכון אור החסידות</t>
  </si>
  <si>
    <t>אוצרות המועדים - 3 כרכים</t>
  </si>
  <si>
    <t>מועדי ישראל, ספריית חב''ד</t>
  </si>
  <si>
    <t>אוצרות הרמב"ם - 2 כרכים</t>
  </si>
  <si>
    <t>גרוס, יהושע הכהן</t>
  </si>
  <si>
    <t>אוצרות השעורים</t>
  </si>
  <si>
    <t>פיקארסקי, ישראל יצחק בן מרדכי מנחם</t>
  </si>
  <si>
    <t>תשכ"ב</t>
  </si>
  <si>
    <t>אוצרות התורה - 2 כרכים</t>
  </si>
  <si>
    <t>תנ''ך</t>
  </si>
  <si>
    <t>אוצרות חסידיים - 2 כרכים</t>
  </si>
  <si>
    <t>אוצרות חסידיים</t>
  </si>
  <si>
    <t>אוצרות ליובאוויטש - 5 כרכים</t>
  </si>
  <si>
    <t>קפלון, אלישיב הכהן</t>
  </si>
  <si>
    <t>אור אבנר</t>
  </si>
  <si>
    <t>קובץ חידושי תורה</t>
  </si>
  <si>
    <t>רמלה</t>
  </si>
  <si>
    <t>אור הבית - 2 כרכים</t>
  </si>
  <si>
    <t>תשס"א</t>
  </si>
  <si>
    <t>אור הדרום - 4 כרכים</t>
  </si>
  <si>
    <t>אוסטרליה</t>
  </si>
  <si>
    <t>אור החכמה</t>
  </si>
  <si>
    <t>שטרן, בצלאל בן אברהם</t>
  </si>
  <si>
    <t>תלמוד בבלי</t>
  </si>
  <si>
    <t>אור החסידות</t>
  </si>
  <si>
    <t>אור המאיר הדף</t>
  </si>
  <si>
    <t>ניר עציון</t>
  </si>
  <si>
    <t>תשס"ט</t>
  </si>
  <si>
    <t>אור השולחן</t>
  </si>
  <si>
    <t>גדסי, שמעון</t>
  </si>
  <si>
    <t>הלכה ומנהג</t>
  </si>
  <si>
    <t>אור השלחן</t>
  </si>
  <si>
    <t>הלכה ומנהג, מועדי ישראל</t>
  </si>
  <si>
    <t>אור התבור</t>
  </si>
  <si>
    <t>כפר תבור</t>
  </si>
  <si>
    <t>אור התורה &lt;טקסט&gt; - במדבר ג</t>
  </si>
  <si>
    <t>אור התורה - 43 כרכים</t>
  </si>
  <si>
    <t>תשמ"ה</t>
  </si>
  <si>
    <t>אור התפלה - 7 כרכים</t>
  </si>
  <si>
    <t>לקט ביאורי תפילה</t>
  </si>
  <si>
    <t>ספריית חב''ד, תפלות בקשות פיוטים ושירה</t>
  </si>
  <si>
    <t>אור וחום ההתקשרות - 5 כרכים</t>
  </si>
  <si>
    <t>אור וחיות - 2 כרכים</t>
  </si>
  <si>
    <t>מעיינותיך</t>
  </si>
  <si>
    <t>אור וחיות נפשנו</t>
  </si>
  <si>
    <t>ליקוטים</t>
  </si>
  <si>
    <t>אור זרוע לצדיק - קובץ פלפולים</t>
  </si>
  <si>
    <t>אור חסידי בחושך הסובייטי</t>
  </si>
  <si>
    <t>ברוד, יחזקאל</t>
  </si>
  <si>
    <t>אור מנחם - 2 כרכים</t>
  </si>
  <si>
    <t>מונטוידאו</t>
  </si>
  <si>
    <t>תשנ"ז</t>
  </si>
  <si>
    <t>ספריית חב''ד, קבצים וכתבי עת, ספרי זכרון ויובל</t>
  </si>
  <si>
    <t>אור עולם - 2 כרכים</t>
  </si>
  <si>
    <t>אור פני מלך</t>
  </si>
  <si>
    <t>שטיינזלץ, עדין</t>
  </si>
  <si>
    <t>תקוע</t>
  </si>
  <si>
    <t>אור תורה השלם</t>
  </si>
  <si>
    <t>דוב בער בן אברהם ממזריץ'</t>
  </si>
  <si>
    <t>אורו של משיח</t>
  </si>
  <si>
    <t>ליקוט מאדמור"י חב"ד</t>
  </si>
  <si>
    <t>תשנ"א</t>
  </si>
  <si>
    <t>אורות דתהו בכלים דתקון</t>
  </si>
  <si>
    <t>אורחות מנחם</t>
  </si>
  <si>
    <t>הבלין, יוסף יצחק</t>
  </si>
  <si>
    <t>אורי ניסן</t>
  </si>
  <si>
    <t>אנטווורפן</t>
  </si>
  <si>
    <t>אות בספר התורה</t>
  </si>
  <si>
    <t>ועד רבני חב"ד</t>
  </si>
  <si>
    <t>אותיות איתן</t>
  </si>
  <si>
    <t>אותיות לשון הקודש</t>
  </si>
  <si>
    <t>אזכיר על הציון</t>
  </si>
  <si>
    <t>ריטרמן, שניאור זלמן</t>
  </si>
  <si>
    <t>אחד היה אברהם</t>
  </si>
  <si>
    <t>וולף, אליהו (עריכה)</t>
  </si>
  <si>
    <t>אחד מי יודע</t>
  </si>
  <si>
    <t>דובאוו, ניסן דוד</t>
  </si>
  <si>
    <t>אחדות בתורה - ב</t>
  </si>
  <si>
    <t>שניאורסון, שניאור</t>
  </si>
  <si>
    <t>אחסידישע בר מצוה</t>
  </si>
  <si>
    <t>גופין, שניאור זלמן</t>
  </si>
  <si>
    <t>אחרי מלחמת יום הכפורים</t>
  </si>
  <si>
    <t>פלס, יעקב</t>
  </si>
  <si>
    <t>אחרים אומרים</t>
  </si>
  <si>
    <t>אליטוב, אליהו מאיר</t>
  </si>
  <si>
    <t>איבערלעבן</t>
  </si>
  <si>
    <t>איי המלך</t>
  </si>
  <si>
    <t>ספר יובל</t>
  </si>
  <si>
    <t>מלבורן|מרלבורן</t>
  </si>
  <si>
    <t>איך געדיינק אייך</t>
  </si>
  <si>
    <t>בוטמן, שלום דובער</t>
  </si>
  <si>
    <t>איך יראה העולם</t>
  </si>
  <si>
    <t>לייבוביץ, אדל</t>
  </si>
  <si>
    <t>איך למה מדוע</t>
  </si>
  <si>
    <t>גבירץ, אליעזר</t>
  </si>
  <si>
    <t>אילן נאה</t>
  </si>
  <si>
    <t>אנטוורפן</t>
  </si>
  <si>
    <t>אילנא דחיי</t>
  </si>
  <si>
    <t>שמילה, אילן</t>
  </si>
  <si>
    <t>אילת המלך</t>
  </si>
  <si>
    <t>צעירי חב"ד סניף אילת</t>
  </si>
  <si>
    <t>אילת</t>
  </si>
  <si>
    <t>אין אידשקייט ניטא וואקיישען</t>
  </si>
  <si>
    <t>ישיבת הקיץ צעירי ליובאוויטש</t>
  </si>
  <si>
    <t>שלעבים</t>
  </si>
  <si>
    <t>איסור הליכה לערכאות</t>
  </si>
  <si>
    <t>הלפרין, ישראל -  קירשנבאום, אליהו - רבינוביץ, אברהם מאיר</t>
  </si>
  <si>
    <t>איסור נגיעה ותיקונו</t>
  </si>
  <si>
    <t>איש החינוך</t>
  </si>
  <si>
    <t>זילברשטרום, אהרן מרדכי (אודותיו)</t>
  </si>
  <si>
    <t>איש חסיד היה</t>
  </si>
  <si>
    <t>איתני ארץ</t>
  </si>
  <si>
    <t>אל אשר תלכי</t>
  </si>
  <si>
    <t>סיפורים אישיים</t>
  </si>
  <si>
    <t>אל מול פני המנורה</t>
  </si>
  <si>
    <t>לפידות, ברוך שלום (מלקט)</t>
  </si>
  <si>
    <t>בואנוס איירס</t>
  </si>
  <si>
    <t>אל נשי ובנות ישראל</t>
  </si>
  <si>
    <t>אל תוך התניא - א</t>
  </si>
  <si>
    <t>גינזבורג, חיים לוי יצחק</t>
  </si>
  <si>
    <t>חסידות, ספריית חב''ד</t>
  </si>
  <si>
    <t>אלבום אמריקה אינה שונה</t>
  </si>
  <si>
    <t>זאקליקובסקי, אליעזר יהושע (עורך)</t>
  </si>
  <si>
    <t>אלבום היום יום</t>
  </si>
  <si>
    <t>אלבום חב"ד בארצנו הקדושה</t>
  </si>
  <si>
    <t>אלבום חב"ד</t>
  </si>
  <si>
    <t>אלבום חב"ד בישראל</t>
  </si>
  <si>
    <t>אלבום</t>
  </si>
  <si>
    <t>אלבום לחגיגת סיום הרמב"ם</t>
  </si>
  <si>
    <t>אלבום צעירי אגודת חב"ד בארץ ישראל</t>
  </si>
  <si>
    <t>אלה תולדות פרץ</t>
  </si>
  <si>
    <t>מוצקין, פרץ (אודותיו)</t>
  </si>
  <si>
    <t>אלה תולדות ר' אברהם</t>
  </si>
  <si>
    <t>זלמנוב, מנחם מנדל</t>
  </si>
  <si>
    <t>מולדובה</t>
  </si>
  <si>
    <t>אלול - תשרי</t>
  </si>
  <si>
    <t>הנדל, ט.</t>
  </si>
  <si>
    <t>אלול וימים נוראים</t>
  </si>
  <si>
    <t>מלוב, י.</t>
  </si>
  <si>
    <t>אלוקים באו גויים בנחלתך</t>
  </si>
  <si>
    <t>בלוי, טוביה</t>
  </si>
  <si>
    <t>אליובאוויטשער תמים</t>
  </si>
  <si>
    <t>ברונפמן, מנחם מנדל</t>
  </si>
  <si>
    <t>ספריית חב''ד, תולדות עם ישראל</t>
  </si>
  <si>
    <t>אלף עובדות</t>
  </si>
  <si>
    <t>אם בישראל</t>
  </si>
  <si>
    <t>שניאורסון, חנה</t>
  </si>
  <si>
    <t>תשמ"ג</t>
  </si>
  <si>
    <t>אם המלכות</t>
  </si>
  <si>
    <t>בוקיעט, אברהם שמואל</t>
  </si>
  <si>
    <t>אמונה בטחון גאולה</t>
  </si>
  <si>
    <t>חדאד, מנחם מענדל</t>
  </si>
  <si>
    <t>מחשבה ומוסר, נושאים שונים</t>
  </si>
  <si>
    <t>אמונה ומדע</t>
  </si>
  <si>
    <t>תשל"ג</t>
  </si>
  <si>
    <t>אמונה ומודעות</t>
  </si>
  <si>
    <t>אמירת תהלים</t>
  </si>
  <si>
    <t>ריטרמן, זאב (עורך)</t>
  </si>
  <si>
    <t>אמרי צבי</t>
  </si>
  <si>
    <t>גרוזמן, מאיר צבי בן מרדכי</t>
  </si>
  <si>
    <t>אמת ואמונה - 2 כרכים</t>
  </si>
  <si>
    <t>ארגון בנות חב"ד</t>
  </si>
  <si>
    <t>אמת ליעקב - 3 כרכים</t>
  </si>
  <si>
    <t>רבעון</t>
  </si>
  <si>
    <t>רחובות</t>
  </si>
  <si>
    <t>אמת למד פיך</t>
  </si>
  <si>
    <t>אני אתה והפרשה</t>
  </si>
  <si>
    <t>אני ה' רופאך</t>
  </si>
  <si>
    <t>שניאורסון, מנחם מנדל בן לוי יצחק - כהן, יצחק (עורך)</t>
  </si>
  <si>
    <t>אני לדודי - תשע"ו</t>
  </si>
  <si>
    <t>אני לדודי ודודי לי</t>
  </si>
  <si>
    <t>חסידות, מועדי ישראל</t>
  </si>
  <si>
    <t>אני מאמין</t>
  </si>
  <si>
    <t>שניאורסון, מנחם מנדל בן לוי יצחק - ריטרמן, זאב</t>
  </si>
  <si>
    <t>כפלין, דודי - כהן, נדב</t>
  </si>
  <si>
    <t>ישראל|ישראל ?</t>
  </si>
  <si>
    <t>אני ממשיך באור</t>
  </si>
  <si>
    <t>נס ההצלה של מוישי מומבאיי</t>
  </si>
  <si>
    <t>עפולה</t>
  </si>
  <si>
    <t>אנכי והילדים</t>
  </si>
  <si>
    <t>חסידות, נושאים שונים</t>
  </si>
  <si>
    <t>אנשים חסידים היו</t>
  </si>
  <si>
    <t>קמינצקי, יוסף יצחק</t>
  </si>
  <si>
    <t>תשס"ד</t>
  </si>
  <si>
    <t>אנשים של צורה</t>
  </si>
  <si>
    <t>כפר החורש</t>
  </si>
  <si>
    <t>אסא דבי הילולא</t>
  </si>
  <si>
    <t>שפירא, אהרן</t>
  </si>
  <si>
    <t>בני ברק</t>
  </si>
  <si>
    <t>אסדר לסעודתא - ג</t>
  </si>
  <si>
    <t>בלוי, שלום דובער (עורך)</t>
  </si>
  <si>
    <t>אסתלק יקרא</t>
  </si>
  <si>
    <t>זיגלבוים, מנחם</t>
  </si>
  <si>
    <t>אפריון לרבי שמעון</t>
  </si>
  <si>
    <t>הבר, שמואל בן ישראל צבי הלוי</t>
  </si>
  <si>
    <t>אצל אבא</t>
  </si>
  <si>
    <t>חרמש, א.ב.</t>
  </si>
  <si>
    <t>אקטואליה בזוית חבדי"ת</t>
  </si>
  <si>
    <t>ויינטראוב, שבתי</t>
  </si>
  <si>
    <t xml:space="preserve">תשפ"ב - </t>
  </si>
  <si>
    <t>אראנו נפלאות</t>
  </si>
  <si>
    <t>אראנו נפלאות - 2 כרכים</t>
  </si>
  <si>
    <t>ארבעה חסידים</t>
  </si>
  <si>
    <t>ברגר, שניאור זלמן</t>
  </si>
  <si>
    <t>ארבעה שערים - 4 כרכים</t>
  </si>
  <si>
    <t>תשע"ז</t>
  </si>
  <si>
    <t>ארוכה מארץ מידה</t>
  </si>
  <si>
    <t>ארכיון לוי יצחק</t>
  </si>
  <si>
    <t>קובץ מכתבים</t>
  </si>
  <si>
    <t>ארמיא אדמורא</t>
  </si>
  <si>
    <t>ישיבת תומכי תמימים ליובאוויטש איסטרא- מוסקבה</t>
  </si>
  <si>
    <t>מוסקבה</t>
  </si>
  <si>
    <t>ארעא דרבנן דגליל</t>
  </si>
  <si>
    <t>צפת</t>
  </si>
  <si>
    <t>ארעסט און באפרייאונג פון אלטן רבי'ן</t>
  </si>
  <si>
    <t>תש"כ</t>
  </si>
  <si>
    <t>אשא עיני</t>
  </si>
  <si>
    <t>אשכילה בדרך תמים &lt;שנה ב&gt; ה</t>
  </si>
  <si>
    <t>קובץ ישיבת וועסטשעסטער</t>
  </si>
  <si>
    <t>אשכילה בדרך תמים - 4 כרכים</t>
  </si>
  <si>
    <t>אשכילה בדרך תמים - 3 כרכים</t>
  </si>
  <si>
    <t>אשנב ליהדות</t>
  </si>
  <si>
    <t>מ, שלמה (עורך)</t>
  </si>
  <si>
    <t>את עלית</t>
  </si>
  <si>
    <t xml:space="preserve">חש"ד - </t>
  </si>
  <si>
    <t>אתה בחרתנו</t>
  </si>
  <si>
    <t>איגוד תלמידי הישיבות</t>
  </si>
  <si>
    <t>אתם שלום</t>
  </si>
  <si>
    <t>אלפנביין, ישראל</t>
  </si>
  <si>
    <t>קבצים וכתבי עת, ספרי זכרון ויובל, תולדות עם ישראל</t>
  </si>
  <si>
    <t>אתפשטותא דמשה</t>
  </si>
  <si>
    <t>מכון לחקר כתבי הרמב"ם</t>
  </si>
  <si>
    <t>בית שמש</t>
  </si>
  <si>
    <t>אתפשטותא דמשה - 2 כרכים</t>
  </si>
  <si>
    <t>העכט, יוסף יצחק יהושע (ליקט וערך)</t>
  </si>
  <si>
    <t>אתפשטותא דמשה בכל דרא ודרא</t>
  </si>
  <si>
    <t>ווינסבאכער, א.</t>
  </si>
  <si>
    <t>בא כח</t>
  </si>
  <si>
    <t>גאראדעצקי, בנימין אליהו</t>
  </si>
  <si>
    <t>פריז</t>
  </si>
  <si>
    <t>באגרות מלך</t>
  </si>
  <si>
    <t>מגדל העמק</t>
  </si>
  <si>
    <t>תש"נ</t>
  </si>
  <si>
    <t>באהלה של תורה - 2 כרכים</t>
  </si>
  <si>
    <t>קובץ ביה"מ אהלי תורה</t>
  </si>
  <si>
    <t>מישיגן</t>
  </si>
  <si>
    <t>באהלי חב"ד - א</t>
  </si>
  <si>
    <t>דויטש, שאול שמעון</t>
  </si>
  <si>
    <t>באהלי חנה - 2 כרכים</t>
  </si>
  <si>
    <t>שבועון</t>
  </si>
  <si>
    <t>תש"מ - תשמ"ד</t>
  </si>
  <si>
    <t>באור החסידות - 5 כרכים</t>
  </si>
  <si>
    <t>ירחון</t>
  </si>
  <si>
    <t>תשנ"ה - תשנ"ו</t>
  </si>
  <si>
    <t>באר החסידות (פירוש על דרך מצותיך) - 3 כרכים</t>
  </si>
  <si>
    <t>הלוי, עומר</t>
  </si>
  <si>
    <t>באר החסידות משנת חב"ד - 2 כרכים</t>
  </si>
  <si>
    <t>שטיינמן, אליעזר בן נתן</t>
  </si>
  <si>
    <t>תשי"א - תשכ"ב</t>
  </si>
  <si>
    <t>באתי לגני</t>
  </si>
  <si>
    <t>בד קודש - מהדורה חדשה ומתוקנת</t>
  </si>
  <si>
    <t>בדבר מלך - 3 כרכים</t>
  </si>
  <si>
    <t>רייטפארט, יצחק בן חיים</t>
  </si>
  <si>
    <t>בדין מצות הקהל</t>
  </si>
  <si>
    <t>סופר, יהושע יחזקאל</t>
  </si>
  <si>
    <t>בדרך אל החירות האמיתית</t>
  </si>
  <si>
    <t>חירותי, רפאל</t>
  </si>
  <si>
    <t>בדרך הרמז</t>
  </si>
  <si>
    <t>רייצס, מנחם מנדל</t>
  </si>
  <si>
    <t>בדרך תמים - א</t>
  </si>
  <si>
    <t>מנצ'סטר</t>
  </si>
  <si>
    <t>בדרך תמים</t>
  </si>
  <si>
    <t>זלמנוב, ישראל יצחק</t>
  </si>
  <si>
    <t>נצרת עילית</t>
  </si>
  <si>
    <t>בדרכי הבעל שם טוב</t>
  </si>
  <si>
    <t>בהיכל מלך</t>
  </si>
  <si>
    <t>בהשגחה פרטית</t>
  </si>
  <si>
    <t>שלוחים מספרים</t>
  </si>
  <si>
    <t>בזאת תבחנו - 3 כרכים</t>
  </si>
  <si>
    <t>אייזנבך, צבי</t>
  </si>
  <si>
    <t>בזכותך נגאל</t>
  </si>
  <si>
    <t>ארגון נשי ובנות חב"ד בארץ הקודש</t>
  </si>
  <si>
    <t>בחודש השביעי - 5 כרכים</t>
  </si>
  <si>
    <t>קובץ לימוד</t>
  </si>
  <si>
    <t>הלכה ומנהג, חסידות, מועדי ישראל, ספריית חב''ד</t>
  </si>
  <si>
    <t>בחירתו של הפיקח</t>
  </si>
  <si>
    <t>בחצרות בית ה'</t>
  </si>
  <si>
    <t>בחצרות המלך - א</t>
  </si>
  <si>
    <t>בחצרות קדשנו</t>
  </si>
  <si>
    <t>בטאון חב"ד - 11 כרכים</t>
  </si>
  <si>
    <t>בטאון</t>
  </si>
  <si>
    <t>תשי"ב - תשט"ז</t>
  </si>
  <si>
    <t>ביאור בסוגית המותר בפיך</t>
  </si>
  <si>
    <t>וולפא, שלום דב בער הלוי</t>
  </si>
  <si>
    <t>ביאור הלכות שבת - 2 כרכים</t>
  </si>
  <si>
    <t>ביאור לתניא</t>
  </si>
  <si>
    <t>פלאטקין, אברהם אליהו</t>
  </si>
  <si>
    <t>ביאור על התניא</t>
  </si>
  <si>
    <t>אסתרמן, שמואל גרונם</t>
  </si>
  <si>
    <t>קאיידנר, יעקב (מיוחס לו)</t>
  </si>
  <si>
    <t>ביאור פרשת גדולת החג י"ט כסלו</t>
  </si>
  <si>
    <t>זיסלין, ש.ד.</t>
  </si>
  <si>
    <t>תשכ"ג</t>
  </si>
  <si>
    <t>ביאור תניא - פרקים א-כו</t>
  </si>
  <si>
    <t>יעקב מקיידאן</t>
  </si>
  <si>
    <t>ביאורי הזהר - 2 כרכים</t>
  </si>
  <si>
    <t>דוב בר בן שניאור זלמן מלאדי</t>
  </si>
  <si>
    <t>לבוב</t>
  </si>
  <si>
    <t>תרכ"א</t>
  </si>
  <si>
    <t>ביאורי החומש - 6 כרכים</t>
  </si>
  <si>
    <t>ביאורי המקובל רבינו הירץ ש"ץ - דברים</t>
  </si>
  <si>
    <t>טריוויש, נפתלי הירץ בן אליעזר</t>
  </si>
  <si>
    <t>ביאורי הרב ניסן נמנוב על תניא</t>
  </si>
  <si>
    <t>שאנאויץ, שלום דובער</t>
  </si>
  <si>
    <t>ביאורי הרנ"ג על התניא</t>
  </si>
  <si>
    <t>גולדשמיד, נחום</t>
  </si>
  <si>
    <t>תשל"ז</t>
  </si>
  <si>
    <t>מחשבה ומוסר, נושאים שונים, ספריית חב''ד</t>
  </si>
  <si>
    <t>ביאורי כ"ק אדמו"ר שליט"א בליקוטי לוי יצחק</t>
  </si>
  <si>
    <t>ביאורי סוגיות</t>
  </si>
  <si>
    <t>ביאורי ר' שלמה חיים</t>
  </si>
  <si>
    <t>קסלמן, שלמה חיים</t>
  </si>
  <si>
    <t>ביאורים בהלכה - א (הלכות נדה)</t>
  </si>
  <si>
    <t>ביאורים במאמרי רבינו - 4 כרכים</t>
  </si>
  <si>
    <t>ביאורים במאמרי רבינו - א</t>
  </si>
  <si>
    <t>אשכנזי, מנחם מנדל</t>
  </si>
  <si>
    <t>ביאורים בספר התניא - 4 כרכים</t>
  </si>
  <si>
    <t>יודייקין, יצחק גד הכהן (עורך)</t>
  </si>
  <si>
    <t>ביאורים בצוואת הריב"ש</t>
  </si>
  <si>
    <t>ביאורים בתורת רבינו - 2 כרכים</t>
  </si>
  <si>
    <t>מכון ביאורים במאמרי רבינו</t>
  </si>
  <si>
    <t>ביאורים ובירורים במסכת שבת</t>
  </si>
  <si>
    <t>קבצים וכתבי עת, ספרי זכרון ויובל, תלמוד בבלי</t>
  </si>
  <si>
    <t>ביאורים והערות בקו"א לש"ע רבינו הזקן</t>
  </si>
  <si>
    <t>חברי כולל אברכים ליובאוויטש</t>
  </si>
  <si>
    <t>ביאורים לנוסח ברכת אירוסין ונישואין</t>
  </si>
  <si>
    <t>מיניסוטא|מיניסוטה</t>
  </si>
  <si>
    <t>ביאורים לפירוש רש"י על התורה - 7 כרכים</t>
  </si>
  <si>
    <t>ביאורים לפרקי אבות - 2 כרכים</t>
  </si>
  <si>
    <t>ביאורים על התניא</t>
  </si>
  <si>
    <t>גרונם, שמואל - קאדאניר, יעקב</t>
  </si>
  <si>
    <t>ביום שמחתכם ומועדיכם</t>
  </si>
  <si>
    <t>ועקנין, נפתלי שמעון בן יעיש</t>
  </si>
  <si>
    <t>ביכורי תורת אמת</t>
  </si>
  <si>
    <t>בימים ההם</t>
  </si>
  <si>
    <t>פלטין, עוזיאל</t>
  </si>
  <si>
    <t>בין אור לחושך</t>
  </si>
  <si>
    <t>בין הדגים לזמירות - 3 כרכים</t>
  </si>
  <si>
    <t>רודרמן, זלמן</t>
  </si>
  <si>
    <t>נושאים שונים, תנ''ך</t>
  </si>
  <si>
    <t>בין החומות - 2 כרכים</t>
  </si>
  <si>
    <t>עלון דו שבועי</t>
  </si>
  <si>
    <t>תשל"ה</t>
  </si>
  <si>
    <t>בין הצלחת לטבעת</t>
  </si>
  <si>
    <t>ווגל, צפורה</t>
  </si>
  <si>
    <t>בין ירושלים לאילת</t>
  </si>
  <si>
    <t>זקלס, נחמי</t>
  </si>
  <si>
    <t>ביקור שיקאגא - הוצאה ד'</t>
  </si>
  <si>
    <t>בירורי מנהגים - סדר היום והלילה</t>
  </si>
  <si>
    <t>פרידמן, שבתי יונה</t>
  </si>
  <si>
    <t>בית בישראל בנין עדי עד - 2 כרכים</t>
  </si>
  <si>
    <t>בית במזרח - עשור לפעילות חב"ד תאילנד</t>
  </si>
  <si>
    <t>בית הכנסת חב"ד ליובאוויטש - התולדות והמורשת</t>
  </si>
  <si>
    <t>וילהלם, מנחם מענדל</t>
  </si>
  <si>
    <t>בית חיינו - 5 כרכים</t>
  </si>
  <si>
    <t>מכון מלכות שבתפארת</t>
  </si>
  <si>
    <t>תשמ"ט - תש"נ</t>
  </si>
  <si>
    <t>בית חיינו 770 - 2 כרכים</t>
  </si>
  <si>
    <t>היכל מנחם</t>
  </si>
  <si>
    <t>בית ישראל</t>
  </si>
  <si>
    <t>סלאווין, ישראל נתן בן אברהם לוי'ק</t>
  </si>
  <si>
    <t>בית ישראל - בנין עדי עד</t>
  </si>
  <si>
    <t>בית מאושר</t>
  </si>
  <si>
    <t>בית מלך</t>
  </si>
  <si>
    <t>בית משיח - 1166 כרכים</t>
  </si>
  <si>
    <t>בית משיח</t>
  </si>
  <si>
    <t>תשנ"ד - תשע"ג</t>
  </si>
  <si>
    <t>בית רבותינו נשיאנו ברוסטוב</t>
  </si>
  <si>
    <t>מדריך למבקר</t>
  </si>
  <si>
    <t>בית רבינו שבבבל - 2 כרכים</t>
  </si>
  <si>
    <t>בית רבקה</t>
  </si>
  <si>
    <t>הרטמן, רפאל צבי (עורך)</t>
  </si>
  <si>
    <t>בכל מכל כל - 6 כרכים</t>
  </si>
  <si>
    <t>ועד תלמידי התמימים</t>
  </si>
  <si>
    <t>בכסה ליום חגנו</t>
  </si>
  <si>
    <t>בלבת אש</t>
  </si>
  <si>
    <t>במאי קמיפלגי</t>
  </si>
  <si>
    <t>במחנה צבאות השם - 4 כרכים</t>
  </si>
  <si>
    <t>ירחון לילדים</t>
  </si>
  <si>
    <t>במענה למכתבה</t>
  </si>
  <si>
    <t>בן אברהם &lt;בית מוסר - שער משיח&gt;</t>
  </si>
  <si>
    <t>מייזיס, אברהם אליהו בן בן-ציון ניסן בנימין</t>
  </si>
  <si>
    <t>בן אדם מה לך נרדם</t>
  </si>
  <si>
    <t>פרידמן, משיח הכהן</t>
  </si>
  <si>
    <t xml:space="preserve">תשפ"א - </t>
  </si>
  <si>
    <t>בן י"ג למצוות</t>
  </si>
  <si>
    <t>צעירי אגודת חב"ד</t>
  </si>
  <si>
    <t>בן י"ג למצוות - א</t>
  </si>
  <si>
    <t>בנאות דשא</t>
  </si>
  <si>
    <t>בנה ביתך</t>
  </si>
  <si>
    <t>בנין עדי עד</t>
  </si>
  <si>
    <t>קרסיק, יוסף</t>
  </si>
  <si>
    <t>בנתיבות המולד</t>
  </si>
  <si>
    <t>וילר, משה אליהו</t>
  </si>
  <si>
    <t>בסוד שיח</t>
  </si>
  <si>
    <t>ווינטרוב, שבתי</t>
  </si>
  <si>
    <t>בסוד שיח - 3 כרכים</t>
  </si>
  <si>
    <t>לקט יחידויות פרטיות</t>
  </si>
  <si>
    <t>בסוד שיח שרפי קודש</t>
  </si>
  <si>
    <t>בורו פארק</t>
  </si>
  <si>
    <t>בעומקה של הלכה</t>
  </si>
  <si>
    <t>שמוקלער, יוסף יצחק בן שניאור זלמן</t>
  </si>
  <si>
    <t>הלכה ומנהג, שלחן ערוך ומפרשיו</t>
  </si>
  <si>
    <t>בעין הלב</t>
  </si>
  <si>
    <t>ברנובר, ירמיהו</t>
  </si>
  <si>
    <t>בעיניה של אשה</t>
  </si>
  <si>
    <t>גרייזמן, נחמה</t>
  </si>
  <si>
    <t>בעל התניא</t>
  </si>
  <si>
    <t>וינגרטן, ר</t>
  </si>
  <si>
    <t>בענין החתך שעושים בתפילין לשים בו היוד</t>
  </si>
  <si>
    <t>כשר, מנחם מנדל בן יצחק פרץ</t>
  </si>
  <si>
    <t>תשכ"ד</t>
  </si>
  <si>
    <t>בענין פדיון בכורות</t>
  </si>
  <si>
    <t>בעקבות סיפורי חז"ל - א</t>
  </si>
  <si>
    <t>דאברושי, הנדל</t>
  </si>
  <si>
    <t>בעתה אחישנה</t>
  </si>
  <si>
    <t>בפיך ובלבבך לעשותו</t>
  </si>
  <si>
    <t>מודיעין עילית</t>
  </si>
  <si>
    <t>בפן החינוכי</t>
  </si>
  <si>
    <t>מעון, אהד הכהן</t>
  </si>
  <si>
    <t>ביתר עילית</t>
  </si>
  <si>
    <t>חסידות, מועדי ישראל, תנ''ך</t>
  </si>
  <si>
    <t>בצל החכמה</t>
  </si>
  <si>
    <t>רשימות וראשי פרקים מכ"ק אדמו"ר מחב"ד</t>
  </si>
  <si>
    <t>בצרור החיים - 6 כרכים</t>
  </si>
  <si>
    <t>פרידלנד, אברהם מנדל</t>
  </si>
  <si>
    <t>בקשו פני</t>
  </si>
  <si>
    <t>ברוך אומר ועושה</t>
  </si>
  <si>
    <t>טייכמן, שרה</t>
  </si>
  <si>
    <t>בריש הורמנותא דמלכא</t>
  </si>
  <si>
    <t>מאליסוב, הלל בן מאיר הלוי מפאריטש</t>
  </si>
  <si>
    <t>ברית הנישואין</t>
  </si>
  <si>
    <t>הלכה ומנהג, נושאים שונים</t>
  </si>
  <si>
    <t>ברית נתן</t>
  </si>
  <si>
    <t>ברכות</t>
  </si>
  <si>
    <t>ברכות הנהנין המבואר</t>
  </si>
  <si>
    <t>פרוס, חיים</t>
  </si>
  <si>
    <t>ברכות השחר על פי נוסח האריז"ל</t>
  </si>
  <si>
    <t>ברכות השחר</t>
  </si>
  <si>
    <t>באר שבע</t>
  </si>
  <si>
    <t>ברכת החמה ע"פ מנהג חב"ד</t>
  </si>
  <si>
    <t>תפילות. ברכת החמה. תשמ"א</t>
  </si>
  <si>
    <t>חסידות, ספריית חב''ד, תפלות בקשות פיוטים ושירה</t>
  </si>
  <si>
    <t>ברכת החמה ע"פ מנהג חב"ד (מהדורה חדשה)</t>
  </si>
  <si>
    <t>תפילות. ברכת החמה. תשס"ט</t>
  </si>
  <si>
    <t>ברכת המזון ע"פ ר' נתן שפירא אב"ד הוראדנא</t>
  </si>
  <si>
    <t>שפירא, נתן בן שמשון</t>
  </si>
  <si>
    <t>חולון</t>
  </si>
  <si>
    <t>תפלות בקשות פיוטים ושירה</t>
  </si>
  <si>
    <t>ברכת המזון עם תרגום אנגלי</t>
  </si>
  <si>
    <t>ברשת החנוך - 1-6</t>
  </si>
  <si>
    <t>בטאון ארגון מורי חב"ד</t>
  </si>
  <si>
    <t>תשל"א - תשל"ג</t>
  </si>
  <si>
    <t>בשבילי השולחן</t>
  </si>
  <si>
    <t>המבורג|האמבורג</t>
  </si>
  <si>
    <t>בשורת הגאולה</t>
  </si>
  <si>
    <t>בשמן קדשי משחתיו - ב</t>
  </si>
  <si>
    <t>בשעה שהקדימו - 3 כרכים</t>
  </si>
  <si>
    <t>בשעה שהקדימו &lt;מהדורה חדשה&gt;  - 2 כרכים</t>
  </si>
  <si>
    <t>בשעה שהקדימו תער"ב</t>
  </si>
  <si>
    <t>בשעריך התניא</t>
  </si>
  <si>
    <t>ברוד, מנחם  שילת, משה</t>
  </si>
  <si>
    <t>בת י"ב למצוות</t>
  </si>
  <si>
    <t>בת מלך - בעקבות הרבניות</t>
  </si>
  <si>
    <t>ארגון בת מלך</t>
  </si>
  <si>
    <t>בתבונה בונה ביתה - 4 כרכים</t>
  </si>
  <si>
    <t>טברדוביץ, ב.</t>
  </si>
  <si>
    <t>גאולה בפרשה</t>
  </si>
  <si>
    <t>גאולה ומשיח באור ההלכה</t>
  </si>
  <si>
    <t>פיזם, יוסף א.</t>
  </si>
  <si>
    <t>גאון וחסיד</t>
  </si>
  <si>
    <t>פרידלנד, שלום דובער</t>
  </si>
  <si>
    <t>צרפת</t>
  </si>
  <si>
    <t>גבורה יהודית במלכות הרשע</t>
  </si>
  <si>
    <t>קרסיק, יצחק אייזיק</t>
  </si>
  <si>
    <t>בת חפר</t>
  </si>
  <si>
    <t>גבורות מנחם</t>
  </si>
  <si>
    <t>גבורי העם שלנו</t>
  </si>
  <si>
    <t>ברוד, מנחם  שייקביץ, לוי &lt;עורכים&gt;</t>
  </si>
  <si>
    <t>גדולי תורה על החזרת שטחים</t>
  </si>
  <si>
    <t>מדברי מועצת גדולי התורה שנת תרצ"ז</t>
  </si>
  <si>
    <t>גדרן של מצות</t>
  </si>
  <si>
    <t>גוט שבת מוסקבה</t>
  </si>
  <si>
    <t>גוף נפש ונשמה</t>
  </si>
  <si>
    <t>גזע חסידים</t>
  </si>
  <si>
    <t>חסידות, ספריית חב''ד, קבצים וכתבי עת, ספרי זכרון ויובל</t>
  </si>
  <si>
    <t>גזע קודש מחצבתם</t>
  </si>
  <si>
    <t>איגוד הצאצאים</t>
  </si>
  <si>
    <t>גידול זקן</t>
  </si>
  <si>
    <t>גינת ביתן המלך</t>
  </si>
  <si>
    <t>גינת המלך</t>
  </si>
  <si>
    <t>גל עיני - 2 כרכים</t>
  </si>
  <si>
    <t>תלמידי ישיבת ליובאוויטש בולטימור</t>
  </si>
  <si>
    <t>בולטימור</t>
  </si>
  <si>
    <t>גנזיא - 3 כרכים</t>
  </si>
  <si>
    <t>כתב עת לפרסום מסמכים ותעודות מחסידות חב"ד</t>
  </si>
  <si>
    <t>תשפ"ד</t>
  </si>
  <si>
    <t>דבר בקדשו</t>
  </si>
  <si>
    <t>דבר מלך - 2 כרכים</t>
  </si>
  <si>
    <t>דבר מלכות - 6 כרכים</t>
  </si>
  <si>
    <t>דבר מלכות מבואר - א</t>
  </si>
  <si>
    <t>דבר מלכות מבואר</t>
  </si>
  <si>
    <t>דברי העדות שכתב אדמו"ר הזקן</t>
  </si>
  <si>
    <t>דברי העדות</t>
  </si>
  <si>
    <t>דברי ימי החוזרים</t>
  </si>
  <si>
    <t>דברי ימי הרבנית רבקה</t>
  </si>
  <si>
    <t>דברי שלום</t>
  </si>
  <si>
    <t>דברי שלום ואמת</t>
  </si>
  <si>
    <t>דברי שלום וברכה</t>
  </si>
  <si>
    <t>דברתי מלכי</t>
  </si>
  <si>
    <t>דו"ח דהכנס דתלמידים השלוחים</t>
  </si>
  <si>
    <t>דובר שלום - הערות וביאורים בשו"ע אדמו"ר הזקן</t>
  </si>
  <si>
    <t>דובר שלום - חיים של קידוש שם ליובאוויטש</t>
  </si>
  <si>
    <t>דוד עבדי</t>
  </si>
  <si>
    <t>דודי ירד לגנו</t>
  </si>
  <si>
    <t>זכרון</t>
  </si>
  <si>
    <t>דור דעה - ת"ק תר"כ</t>
  </si>
  <si>
    <t>קאמלהאר, יקותיאל אריה בן גרשון</t>
  </si>
  <si>
    <t>דור המבול</t>
  </si>
  <si>
    <t>ששונקין, נחום שמריה</t>
  </si>
  <si>
    <t>דור הפלגה ודורו של משיח</t>
  </si>
  <si>
    <t>דורות של חסידים</t>
  </si>
  <si>
    <t>רבינוביץ, שניאור זלמן בן שמואל בן-ציון</t>
  </si>
  <si>
    <t>דורש טוב לכל עמו - 2 כרכים</t>
  </si>
  <si>
    <t>תגר, אליהו</t>
  </si>
  <si>
    <t>די אידישע היים - 7 כרכים</t>
  </si>
  <si>
    <t>ירחון לנשי ובנות חב"ד</t>
  </si>
  <si>
    <t>תשי"ט - תשכ"ב</t>
  </si>
  <si>
    <t>די אידישע פרוי - 1</t>
  </si>
  <si>
    <t>טורונטו</t>
  </si>
  <si>
    <t>תשט"ז</t>
  </si>
  <si>
    <t>די יסורים פון ליבאוויטשן רבין</t>
  </si>
  <si>
    <t>ריגה</t>
  </si>
  <si>
    <t>תר"צ</t>
  </si>
  <si>
    <t>די מאראלישע און דערציערישע באדייטונג פון חסידות חב"ד</t>
  </si>
  <si>
    <t>תרצ"ח</t>
  </si>
  <si>
    <t>די תורה ליכט - 5</t>
  </si>
  <si>
    <t>די תורה ליכט</t>
  </si>
  <si>
    <t>דידן נצח - פסק הדין במשפט הספרים</t>
  </si>
  <si>
    <t>פרשת הספרים</t>
  </si>
  <si>
    <t>דידן נצח - שלשים שנה</t>
  </si>
  <si>
    <t>איגוד האברכים</t>
  </si>
  <si>
    <t>דידן נצח - 4 כרכים</t>
  </si>
  <si>
    <t>לובצקי, שמואל</t>
  </si>
  <si>
    <t>דיוקנו של חסיד</t>
  </si>
  <si>
    <t>גאנזבורג, צבי הירש</t>
  </si>
  <si>
    <t>דין וחשבון על הכינוס השנתי תשי"ט של צאגו"ח</t>
  </si>
  <si>
    <t>דו"ח שנתי</t>
  </si>
  <si>
    <t>תשי"ט</t>
  </si>
  <si>
    <t>דיני הפסק בתפלה</t>
  </si>
  <si>
    <t>איידלמן, יוסף יצחק</t>
  </si>
  <si>
    <t>דיעדושקא - הרבי מליובאוויטש ויהדות רוסיה</t>
  </si>
  <si>
    <t>דליים של שמחה - שמחת תורה</t>
  </si>
  <si>
    <t>דמויות תנ"כיות - 2 כרכים</t>
  </si>
  <si>
    <t>הרשקוביץ, מ"ם</t>
  </si>
  <si>
    <t>דמות חסידית</t>
  </si>
  <si>
    <t>ליפקין, יהושע</t>
  </si>
  <si>
    <t>דעם רבי'נס טאג</t>
  </si>
  <si>
    <t>דעם רבינ'ס קאך</t>
  </si>
  <si>
    <t>דעם רבינ'ס קינדער</t>
  </si>
  <si>
    <t>דער ליובאוויטשער רבי - 2 כרכים</t>
  </si>
  <si>
    <t>ביוגרפיה</t>
  </si>
  <si>
    <t>דער רב</t>
  </si>
  <si>
    <t>חדקוב, עטל צערנא</t>
  </si>
  <si>
    <t>דער רבי רעדט צו קינדער - 3 כרכים</t>
  </si>
  <si>
    <t>דער שבת</t>
  </si>
  <si>
    <t>דער שמע ישראל וואס אדמו"ר רשכבה"ג הצמח צדק</t>
  </si>
  <si>
    <t>תרצ"ט</t>
  </si>
  <si>
    <t>דערצייל מיר א מעשה - 2 כרכים</t>
  </si>
  <si>
    <t>מינדל, ניסן</t>
  </si>
  <si>
    <t>דעת מאיר</t>
  </si>
  <si>
    <t>בורובסקי, מאיר</t>
  </si>
  <si>
    <t>דעת תורה</t>
  </si>
  <si>
    <t>פרידמן, חיים יצחק</t>
  </si>
  <si>
    <t>דעת תורה בעניני המצב בארץ הקדש</t>
  </si>
  <si>
    <t>וולפא, שלום דב</t>
  </si>
  <si>
    <t>דעת תורה ע"ד המצב באה"ק ת"ו</t>
  </si>
  <si>
    <t>דעתן עלך - יומא, סוכה</t>
  </si>
  <si>
    <t>דרוש הנקרא ג' מיני אדם</t>
  </si>
  <si>
    <t>דרוש לחתונה עם ביאורי ר' הלל מפאריטש</t>
  </si>
  <si>
    <t>דרושי חתונה - 2 כרכים</t>
  </si>
  <si>
    <t>דרך המלך</t>
  </si>
  <si>
    <t>תיעוד</t>
  </si>
  <si>
    <t>דרך חיים ותוכחת מוסר השכל - 2 כרכים</t>
  </si>
  <si>
    <t>דרך מצותיך &lt;טקסט&gt;</t>
  </si>
  <si>
    <t>דרך מצותיך - 2 כרכים</t>
  </si>
  <si>
    <t>דרך מצותיך המבואר - 5 כרכים</t>
  </si>
  <si>
    <t>דרך תמים - 3 כרכים</t>
  </si>
  <si>
    <t>דרך תמים</t>
  </si>
  <si>
    <t>דרכי החיים</t>
  </si>
  <si>
    <t>דרכי החסידות - על סדר פרשיות התורה</t>
  </si>
  <si>
    <t>מלוקט מכתבי כ"ק אדמו"ר מוהריי"ץ</t>
  </si>
  <si>
    <t>דרכי החסידות - 2 כרכים</t>
  </si>
  <si>
    <t>דרשה לכל דורש - 3 כרכים</t>
  </si>
  <si>
    <t>הבר, חיים א. הלוי</t>
  </si>
  <si>
    <t>ה'יום יום' לעם</t>
  </si>
  <si>
    <t>האדם והבריאה</t>
  </si>
  <si>
    <t>בליזינסקי, מאיר</t>
  </si>
  <si>
    <t>תשל"א</t>
  </si>
  <si>
    <t>האדמו"ר מליובאוויטש - ליובלו השבעים</t>
  </si>
  <si>
    <t>האח - כל הגליונות</t>
  </si>
  <si>
    <t>עיתון הילדים הראשון</t>
  </si>
  <si>
    <t>ליובאוויטש</t>
  </si>
  <si>
    <t>תרע"א - תרע"ד</t>
  </si>
  <si>
    <t>האיש מרדכי</t>
  </si>
  <si>
    <t>מענטליק, מרדכי (אודותיו)</t>
  </si>
  <si>
    <t>לונג איילנד</t>
  </si>
  <si>
    <t>האיש של הרבי בערד</t>
  </si>
  <si>
    <t>ערד</t>
  </si>
  <si>
    <t>האמונה והפצתה</t>
  </si>
  <si>
    <t>קובץ  מאמרים</t>
  </si>
  <si>
    <t>האמת והשלום אהבו - הרב שלום חסקינד</t>
  </si>
  <si>
    <t>קובץ זכרון</t>
  </si>
  <si>
    <t>הבית החסידי במשנתו של הרבי - 3 כרכים</t>
  </si>
  <si>
    <t>כהן, יצחק</t>
  </si>
  <si>
    <t>הבית היהודי</t>
  </si>
  <si>
    <t>הבית השני - חוברת לימוד</t>
  </si>
  <si>
    <t>בית חב"ד באר שבע</t>
  </si>
  <si>
    <t>הבעל שם טוב - 300 שנה להולדתו</t>
  </si>
  <si>
    <t>קטלוג התערוכה</t>
  </si>
  <si>
    <t>הבעל שם טוב</t>
  </si>
  <si>
    <t>הגאון מלובלין</t>
  </si>
  <si>
    <t>חננאל, א. י.</t>
  </si>
  <si>
    <t>הגדה למעשה - הגדה ש"פ עם מנהגי חב"ד</t>
  </si>
  <si>
    <t>הגדה של פסח עם מנהגי חב"ד</t>
  </si>
  <si>
    <t>הגדה לעם</t>
  </si>
  <si>
    <t>לנדא, ישראל</t>
  </si>
  <si>
    <t>הגדה של פסח - עם תרגום אנגלי</t>
  </si>
  <si>
    <t xml:space="preserve">הגדה של פסח </t>
  </si>
  <si>
    <t>הגדה של פסח &lt;נוסח חוקת הפסח של העדה הבוכרית&gt;</t>
  </si>
  <si>
    <t>הגדה של פסח. תשס"ז.</t>
  </si>
  <si>
    <t>רמת גן</t>
  </si>
  <si>
    <t>הגדה של פסח &lt;כי ישאלך בנך&gt;</t>
  </si>
  <si>
    <t>ישיבה גדולה מלבורן</t>
  </si>
  <si>
    <t>מלבורן</t>
  </si>
  <si>
    <t>הגדה של פסח בתרגום צרפתית - 2 כרכים</t>
  </si>
  <si>
    <t>הגדה של פסח בתרגום צרפתית</t>
  </si>
  <si>
    <t>הגדה של פסח בתרגום רוסית - 2 כרכים</t>
  </si>
  <si>
    <t>הגדה של פסח בתרגום רוסית</t>
  </si>
  <si>
    <t>הגדה של פסח עם ביאור דברי שלום</t>
  </si>
  <si>
    <t>שניאורסון, מנחם מנדל בן לוי יצחק - לוין, שלום דובער</t>
  </si>
  <si>
    <t>הגדה של פסח עם ליקוטי טעמים ומנהגים - 8 כרכים</t>
  </si>
  <si>
    <t>הגדה של פסח עם תרגום אנגלית</t>
  </si>
  <si>
    <t>מרכוס, יוסף</t>
  </si>
  <si>
    <t>הגדת ארבעת הבנים</t>
  </si>
  <si>
    <t>הגדת הרבי - הגדה של פסח עם לקוטי טעמים ומנהגים</t>
  </si>
  <si>
    <t>ישראל</t>
  </si>
  <si>
    <t xml:space="preserve">תשע"ג - </t>
  </si>
  <si>
    <t>הגדת מלך</t>
  </si>
  <si>
    <t>ישיבה קטנה תות"ל חב"ד נתניה</t>
  </si>
  <si>
    <t>נתניה</t>
  </si>
  <si>
    <t>הגהות לד"ה פתח אליהו - 2 כרכים</t>
  </si>
  <si>
    <t>הגהות לסידור רבנו הזקן</t>
  </si>
  <si>
    <t>הגהות על מאמר באתי לגני תשל"ז</t>
  </si>
  <si>
    <t>תלמידי ביהמ"ד אהלי תורה</t>
  </si>
  <si>
    <t>הגיע זמן גאולתכם</t>
  </si>
  <si>
    <t>הדוד בנימין</t>
  </si>
  <si>
    <t>וולף, אליהו</t>
  </si>
  <si>
    <t>הדפסת ספר התניא</t>
  </si>
  <si>
    <t>קפלון, נחמיה הכהן</t>
  </si>
  <si>
    <t>הדר הכרמל</t>
  </si>
  <si>
    <t>חיפה</t>
  </si>
  <si>
    <t>הדרך הישרה - א</t>
  </si>
  <si>
    <t>הדרך לחיים של משמעות</t>
  </si>
  <si>
    <t>יעקבסון, סימון (ערך ועיבד)</t>
  </si>
  <si>
    <t>הדרן - 2 כרכים</t>
  </si>
  <si>
    <t>הדרן על הש"ס</t>
  </si>
  <si>
    <t>הדרן על ששה סדרי משנה</t>
  </si>
  <si>
    <t>הדרנים על הרמב"ם</t>
  </si>
  <si>
    <t>הדרנים על ששה סדרי משנה</t>
  </si>
  <si>
    <t>קלר, יוסף יצחק</t>
  </si>
  <si>
    <t>הדרת מלך - גיטין</t>
  </si>
  <si>
    <t>קובץ (לונדון)</t>
  </si>
  <si>
    <t>לונדון</t>
  </si>
  <si>
    <t>ספריית חב''ד, תלמוד בבלי</t>
  </si>
  <si>
    <t>הדרת מלך - 5 כרכים</t>
  </si>
  <si>
    <t>קובץ (ניו יורק)</t>
  </si>
  <si>
    <t>ההגדה לעורך הסדר</t>
  </si>
  <si>
    <t>וולף, אברהם</t>
  </si>
  <si>
    <t>אודסה</t>
  </si>
  <si>
    <t>ההתקשרות האמיתית</t>
  </si>
  <si>
    <t>הוגה בתורה</t>
  </si>
  <si>
    <t>בוקובזה, אליהו</t>
  </si>
  <si>
    <t>הוה גביר</t>
  </si>
  <si>
    <t>הוויכוח במינסק</t>
  </si>
  <si>
    <t>הוויכוח במינסק (בתרגום אנגלית)</t>
  </si>
  <si>
    <t>הולך בדרך תמים</t>
  </si>
  <si>
    <t>הוצאת ספרים קה"ת - תולדותיה</t>
  </si>
  <si>
    <t>הוצאת ספרים קה"ת</t>
  </si>
  <si>
    <t>הוראה ומשפט &lt;ליובאוויטש&gt;  - 3 כרכים</t>
  </si>
  <si>
    <t>גליון בית המדרש</t>
  </si>
  <si>
    <t>הוראת המספרים</t>
  </si>
  <si>
    <t>הורנו מדרכיו - 2 כרכים</t>
  </si>
  <si>
    <t>ארגון צבאות ה' כפר חב"ד</t>
  </si>
  <si>
    <t>הורנו מדרכיו - 3 כרכים</t>
  </si>
  <si>
    <t>ועד תלמידי התמימים העולמי</t>
  </si>
  <si>
    <t>הזולת הוא הראי</t>
  </si>
  <si>
    <t>החגיגה העולמית לסיום ספר משנה תורה - 5 כרכים</t>
  </si>
  <si>
    <t>חב"ד</t>
  </si>
  <si>
    <t>החודש השביעי</t>
  </si>
  <si>
    <t>גוראריה, יצחק מאיר</t>
  </si>
  <si>
    <t>מונטריאול</t>
  </si>
  <si>
    <t>החוק הכפול והנגדי</t>
  </si>
  <si>
    <t>פרגון, בנימין</t>
  </si>
  <si>
    <t>החיים השמחים</t>
  </si>
  <si>
    <t>החינוך במשנתו של הרבי</t>
  </si>
  <si>
    <t>כהן, יצחק (עורך)</t>
  </si>
  <si>
    <t>החינוך היהודי סוד ויסוד קיומנו</t>
  </si>
  <si>
    <t>מבחר הרצאות מכנס נשי ובנות חב"ד</t>
  </si>
  <si>
    <t>החינוך על טהרת הקודש</t>
  </si>
  <si>
    <t>החן החסידי</t>
  </si>
  <si>
    <t>ביה"ס היסודי בית רבקה כפר חב"ד</t>
  </si>
  <si>
    <t>הטבע היהודי</t>
  </si>
  <si>
    <t>הטרקטוריסט של הרבי - 2 כרכים</t>
  </si>
  <si>
    <t>דונין, ראובן</t>
  </si>
  <si>
    <t>היא שיחתי - 2 כרכים</t>
  </si>
  <si>
    <t>הנדלר, מעיין בת יהושע נריה</t>
  </si>
  <si>
    <t>היום הרת עולם - ראש השנה ג</t>
  </si>
  <si>
    <t>היום יום &lt;טקסט&gt;</t>
  </si>
  <si>
    <t>היום יום - 4 כרכים</t>
  </si>
  <si>
    <t>היום יום (באנגלית)</t>
  </si>
  <si>
    <t>היום יום (בעברית)</t>
  </si>
  <si>
    <t>היום יום (מנוקד ומתורגם ללשה"ק)</t>
  </si>
  <si>
    <t>היום יום (מנוקד)</t>
  </si>
  <si>
    <t>היום יום (משולב מקור ותרגום)</t>
  </si>
  <si>
    <t>היום יום (עם תרגום אנגלי)</t>
  </si>
  <si>
    <t>היום יום המבואר</t>
  </si>
  <si>
    <t>היונה והאריה</t>
  </si>
  <si>
    <t>היכל המלך</t>
  </si>
  <si>
    <t>היכל הנגינה</t>
  </si>
  <si>
    <t>היכל מנחם - 3 כרכים</t>
  </si>
  <si>
    <t>הילולא דרבי</t>
  </si>
  <si>
    <t>היסודות הרוחניים של כפר חב"ד ונחלת הר חב"ד</t>
  </si>
  <si>
    <t>היציאה מרוסיה</t>
  </si>
  <si>
    <t>מטוסוב, אליהו</t>
  </si>
  <si>
    <t>הישיבה בית היוצר</t>
  </si>
  <si>
    <t>הכוח הנשי - 2 כרכים</t>
  </si>
  <si>
    <t>ברוד, פרדי</t>
  </si>
  <si>
    <t>הכל בהשגחה פרטית</t>
  </si>
  <si>
    <t>הכל בכתב עלי השכיל</t>
  </si>
  <si>
    <t>הכנה רבה</t>
  </si>
  <si>
    <t>הכנות לחתונה</t>
  </si>
  <si>
    <t>קרץ, דוד</t>
  </si>
  <si>
    <t>הכפר של הרבי</t>
  </si>
  <si>
    <t>ועד כפר חב"ד</t>
  </si>
  <si>
    <t>הכתר היהודי</t>
  </si>
  <si>
    <t>הלב של צפת</t>
  </si>
  <si>
    <t>מרינובסקי, משה - הלפרין, יוסי</t>
  </si>
  <si>
    <t>הלולא רבא &lt;מהדורה חדשה&gt;</t>
  </si>
  <si>
    <t>תיקונים. ל"ג בעומר. תשע"ז. ירושלים</t>
  </si>
  <si>
    <t>מועדי ישראל, קבלה</t>
  </si>
  <si>
    <t>הלכה ברורה</t>
  </si>
  <si>
    <t>רומפלער, ישכר דוב</t>
  </si>
  <si>
    <t>הלכה יומית</t>
  </si>
  <si>
    <t>הלכה למעשה - א</t>
  </si>
  <si>
    <t>לינק, משה</t>
  </si>
  <si>
    <t>הלכה למעשה - 8 כרכים</t>
  </si>
  <si>
    <t>מכון הלכה חב"ד</t>
  </si>
  <si>
    <t>הלכות אמירה לנכרי</t>
  </si>
  <si>
    <t>הלכות בית הבחירה להרמב"ם עם חידושים וביאורים</t>
  </si>
  <si>
    <t>הלכות והליכות - ב</t>
  </si>
  <si>
    <t>רשת אהלי יוסף חב"ד</t>
  </si>
  <si>
    <t>הלכות והליכות ההנהגה בחיי היום יום</t>
  </si>
  <si>
    <t>הלכות והליכות</t>
  </si>
  <si>
    <t>הלכות ומנהגי חב"ד</t>
  </si>
  <si>
    <t>גינזבורג, יוסף שמחה</t>
  </si>
  <si>
    <t>הלכות חג השבועות משו"ע אדמוה"ז</t>
  </si>
  <si>
    <t>הלכות חג השבועות תשפ"א</t>
  </si>
  <si>
    <t>לשכת הרבנות כפר חב"ד</t>
  </si>
  <si>
    <t>הלכות חנוכה עם טעמים ועיונים</t>
  </si>
  <si>
    <t>אשכנזי, מאיר בן מרדכי שמואל</t>
  </si>
  <si>
    <t>הלכות לשון הרע מתוך שלחן ערוך הרב</t>
  </si>
  <si>
    <t>ניישטאדט, יחיאל יהודה</t>
  </si>
  <si>
    <t>הלכות ספירת העומר מש"ע אדמוה"ז</t>
  </si>
  <si>
    <t>הלכות פסח</t>
  </si>
  <si>
    <t>הלכות פסח מש"ע אדמוה"ז</t>
  </si>
  <si>
    <t>הלכות קריאת התורה</t>
  </si>
  <si>
    <t>אמינוב, אברהם</t>
  </si>
  <si>
    <t>הלכות שחיטה משו"ע אדמו"ר הזקן עם ביאורי הלכות</t>
  </si>
  <si>
    <t>ווינער, ברוך אלכסנדר זושא</t>
  </si>
  <si>
    <t>הלכות תלמוד תורה משו"ע אדמו"ר הזקן - 6 כרכים</t>
  </si>
  <si>
    <t>אשכנזי, מרדכי שמואל בן משה</t>
  </si>
  <si>
    <t>הלכות תשובה להרמב"ם עם חידושים וביאורים</t>
  </si>
  <si>
    <t>הלכתא כרב</t>
  </si>
  <si>
    <t>טברדוביץ, דב</t>
  </si>
  <si>
    <t>לקט מגדולי ישראל</t>
  </si>
  <si>
    <t>הלכתא למשיחא</t>
  </si>
  <si>
    <t>הלר, יוסף אברהם הלוי</t>
  </si>
  <si>
    <t>הלל אומר - ז - ביאורים לתניא</t>
  </si>
  <si>
    <t>רבינוביץ, הלל</t>
  </si>
  <si>
    <t>הלקח והלבוב - 2 כרכים</t>
  </si>
  <si>
    <t>יודאסין, אלכסנדר סענדר</t>
  </si>
  <si>
    <t>תשכ"ח</t>
  </si>
  <si>
    <t>הלקח והלבוב &lt;מהדורה חדשה&gt;  - 2 כרכים</t>
  </si>
  <si>
    <t>המאבק והנצחון</t>
  </si>
  <si>
    <t>חזן, אהרן</t>
  </si>
  <si>
    <t>המאור שבתורה - 5 כרכים</t>
  </si>
  <si>
    <t>המאורות הגדולים - (תדפיס חלקי)</t>
  </si>
  <si>
    <t>ליפקין, בנימין - וינשטוק, יאיר בן שלמה מנחם</t>
  </si>
  <si>
    <t>המאיר - א</t>
  </si>
  <si>
    <t>המאירים לארץ</t>
  </si>
  <si>
    <t>אלפסי, יצחק</t>
  </si>
  <si>
    <t>המאסר והגאולה</t>
  </si>
  <si>
    <t>המבוא לספרי הרמב"ם</t>
  </si>
  <si>
    <t>מוסקוביץ, דוד משה</t>
  </si>
  <si>
    <t>המבצעים כהלכתם - א</t>
  </si>
  <si>
    <t>ביסטרצקי, שמואל</t>
  </si>
  <si>
    <t>המדריך ליום הכיפורים</t>
  </si>
  <si>
    <t>מכון הבינני</t>
  </si>
  <si>
    <t>המהפכה</t>
  </si>
  <si>
    <t>המהפכה הצרפתית בתשרי אצל הרבי</t>
  </si>
  <si>
    <t>המודה אני של הרבי</t>
  </si>
  <si>
    <t>בעילום שם</t>
  </si>
  <si>
    <t>המועדים בחסידות</t>
  </si>
  <si>
    <t>המחנך והחינוך</t>
  </si>
  <si>
    <t>המחשבה בהלכה</t>
  </si>
  <si>
    <t>המלך במסיבו - 2 כרכים</t>
  </si>
  <si>
    <t>המלך ברמה</t>
  </si>
  <si>
    <t>המסע אל השינוי עם הרבי הריי"ץ</t>
  </si>
  <si>
    <t>עמית, שגיב הלוי</t>
  </si>
  <si>
    <t>המסע האחרון</t>
  </si>
  <si>
    <t>המסע להאדיטש</t>
  </si>
  <si>
    <t>המעיינות - אדמו"ר האמצעי</t>
  </si>
  <si>
    <t>המעיינות - אדמו"ר הרש"ב</t>
  </si>
  <si>
    <t>המעיינות - אדמו"ר הזקן</t>
  </si>
  <si>
    <t>המפתח לעולם החינוך - ב</t>
  </si>
  <si>
    <t>ווכטר, חיים מרדכי</t>
  </si>
  <si>
    <t>המשיח</t>
  </si>
  <si>
    <t>שחט, יעקב עמנואל</t>
  </si>
  <si>
    <t>המשפט הגדול - ב</t>
  </si>
  <si>
    <t>המשפיע</t>
  </si>
  <si>
    <t>המשפיע ר' שלמה חיים קסלמן - 2 כרכים</t>
  </si>
  <si>
    <t>המשפיע שלא חזר</t>
  </si>
  <si>
    <t>הנה ימים באים - 2 כרכים</t>
  </si>
  <si>
    <t>רייצס, מ.מ.</t>
  </si>
  <si>
    <t>הנהגה חסידית</t>
  </si>
  <si>
    <t>לקט אמרות</t>
  </si>
  <si>
    <t>הנהגות חסידיות</t>
  </si>
  <si>
    <t>ליקוט</t>
  </si>
  <si>
    <t>הנהגות רבי - בנושא חתונה</t>
  </si>
  <si>
    <t>הנישואין</t>
  </si>
  <si>
    <t>גליצנשטיין, ח.</t>
  </si>
  <si>
    <t>מעלה אפרים</t>
  </si>
  <si>
    <t>הנסיך - תולדות ר' מנחם מענדל</t>
  </si>
  <si>
    <t>גוראריה, אליהו יוחנן</t>
  </si>
  <si>
    <t>הנסיך השישי בממלכת ליובאוויטש</t>
  </si>
  <si>
    <t>הנפש כמשל</t>
  </si>
  <si>
    <t>דעת</t>
  </si>
  <si>
    <t>הנקודה החב"דית - 2 כרכים</t>
  </si>
  <si>
    <t>הנשיא הוא הכל</t>
  </si>
  <si>
    <t>הנשמה האלוקית</t>
  </si>
  <si>
    <t>לבנוני, צ.</t>
  </si>
  <si>
    <t>הנשר הגדול</t>
  </si>
  <si>
    <t>הסבא - הרב אפרים צבי הכהן לרר ע"ה</t>
  </si>
  <si>
    <t>לרר, אפרים</t>
  </si>
  <si>
    <t>הסבא רבי דוד ע"ה צלקשוילי</t>
  </si>
  <si>
    <t>הרטמן, יוסף</t>
  </si>
  <si>
    <t>הספסל מספר - א</t>
  </si>
  <si>
    <t>הרשקוביץ, מנחם מנדל</t>
  </si>
  <si>
    <t>העובדות שמאחורי ה'סאטעלייט'</t>
  </si>
  <si>
    <t>העילוי דיום ז"ך</t>
  </si>
  <si>
    <t>הערות בשלחן ערוך אדמו"ר הזקן</t>
  </si>
  <si>
    <t>גרוס, יהושע הכהן - הבלין, יוסף יצחק</t>
  </si>
  <si>
    <t>הערות התמימים (אלעד) - ו</t>
  </si>
  <si>
    <t>הערות התמימים (טורונטו) - 3 כרכים</t>
  </si>
  <si>
    <t>הערות התמימים (סטעטן איילנד)</t>
  </si>
  <si>
    <t>הערות התמימים ואנ"ש - 557 כרכים</t>
  </si>
  <si>
    <t>הערות וביאורים - ספר היובל</t>
  </si>
  <si>
    <t>קובץ דתלמידי אהלי תורה</t>
  </si>
  <si>
    <t>הערות וביאורים - 4 כרכים</t>
  </si>
  <si>
    <t>כולל צמח צדק</t>
  </si>
  <si>
    <t>הערות וביאורים בלקו"ש בנגלה ובחסידות - קיץ תשמ"ד</t>
  </si>
  <si>
    <t>הערות וביאורים בקונטרס אחרון לשו"ע רבינו הזקן</t>
  </si>
  <si>
    <t>חברי כולל אברכים מלבורן אוסטרליה</t>
  </si>
  <si>
    <t>הערות וביאורים ברשימות - ג-ה</t>
  </si>
  <si>
    <t>דטרויט</t>
  </si>
  <si>
    <t>הערות וביאורים בשו"ע אדמו"ר הזקן - הלכות הטמנה</t>
  </si>
  <si>
    <t>כולל אברכים צמח צדק</t>
  </si>
  <si>
    <t>הערות וביאורים תמימים ואנ"ש</t>
  </si>
  <si>
    <t>מיאמי</t>
  </si>
  <si>
    <t>הערות ועיונים</t>
  </si>
  <si>
    <t>הערות ועיונים &lt;תות"ל קרית גת&gt;  - 2 כרכים</t>
  </si>
  <si>
    <t>הערות לשו"ע אדמו"ר הזקן הלכות פסח</t>
  </si>
  <si>
    <t>ריבלין, אליהו יוסף בן אריה ליב</t>
  </si>
  <si>
    <t>ספריית חב''ד, שלחן ערוך ומפרשיו</t>
  </si>
  <si>
    <t>העתיד כאן</t>
  </si>
  <si>
    <t>רבינוביץ, נחום</t>
  </si>
  <si>
    <t>הפנסאי - א</t>
  </si>
  <si>
    <t>מכון לוי יצחק</t>
  </si>
  <si>
    <t>תשל"ד</t>
  </si>
  <si>
    <t>הפצת היהדות</t>
  </si>
  <si>
    <t>הפרטיזן</t>
  </si>
  <si>
    <t>הפרטיזן שחיכו לו חיים אחרים</t>
  </si>
  <si>
    <t>רוטנברג, דוד זאב</t>
  </si>
  <si>
    <t>הפרשה בגובה העינים</t>
  </si>
  <si>
    <t>לוריא, חיים (עורך)</t>
  </si>
  <si>
    <t>הפרשה והחיים</t>
  </si>
  <si>
    <t>ביסטריצקי, יוסף</t>
  </si>
  <si>
    <t>הפרשה שלי - א</t>
  </si>
  <si>
    <t>הצדיקים וספר התניא</t>
  </si>
  <si>
    <t>בעילום שנית</t>
  </si>
  <si>
    <t>הצופן הסודי</t>
  </si>
  <si>
    <t>קרנצלר, ג.</t>
  </si>
  <si>
    <t>הצנע לכת</t>
  </si>
  <si>
    <t>שניאורסון, מנחם מנדל בן לוי יצחק (ליקוט)</t>
  </si>
  <si>
    <t>הצפנת פענח במשנת הרבי</t>
  </si>
  <si>
    <t>הקדמת דרך חיים</t>
  </si>
  <si>
    <t>הקהל</t>
  </si>
  <si>
    <t>טייכטל, חיים מנחם</t>
  </si>
  <si>
    <t>הקהל - 3 כרכים</t>
  </si>
  <si>
    <t>חוברת לימוד</t>
  </si>
  <si>
    <t>הקץ</t>
  </si>
  <si>
    <t>הרצל, שניאור זלמן בן ישעיהו</t>
  </si>
  <si>
    <t>הקצרים - 4 כרכים</t>
  </si>
  <si>
    <t>הרמן, מנחם</t>
  </si>
  <si>
    <t>הקצרים - 2 כרכים</t>
  </si>
  <si>
    <t>הקריאה והקדושה - 5 כרכים</t>
  </si>
  <si>
    <t>אגודת חסידי חב"ד</t>
  </si>
  <si>
    <t>הר המלך - 8 כרכים</t>
  </si>
  <si>
    <t>מאסף תורני</t>
  </si>
  <si>
    <t>הראש</t>
  </si>
  <si>
    <t>מאיעסקי, שלמה</t>
  </si>
  <si>
    <t>הראש והממשלה</t>
  </si>
  <si>
    <t>הראשון - אדמו"ר הזקן</t>
  </si>
  <si>
    <t>ספריית מעיינותיך</t>
  </si>
  <si>
    <t>הרב יואל כהן - מסמכים</t>
  </si>
  <si>
    <t>הרב מלאדי ומפלגת חב"ד - 2 כרכים</t>
  </si>
  <si>
    <t>טייטלבוים, מרדכי</t>
  </si>
  <si>
    <t>ורשה</t>
  </si>
  <si>
    <t>תר"ע - תרע"ג</t>
  </si>
  <si>
    <t>הרב רבי הילל מפאריטש</t>
  </si>
  <si>
    <t>תשי"ד</t>
  </si>
  <si>
    <t>ספריית חב''ד, שאלות ותשובות</t>
  </si>
  <si>
    <t>הרבי</t>
  </si>
  <si>
    <t>ליקוט מיוחד על הרבי מליובאוויטש</t>
  </si>
  <si>
    <t>הרבי - מבט אישי</t>
  </si>
  <si>
    <t>ציוני דרך וסיפורים על הרבי מליובאוויטש</t>
  </si>
  <si>
    <t>הרבי בפאריז</t>
  </si>
  <si>
    <t>בוטמאן, שמואל מנחם מנדל</t>
  </si>
  <si>
    <t>הרבי והמונקאטשער</t>
  </si>
  <si>
    <t>הרבי ויהדות ספרד - 2 כרכים</t>
  </si>
  <si>
    <t>סבאג, ברוך</t>
  </si>
  <si>
    <t>הרבי ופעלו</t>
  </si>
  <si>
    <t>הרבי וראשי הממשלה</t>
  </si>
  <si>
    <t>שבועון כפר חב"ד</t>
  </si>
  <si>
    <t>הרבי חמישים שנות נשיאות - 3 כרכים</t>
  </si>
  <si>
    <t>הרבי חמישים שנות נשיאות</t>
  </si>
  <si>
    <t>הרבי מדבר לילדי ישראל</t>
  </si>
  <si>
    <t>הרבי מליובאוויטש</t>
  </si>
  <si>
    <t>מערכת ופרצת</t>
  </si>
  <si>
    <t>הרבי מליובאוויטש נ"ע</t>
  </si>
  <si>
    <t>הרבי שלי</t>
  </si>
  <si>
    <t>ליברמן, דובי - רביבו, אביטל</t>
  </si>
  <si>
    <t>הרבי שלשים שנות נשיאות - 2 כרכים</t>
  </si>
  <si>
    <t>הרבי שלשים שנות נשיאות</t>
  </si>
  <si>
    <t>הרבי שנאשם בבגידה ומרידה במלכות</t>
  </si>
  <si>
    <t>קראוס, נפתלי</t>
  </si>
  <si>
    <t>הרבניות</t>
  </si>
  <si>
    <t>רבינוביץ, שניאור</t>
  </si>
  <si>
    <t>הרבניות - 6 כרכים</t>
  </si>
  <si>
    <t>הרבנית - 3 כרכים</t>
  </si>
  <si>
    <t>הרבנית</t>
  </si>
  <si>
    <t>הרבנית הצדקנית מנוחה רחל ע"ה אם חב"ד בחברון</t>
  </si>
  <si>
    <t>הרבנית חיה מושקא</t>
  </si>
  <si>
    <t>הרבנית חנה</t>
  </si>
  <si>
    <t>הרועה</t>
  </si>
  <si>
    <t>לאופר, שלום</t>
  </si>
  <si>
    <t>הרי"ף - מכתבים ותולדות חייו של ר' יחזקאל פייגין</t>
  </si>
  <si>
    <t>ראסקין, אהרן לייב</t>
  </si>
  <si>
    <t>הריעו לפני המלך</t>
  </si>
  <si>
    <t>הרמב"ם ושלחן ערוך אדמו"ר הזקן</t>
  </si>
  <si>
    <t>ביסטריצקי, לוי בן לייב</t>
  </si>
  <si>
    <t>השביעי - הרבי מליובאוויטש</t>
  </si>
  <si>
    <t>ספרית מעיינותיך</t>
  </si>
  <si>
    <t>השבת בקבלה ובחסידות - 2 כרכים</t>
  </si>
  <si>
    <t>השיר הוא קולמוס הנפש</t>
  </si>
  <si>
    <t>ניגוני חב"ד</t>
  </si>
  <si>
    <t>השליחות החינוכית באגרות הרבי</t>
  </si>
  <si>
    <t>בוענאס איירעס</t>
  </si>
  <si>
    <t>השליחות לארץ הקודש &lt;הוצאה חדשה ומורחבת&gt;</t>
  </si>
  <si>
    <t>השליחות לארץ הקודש - 10 כרכים</t>
  </si>
  <si>
    <t>השמיטה</t>
  </si>
  <si>
    <t>התהלוכה (תשס"א)</t>
  </si>
  <si>
    <t>לקט שיחות</t>
  </si>
  <si>
    <t>התהלוכה (תשע"ד)</t>
  </si>
  <si>
    <t>התוועדות</t>
  </si>
  <si>
    <t>סלבטיצקי, שבתי</t>
  </si>
  <si>
    <t>התוועדות יב - יג תמוז תשע"ט</t>
  </si>
  <si>
    <t>התוועדות יב-יג תמוז תשע"ט</t>
  </si>
  <si>
    <t>התוועדות מעולם אחר</t>
  </si>
  <si>
    <t>תשורה</t>
  </si>
  <si>
    <t>התועדות ארצית</t>
  </si>
  <si>
    <t>התועדות מהי</t>
  </si>
  <si>
    <t>התורה בהישג יד</t>
  </si>
  <si>
    <t>רשימה ביבליוגרפית</t>
  </si>
  <si>
    <t>התורה שלי - ב (שמות)</t>
  </si>
  <si>
    <t>ברוד, מנחם</t>
  </si>
  <si>
    <t>התחלת פרק מ"א בתניא</t>
  </si>
  <si>
    <t>התלמידים השלוחים</t>
  </si>
  <si>
    <t>התמים מוסף בית משיח - 47 כרכים</t>
  </si>
  <si>
    <t>התמים</t>
  </si>
  <si>
    <t>התניא נחלת העם</t>
  </si>
  <si>
    <t>התניא נחלת העם (הוצאה שניה מורחבת)</t>
  </si>
  <si>
    <t>התניא קדישא וכחו האלקי</t>
  </si>
  <si>
    <t>ניסילעוויטש, משה</t>
  </si>
  <si>
    <t>התפילה</t>
  </si>
  <si>
    <t>נגר, שלמה</t>
  </si>
  <si>
    <t>התקופה והגאולה</t>
  </si>
  <si>
    <t>מייזליש, יוסף יצחק</t>
  </si>
  <si>
    <t>התקשרות - 57 כרכים</t>
  </si>
  <si>
    <t>התקשרות</t>
  </si>
  <si>
    <t>תשנ"ט - תש"ס</t>
  </si>
  <si>
    <t>ואהבת לרעך כמוך</t>
  </si>
  <si>
    <t>ואני תפילתי</t>
  </si>
  <si>
    <t>מלוב, יחיאל</t>
  </si>
  <si>
    <t>ואני תפלתי - 2 כרכים</t>
  </si>
  <si>
    <t>ובחודש השביעי - 2 כרכים</t>
  </si>
  <si>
    <t>ובחודש השביעי</t>
  </si>
  <si>
    <t>ובתוך רבים אהללנו</t>
  </si>
  <si>
    <t>והאר עינינו בתורתיך</t>
  </si>
  <si>
    <t>מוריסטאון</t>
  </si>
  <si>
    <t>והחי יתן אל לבו - 2 כרכים</t>
  </si>
  <si>
    <t>והלכת בדרכיו</t>
  </si>
  <si>
    <t>והם יבוננוהו</t>
  </si>
  <si>
    <t>ערד, מאיר</t>
  </si>
  <si>
    <t>והנה ה' נצב עליו</t>
  </si>
  <si>
    <t>וואס געדיינקסטו</t>
  </si>
  <si>
    <t>אוצר סיפורים חסידיים ואמרות קודש</t>
  </si>
  <si>
    <t>וזבחת כאשר צויתך</t>
  </si>
  <si>
    <t>וידעת היום</t>
  </si>
  <si>
    <t>ויהי איש מצליח</t>
  </si>
  <si>
    <t>הולצמן, תמי</t>
  </si>
  <si>
    <t>ויהי בארבעים שנה - 2 כרכים</t>
  </si>
  <si>
    <t>ויהי בישורון מלך</t>
  </si>
  <si>
    <t>ויהי בשבעים שנה</t>
  </si>
  <si>
    <t>ועד שבעים שנה</t>
  </si>
  <si>
    <t>ויכוחא רבה &lt;מהדורה חדשה&gt;</t>
  </si>
  <si>
    <t>קאדאניר, יעקב</t>
  </si>
  <si>
    <t>ויכוחא רבה</t>
  </si>
  <si>
    <t>וינחם לבטח</t>
  </si>
  <si>
    <t>שביבים מהוראות הרבי לשלוחים</t>
  </si>
  <si>
    <t>ויקרב משיחה</t>
  </si>
  <si>
    <t>וירא העם וינועו - 2 כרכים</t>
  </si>
  <si>
    <t>וכמטמונים תחפשנה - 2 כרכים</t>
  </si>
  <si>
    <t>חסידות, מועדי ישראל, ספריית חב''ד</t>
  </si>
  <si>
    <t>וכפר אדמתו עמו</t>
  </si>
  <si>
    <t>פרידמן, אליהו אריה</t>
  </si>
  <si>
    <t>ומביא גואל</t>
  </si>
  <si>
    <t>ומדייק במאמר - 2 כרכים</t>
  </si>
  <si>
    <t>מכון יד מנחם</t>
  </si>
  <si>
    <t>וממנה יוושע</t>
  </si>
  <si>
    <t>ומעין מבית ד'</t>
  </si>
  <si>
    <t>ונפשו קשורה בנפשו</t>
  </si>
  <si>
    <t>פרידמן, מנחם מענדל הכהן</t>
  </si>
  <si>
    <t>ונשמע פתגם המלך</t>
  </si>
  <si>
    <t>מועדי ישראל, ספריית חב''ד, תנ''ך</t>
  </si>
  <si>
    <t>כ"ץ, יוסף יצחק</t>
  </si>
  <si>
    <t>ופרצת - 1-6</t>
  </si>
  <si>
    <t>תשמ"א - תשמ"ב</t>
  </si>
  <si>
    <t>וצדיק יסוד עולם</t>
  </si>
  <si>
    <t>ורבים השיב מעוון - 2 כרכים</t>
  </si>
  <si>
    <t>הלפרין, אהרן דב</t>
  </si>
  <si>
    <t>ושמו מרדכי</t>
  </si>
  <si>
    <t>ושמחת בחגך - חג הסוכות ה</t>
  </si>
  <si>
    <t>ושמרתם את המצות</t>
  </si>
  <si>
    <t>נצרת</t>
  </si>
  <si>
    <t>הלכה ומנהג, מועדי ישראל, ספריית חב''ד</t>
  </si>
  <si>
    <t>ותורה יבקשו מפיהו</t>
  </si>
  <si>
    <t>זורע צדקות מצמיח ישועות</t>
  </si>
  <si>
    <t>זושא הפרטיזן</t>
  </si>
  <si>
    <t>בן שחר, אורי (עריכה)</t>
  </si>
  <si>
    <t>זושא של כולנו</t>
  </si>
  <si>
    <t>זיו השמות - 2 כרכים</t>
  </si>
  <si>
    <t>וילהלם, ישעיהו זוסיא</t>
  </si>
  <si>
    <t>זכור לאברהם</t>
  </si>
  <si>
    <t>זכרון הרז"ש דווארקין</t>
  </si>
  <si>
    <t>דברי ימי חייו, רשימות וסיפורים ואגרות קודש</t>
  </si>
  <si>
    <t>זכרון הרש"ז גורארי'</t>
  </si>
  <si>
    <t>התכתבותו עם כ"ק אדמו"ר מוהריי"צ נ"ע</t>
  </si>
  <si>
    <t>זכרון יוסף יצחק</t>
  </si>
  <si>
    <t>חוברת זכרון</t>
  </si>
  <si>
    <t>זכרון יעקב</t>
  </si>
  <si>
    <t>ספר זכרון (לר' יעקב נח ע"ה קראנץ)</t>
  </si>
  <si>
    <t>זכרון יעקב קאפל ז"ל</t>
  </si>
  <si>
    <t>סילבערבערג, אלימלך יוסף הכהן</t>
  </si>
  <si>
    <t>זכרון יצחק משה</t>
  </si>
  <si>
    <t>קובץ כולל לרבנות ולדיינות חב"ד</t>
  </si>
  <si>
    <t>מועדי ישראל, קבצים וכתבי עת, ספרי זכרון ויובל</t>
  </si>
  <si>
    <t>זכרון ישעיה זושא</t>
  </si>
  <si>
    <t>ווילהעלם, ישעיה זושא בן אברהם דוד (לזכרו)</t>
  </si>
  <si>
    <t>זכרון לבני ישראל</t>
  </si>
  <si>
    <t>דזייקאבסאן, ישראל</t>
  </si>
  <si>
    <t>זכרון מנחם מאיר (א)</t>
  </si>
  <si>
    <t>כהן, מ</t>
  </si>
  <si>
    <t>זכרון מנחם מאיר (ב)</t>
  </si>
  <si>
    <t>זכרון רפאל משה</t>
  </si>
  <si>
    <t>לייזער, חיים</t>
  </si>
  <si>
    <t>זכרון שמואל</t>
  </si>
  <si>
    <t>משפחת זלמנוב</t>
  </si>
  <si>
    <t>זכרונות אהרן - 2 כרכים</t>
  </si>
  <si>
    <t>זאקאן, אהרן</t>
  </si>
  <si>
    <t>זכרונות הרב יהודה חיטריק</t>
  </si>
  <si>
    <t>חיטריק, יהודה בן צבי הירש</t>
  </si>
  <si>
    <t>זכרונות וסיפורים</t>
  </si>
  <si>
    <t>דבורץ, ישראל זושא יבזלין</t>
  </si>
  <si>
    <t>זכרונות פון גולאג</t>
  </si>
  <si>
    <t>ליפשיץ, ברוך מרדכי</t>
  </si>
  <si>
    <t>זכרונות רבי יצחק מנחם מנדל ליס</t>
  </si>
  <si>
    <t>זכרונותי</t>
  </si>
  <si>
    <t>לוין, ישראל יהודה</t>
  </si>
  <si>
    <t>זמן חרותינו</t>
  </si>
  <si>
    <t>זמן חרותנו</t>
  </si>
  <si>
    <t>זמן שמחתנו</t>
  </si>
  <si>
    <t>יומנים מבית חיינו לפי ימות השנה</t>
  </si>
  <si>
    <t>זמן שמחתנו - ג</t>
  </si>
  <si>
    <t>ח"י אלול ה'תש"ג</t>
  </si>
  <si>
    <t>חב"ד בלתי מפלגתית</t>
  </si>
  <si>
    <t>חב"ד ליובאוויטש - עסקנות ציבורית</t>
  </si>
  <si>
    <t>תשי"א</t>
  </si>
  <si>
    <t>חב"ד קריות ל"ה שנים</t>
  </si>
  <si>
    <t>חברון עיר הקודש</t>
  </si>
  <si>
    <t>חג האסיף</t>
  </si>
  <si>
    <t>חגי ישראל ומועדיו - 2 כרכים</t>
  </si>
  <si>
    <t>ליקוט מתוך ספרי שיחות לנוער</t>
  </si>
  <si>
    <t>חגים</t>
  </si>
  <si>
    <t>מרכז דוברי עברית</t>
  </si>
  <si>
    <t>חגים וזמנים - חודש כסלו</t>
  </si>
  <si>
    <t>רשת חינוך חב"ד</t>
  </si>
  <si>
    <t>חגים וזמנים</t>
  </si>
  <si>
    <t>בלוי, שלום - כהן, נדב</t>
  </si>
  <si>
    <t>חדש הגאולה - חנוכה</t>
  </si>
  <si>
    <t>חדשי השנה - סיון</t>
  </si>
  <si>
    <t>תשד"מ</t>
  </si>
  <si>
    <t>מועדי ישראל, מחשבה ומוסר</t>
  </si>
  <si>
    <t>חוברת גן ישראל</t>
  </si>
  <si>
    <t>חוברת לימודים</t>
  </si>
  <si>
    <t>גן ישראל נחלת הר חב"ד</t>
  </si>
  <si>
    <t>חוברת תפארת בנים</t>
  </si>
  <si>
    <t>חובת המחאה</t>
  </si>
  <si>
    <t>חודש תשרי בבית חיינו</t>
  </si>
  <si>
    <t>חוויות בעבודת ה' בספר התניא</t>
  </si>
  <si>
    <t>עמית, שגיב</t>
  </si>
  <si>
    <t>חומש - 2 כרכים</t>
  </si>
  <si>
    <t>חותמו של מלך</t>
  </si>
  <si>
    <t>פינסאן, דובער</t>
  </si>
  <si>
    <t>חזון למועד</t>
  </si>
  <si>
    <t>חידושה של תורה החסידות</t>
  </si>
  <si>
    <t>חידושי צמח צדק על הש"ס - ליקוט סוגיות</t>
  </si>
  <si>
    <t>חידושים וביאורים במסכת גיטין - 3 כרכים</t>
  </si>
  <si>
    <t>חידושים וביאורים במסכת שבת</t>
  </si>
  <si>
    <t>חידושים וביאורים בעניני קידושין ונישואין</t>
  </si>
  <si>
    <t>חידושים וביאורים בש"ס ובדברי הרמב"ם - 3 כרכים</t>
  </si>
  <si>
    <t>חידושים וביאורים על התורה - 4 כרכים</t>
  </si>
  <si>
    <t>חידושים והערות בנגלה ובחסידות - ה</t>
  </si>
  <si>
    <t>קובץ (פאולו - ישיבת תומכי תמימים ברזיל</t>
  </si>
  <si>
    <t>ברזיל</t>
  </si>
  <si>
    <t>חידושים והערות בנגלה ובחסידות - 2 כרכים</t>
  </si>
  <si>
    <t>קובץ (טורונטו)</t>
  </si>
  <si>
    <t>חידושים והערות בנגלה ובחסידות - 7 כרכים</t>
  </si>
  <si>
    <t>קובץ (ירושלים)</t>
  </si>
  <si>
    <t>חידושים והערות על מסכת כתובות</t>
  </si>
  <si>
    <t>חידושים ורעיונות</t>
  </si>
  <si>
    <t>וובר, אלימלך</t>
  </si>
  <si>
    <t>חיי הצדיק במשנת החסידות</t>
  </si>
  <si>
    <t>חייל בשרות הרבי</t>
  </si>
  <si>
    <t>רייניץ, אברהם</t>
  </si>
  <si>
    <t>חיילי המלך</t>
  </si>
  <si>
    <t>חיים שאל</t>
  </si>
  <si>
    <t>ברוק, חיים שאול - אשכנזי חיים</t>
  </si>
  <si>
    <t>חיים של חסד</t>
  </si>
  <si>
    <t>חינוך למעשה</t>
  </si>
  <si>
    <t>ליקוט הוראות הרבי מליובאוויטש</t>
  </si>
  <si>
    <t>חכם שמואל</t>
  </si>
  <si>
    <t>חכמה יומית ב</t>
  </si>
  <si>
    <t>ווישנפסקי, משה יעקב</t>
  </si>
  <si>
    <t>חכמת הטהרה</t>
  </si>
  <si>
    <t>ג'ייקובס, ירוחם פישל הלוי</t>
  </si>
  <si>
    <t>חכמת לבה של נחמה גרייזמאן</t>
  </si>
  <si>
    <t>מילר, משה (עורך)</t>
  </si>
  <si>
    <t>חכמת נשים בנתה ביתה</t>
  </si>
  <si>
    <t>חלקי ה' אמרה נפשי</t>
  </si>
  <si>
    <t>שפירא, יהושע נריה בן משה</t>
  </si>
  <si>
    <t>חמישים לחמישים</t>
  </si>
  <si>
    <t>חמשה חומשי תורה - חבד</t>
  </si>
  <si>
    <t>חמשה חומשי תורה (תרגום ופירוש באנגלית)</t>
  </si>
  <si>
    <t>חמשה חומשי תורה</t>
  </si>
  <si>
    <t>חמשה חומשי תורה ע"פ אור מנחם - 2 כרכים</t>
  </si>
  <si>
    <t>חמשה חומשי תורה עם פירוש אנגלי - 5 כרכים</t>
  </si>
  <si>
    <t>חמשה חומשי תורה עם תורת מנחם - א</t>
  </si>
  <si>
    <t>מילר, חיים (עורך)</t>
  </si>
  <si>
    <t>חנוך לנער</t>
  </si>
  <si>
    <t>חסדי דוד הנאמנים - 12 כרכים</t>
  </si>
  <si>
    <t>תשס"ח - תשע"ח</t>
  </si>
  <si>
    <t>קבלה</t>
  </si>
  <si>
    <t>חסיד במעשיו - ר' זלמן יואל לבנהרץ</t>
  </si>
  <si>
    <t>חסיד נאמן</t>
  </si>
  <si>
    <t>חסידות אין סוף</t>
  </si>
  <si>
    <t>פרידמן, משה יצחק בן נתן מאיר הכהן</t>
  </si>
  <si>
    <t>חסידות חב"ד בחברון</t>
  </si>
  <si>
    <t>גור אריה, יוסף</t>
  </si>
  <si>
    <t>חסידות מבוארת - מאמר כיצד מרקדין ומאמר והדרת פני זקן</t>
  </si>
  <si>
    <t>חסידות מבוארת</t>
  </si>
  <si>
    <t>חסידות על הדף - ברכות, מועד</t>
  </si>
  <si>
    <t>גמסון, אורי</t>
  </si>
  <si>
    <t>תלמוד בבלי, תלמוד ירושלמי</t>
  </si>
  <si>
    <t>חסידי הבעש"ט בראשית דרכם</t>
  </si>
  <si>
    <t>חסידים איין משפחה - 4 כרכים</t>
  </si>
  <si>
    <t>גיליון שבועי</t>
  </si>
  <si>
    <t>חסידים הראשונים - 2 כרכים</t>
  </si>
  <si>
    <t>חסידים ואנשי אמת</t>
  </si>
  <si>
    <t>חקרי מנהגים - 9 כרכים</t>
  </si>
  <si>
    <t>חשבון השידוכים והגה השידוכים</t>
  </si>
  <si>
    <t>אלישביץ, יצחק</t>
  </si>
  <si>
    <t>חשבונו של עולם</t>
  </si>
  <si>
    <t>ליפקין, בנימין</t>
  </si>
  <si>
    <t>חשוב טוב</t>
  </si>
  <si>
    <t>חת"ת</t>
  </si>
  <si>
    <t>סלונים, זאב דוב (עורך)</t>
  </si>
  <si>
    <t>חתן עם הכלה</t>
  </si>
  <si>
    <t>טבריה עיר הקודש</t>
  </si>
  <si>
    <t>לקט שיחות ואגרות</t>
  </si>
  <si>
    <t>טהרת מים</t>
  </si>
  <si>
    <t>טלושקין, ניסן</t>
  </si>
  <si>
    <t>טובת בחיריך</t>
  </si>
  <si>
    <t>טיפה מן הים</t>
  </si>
  <si>
    <t>טיפת חינוך יומית</t>
  </si>
  <si>
    <t>ועדת החינוך החב"די</t>
  </si>
  <si>
    <t>טללי תשובה</t>
  </si>
  <si>
    <t>טעימות</t>
  </si>
  <si>
    <t>שילת, משה</t>
  </si>
  <si>
    <t>טעמי השלחן - שהייה וחזרה או"ח רנג-רנד</t>
  </si>
  <si>
    <t>אשכנזי, חיים אליעזר בן מרדכי שמואל</t>
  </si>
  <si>
    <t>י"א ניסן - מאה ועשרים שנה</t>
  </si>
  <si>
    <t>ועד אור וחום ההתקשרות</t>
  </si>
  <si>
    <t>י"א ניסן תש"נ</t>
  </si>
  <si>
    <t>י"ט בכסלו חג הגאולה</t>
  </si>
  <si>
    <t>י"ט כסלו</t>
  </si>
  <si>
    <t>שילת, משה (המלקט והמו"ל)</t>
  </si>
  <si>
    <t>י"ט כסלו - מהותו של יום</t>
  </si>
  <si>
    <t>י"ט כסלו - מהותו של יום ומשמעותו לדורות</t>
  </si>
  <si>
    <t>שילת, משה בן יצחק</t>
  </si>
  <si>
    <t>יגדיל תורה</t>
  </si>
  <si>
    <t>יגדיל תורה &lt;החדש&gt; - ג</t>
  </si>
  <si>
    <t>יגדיל תורה &lt;חב"ד&gt;  - 18 כרכים</t>
  </si>
  <si>
    <t>יגדיל תורה &lt;חב"ד כולל צמח צדק&gt;  - 5 כרכים</t>
  </si>
  <si>
    <t>תשל"ז - תשל"ח</t>
  </si>
  <si>
    <t>יגדיל תורה ויאדיר - ב</t>
  </si>
  <si>
    <t>כולל חב"ד לוד</t>
  </si>
  <si>
    <t>ידיעון - 14 כרכים</t>
  </si>
  <si>
    <t>בית חב"ד חולון</t>
  </si>
  <si>
    <t>יהדות הדממה - 2 כרכים</t>
  </si>
  <si>
    <t>גוטליב, נפתלי צבי</t>
  </si>
  <si>
    <t>יהדות התורה והמדינה</t>
  </si>
  <si>
    <t>יהדות מעבר להרי הקרח</t>
  </si>
  <si>
    <t>הבר, ישראל</t>
  </si>
  <si>
    <t>יהדותון - 6 כרכים</t>
  </si>
  <si>
    <t>ביסטריצקי, שמואל בן לוי</t>
  </si>
  <si>
    <t>יהודי</t>
  </si>
  <si>
    <t>גבאי, אליהו</t>
  </si>
  <si>
    <t>יהלומים מספרים - ב</t>
  </si>
  <si>
    <t>יום הולדת באור החסידות</t>
  </si>
  <si>
    <t>לקט שיחות מתורת הרבי מליובאוויטש</t>
  </si>
  <si>
    <t>יום הילולא כ"ב שבט</t>
  </si>
  <si>
    <t>לזכר הרבנית חיה מושקא ע"ה</t>
  </si>
  <si>
    <t>יום טוב של ר"ה תרס"ו - 2 כרכים</t>
  </si>
  <si>
    <t>יום יום משיח וגאולה</t>
  </si>
  <si>
    <t>ראשון לציון</t>
  </si>
  <si>
    <t>יום יום עם הרבי</t>
  </si>
  <si>
    <t>יומא טבא לרבנן</t>
  </si>
  <si>
    <t>יומן</t>
  </si>
  <si>
    <t>יומן - כסלו תשכ"ה, כסלו תשכ"ח</t>
  </si>
  <si>
    <t>הארלינג, מאיר</t>
  </si>
  <si>
    <t>יומן ט - י שבט תש"ל</t>
  </si>
  <si>
    <t>מערכת רבי דרייב</t>
  </si>
  <si>
    <t>יומן מסע</t>
  </si>
  <si>
    <t>אור יהודה</t>
  </si>
  <si>
    <t>יומן שנת הקהל התשמ"א</t>
  </si>
  <si>
    <t>יומן שנת הקהל התשמ"ח</t>
  </si>
  <si>
    <t>יוסי החבר הכי טוב שלי</t>
  </si>
  <si>
    <t>לזכר הרב יוסף יצחק הלוי רייטשיק ז"ל</t>
  </si>
  <si>
    <t>יוצאים לחירות</t>
  </si>
  <si>
    <t>מכתבים של הרבי מליובאוויטש</t>
  </si>
  <si>
    <t>יחד כל ילדי הכפר</t>
  </si>
  <si>
    <t>קובץ לימוד והכנה</t>
  </si>
  <si>
    <t>יחדיו</t>
  </si>
  <si>
    <t>יחי המלך</t>
  </si>
  <si>
    <t>וולפא, שלום דובער הלוי</t>
  </si>
  <si>
    <t>יחידה ביחיד</t>
  </si>
  <si>
    <t>תלמידי ישיבת תומכי תמימים</t>
  </si>
  <si>
    <t>יחידויות - 3 כרכים</t>
  </si>
  <si>
    <t>יחידויות חתנים וכלות - 2 כרכים</t>
  </si>
  <si>
    <t>יחידות</t>
  </si>
  <si>
    <t>יחננו ויברכנו</t>
  </si>
  <si>
    <t>אייזנבך, חנניה יוסף</t>
  </si>
  <si>
    <t>יין מלכות</t>
  </si>
  <si>
    <t>יין משמח - 5 כרכים</t>
  </si>
  <si>
    <t>תשס"ד - תשע"א</t>
  </si>
  <si>
    <t>ייסודה והתפתחותה של קרית חב"ד בצפת</t>
  </si>
  <si>
    <t>ייסודו והתפתחותו של שיכון חב"ד לוד</t>
  </si>
  <si>
    <t>ייפוי כוח</t>
  </si>
  <si>
    <t>בוחנק, עטל</t>
  </si>
  <si>
    <t>ילקוט אגרות קודש</t>
  </si>
  <si>
    <t>ילקוט אפשערניש (תספורת)</t>
  </si>
  <si>
    <t>ילקוט אשל</t>
  </si>
  <si>
    <t>ילקוט בר מצוה</t>
  </si>
  <si>
    <t>לאופר, מרדכי מנשה - מרינובסקי, משה (עורכים)</t>
  </si>
  <si>
    <t>ילקוט גור אריה - 2 כרכים</t>
  </si>
  <si>
    <t>גוראריה, אלי' יוחנן</t>
  </si>
  <si>
    <t>ילקוט הלכות וטעמי המנהגים חב"ד - 4 כרכים</t>
  </si>
  <si>
    <t>שמלה, ראובן</t>
  </si>
  <si>
    <t>ילקוט הקהל</t>
  </si>
  <si>
    <t>ילקוט התספורת</t>
  </si>
  <si>
    <t>סעקעבריאנסקי, יוסף יצחק</t>
  </si>
  <si>
    <t>ילקוט לוי יצחק - מכתבי החתונה</t>
  </si>
  <si>
    <t>שניאורסון, לוי יצחק</t>
  </si>
  <si>
    <t>ילקוט לוי יצחק על התורה - 6 כרכים</t>
  </si>
  <si>
    <t>שניאורסון, לוי יצחק בן ברוך שניאור</t>
  </si>
  <si>
    <t>ילקוט משיח וגאולה - 29 כרכים</t>
  </si>
  <si>
    <t>ילקוט</t>
  </si>
  <si>
    <t>ילקוט פירושים מילקוט לוי יצחק</t>
  </si>
  <si>
    <t>ילקוט פירושים על מצות תפילין</t>
  </si>
  <si>
    <t>ילקוט תורת הנפש על פי חב"ד</t>
  </si>
  <si>
    <t>בונין (בן-נון), אלכסנדר זושא</t>
  </si>
  <si>
    <t>ימה וקדמה</t>
  </si>
  <si>
    <t>עמיקם, יאיר</t>
  </si>
  <si>
    <t>ימות המשיח</t>
  </si>
  <si>
    <t>ימות המשיח בהלכה - 2 כרכים</t>
  </si>
  <si>
    <t>גערליצקי, אברהם יצחק ברוך בן משה אליהו</t>
  </si>
  <si>
    <t>ימי 770</t>
  </si>
  <si>
    <t>ימי בראשית</t>
  </si>
  <si>
    <t>יומן מתקופת קבלת הנשיאות</t>
  </si>
  <si>
    <t>ימי ברכה</t>
  </si>
  <si>
    <t>יומן אירועים בחודש החגים</t>
  </si>
  <si>
    <t>ימי הבאנייען</t>
  </si>
  <si>
    <t>אברהם, א.</t>
  </si>
  <si>
    <t>ימי הקיץ</t>
  </si>
  <si>
    <t>ימי מלך - א</t>
  </si>
  <si>
    <t>אשכנזי, שניאור - קריצ'בסקי, יוסף יצחק הלוי (עורכים)</t>
  </si>
  <si>
    <t>ימי מלך - 3 כרכים</t>
  </si>
  <si>
    <t>לאופר, מרדכי מנשה</t>
  </si>
  <si>
    <t>ימי תמימים</t>
  </si>
  <si>
    <t>תדפיס</t>
  </si>
  <si>
    <t>ימי תמימים - 8 כרכים</t>
  </si>
  <si>
    <t>יובל שנות פעילות חסידות חב"ד בארה"ק</t>
  </si>
  <si>
    <t>ימים בהירים - 2 כרכים</t>
  </si>
  <si>
    <t>קרניאל, ע. (עריכה)</t>
  </si>
  <si>
    <t>ימים טובים עם הרבי - 4 כרכים</t>
  </si>
  <si>
    <t>ימים מקדם</t>
  </si>
  <si>
    <t>פוונזר, שלמה</t>
  </si>
  <si>
    <t>ימים נוראים</t>
  </si>
  <si>
    <t>יסוד הבנין</t>
  </si>
  <si>
    <t>רבפוגל, משה מאיר (ליקט)</t>
  </si>
  <si>
    <t>יסודה והתפתחותה של שכונת נחלת הר חב"ד</t>
  </si>
  <si>
    <t>אגרות קודש, מכתבים, סיפורי חסידים</t>
  </si>
  <si>
    <t>יסודות הלוח העברי במשנת הרבי</t>
  </si>
  <si>
    <t>יסודי השולחן וזיקוקי אורותיו - 3 כרכים</t>
  </si>
  <si>
    <t>זאיאנץ, שמואל</t>
  </si>
  <si>
    <t>יעמוד מלך</t>
  </si>
  <si>
    <t>וולף, שלום דובער</t>
  </si>
  <si>
    <t xml:space="preserve">תשפ"ג - </t>
  </si>
  <si>
    <t>יעקב אבינו לא מת</t>
  </si>
  <si>
    <t>יקם שערה לדממה</t>
  </si>
  <si>
    <t>יראת ה' אוצרו</t>
  </si>
  <si>
    <t>ירח האיתנים - 2 כרכים</t>
  </si>
  <si>
    <t>ירחי כלה &lt;חב"ד&gt; - א</t>
  </si>
  <si>
    <t>ירחי כלה תשע"ב</t>
  </si>
  <si>
    <t>ישיבת תו"ת המרכזית</t>
  </si>
  <si>
    <t>ירחי כלה תשע"ג</t>
  </si>
  <si>
    <t>ירחי כלה תשע"ו</t>
  </si>
  <si>
    <t>ירחי כלה תשע"ח</t>
  </si>
  <si>
    <t>יש לתמוה &lt;שאלות וחידות בענינים שונים&gt; - א</t>
  </si>
  <si>
    <t>מתיבתא אהלי תורה</t>
  </si>
  <si>
    <t>ישיבה של מעלה מיערות בראזיל</t>
  </si>
  <si>
    <t>בנימיני, חיים</t>
  </si>
  <si>
    <t>ישמח ישראל - 2 כרכים</t>
  </si>
  <si>
    <t>ישמיע כל תהלתו - 3 כרכים</t>
  </si>
  <si>
    <t>ישר יחזו פנימו - 2 כרכים</t>
  </si>
  <si>
    <t>ישראל נח הגדול</t>
  </si>
  <si>
    <t>יתבררו ויתלבנו</t>
  </si>
  <si>
    <t>יתבררו ויתלבנו הדברים</t>
  </si>
  <si>
    <t>אגודת בני תורה</t>
  </si>
  <si>
    <t>כבוד חכמים</t>
  </si>
  <si>
    <t>קובץ מיוחד לחידושי תורה</t>
  </si>
  <si>
    <t>כבוד חכמים - 3 כרכים</t>
  </si>
  <si>
    <t>אסיפת חידושי תורה</t>
  </si>
  <si>
    <t>שיקגו</t>
  </si>
  <si>
    <t>כבוד חכמים עטרת פז</t>
  </si>
  <si>
    <t>כבוד מלך</t>
  </si>
  <si>
    <t>ניו הייוען|ניו הייווען</t>
  </si>
  <si>
    <t>כבוד מלכים - פסחים</t>
  </si>
  <si>
    <t>כבוד מלכים</t>
  </si>
  <si>
    <t>כבודה של תורה - 5 כרכים</t>
  </si>
  <si>
    <t>כה תברכו</t>
  </si>
  <si>
    <t>רוט, משה אריאל בן נפתלי הכהן</t>
  </si>
  <si>
    <t>כוחה של סנגוריה - 2 כרכים</t>
  </si>
  <si>
    <t>שניאורסון, יהושע פישל בן שניאור זלמן</t>
  </si>
  <si>
    <t>תשכ"ז</t>
  </si>
  <si>
    <t>כוחו של פתגם</t>
  </si>
  <si>
    <t>בית חנה</t>
  </si>
  <si>
    <t>כולם בחכמה - 2 כרכים</t>
  </si>
  <si>
    <t>רוטנברג, ש. (ליקוט ועריכה)</t>
  </si>
  <si>
    <t>כולנו כאחד</t>
  </si>
  <si>
    <t>כי הם חיינו</t>
  </si>
  <si>
    <t>כי קדוש היום</t>
  </si>
  <si>
    <t>כינוס בית הבחירה - תשנ"ג</t>
  </si>
  <si>
    <t>קובץ שיעורים</t>
  </si>
  <si>
    <t>כינוס השלוחים</t>
  </si>
  <si>
    <t>גרייזמאן, שמואל</t>
  </si>
  <si>
    <t>כינוס השלוחים העולמי</t>
  </si>
  <si>
    <t>כינוס מחנכי חב"ד (באנגלית)</t>
  </si>
  <si>
    <t>כינוס מחנכי חב"ד</t>
  </si>
  <si>
    <t>כינוס תורה - 12 כרכים</t>
  </si>
  <si>
    <t>כינוס תורה (בוסטון)</t>
  </si>
  <si>
    <t>בוסטון</t>
  </si>
  <si>
    <t>כינוס תורה (כפר חב"ד) - 2 כרכים</t>
  </si>
  <si>
    <t>כינוס תורה (לונדון)</t>
  </si>
  <si>
    <t>כינוס תורה (קאלקאסקא, מישיגען)</t>
  </si>
  <si>
    <t>כינוס תורה (קזבלנקה)</t>
  </si>
  <si>
    <t>כזבלנכה|כזבלאנכה</t>
  </si>
  <si>
    <t>כינוס תורה (קרית מלאכי) - א</t>
  </si>
  <si>
    <t>כינוס תורה הגדול</t>
  </si>
  <si>
    <t>כיצד מסלפים</t>
  </si>
  <si>
    <t>כיצד נחנך את ילדינו - 2 כרכים</t>
  </si>
  <si>
    <t>ככם כגר - כניסה לברית בקבלת המצוות</t>
  </si>
  <si>
    <t>כל היוצא למלחמת בית דוד</t>
  </si>
  <si>
    <t>כל סיפורי הרבי - 5 כרכים</t>
  </si>
  <si>
    <t>זלמנוב, אבי - בורנשטיין, יעקב - ליברמן, שנ"ז</t>
  </si>
  <si>
    <t>כל עצמותי</t>
  </si>
  <si>
    <t>ניגוני חסידי חב"ד</t>
  </si>
  <si>
    <t>כלל גדול בתורה</t>
  </si>
  <si>
    <t>חסידות, תנ''ך</t>
  </si>
  <si>
    <t>כללי הפוסקים וההוראה</t>
  </si>
  <si>
    <t>פרקש, יקותיאל</t>
  </si>
  <si>
    <t>כללי רמב"ם</t>
  </si>
  <si>
    <t>לאופר, מרדכי מנשה (עורך)</t>
  </si>
  <si>
    <t>כללי רש"י - 2 כרכים</t>
  </si>
  <si>
    <t>בלוי, טוביה (עורך)</t>
  </si>
  <si>
    <t>כללים בדא"ח</t>
  </si>
  <si>
    <t>כמותו ממש</t>
  </si>
  <si>
    <t>כמים לים מכסים</t>
  </si>
  <si>
    <t>כן אמר הלל</t>
  </si>
  <si>
    <t>כס המלך</t>
  </si>
  <si>
    <t>קובץ בית חב"ד כפר סבא</t>
  </si>
  <si>
    <t>כפר סבא</t>
  </si>
  <si>
    <t>כפר חב"ד - 2 כרכים</t>
  </si>
  <si>
    <t>כפר של תפילה</t>
  </si>
  <si>
    <t>ועד רוחני דכפר חב"ד</t>
  </si>
  <si>
    <t>כרם חב"ד - 3 כרכים</t>
  </si>
  <si>
    <t>כרם חב"ד</t>
  </si>
  <si>
    <t>כרם מנחם - א</t>
  </si>
  <si>
    <t>והבה, מנחם מענדל</t>
  </si>
  <si>
    <t>לימה</t>
  </si>
  <si>
    <t>כשהיינו ילדים</t>
  </si>
  <si>
    <t>כשיתבונן האדם - נושאים</t>
  </si>
  <si>
    <t>כתבי אברהם אליהו</t>
  </si>
  <si>
    <t>כתבי הרח"א ביחובסקי</t>
  </si>
  <si>
    <t>ביחובסקי, חיים אליעזר הכהן</t>
  </si>
  <si>
    <t>כתבי יד קודש - (מתוך 'המזכיר')</t>
  </si>
  <si>
    <t>גרונר, יהודה לייב</t>
  </si>
  <si>
    <t>כתבי קודש &lt;עלי הגהה&gt;  - 3 כרכים</t>
  </si>
  <si>
    <t>כתבי ר' אייזיק - 3 כרכים</t>
  </si>
  <si>
    <t>שוויי, אייזיק בן מרדכי אליהו</t>
  </si>
  <si>
    <t>כתר מלכות</t>
  </si>
  <si>
    <t>כתר שם טוב השלם &lt;מהדורה חדשה&gt;</t>
  </si>
  <si>
    <t>ישראל בן אליעזר (בעש"ט)</t>
  </si>
  <si>
    <t>כתר שם טוב השלם</t>
  </si>
  <si>
    <t>ל"ב סביון</t>
  </si>
  <si>
    <t>לא יהיה לך אלקים אחרים על פני</t>
  </si>
  <si>
    <t>לא יצא בצבא</t>
  </si>
  <si>
    <t>לא תשתחוו (מחיי הקאנטוניסטים)</t>
  </si>
  <si>
    <t>המרכז לעניני חינוך</t>
  </si>
  <si>
    <t>לאהוב</t>
  </si>
  <si>
    <t>לאורם נתחנך - 2 כרכים</t>
  </si>
  <si>
    <t>לאן הלכת</t>
  </si>
  <si>
    <t>קלמנסון, מענדל</t>
  </si>
  <si>
    <t>לב הארי</t>
  </si>
  <si>
    <t>טננבוים, זושא</t>
  </si>
  <si>
    <t>לב טהור</t>
  </si>
  <si>
    <t>לב יהודה</t>
  </si>
  <si>
    <t>לוין, יהודא לייב</t>
  </si>
  <si>
    <t>לב לדעת - 2 כרכים</t>
  </si>
  <si>
    <t>לב לדעת - 3 כרכים</t>
  </si>
  <si>
    <t>מאסף</t>
  </si>
  <si>
    <t>לב לדעת - 5 כרכים</t>
  </si>
  <si>
    <t>לבקר בהיכלו</t>
  </si>
  <si>
    <t>לבשי בגדי תפארתך - א-ג</t>
  </si>
  <si>
    <t>ועדת החינוך של מוסדות בית רבקה</t>
  </si>
  <si>
    <t>לגבורה של תורה</t>
  </si>
  <si>
    <t>לגעת בנשמות</t>
  </si>
  <si>
    <t>לדעת להאמין</t>
  </si>
  <si>
    <t>להביא לימות המשיח</t>
  </si>
  <si>
    <t>גינזבורג, לוי יצחק</t>
  </si>
  <si>
    <t>לקט מקורות בענייני תשובה</t>
  </si>
  <si>
    <t>לקט מהוראות הרבי להבאת הגאולה</t>
  </si>
  <si>
    <t>להבין את הקסם</t>
  </si>
  <si>
    <t>מכללת בית רבקה</t>
  </si>
  <si>
    <t>להבין ולהשכיל</t>
  </si>
  <si>
    <t>שניאורסון, מנחם מנדל בן לוי יצחק - כהן, יואל</t>
  </si>
  <si>
    <t>להבין חסידות</t>
  </si>
  <si>
    <t>להודות ולהלל - בדיני חנוכה ופורים</t>
  </si>
  <si>
    <t>וילהלם, נחמן</t>
  </si>
  <si>
    <t>מועדי ישראל, שלחן ערוך ומפרשיו</t>
  </si>
  <si>
    <t>להיות בשמחה תמיד</t>
  </si>
  <si>
    <t>להעלות נר תמיד - א</t>
  </si>
  <si>
    <t>להשבית אויב ומתנקם</t>
  </si>
  <si>
    <t>להשכילך בינה</t>
  </si>
  <si>
    <t>חסידות, קבלה</t>
  </si>
  <si>
    <t>להתכונן</t>
  </si>
  <si>
    <t>תגר, מלכה</t>
  </si>
  <si>
    <t>לוח השמטות ותיקונים על סידור רבינו הזקן</t>
  </si>
  <si>
    <t>ראסקין, לוי יצחק</t>
  </si>
  <si>
    <t>לוח התיקון לשו"ע אדמו"ר הזקן תשס"א - תשס"ז</t>
  </si>
  <si>
    <t>לוח התיקון</t>
  </si>
  <si>
    <t>לוח חב"ד - תשנ"ג</t>
  </si>
  <si>
    <t>לוח חב"ד</t>
  </si>
  <si>
    <t>לוח יום יומי הלכה למעשה - חג השבועות</t>
  </si>
  <si>
    <t>בד"צ דקראון הייטס</t>
  </si>
  <si>
    <t>לוח כולל חב"ד לשנת תש"ע</t>
  </si>
  <si>
    <t>כולל חב"ד</t>
  </si>
  <si>
    <t>לוח כולל חב"ד לשנת תשס"ז</t>
  </si>
  <si>
    <t>לוח כולל חב"ד לשנת תשע"א</t>
  </si>
  <si>
    <t>לוח כולל חב"ד לשנת תשע"ג</t>
  </si>
  <si>
    <t>לוח ניסן תשפ"ב</t>
  </si>
  <si>
    <t>וועד רבני ליובאויץ צרפת</t>
  </si>
  <si>
    <t>לוח ראשי תיבות חב"ד</t>
  </si>
  <si>
    <t>פרידמן, פרץ</t>
  </si>
  <si>
    <t>לחוש איך זה מחוב"ד</t>
  </si>
  <si>
    <t>ארגון נשי ובנות חב"ד באה"ק</t>
  </si>
  <si>
    <t>לחיות במרחב אלוקי</t>
  </si>
  <si>
    <t>לחיות ושוב לחיות</t>
  </si>
  <si>
    <t>לחיות עם הזמן</t>
  </si>
  <si>
    <t>לחיות עם הזמן - 5 כרכים</t>
  </si>
  <si>
    <t>תש"ע - תשע"ב</t>
  </si>
  <si>
    <t>לחיות עם זה</t>
  </si>
  <si>
    <t>לחיים ולברכה</t>
  </si>
  <si>
    <t>טייב, מיכאל</t>
  </si>
  <si>
    <t>חיטריק, יוסף יצחק</t>
  </si>
  <si>
    <t>לחשוב כיהודי</t>
  </si>
  <si>
    <t>פוזנר, זלמן י.</t>
  </si>
  <si>
    <t>לטביה בתי כנסת ורבנים</t>
  </si>
  <si>
    <t>ברכהן, נתן</t>
  </si>
  <si>
    <t>לידע ולהכיר</t>
  </si>
  <si>
    <t>ליובאוויטש - תולדות העיירה</t>
  </si>
  <si>
    <t>אגודת חסידי חב"ד במדינות חבר העמים</t>
  </si>
  <si>
    <t>ליובאוויטש העיירה של חב"ד</t>
  </si>
  <si>
    <t xml:space="preserve">תשע"ז - </t>
  </si>
  <si>
    <t>ליובאוויטש וחיילה</t>
  </si>
  <si>
    <t>הכהן, רפאל נחמן</t>
  </si>
  <si>
    <t>ליובאוויטש ערש חסידות חב"ד</t>
  </si>
  <si>
    <t>ליובאוויטש שבליובאוויטש - 3 כרכים</t>
  </si>
  <si>
    <t>ליובאוויטשע מצה</t>
  </si>
  <si>
    <t>ליכט שטראלן - 6 כרכים</t>
  </si>
  <si>
    <t>כהן, אלישב</t>
  </si>
  <si>
    <t>תשכ"ט</t>
  </si>
  <si>
    <t>לימוד החסידות</t>
  </si>
  <si>
    <t>לימוד הרמב"ם - לדעת להבין להעמיק</t>
  </si>
  <si>
    <t>לימוד לקוטי שיחות לעיונא</t>
  </si>
  <si>
    <t>ליקוט בנושא הכנסת הילד לחדר</t>
  </si>
  <si>
    <t>פונטו קומבו צרפת</t>
  </si>
  <si>
    <t>ליקוט בענין הכתיבה לרבי</t>
  </si>
  <si>
    <t>ליקוט דיני ומנהגי ראש חודש</t>
  </si>
  <si>
    <t>רפופורט, חים</t>
  </si>
  <si>
    <t>ליקוט טעמים ומקורות לסליחות</t>
  </si>
  <si>
    <t>ליקוט כאן צוה ה' את הברכה</t>
  </si>
  <si>
    <t>ליקוט כתבי יד קודש - 5 כרכים</t>
  </si>
  <si>
    <t>ליקוט מחידושי הצמח צדק על הש"ס - קידושין</t>
  </si>
  <si>
    <t>ליקוט מנהגי הרביים - ליל הסדר</t>
  </si>
  <si>
    <t>געז, אברהם בצלאל</t>
  </si>
  <si>
    <t>ברינוא</t>
  </si>
  <si>
    <t>ליקוט מענות קודש - 18 כרכים</t>
  </si>
  <si>
    <t>ליקוט מפירש"י עה"ת</t>
  </si>
  <si>
    <t>ליקוט מקורות בענין גאולה ומשיח - ב-ד</t>
  </si>
  <si>
    <t>ליקוט מראי מקומות אודות לימוד פנימיות התורה</t>
  </si>
  <si>
    <t>מראי מקומות</t>
  </si>
  <si>
    <t>ליקוט מראי מקומות לקונטרס ר"ח כסלו</t>
  </si>
  <si>
    <t>ליקוט מראי מקומות</t>
  </si>
  <si>
    <t>קאראקס|קאראקאס</t>
  </si>
  <si>
    <t>ליקוט מראי מקומות שצויינו בליקוטי שיחות</t>
  </si>
  <si>
    <t>ליקוט משיחות קודש - גודל שמחת בית השואבה ברשות הרבים</t>
  </si>
  <si>
    <t>ליקוט ניגונים - 2 כרכים</t>
  </si>
  <si>
    <t>ליקוט פירושים</t>
  </si>
  <si>
    <t>ליקוט שיחות ומכתבים</t>
  </si>
  <si>
    <t>ליקוטי אור</t>
  </si>
  <si>
    <t>פיזם, יוסף אברהם</t>
  </si>
  <si>
    <t>ליקוטי אורות - 2 כרכים</t>
  </si>
  <si>
    <t>וולפסון, משה</t>
  </si>
  <si>
    <t>ליקוטי אמרים - 2 כרכים</t>
  </si>
  <si>
    <t>ליקוטי אמרים  תניא עם ביאור רחב - אגרת התשובה</t>
  </si>
  <si>
    <t>חסידות, מחשבה ומוסר, ספריית חב''ד</t>
  </si>
  <si>
    <t>ליקוטי אמרים תניא &lt;טקסט&gt;</t>
  </si>
  <si>
    <t>ליקוטי אמרים תניא - מהדורא קמא</t>
  </si>
  <si>
    <t>ליקוטי אמרים תניא &lt;בצירוף מ"מ ליקוטי פירושים וש"נ&gt;  - 6 כרכים</t>
  </si>
  <si>
    <t>ליקוטי אמרים תניא (בתרגום אידיש)</t>
  </si>
  <si>
    <t>ליקוטי אמרים תניא (בתרגום אנגלית)</t>
  </si>
  <si>
    <t>ליקוטי אמרים תניא (בתרגום גרמנית) - 2 כרכים</t>
  </si>
  <si>
    <t>ליקוטי אמרים תניא (בתרגום ספרדית) - ד</t>
  </si>
  <si>
    <t>ריו דה ז'נרו</t>
  </si>
  <si>
    <t>ליקוטי אמרים תניא (בתרגום ערבית)</t>
  </si>
  <si>
    <t>ליקוטי אמרים תניא (בתרגום צרפתית)</t>
  </si>
  <si>
    <t>ליקוטי אמרים תניא עם ביאור השווה לכל נפש - 6 כרכים</t>
  </si>
  <si>
    <t>שניאור זלמן בן ברוך מלאדי - כהן, יואל</t>
  </si>
  <si>
    <t>ליקוטי אמרים תניא עם ביאור ר' יואל קאהן - א</t>
  </si>
  <si>
    <t>קאהן, יואל</t>
  </si>
  <si>
    <t>ליקוטי אמרים תניא עם ביאורים ופנינים - 2 כרכים</t>
  </si>
  <si>
    <t>שניאור זלמן בן ברוך מלאדי - לינק, משה</t>
  </si>
  <si>
    <t>ליקוטי אמרים תניא עם ליקוטי ציטוטים</t>
  </si>
  <si>
    <t>חן, עמית (מלקט)</t>
  </si>
  <si>
    <t>ליקוטי אמרים תניא עם לקוט פירושים - 2 כרכים</t>
  </si>
  <si>
    <t>ליקוט פירושים מספרי וכתבי רבותינו נשיאינו</t>
  </si>
  <si>
    <t>ליקוטי אמרים תניא עם פירוש חסידות מבוארת - 8 כרכים</t>
  </si>
  <si>
    <t>מכון אליעזר יצחק</t>
  </si>
  <si>
    <t>ליקוטי ביאורים בספר התניא - 3 כרכים</t>
  </si>
  <si>
    <t>קארף, יהושע בן גדליה</t>
  </si>
  <si>
    <t>ניו יורק|ניו יררק</t>
  </si>
  <si>
    <t>ליקוטי ביאורים לי"ב הפסוקים ומרז"ל</t>
  </si>
  <si>
    <t>לקוטי ביאורים</t>
  </si>
  <si>
    <t>ליקוטי דיבורים - 2 כרכים</t>
  </si>
  <si>
    <t>ליקוטי דיבורים - 3 כרכים</t>
  </si>
  <si>
    <t>שניאורסון, יוסף יצחק. תירגם: גליצנשטיין, אברהם חנוך</t>
  </si>
  <si>
    <t>ליקוטי הגהות לספר התניא</t>
  </si>
  <si>
    <t>ליקוטי הוראות מנהגים וביאורים בענייני שידוכים ונישואין</t>
  </si>
  <si>
    <t>ליקוטי הנהגות והלכות בחינוך על טהרת הקדש</t>
  </si>
  <si>
    <t>ליקוטי לוי יצחק - 4 כרכים</t>
  </si>
  <si>
    <t>ליקוטי ספורים</t>
  </si>
  <si>
    <t>פרלוב, חיים מרדכי</t>
  </si>
  <si>
    <t>ליקוטי ערכים בש"ס וברמב"ם</t>
  </si>
  <si>
    <t>ליקוטי רשימות ומעשיות</t>
  </si>
  <si>
    <t>לקוטי רשימות ומעשיות</t>
  </si>
  <si>
    <t>ליקוטי שיחות - 44 כרכים</t>
  </si>
  <si>
    <t>ליקוטי שיחות &lt;תרגום חפשי&gt;  - 25 כרכים</t>
  </si>
  <si>
    <t>ליקוטי שיחות &lt;מועדים&gt;  - 6 כרכים</t>
  </si>
  <si>
    <t>ליקוטי שיחות &lt;רעיונות לפרשת השבוע&gt;  - 2 כרכים</t>
  </si>
  <si>
    <t>תשל"ח</t>
  </si>
  <si>
    <t>ליקוטי שיר השירים</t>
  </si>
  <si>
    <t>ליקוטי תורה</t>
  </si>
  <si>
    <t>ליקוטי תורה לג' פרשיות</t>
  </si>
  <si>
    <t>וילנא</t>
  </si>
  <si>
    <t>תרמ"ד</t>
  </si>
  <si>
    <t>ליקוטי תורה תורת שמואל - 24 כרכים</t>
  </si>
  <si>
    <t>ליקוטים להמראי מקומות לליקוטי שיחות - 10 כרכים</t>
  </si>
  <si>
    <t>ליקוטים להמראי מקומות</t>
  </si>
  <si>
    <t>לכבוד התורה</t>
  </si>
  <si>
    <t>מכון לדעת</t>
  </si>
  <si>
    <t>לכבוד צדיק</t>
  </si>
  <si>
    <t>לכבודו של מלך - 9 כרכים</t>
  </si>
  <si>
    <t>קובץ: ישיבת תומכי תמימים קרית גת</t>
  </si>
  <si>
    <t>לכבודו של צדיק</t>
  </si>
  <si>
    <t>קזבלנקה</t>
  </si>
  <si>
    <t>לכה דודי</t>
  </si>
  <si>
    <t>גאלאמב, מיכאל חנוך</t>
  </si>
  <si>
    <t>לכתחילה אריבער</t>
  </si>
  <si>
    <t>שניאורסון, מנחם מנדל בן לוי יצחק - בוקיעט, אברהם שמואל (עורך)</t>
  </si>
  <si>
    <t>ללא מורא - 2 כרכים</t>
  </si>
  <si>
    <t>ללמוד איך להתפלל - 6 כרכים</t>
  </si>
  <si>
    <t>הלכה ומנהג, חסידות, מחשבה ומוסר, ספריית חב''ד</t>
  </si>
  <si>
    <t>ללמוד את המועדים</t>
  </si>
  <si>
    <t>ללמוד וללמד</t>
  </si>
  <si>
    <t>מנדלזון, לוי יצחק</t>
  </si>
  <si>
    <t>ללמוד תניא - פרקים א-נג</t>
  </si>
  <si>
    <t>למען ידעו... בנים יולדו</t>
  </si>
  <si>
    <t>שוסטרמן, מרדכי</t>
  </si>
  <si>
    <t>למען תצליח</t>
  </si>
  <si>
    <t>אוירכמן, יחיאל ברוך</t>
  </si>
  <si>
    <t>לספר מבראשית - 2 כרכים</t>
  </si>
  <si>
    <t>לעולם חסדו</t>
  </si>
  <si>
    <t>חדאד, אפרים</t>
  </si>
  <si>
    <t>לעורר את האהבה</t>
  </si>
  <si>
    <t>לפני המלך</t>
  </si>
  <si>
    <t>לפני מי אתה עומד</t>
  </si>
  <si>
    <t>קפלון, נחמיה (ערך וליקט)</t>
  </si>
  <si>
    <t>לפנים משורת הדין</t>
  </si>
  <si>
    <t>טאובר, י.</t>
  </si>
  <si>
    <t>לפקוח את העינים</t>
  </si>
  <si>
    <t>לקבל פני משיח צדקנו בפועל ממש</t>
  </si>
  <si>
    <t>ארגון נשי ובנות חב"ד</t>
  </si>
  <si>
    <t>לקוטי אמרים תניא &lt;באר יעקב&gt;</t>
  </si>
  <si>
    <t>ניסן, יעקב ישראל בן אמנון</t>
  </si>
  <si>
    <t>לקוטי דיבורים - 5 כרכים</t>
  </si>
  <si>
    <t>לקוטי שיחות &lt;מתורגם גרמנית&gt;</t>
  </si>
  <si>
    <t>לקוטי שיחות מבואר - א (בשלח י' שבט)</t>
  </si>
  <si>
    <t>לקוטי תורה - ויקרא</t>
  </si>
  <si>
    <t>לקוטי תורה המבואר - פסח, ל"ג בעומר, שבועות, ראש חודש</t>
  </si>
  <si>
    <t>לקוטי תורה ותורה אור המבואר א &lt;בראשית&gt; - 21 כרכים</t>
  </si>
  <si>
    <t>שניאור זלמן בן ברוך מלאדי - געלב, לוי</t>
  </si>
  <si>
    <t>לקוטי תורה עם ביאורי הרב שטיינזלץ - 2 כרכים</t>
  </si>
  <si>
    <t>שניאור זלמן בן ברוך מלאדי - שטיינזלץ, עדין</t>
  </si>
  <si>
    <t>לקח טוב</t>
  </si>
  <si>
    <t>לקט אמרים ופתגמי קדש בגודל מעלת לימוד שעורי חת"ת</t>
  </si>
  <si>
    <t>סלונים, זאב דב</t>
  </si>
  <si>
    <t>לקט הוראות בטחון ארץ הקדש</t>
  </si>
  <si>
    <t>לקט הליכות ומנהגי שבת קודש - 3 כרכים</t>
  </si>
  <si>
    <t>זעליגזאן, מיכאל אהרן</t>
  </si>
  <si>
    <t>לקט הלכות ומנהגים לחג הפסח</t>
  </si>
  <si>
    <t>בלינוב, אברהם אשר</t>
  </si>
  <si>
    <t>לקט הלכות לתלמידים מתוך קיצור שלחן ערוך</t>
  </si>
  <si>
    <t>ביסטריצקי, לוי בן יהודה לייב</t>
  </si>
  <si>
    <t>לקט ופרט - 24 כרכים</t>
  </si>
  <si>
    <t>לקט חידושי תורה - 3 כרכים</t>
  </si>
  <si>
    <t>לקט חידושים וביאורים במסכת בבא בתרא</t>
  </si>
  <si>
    <t>לקט ליום ההילולא י' שבט</t>
  </si>
  <si>
    <t>לקט ליום ההילולא</t>
  </si>
  <si>
    <t>לקט מאמרים על האשה בישראל</t>
  </si>
  <si>
    <t>נשי חב"ד</t>
  </si>
  <si>
    <t>לקט מביאורי רבותינו נשיאינו - קידושין</t>
  </si>
  <si>
    <t>לקט מכתבי קודש</t>
  </si>
  <si>
    <t>לקט מענות קודש</t>
  </si>
  <si>
    <t>מערכת כינוס השלוחים</t>
  </si>
  <si>
    <t>לקט מתורת רבותינו נשיאינו - תשנ"ט</t>
  </si>
  <si>
    <t>אביכזר, גבריאל</t>
  </si>
  <si>
    <t>לקט מתורת רבותינו נשיאינו - 2 כרכים</t>
  </si>
  <si>
    <t>לקט מתורת רבותינו נשיאנו - תשנ"א</t>
  </si>
  <si>
    <t>זעליגזאן, מיכאל אהרן (ערך וליקט)</t>
  </si>
  <si>
    <t>לקט סיפורים על הרבי מליובאויטש - 7 כרכים</t>
  </si>
  <si>
    <t>לקט סיפורים</t>
  </si>
  <si>
    <t>לקט ספורים</t>
  </si>
  <si>
    <t>לקט עיונים ובירורי הלכה</t>
  </si>
  <si>
    <t>קפלן, אריה ליב</t>
  </si>
  <si>
    <t>לקט ציונים והערות לש"ע אדמו"ר הזקן - 2 כרכים</t>
  </si>
  <si>
    <t>ביסטריצקי, לוי</t>
  </si>
  <si>
    <t>לקט שכחת הפאה</t>
  </si>
  <si>
    <t>לקראת שבת - 6 כרכים</t>
  </si>
  <si>
    <t>איגוד תלמידי הישיבות העולמי</t>
  </si>
  <si>
    <t>לקרב הניצוץ אל המאור</t>
  </si>
  <si>
    <t>כלב, יאיר</t>
  </si>
  <si>
    <t>לשם ולתפארת</t>
  </si>
  <si>
    <t>לשם מה חייבים רבי - ואתה תצוה בעיון</t>
  </si>
  <si>
    <t>לשמוע בקול דברו</t>
  </si>
  <si>
    <t>לשמך תן כבוד</t>
  </si>
  <si>
    <t>לשמע אזן</t>
  </si>
  <si>
    <t>דוכמאן, שניאור זלמן הלוי</t>
  </si>
  <si>
    <t>מ'פארט צום רבי'ן</t>
  </si>
  <si>
    <t>קובץ הכנה</t>
  </si>
  <si>
    <t>מאגר ערכים בספרות חב"ד - 2 כרכים</t>
  </si>
  <si>
    <t>לייאנס, דוד</t>
  </si>
  <si>
    <t>אשדוד</t>
  </si>
  <si>
    <t>מאה ואחד סיפורים ראשונים לילד החסידי - 5 כרכים</t>
  </si>
  <si>
    <t>רוטנברג, שולמית (עריכה)</t>
  </si>
  <si>
    <t>מאה שנה להולדת הרבי - 2 כרכים</t>
  </si>
  <si>
    <t>מאה שערים</t>
  </si>
  <si>
    <t>אדמור"י חב"ד</t>
  </si>
  <si>
    <t>מאה שערים &lt;מהדורה חדשה&gt;</t>
  </si>
  <si>
    <t>מאוצר המלך - 3 כרכים</t>
  </si>
  <si>
    <t>מאור התורה - יתרו</t>
  </si>
  <si>
    <t>מאחורי הקלעים</t>
  </si>
  <si>
    <t>קרסיק, שמוליק - וולף, זושא</t>
  </si>
  <si>
    <t>מאחורי מסך הברזל</t>
  </si>
  <si>
    <t>מאחורי קווי האויב</t>
  </si>
  <si>
    <t>מאי חנוכה - 3 כרכים</t>
  </si>
  <si>
    <t>מאמר - ד"ה עשרה שיושבים תרפ"ח</t>
  </si>
  <si>
    <t>שניאורסון, יוסף יצחק - עזרן שי (ביאור)</t>
  </si>
  <si>
    <t>מאמר - 7 כרכים</t>
  </si>
  <si>
    <t>מאמר - 3 כרכים</t>
  </si>
  <si>
    <t>מאמר - 12 כרכים</t>
  </si>
  <si>
    <t>מאמר - 6 כרכים</t>
  </si>
  <si>
    <t>שאר ספרי חז''ל</t>
  </si>
  <si>
    <t>מאמר - 4 כרכים</t>
  </si>
  <si>
    <t>מאמר - 10 כרכים</t>
  </si>
  <si>
    <t>מאמר החודש הזה לכם - ה'תשל"ד</t>
  </si>
  <si>
    <t>ישראל ?</t>
  </si>
  <si>
    <t>מאמר חסידות מבואר - בעצם היום הזה</t>
  </si>
  <si>
    <t>מאמר כי אתה אבינו - 2 כרכים</t>
  </si>
  <si>
    <t>מאמר כי מראש צורים אראנו - התשל"ד</t>
  </si>
  <si>
    <t>מאמר לאדמו"ר הרש"ב זי"ע עם פירוש חסידות מבוארת</t>
  </si>
  <si>
    <t>מאמר מבואר - 14 כרכים</t>
  </si>
  <si>
    <t>מאמר ערוך</t>
  </si>
  <si>
    <t>גולומב, חנוך מיכאל</t>
  </si>
  <si>
    <t>מאמר שני המאורות</t>
  </si>
  <si>
    <t>אפשטיין, יצחק אייזיק בן מרדכי הלוי</t>
  </si>
  <si>
    <t>פולטבה</t>
  </si>
  <si>
    <t>תרע"ח</t>
  </si>
  <si>
    <t>מאמרי אדמו"ר האמצעי &lt;טקסט&gt;</t>
  </si>
  <si>
    <t>מאמרי אדמו"ר האמצעי - 19 כרכים</t>
  </si>
  <si>
    <t>מאמרי אדמו"ר הזקן - 32 כרכים</t>
  </si>
  <si>
    <t>תשי"ח</t>
  </si>
  <si>
    <t>מאמרי אדמו"ר הזקן ע"פ חסידות מבוארת - 4 כרכים</t>
  </si>
  <si>
    <t>מאמרי אדמו"ר הצמח צדק &lt;טקסט&gt; - הנחות תרי"ד-תרט"ו</t>
  </si>
  <si>
    <t>מאמרי אדמו"ר הצמח צדק הנחות א &lt;בראשית - 5 כרכים</t>
  </si>
  <si>
    <t>מאמרי אדמו"ר הרש"ב עם ביאור נרחב - א</t>
  </si>
  <si>
    <t>מאמרי באתי לגני - תשט"ז תשל"ו</t>
  </si>
  <si>
    <t>מאמרי בשעה שהקדימו, וידבר גו' לאמר - תשל"ח</t>
  </si>
  <si>
    <t>מאמרי דא"ח</t>
  </si>
  <si>
    <t>מאמרי הרבי</t>
  </si>
  <si>
    <t>מאמרי השתטחות</t>
  </si>
  <si>
    <t>מאליסוב, הילל בן מאיר הלוי</t>
  </si>
  <si>
    <t>מאמרי חסידות</t>
  </si>
  <si>
    <t>שניאורסון, יוסף יצחק</t>
  </si>
  <si>
    <t>מאמרי חתונה עם פירוש חסידות מבוארת</t>
  </si>
  <si>
    <t>מאמרי חתונה</t>
  </si>
  <si>
    <t>מאמרי כ"ק אדמו"ר מליובאוויטש - א</t>
  </si>
  <si>
    <t>מאמרי קודש פון כ"ק אדמו"ר שליט"א</t>
  </si>
  <si>
    <t>תש"ב</t>
  </si>
  <si>
    <t>מאמרים - יפה שעה אחת בתשובה ומעש"ט. להבין מארז"ל מפני מה ת"ח כו'</t>
  </si>
  <si>
    <t>מאמרים מלוקטים - 3 כרכים</t>
  </si>
  <si>
    <t>מאמרים מלוקטים מספר ליקוטי תורה של רבנו הזקן</t>
  </si>
  <si>
    <t>מאמרים פון כ"ק אדמו"ר שליט"א</t>
  </si>
  <si>
    <t>מאמרים קצרים - קובץ ו</t>
  </si>
  <si>
    <t>מאסר וגאולת אדמו"ר האמצעי</t>
  </si>
  <si>
    <t>לוין, שלום דובער (עורך)</t>
  </si>
  <si>
    <t>מבוא למסכת גיטין</t>
  </si>
  <si>
    <t>וילהלם, ישעיהו זושא</t>
  </si>
  <si>
    <t>מבוא לקבלת האר"י</t>
  </si>
  <si>
    <t>מבוא לקריאה</t>
  </si>
  <si>
    <t>ליפשיץ, י. י.</t>
  </si>
  <si>
    <t>מבועי החסידות - א</t>
  </si>
  <si>
    <t>מבחר מאמרים למחשבת חב"ד</t>
  </si>
  <si>
    <t>מבחר מאמרים</t>
  </si>
  <si>
    <t>מבחר שיעורי התבוננות - 24 כרכים</t>
  </si>
  <si>
    <t>מבט אל החיים</t>
  </si>
  <si>
    <t>מכון רוהר</t>
  </si>
  <si>
    <t>מבט חסידי על מועדי ישראל</t>
  </si>
  <si>
    <t>ברוד, אליעזר יעקב הלוי</t>
  </si>
  <si>
    <t>מבט מיוחד</t>
  </si>
  <si>
    <t>מבית ההוראה - 4 כרכים</t>
  </si>
  <si>
    <t>משלחן בית ההוראה בכפר חב"ד</t>
  </si>
  <si>
    <t>תשע"ט - תשפ"א</t>
  </si>
  <si>
    <t>מבית המלכות - 2 כרכים</t>
  </si>
  <si>
    <t>לובעצקי, מאיר שלמה</t>
  </si>
  <si>
    <t>מבית חיינו - 6 כרכים</t>
  </si>
  <si>
    <t>מבנה התניא ורעיונות מרכזיים</t>
  </si>
  <si>
    <t>מבצע הדפסת ספר התניא - 3 כרכים</t>
  </si>
  <si>
    <t>מבצע הדפסת ספר התניא</t>
  </si>
  <si>
    <t>מבצע תפילין</t>
  </si>
  <si>
    <t>מבצעון</t>
  </si>
  <si>
    <t>רשת אהלי יוסף</t>
  </si>
  <si>
    <t>מגבעות אשורנו</t>
  </si>
  <si>
    <t>גרשוני, ב.צ</t>
  </si>
  <si>
    <t>מגדל אור &lt;לוס אנג'לס&gt;  - 15 כרכים</t>
  </si>
  <si>
    <t>קובץ (לוס אנג'לס)</t>
  </si>
  <si>
    <t>לוס אנג'לס</t>
  </si>
  <si>
    <t>מגדל אור &lt;מגדל העמק&gt;  - 3 כרכים</t>
  </si>
  <si>
    <t>קובץ (מגדל העמק)</t>
  </si>
  <si>
    <t>מגדל דוד - 38 כרכים</t>
  </si>
  <si>
    <t>מגדל עז</t>
  </si>
  <si>
    <t>מגולה לגאולה</t>
  </si>
  <si>
    <t>פרידמן, אלתר אליהו הכהן (עורך)</t>
  </si>
  <si>
    <t>מגיד דבריו ליעקב &lt;הוצאה חדשה&gt;</t>
  </si>
  <si>
    <t>מגיד דבריו ליעקב</t>
  </si>
  <si>
    <t>מגיד מראשית אחרית</t>
  </si>
  <si>
    <t>מאליסוב, הלל בן מאיר הלוי מפאריטש - גינזבורג, יצחק בן שמשון</t>
  </si>
  <si>
    <t>מגילת אסתר וברכת המזון עם ליקוטי ביאורים</t>
  </si>
  <si>
    <t>מגילת אסתר ובהמ"ז</t>
  </si>
  <si>
    <t>מגילת אסתר עם שערי מגילה</t>
  </si>
  <si>
    <t>מגילת אסתר עם תרגום רוסית</t>
  </si>
  <si>
    <t>מגילת חייו של הרב מלאדי זצ"ל</t>
  </si>
  <si>
    <t>שניאורסון, שטערנע שרה</t>
  </si>
  <si>
    <t>מגילת י"ט כסלו</t>
  </si>
  <si>
    <t>מגילת ראש חודש כסלו</t>
  </si>
  <si>
    <t>תלמוד תורה תפארת מנחם</t>
  </si>
  <si>
    <t>מגילת רות עם ביאורים מהרבי מליובאוויטש</t>
  </si>
  <si>
    <t>קפלן, יואל פנחס (עורך)</t>
  </si>
  <si>
    <t>מדברי הרבי לילדי ישראל</t>
  </si>
  <si>
    <t>מדריך הלכתי - 2 כרכים</t>
  </si>
  <si>
    <t>מדריך הלכתי לפסח</t>
  </si>
  <si>
    <t>הענדל, טויבא פרידא</t>
  </si>
  <si>
    <t>מדריך הסברה לסדר מהלך החתונה</t>
  </si>
  <si>
    <t>אופנר, שניאור זלמן</t>
  </si>
  <si>
    <t>מדריך לאמהות בחנוך הגיל הרך</t>
  </si>
  <si>
    <t>מדריך להכשרת מטבח</t>
  </si>
  <si>
    <t>דובאוו, נסים דוד</t>
  </si>
  <si>
    <t>מדריך לטהרת המשפחה לפי שיטת חב"ד</t>
  </si>
  <si>
    <t>הנדל, ישראל יוסף בן יצחק הכהן</t>
  </si>
  <si>
    <t>מדריך תכנית העבודה לגיל הרך</t>
  </si>
  <si>
    <t>זמיר, רחל</t>
  </si>
  <si>
    <t>מדרכי ההשתלשלות - 2 כרכים</t>
  </si>
  <si>
    <t>ארטובסקי, דניאל מרדכי</t>
  </si>
  <si>
    <t>מדרכי הקונטרס - 2 כרכים</t>
  </si>
  <si>
    <t>לב, יהודה אריה בן יוסף משה</t>
  </si>
  <si>
    <t>מדת הבטחון</t>
  </si>
  <si>
    <t>מה טובו אהליך</t>
  </si>
  <si>
    <t>מילוואקי</t>
  </si>
  <si>
    <t>מה ידוע לך על חב"ד</t>
  </si>
  <si>
    <t>מה עשו נשיאי ארה"ב ורוסיה בעירו של הרבי</t>
  </si>
  <si>
    <t>מה רבו מעשיך ה'</t>
  </si>
  <si>
    <t>גינזבורג, יוסף - ברנובר, ירמיהו</t>
  </si>
  <si>
    <t>מה שסיפר לי סבא - 4 כרכים</t>
  </si>
  <si>
    <t>מלוקט משיחות לנוער</t>
  </si>
  <si>
    <t>מה שספר לי הרבי - 3 כרכים</t>
  </si>
  <si>
    <t>גרונר, לוי יצחק</t>
  </si>
  <si>
    <t>מהותם של ישראל במשנת החסידות</t>
  </si>
  <si>
    <t>מודעות טבעית</t>
  </si>
  <si>
    <t>מועדים לחסידות - ב</t>
  </si>
  <si>
    <t>מורה לדור נבוך - 3 כרכים</t>
  </si>
  <si>
    <t>מושל ברוחו</t>
  </si>
  <si>
    <t>רוזנבוים, ליאור</t>
  </si>
  <si>
    <t>מזוזה - עיונים הלכות מנהגים וסיפורים</t>
  </si>
  <si>
    <t>מכון ליובאוויטש</t>
  </si>
  <si>
    <t>מזוזה</t>
  </si>
  <si>
    <t>מזוזה - שמירה וברכה (באנגלית)</t>
  </si>
  <si>
    <t>ברסמן, דוד ניסן</t>
  </si>
  <si>
    <t>מזמור לתודה - 2 כרכים</t>
  </si>
  <si>
    <t>מחול הכרמים</t>
  </si>
  <si>
    <t>חסידות, מועדי ישראל, נושאים שונים</t>
  </si>
  <si>
    <t>מחזור השלם ליוה"כ כמנהג חב"ד עם תרגום צרפתית</t>
  </si>
  <si>
    <t>מחזור יוה"כ כמנהג חב"ד</t>
  </si>
  <si>
    <t>מחזור השלם לר"ה ויה"כ - מהדורה מוערת</t>
  </si>
  <si>
    <t>מחזור השלם</t>
  </si>
  <si>
    <t>מחזור השלם לר"ה ויוה"כ ע"פ מנהג חב"ד</t>
  </si>
  <si>
    <t>מחזור לר"ה ויוה"כ</t>
  </si>
  <si>
    <t>מחזור השלם לראש השנה עם תרגום אנגלי</t>
  </si>
  <si>
    <t>מחזור לראש השנה כמנהג חב"ד</t>
  </si>
  <si>
    <t>מחזור לראש השנה &lt;עם תרגום ספרדית&gt;</t>
  </si>
  <si>
    <t>מחזור</t>
  </si>
  <si>
    <t>מחזור לראש השנה</t>
  </si>
  <si>
    <t>מחזור עם פירוש משולב - 2 כרכים</t>
  </si>
  <si>
    <t>מחזור עם פירוש משולב</t>
  </si>
  <si>
    <t>מועדי ישראל, ספריית חב''ד, תפלות בקשות פיוטים ושירה</t>
  </si>
  <si>
    <t>מחיל אל חיל - א</t>
  </si>
  <si>
    <t>בטאון אגודת הרבנים למדינות חבר העמים</t>
  </si>
  <si>
    <t>מחנה יוסף - עיונים בתורת רבינו - א</t>
  </si>
  <si>
    <t>מחצבת</t>
  </si>
  <si>
    <t>בטאון איגור צאצאי רבינו הזקן</t>
  </si>
  <si>
    <t>מחצבת - 2 כרכים</t>
  </si>
  <si>
    <t>מחשבת החסידות - 3 כרכים</t>
  </si>
  <si>
    <t>מחשבת התמימים</t>
  </si>
  <si>
    <t>קובץ בית מדרש אהלי תורה</t>
  </si>
  <si>
    <t>מחתרת חסידית בברית המועצות</t>
  </si>
  <si>
    <t>מטל השמים - 2 כרכים</t>
  </si>
  <si>
    <t>מי מה ואימתי</t>
  </si>
  <si>
    <t>מינדל, ניסן - קרנצלר, גרשון</t>
  </si>
  <si>
    <t>מיהו יהודי ועל גירות על פי ההלכה</t>
  </si>
  <si>
    <t>מיידנצ'יק הקטר של חב"ד</t>
  </si>
  <si>
    <t>חסקי, שלמה</t>
  </si>
  <si>
    <t>מיין גענעראל - 2 כרכים</t>
  </si>
  <si>
    <t>קליין, ירחמיאל בנימין</t>
  </si>
  <si>
    <t>מיין נחמן</t>
  </si>
  <si>
    <t>סודאק, נחמן</t>
  </si>
  <si>
    <t>מילואים לספר חידושים וביאורים במסכת גיטין</t>
  </si>
  <si>
    <t>מילואים לספר מראי מקומות לספר משנה תורה</t>
  </si>
  <si>
    <t>מילון עברי אנגלי</t>
  </si>
  <si>
    <t>מלון עברי אנגלי</t>
  </si>
  <si>
    <t>תש"ו</t>
  </si>
  <si>
    <t>מילי דברכות</t>
  </si>
  <si>
    <t>תלמידי ישיבת קיץ "אהלי תורה - אהלי מנחם</t>
  </si>
  <si>
    <t>ליקווד</t>
  </si>
  <si>
    <t>מכריעים עולם באחת</t>
  </si>
  <si>
    <t>אלבום הכנס הארצי של נשי ובנות חב"ד באה"ק</t>
  </si>
  <si>
    <t>מכתב הוד כ"ק אדמו"ר שליט"א מליובאוויטש אודות ספר התניא</t>
  </si>
  <si>
    <t>תש"ז</t>
  </si>
  <si>
    <t>מכתב תשובה</t>
  </si>
  <si>
    <t>זלצמן, הלל</t>
  </si>
  <si>
    <t>מכתבי החתונה</t>
  </si>
  <si>
    <t>מכתבים</t>
  </si>
  <si>
    <t>מכתבים מבית חיינו</t>
  </si>
  <si>
    <t>הלוי, אברהם אלטר</t>
  </si>
  <si>
    <t>מלאה הארץ דעה</t>
  </si>
  <si>
    <t>מלוה מלכה</t>
  </si>
  <si>
    <t>מלך ביפיו</t>
  </si>
  <si>
    <t>מלך המשיח</t>
  </si>
  <si>
    <t>פרידמן, מיכאל הכהן - ווילשאנסקי, סנדר</t>
  </si>
  <si>
    <t>מלכות ישראל - 6 כרכים</t>
  </si>
  <si>
    <t>מלתא דבדיחותא - אוצר חכמה וחדוד לקורא הצעיר</t>
  </si>
  <si>
    <t>רוטנברג, דוד</t>
  </si>
  <si>
    <t>ממלכת התורה</t>
  </si>
  <si>
    <t>בלוי, פרץ אוריאל (עורך)</t>
  </si>
  <si>
    <t>ממלכת כהנים</t>
  </si>
  <si>
    <t>הנדל, ישראל יוסף הכהן</t>
  </si>
  <si>
    <t>שאלות ותשובות, תלמוד בבלי</t>
  </si>
  <si>
    <t>ממעיני החסידות - 2 כרכים</t>
  </si>
  <si>
    <t>מן המעין</t>
  </si>
  <si>
    <t>מנגינת החיים</t>
  </si>
  <si>
    <t>פאלטער, דוד שרגא</t>
  </si>
  <si>
    <t>מנהג חב"ד בכתיבת הכתובה ובנוסח התפילה</t>
  </si>
  <si>
    <t>מנחם משיב נפשי</t>
  </si>
  <si>
    <t>מנחם משיב נפשי - מבוא להלכות טהרה</t>
  </si>
  <si>
    <t>הראל, מנחם מענדל</t>
  </si>
  <si>
    <t>מנחם משיב נפשי - 2 כרכים</t>
  </si>
  <si>
    <t>מנחת התמימים</t>
  </si>
  <si>
    <t>מנחת יהודה וירושלים</t>
  </si>
  <si>
    <t>קעלער, יהודה בן מאיר ליבר</t>
  </si>
  <si>
    <t>מנחת נחום</t>
  </si>
  <si>
    <t>טרבניק, נחום</t>
  </si>
  <si>
    <t>מנחת תמים - 2 כרכים</t>
  </si>
  <si>
    <t>בואנוס אירס</t>
  </si>
  <si>
    <t>מסירות נפש של יהודי בוכרה</t>
  </si>
  <si>
    <t>ניאזוב, שלמה חיי</t>
  </si>
  <si>
    <t>מסע הרבי בארץ הקודש</t>
  </si>
  <si>
    <t>מסרון מהפרשה</t>
  </si>
  <si>
    <t>גלויברמן, יעקב</t>
  </si>
  <si>
    <t>מעגל השנה באור החסידות</t>
  </si>
  <si>
    <t>פרקי לימוד</t>
  </si>
  <si>
    <t>מעגל חיים</t>
  </si>
  <si>
    <t>גרין, חנן</t>
  </si>
  <si>
    <t>מעדני יום טוב</t>
  </si>
  <si>
    <t>מעדני מלך - א</t>
  </si>
  <si>
    <t>קובץ תורני</t>
  </si>
  <si>
    <t>מעדני מלך - ו</t>
  </si>
  <si>
    <t>מעדני מלכות</t>
  </si>
  <si>
    <t>מעט מן האור - 3 כרכים</t>
  </si>
  <si>
    <t>מעיין גנים - 5 כרכים</t>
  </si>
  <si>
    <t>תשס"ב - תשע"א</t>
  </si>
  <si>
    <t>מעיין חי - בראשית</t>
  </si>
  <si>
    <t>זילברשטרום, ש. - זקס, ר.</t>
  </si>
  <si>
    <t>מעיינותיך - 3 כרכים</t>
  </si>
  <si>
    <t>מעיינותיך חוברת לימוד - דרך מצוותיך</t>
  </si>
  <si>
    <t>מעייני הישועה - 2 כרכים</t>
  </si>
  <si>
    <t>מעייני רש"י - 2 כרכים</t>
  </si>
  <si>
    <t>מעין גנים - 2 כרכים</t>
  </si>
  <si>
    <t>מעין האוצר - 3 כרכים</t>
  </si>
  <si>
    <t>מפעל פענוח המפתחות</t>
  </si>
  <si>
    <t>מעלי שבתא - 2 כרכים</t>
  </si>
  <si>
    <t>וילהלם, מרדכי דובער</t>
  </si>
  <si>
    <t>מעלת מספר ששים</t>
  </si>
  <si>
    <t>מענה לשון</t>
  </si>
  <si>
    <t>תפילות</t>
  </si>
  <si>
    <t>מענה מלך - ב</t>
  </si>
  <si>
    <t>מענות נדירים</t>
  </si>
  <si>
    <t>מעשה ברבי</t>
  </si>
  <si>
    <t>מעשה חשב &lt;חלקי&gt;</t>
  </si>
  <si>
    <t>קסטל, מנחם מנדל</t>
  </si>
  <si>
    <t>מעשה מלך - 2 כרכים</t>
  </si>
  <si>
    <t>לקט מנהגי ה"ק אדמו"ר מליובאוויטש</t>
  </si>
  <si>
    <t>מעשה רבי</t>
  </si>
  <si>
    <t>מפתח אינצקלופדי לתורת חסידות חב"ד</t>
  </si>
  <si>
    <t>מפתח ביאורי פירוש רש"י על התורה ונ"ך - 2 כרכים</t>
  </si>
  <si>
    <t>שגלוב, יוסף יצחק הלוי</t>
  </si>
  <si>
    <t>מפתח בעניני בית הבחירה</t>
  </si>
  <si>
    <t>מפתח</t>
  </si>
  <si>
    <t>מפתח להוראות והדרכות</t>
  </si>
  <si>
    <t>גולדשטיין, לוי</t>
  </si>
  <si>
    <t>מפתח לפסוקים מחז"ל וכו' אשר בספר התניא</t>
  </si>
  <si>
    <t>מפתח לקונטרס עץ החיים</t>
  </si>
  <si>
    <t>מפתח מאמרים ושיחות - 2 כרכים</t>
  </si>
  <si>
    <t>מפתח מאמרים שיחות ומכתבים</t>
  </si>
  <si>
    <t>מפתח ספרי מאמרי ודרושי כ"ק אדמו"ר האמצעי ודפוסיהם</t>
  </si>
  <si>
    <t>פיקארסקי, אלכסנדר זיסקינד</t>
  </si>
  <si>
    <t>מפתח ענינים בעניני גאולה ומשיח</t>
  </si>
  <si>
    <t>מפתח ענינים</t>
  </si>
  <si>
    <t>מפתח ענינים ומראי מקומות למאמר אנכי מגן לך תרנ"ח</t>
  </si>
  <si>
    <t>תלמידי מתיבתא אהלי תורה</t>
  </si>
  <si>
    <t>מפתח ענינים למאמרי כ"ק אדמו"ר שלום דובער זצוקללה"ה</t>
  </si>
  <si>
    <t>מפתח ענינים לרשימות</t>
  </si>
  <si>
    <t>מפתח ענינים לשיחות קודש - א</t>
  </si>
  <si>
    <t>מפתח ענינים לשלחן ערוך אדמו"ר הזקן</t>
  </si>
  <si>
    <t>מפתח ערכים לספר כללי הפוסקים וההוראה</t>
  </si>
  <si>
    <t>מפתח ערכים</t>
  </si>
  <si>
    <t>חסידות, נושאים שונים, ספריית חב''ד</t>
  </si>
  <si>
    <t>מפתח שמות בעלי המימרות שבפרש"י עה"ת</t>
  </si>
  <si>
    <t>מפתח שמות</t>
  </si>
  <si>
    <t>מפתחות והערות לספר ליקוטי תורה</t>
  </si>
  <si>
    <t>מפתחות לספר המאמרים תרל"ו</t>
  </si>
  <si>
    <t>מפתחות לספר התניא</t>
  </si>
  <si>
    <t>מפתחות לספר כתר שם טוב ולספר צוואת הריב"ש</t>
  </si>
  <si>
    <t>מפתחות לספרי ליקוטי שיחות - 2 כרכים</t>
  </si>
  <si>
    <t>מצב חרום</t>
  </si>
  <si>
    <t>מצדיקי הרבים ככוכבים - 8 כרכים</t>
  </si>
  <si>
    <t>מצוה יומית - 3 כרכים</t>
  </si>
  <si>
    <t>ע"פ ספר המצות להרמב"ם</t>
  </si>
  <si>
    <t>מצוות הקהל</t>
  </si>
  <si>
    <t>אזדאבא, הדסה</t>
  </si>
  <si>
    <t>תשפ"ג</t>
  </si>
  <si>
    <t>מצוות נרות שבת קודש</t>
  </si>
  <si>
    <t>מצות הקהל</t>
  </si>
  <si>
    <t>מצות כיבוד הורים</t>
  </si>
  <si>
    <t>הלכה ומנהג, חסידות, נושאים שונים</t>
  </si>
  <si>
    <t>מצות כתיבת ספר תורה בזמננו</t>
  </si>
  <si>
    <t>מציץ מן החרכים</t>
  </si>
  <si>
    <t>רובשקין, שלום מרדכי בן אברהם אהרן הלוי</t>
  </si>
  <si>
    <t>מצעד האחדות</t>
  </si>
  <si>
    <t>מקדש ישראל</t>
  </si>
  <si>
    <t>שיחות ותמונות במסיבות חתונה</t>
  </si>
  <si>
    <t>מקדש מלך</t>
  </si>
  <si>
    <t>מקדש מלך - 4 כרכים</t>
  </si>
  <si>
    <t>לאופר, מרדכי מנשה (ליקט וערך)</t>
  </si>
  <si>
    <t>מקורות וביאורים בספר המנהגים</t>
  </si>
  <si>
    <t>גדלביץ, יהודה שמשון</t>
  </si>
  <si>
    <t>מקשיבים לפרשה - ב</t>
  </si>
  <si>
    <t>הוצאת דורות</t>
  </si>
  <si>
    <t>מרא דאתרא</t>
  </si>
  <si>
    <t>לנדא, יעקב (אודותיו)</t>
  </si>
  <si>
    <t>מראה מקומות הגהות והערות קצרות - לספר של בינונים</t>
  </si>
  <si>
    <t>מראה מקומות למשנה תורה ע"פ ספר המצוות</t>
  </si>
  <si>
    <t>ברדה, עמוס שניאור</t>
  </si>
  <si>
    <t>מראה מקומות, הגהות והערות קצרות - 8 כרכים</t>
  </si>
  <si>
    <t>מראי מקומות וציונים לסדר ברכת הנהנין של אדמו"ר הזקן</t>
  </si>
  <si>
    <t>מראי מקומות וציונים לשו"ע אדמו"ר הזקן - יו"ד</t>
  </si>
  <si>
    <t>מראי מקומות וציונים לשו"ע אדמו"ר הזקן - או"ח</t>
  </si>
  <si>
    <t>מראי מקומות וציונים לשו"ע אדמו"ר הזקן - 2 כרכים</t>
  </si>
  <si>
    <t>מאנגעל, ניסן</t>
  </si>
  <si>
    <t>מראי מקומות לספר משנה תורה - ספר מילואים</t>
  </si>
  <si>
    <t>מראי מקומות לספר משנה תורה</t>
  </si>
  <si>
    <t>מראי מקומות לפסוקים מחז"ל וכו' אשר בספר התניא</t>
  </si>
  <si>
    <t>מראי מקומות לקונטרס אחרון</t>
  </si>
  <si>
    <t>מרבים בשמחה</t>
  </si>
  <si>
    <t>ג'רופי, מנדי</t>
  </si>
  <si>
    <t>מרומם ואיש עליה</t>
  </si>
  <si>
    <t>מרחב - ג</t>
  </si>
  <si>
    <t>מערכת מרחב</t>
  </si>
  <si>
    <t>מרכז ישיבות תומכי תמימים ליובאוויטש</t>
  </si>
  <si>
    <t>מרכז הישיבות תומכי תמימים</t>
  </si>
  <si>
    <t>משבחי רבי</t>
  </si>
  <si>
    <t>משיח שבכל דור</t>
  </si>
  <si>
    <t>קלויזנר, ישכר דוד</t>
  </si>
  <si>
    <t>משיחות כ"ק אדמו"ר שליט"א</t>
  </si>
  <si>
    <t>משכן וכליו ע"פ חסידות</t>
  </si>
  <si>
    <t>משל הקדמוני - סוגית תלמוד תורה</t>
  </si>
  <si>
    <t>רסקין, שמואל</t>
  </si>
  <si>
    <t>משלי חב"ד</t>
  </si>
  <si>
    <t>ליקוט משלים המובאים בחסידות חב"ד</t>
  </si>
  <si>
    <t>משלי רבי</t>
  </si>
  <si>
    <t>משלים בחסידות - 3 כרכים</t>
  </si>
  <si>
    <t>הנדל, ד.</t>
  </si>
  <si>
    <t>משנה אורה</t>
  </si>
  <si>
    <t>ארגון נשי חב"ד באה"ק</t>
  </si>
  <si>
    <t>משנה חב"ד - 12 כרכים</t>
  </si>
  <si>
    <t>בונין, חיים יצחק בן אברהם</t>
  </si>
  <si>
    <t>תרצ"ו</t>
  </si>
  <si>
    <t>משנה תורה (עם ביאור קצר) - הלכות תלמוד תורה</t>
  </si>
  <si>
    <t>ליקוט מפרשים</t>
  </si>
  <si>
    <t>משנה תורה לרמב"ם עם חידושים וביאורים - א (מדע)</t>
  </si>
  <si>
    <t>משנתו של הרבי מליובאוויטש</t>
  </si>
  <si>
    <t>משפט הספרים - דידן נצח</t>
  </si>
  <si>
    <t>משפט הספרים (נספח ב) - ספריית חב"ד</t>
  </si>
  <si>
    <t>משפט סעדיה</t>
  </si>
  <si>
    <t>נושאים שונים, תולדות עם ישראל</t>
  </si>
  <si>
    <t>משקה</t>
  </si>
  <si>
    <t>משקה המשמח</t>
  </si>
  <si>
    <t>מתוך תורתו של הרבי 54 שיחות</t>
  </si>
  <si>
    <t>כהן, רפאל</t>
  </si>
  <si>
    <t>מתחילים תניא - פרקים א-יב</t>
  </si>
  <si>
    <t>ליקוט מפרשני התניא המרכזיים</t>
  </si>
  <si>
    <t>מתן בסתר</t>
  </si>
  <si>
    <t>אברג'ל, יעקב בן חנניה</t>
  </si>
  <si>
    <t>מתן תורה באור החסידות</t>
  </si>
  <si>
    <t>מתניתא מלכתא</t>
  </si>
  <si>
    <t>מתנת יין - ה</t>
  </si>
  <si>
    <t>סילברברג, אליהו נתן בן אלימלך יוסף הכהן</t>
  </si>
  <si>
    <t>מתפלה לגאולה</t>
  </si>
  <si>
    <t>קאגאן, לוי בן יצחק מאיר</t>
  </si>
  <si>
    <t>נגונים חסידיים (חב"ד)</t>
  </si>
  <si>
    <t>ריבקין, אליהו ליב</t>
  </si>
  <si>
    <t>נגינה לאור החסידות</t>
  </si>
  <si>
    <t>לייבמן, לב</t>
  </si>
  <si>
    <t>נודע בשיעורים</t>
  </si>
  <si>
    <t>נוה המלך</t>
  </si>
  <si>
    <t>נוה מונסון</t>
  </si>
  <si>
    <t>נוסח התנאים - נוסח חב"ד</t>
  </si>
  <si>
    <t>בלינוב, יוסף יצחק בן מרדכי</t>
  </si>
  <si>
    <t>נוסעים לרבי - חוברת השלמה</t>
  </si>
  <si>
    <t>נוסעים לרבי</t>
  </si>
  <si>
    <t>נזר הבארדיטשעווער</t>
  </si>
  <si>
    <t>וילהלם, שלמה</t>
  </si>
  <si>
    <t>זיטאמיר</t>
  </si>
  <si>
    <t>נזר הבעל שם טוב</t>
  </si>
  <si>
    <t>נזר המגיד ממעזריטש</t>
  </si>
  <si>
    <t>נזר התניא - 7 כרכים</t>
  </si>
  <si>
    <t>נחלת הר חב"ד</t>
  </si>
  <si>
    <t>נחלת נשיא הדור</t>
  </si>
  <si>
    <t>נטע שעשועים</t>
  </si>
  <si>
    <t>ניגון ארבע בבות</t>
  </si>
  <si>
    <t>ניגון ביגון</t>
  </si>
  <si>
    <t>פורסט, יצחק</t>
  </si>
  <si>
    <t>ניגוני הרבי - 2 כרכים</t>
  </si>
  <si>
    <t>ניגוני הרבי</t>
  </si>
  <si>
    <t>ניגוני התוועדויות הרבי - 2 כרכים</t>
  </si>
  <si>
    <t>ניגוני התוועדויות הרבי</t>
  </si>
  <si>
    <t>ניצוצי אור</t>
  </si>
  <si>
    <t>מארכיוני הרב ניסן מינדל ע"ה</t>
  </si>
  <si>
    <t>ניצוצי לוי יצחק</t>
  </si>
  <si>
    <t>נישואים אזרחיים במשנתו של הרוגוצ'ובי ז"ל</t>
  </si>
  <si>
    <t>טננבוים, מנחם מנדל (עורך)</t>
  </si>
  <si>
    <t>נלכה באורחותיו</t>
  </si>
  <si>
    <t>נס ההצלה</t>
  </si>
  <si>
    <t>נסיגה מן השטחים, הפסקת אש, ומיהו יהודי</t>
  </si>
  <si>
    <t>נפלאות הברית</t>
  </si>
  <si>
    <t>עמית, ירון</t>
  </si>
  <si>
    <t>נפלאות הטבע - 2 כרכים</t>
  </si>
  <si>
    <t>נבון, א. (עריכה)</t>
  </si>
  <si>
    <t>נפלאות ממש עכשו</t>
  </si>
  <si>
    <t>אפק, בינה</t>
  </si>
  <si>
    <t>נפש תחת נפש</t>
  </si>
  <si>
    <t>נפשי תערוג</t>
  </si>
  <si>
    <t>נצר מטעי</t>
  </si>
  <si>
    <t>נצרת עלית|נצרת עילית</t>
  </si>
  <si>
    <t>נר המערבי - ב</t>
  </si>
  <si>
    <t>וונקובר</t>
  </si>
  <si>
    <t>נר למאה - ח</t>
  </si>
  <si>
    <t>נר למשיחי</t>
  </si>
  <si>
    <t>נר למשיחי - 2 כרכים</t>
  </si>
  <si>
    <t>נר מצוה &lt;טקסט&gt;</t>
  </si>
  <si>
    <t>נר מצוה</t>
  </si>
  <si>
    <t>נר מצוה ותורה אור</t>
  </si>
  <si>
    <t>נראה בכבודו - 2 כרכים</t>
  </si>
  <si>
    <t>נרות להאיר - א</t>
  </si>
  <si>
    <t>קובץ, כפר חב"ד</t>
  </si>
  <si>
    <t>נרות להאיר - 2 כרכים</t>
  </si>
  <si>
    <t>קובץ, קראקאס</t>
  </si>
  <si>
    <t>קאראקס|קראקאס</t>
  </si>
  <si>
    <t>נרות שבת קדש</t>
  </si>
  <si>
    <t>נרות שבת קודש - 2 כרכים</t>
  </si>
  <si>
    <t>נשואי הנשיאים</t>
  </si>
  <si>
    <t>נשיא וחסיד</t>
  </si>
  <si>
    <t>קראוס, שמואל</t>
  </si>
  <si>
    <t>נשיאי חב"ד ובני דורם</t>
  </si>
  <si>
    <t>נשיאי חב"ד ויהדות גרוזיה</t>
  </si>
  <si>
    <t>נשיאים במאסר</t>
  </si>
  <si>
    <t>מכון באהלי צדיקים</t>
  </si>
  <si>
    <t>נשמה עם עצמה</t>
  </si>
  <si>
    <t>נשמתא דאורייתא - 2 כרכים</t>
  </si>
  <si>
    <t>בייטש, אברהם יוסף הלוי</t>
  </si>
  <si>
    <t>נתיבות חיים</t>
  </si>
  <si>
    <t>תשכ"ה</t>
  </si>
  <si>
    <t>נתיבים בהלכה ומנהג - י</t>
  </si>
  <si>
    <t>נתיבים בשדה השליחות - 3 כרכים</t>
  </si>
  <si>
    <t>סגולת אברהם</t>
  </si>
  <si>
    <t>סדור ע"פ נוסח האריז"ל עם פניני החסידות - 2 כרכים</t>
  </si>
  <si>
    <t>סדור ע"פ נוסח האר"י ז"ל</t>
  </si>
  <si>
    <t>סדור עם פניני החסידות - שחרית לימי החול</t>
  </si>
  <si>
    <t>סדור עם פניני החסידות</t>
  </si>
  <si>
    <t>סדור שער מנחם על פי נוסח האר"י ז"ל</t>
  </si>
  <si>
    <t>ביסטריצקי, לוי (ליקט וסידר)</t>
  </si>
  <si>
    <t>סדור תהלת ה'</t>
  </si>
  <si>
    <t>תפילות. סידור. תשס"ח. ניו יורק</t>
  </si>
  <si>
    <t>סדור תהלת ה' - לשבועות</t>
  </si>
  <si>
    <t>תפילות. סידור. תש"פ. ניו יורק</t>
  </si>
  <si>
    <t>סדור תהלת ה' עם ביאור תפילה</t>
  </si>
  <si>
    <t>סדר ברכות ותפלות עם תרגום אנגלי</t>
  </si>
  <si>
    <t>תפילות. ברכות</t>
  </si>
  <si>
    <t>תשי"ז</t>
  </si>
  <si>
    <t>סדר ברכת החמה ע"פ מנהג חב"ד</t>
  </si>
  <si>
    <t>סדר ברכת המזון עם עיוני הסדור</t>
  </si>
  <si>
    <t>רסקין, לוי יצחק בן שלום דובער</t>
  </si>
  <si>
    <t>סדר ברכת הנהנין</t>
  </si>
  <si>
    <t>סדר הכנסת ספר תורה ע"פ מנהג חב"ד</t>
  </si>
  <si>
    <t>סדר הכנסת ספר תורה</t>
  </si>
  <si>
    <t>סדר הנהגה לתלמידים - 2 כרכים</t>
  </si>
  <si>
    <t>סדר הנהגה לתלמידים</t>
  </si>
  <si>
    <t>סדר הקפות בשמח"ת</t>
  </si>
  <si>
    <t>סדר הקפות</t>
  </si>
  <si>
    <t>סדר מכירת חמץ</t>
  </si>
  <si>
    <t>סדר מלווה מלכה</t>
  </si>
  <si>
    <t>מרצבך, דן שמואל</t>
  </si>
  <si>
    <t>סדר עליה לתורה</t>
  </si>
  <si>
    <t>מיניסוטה|מינוסוטה</t>
  </si>
  <si>
    <t>סדר צום החמישי - כמנהג חב"ד</t>
  </si>
  <si>
    <t>סדר צום החמישי</t>
  </si>
  <si>
    <t>סדר קידוש לשבת עם ביאורים</t>
  </si>
  <si>
    <t>לקט ביאורים</t>
  </si>
  <si>
    <t>סדר קידושין ונישואין - 2 כרכים</t>
  </si>
  <si>
    <t>סדר קרבן פסח ע"פ נוסח בעל התניא, עם תרגום אידיש</t>
  </si>
  <si>
    <t>סדר קרבן פסח</t>
  </si>
  <si>
    <t>מועדי ישראל, נושאים שונים, ספריית חב''ד</t>
  </si>
  <si>
    <t>סדר קריאת שמע על המיטה עפ"י נוסח האריז"ל</t>
  </si>
  <si>
    <t>גינזבורג, יוסף שמחה (עורך ומבאר)</t>
  </si>
  <si>
    <t>סדר תנאים אירוסין ונישואין</t>
  </si>
  <si>
    <t>סדר תפילות מכל השנה עם פירוש המלות עפ"י דא"ח</t>
  </si>
  <si>
    <t>סדר תפלה על פי נוסח הקדוש האריז"ל &lt;סידור מהרי"ד&gt;  - 2 כרכים</t>
  </si>
  <si>
    <t>שניאורסון, יצחק דובער בן חיים שניאור זלמן</t>
  </si>
  <si>
    <t>סדר תקוני שבת</t>
  </si>
  <si>
    <t>סוגיות בגאולה</t>
  </si>
  <si>
    <t>סוגיות בחסידות - אחדות ה'</t>
  </si>
  <si>
    <t>לב לדעת</t>
  </si>
  <si>
    <t>סוגיות בחסידות</t>
  </si>
  <si>
    <t>סוגיות בעניני משיח וגאולה - א</t>
  </si>
  <si>
    <t>קובץ ועד תלמידי התמימים העולמי</t>
  </si>
  <si>
    <t>סוגיות בתורת החסידות - 3 כרכים</t>
  </si>
  <si>
    <t>ממאמרי ושיחות רבותינו נשיאי חב"ד לדורותיהם</t>
  </si>
  <si>
    <t>סוד ה' ליראיו</t>
  </si>
  <si>
    <t>סולם ההתקרבות - א</t>
  </si>
  <si>
    <t>כהן, דניאל</t>
  </si>
  <si>
    <t>סוערות בדממה</t>
  </si>
  <si>
    <t>סידור המפרש תהלת ה'</t>
  </si>
  <si>
    <t>סידור טעמו וראו</t>
  </si>
  <si>
    <t>עזרן, שי</t>
  </si>
  <si>
    <t>סידור לעם עם תרגום באנגלית</t>
  </si>
  <si>
    <t>נוסח חב"ד עפ"י האריז"ל</t>
  </si>
  <si>
    <t>הונג קונג</t>
  </si>
  <si>
    <t>סידור רבינו הזקן &lt;עם ציונים והערות&gt;</t>
  </si>
  <si>
    <t>שניאור זלמן בן ברוך מלאדי - ראסקין, לוי יצחק</t>
  </si>
  <si>
    <t>סידור רבינו הזקן &lt;טקסט&gt;</t>
  </si>
  <si>
    <t>סידור תהלת ה' - 2 כרכים</t>
  </si>
  <si>
    <t>סידור תהלת ה' עם תרגום אנגלי</t>
  </si>
  <si>
    <t>סידור תהלת ה' עם תרגום ספרדי</t>
  </si>
  <si>
    <t>סידור תורה אור</t>
  </si>
  <si>
    <t>תפילות. סידור.</t>
  </si>
  <si>
    <t>סידור תפלה עם ליקוטי תורה - 2 כרכים</t>
  </si>
  <si>
    <t>תפילות. סידור. תרע"ב. וילנה</t>
  </si>
  <si>
    <t>תרע"ב</t>
  </si>
  <si>
    <t>סידורי חסידים ראשונים - סידור אדמו"ר בעל התניא</t>
  </si>
  <si>
    <t>סידורי חסידים ראשונים</t>
  </si>
  <si>
    <t>שקלוב</t>
  </si>
  <si>
    <t>תקס"ג</t>
  </si>
  <si>
    <t>סיום והכנסת ספר תורה</t>
  </si>
  <si>
    <t>סיום והכנסת ספר תורה - מנהגים</t>
  </si>
  <si>
    <t>סיומי הרמב"ם</t>
  </si>
  <si>
    <t>קובץ הדרנים ועוד</t>
  </si>
  <si>
    <t>סיכום המשך בשעה שהקדימו תער"ב</t>
  </si>
  <si>
    <t>סיכום מאמרי הרבי</t>
  </si>
  <si>
    <t>סיפור אישי - 2 כרכים</t>
  </si>
  <si>
    <t>סיפור של חג - 7 כרכים</t>
  </si>
  <si>
    <t>סיפורה של שליחות - 2 כרכים</t>
  </si>
  <si>
    <t>סיפורי חסידים - א</t>
  </si>
  <si>
    <t>רסקין, אברהם ישעיהו</t>
  </si>
  <si>
    <t>סיפורי חסידים לנוער - 2 כרכים</t>
  </si>
  <si>
    <t>חרותי, רפי</t>
  </si>
  <si>
    <t>סיפורי מופת - 5 כרכים</t>
  </si>
  <si>
    <t>סיפורי מופתים וקווים לדמותו של הרבי מליובאוויטש</t>
  </si>
  <si>
    <t>מישאל ארי'</t>
  </si>
  <si>
    <t>סיפורי פלא מקוריים</t>
  </si>
  <si>
    <t>מכון חסידות לבני תורה</t>
  </si>
  <si>
    <t>סיפורים חסידיים - 2 כרכים</t>
  </si>
  <si>
    <t>סיפורים מבית חב"ד - 2 כרכים</t>
  </si>
  <si>
    <t>שמולביץ, יעקב</t>
  </si>
  <si>
    <t>סיפורים מחדר הרבי</t>
  </si>
  <si>
    <t>סיפורים נוראים</t>
  </si>
  <si>
    <t>סיפורים שאהבתי לספר - 2 כרכים</t>
  </si>
  <si>
    <t>ליצמן, טוביה</t>
  </si>
  <si>
    <t>סיפורים שסיפר הרבי מליובאוויטש והוראות בעבודת ה'</t>
  </si>
  <si>
    <t>הולצמן, לוי יצחק (עורך)</t>
  </si>
  <si>
    <t>סליחות על פי מנהג חב"ד - 2 כרכים</t>
  </si>
  <si>
    <t>סליחות</t>
  </si>
  <si>
    <t>סמרקנד</t>
  </si>
  <si>
    <t>סעודה שלישית</t>
  </si>
  <si>
    <t>קוביטשעק, שניאור זלמן</t>
  </si>
  <si>
    <t>סעודת מלוה מלכה רבתי</t>
  </si>
  <si>
    <t>סדר המלוה מלכה</t>
  </si>
  <si>
    <t>ספורי החסידי</t>
  </si>
  <si>
    <t>בלוי, שלום דובער</t>
  </si>
  <si>
    <t>ספורי רשימת היומן</t>
  </si>
  <si>
    <t>מערכת אוצר החסידים</t>
  </si>
  <si>
    <t>ספורים נפלאים</t>
  </si>
  <si>
    <t>ספירולוגיה בספירת העומר</t>
  </si>
  <si>
    <t>ספירת העומר</t>
  </si>
  <si>
    <t>גייקובסון, סימון</t>
  </si>
  <si>
    <t>ספר ג' תמוז</t>
  </si>
  <si>
    <t>ספר הגור - 2 כרכים</t>
  </si>
  <si>
    <t>טריוויש, נפתלי הירץ</t>
  </si>
  <si>
    <t>ספר ההשתטחות</t>
  </si>
  <si>
    <t>ספר ההשטתחות</t>
  </si>
  <si>
    <t>ספר הזכרונות - דברי הימים</t>
  </si>
  <si>
    <t>גורקאוו, מאיר</t>
  </si>
  <si>
    <t>ספר הזכרונות &lt;בלה"ק&gt;  - 2 כרכים</t>
  </si>
  <si>
    <t>ספר הזכרונות - 2 כרכים</t>
  </si>
  <si>
    <t>תשט"ו</t>
  </si>
  <si>
    <t>ספר החקירה</t>
  </si>
  <si>
    <t>ספר היובל קרנות צדי"ק</t>
  </si>
  <si>
    <t>ספר היחידות</t>
  </si>
  <si>
    <t>ספר הליקוטים דא"ח צמח צדק - 25 כרכים</t>
  </si>
  <si>
    <t>ספר המאמרים &lt;אידיש&gt; תש"א-תש"ה</t>
  </si>
  <si>
    <t>ספר המאמרים &lt;טקסט&gt; - המשך תרע"ב</t>
  </si>
  <si>
    <t>ספר המאמרים &lt;טקסט&gt; - תרפ"ט</t>
  </si>
  <si>
    <t>ספר המאמרים &lt;בתרגום צרפתית&gt;</t>
  </si>
  <si>
    <t>פריס</t>
  </si>
  <si>
    <t>ספר המאמרים &lt;מלוקט&gt; - א</t>
  </si>
  <si>
    <t xml:space="preserve">ספר המאמרים &lt;מהדורה חדשה&gt; תרעז </t>
  </si>
  <si>
    <t>ספר המאמרים - 23 כרכים</t>
  </si>
  <si>
    <t>ספר המאמרים - 19 כרכים</t>
  </si>
  <si>
    <t>ספר המאמרים - 29 כרכים</t>
  </si>
  <si>
    <t>ספר המאמרים &lt;קונטרסים&gt;  - 3 כרכים</t>
  </si>
  <si>
    <t>ספר המאמרים עם תרגום באנגלית</t>
  </si>
  <si>
    <t>שניאורסון, יוסף יצחק - שניאורסון, מנחם מנדל בן לוי יצחק</t>
  </si>
  <si>
    <t>ספר המאמרים עת"ר</t>
  </si>
  <si>
    <t>שניאורסון, שלום דב בער בן שמואל</t>
  </si>
  <si>
    <t>ספר המנהגים - 2 כרכים</t>
  </si>
  <si>
    <t>מלוקט מכת"י נשיאי חב"ד</t>
  </si>
  <si>
    <t>ספר המפתחות  לספרי דא"ח כ"ק אדמור הזקן - ב</t>
  </si>
  <si>
    <t>ספר המפתחות</t>
  </si>
  <si>
    <t>ספר המפתחות לספרי כ"ק אדמו"ר הצמח צדק - 2 כרכים</t>
  </si>
  <si>
    <t>מפתחות</t>
  </si>
  <si>
    <t>ספר המפתחות לספרי כ"ק אדמו"ר מהר"ש</t>
  </si>
  <si>
    <t>ספר המפתחות לתורת לוי יצחק וליקוטי לוי יצחק</t>
  </si>
  <si>
    <t>ספר המצות לרמב"ם מבואר ומנוקד</t>
  </si>
  <si>
    <t>ספר הניגונים - 2 כרכים</t>
  </si>
  <si>
    <t>זלמנוב, שמואל (עורך)</t>
  </si>
  <si>
    <t>ספר העצות</t>
  </si>
  <si>
    <t>ספר הערכים חב"ד - 7 כרכים</t>
  </si>
  <si>
    <t>ספר הערכים</t>
  </si>
  <si>
    <t>ספר הצאצאים של רבינו שניאור זלמן מליאדי</t>
  </si>
  <si>
    <t>היילפרין, שמואל אליעזר</t>
  </si>
  <si>
    <t>נושאים שונים, ספריית חב''ד, תולדות עם ישראל</t>
  </si>
  <si>
    <t>ספר הקן</t>
  </si>
  <si>
    <t xml:space="preserve">ספר השיחות &lt;מהדורה חדשה&gt; תרצו תש </t>
  </si>
  <si>
    <t>ספר השיחות - 10 כרכים</t>
  </si>
  <si>
    <t>ספר השיחות - 7 כרכים</t>
  </si>
  <si>
    <t>ספר השיחות בלשון הקודש - ג (תש"ד-תש"ה)</t>
  </si>
  <si>
    <t>שניאורסון, יוסף יצחק בן שלום דוב בר - תנ"ך - תירגם: גליצנשטיין, אברהם חנוך</t>
  </si>
  <si>
    <t>ספר השיחות בלשון הקודש - 2 כרכים</t>
  </si>
  <si>
    <t>שניאורסון, יוסף יצחק בן שלום דוב בר - תירגם: גליצנשטיין, אברהם חנוך</t>
  </si>
  <si>
    <t>ספר השלוחים - 4 כרכים</t>
  </si>
  <si>
    <t>ספר השליחות - 3 כרכים</t>
  </si>
  <si>
    <t>ספר השנה</t>
  </si>
  <si>
    <t>וסרמן, צ.ז. - טכרב, א.</t>
  </si>
  <si>
    <t>ספר התולדות</t>
  </si>
  <si>
    <t>ספר התולדות - 14 כרכים</t>
  </si>
  <si>
    <t>גליצנשטיין, אברהם חנוך (עורך)</t>
  </si>
  <si>
    <t>ספר התמימים - 2 כרכים</t>
  </si>
  <si>
    <t>גנזבורג, יצחק (ליקט וערך)</t>
  </si>
  <si>
    <t>ספר התניא - ביבליוגרפיה</t>
  </si>
  <si>
    <t>ספר התניא - 3 כרכים</t>
  </si>
  <si>
    <t>ספר זכרון - 2 כרכים</t>
  </si>
  <si>
    <t>גורודצקי, בנימין אליהו</t>
  </si>
  <si>
    <t>ספר מגדל דוד - 3 כרכים</t>
  </si>
  <si>
    <t>ספר פלפולים זכרון יוסף</t>
  </si>
  <si>
    <t>ספר תהלים אהל יוסף יצחק</t>
  </si>
  <si>
    <t>תנ"ך. תשס"ה. כפר חב"ד</t>
  </si>
  <si>
    <t>ספר תהלים אהל יוסף יצחק (השלם)</t>
  </si>
  <si>
    <t>ספר תהלים אהל יוסף יצחק (עם תרגום ספרדית)</t>
  </si>
  <si>
    <t>ספר תהלים אהל יוסף יצחק ע"פ תהלות מנחם</t>
  </si>
  <si>
    <t>ספר תהלים אהל יוסף יצחק עם תרגום צרפתי</t>
  </si>
  <si>
    <t>ספר תהלים עם תרגום וביאור באנגלית</t>
  </si>
  <si>
    <t>מרכוס, יוסף ב.</t>
  </si>
  <si>
    <t>ספר תהלים קול מנחם עם תרגום אנגלית</t>
  </si>
  <si>
    <t>ספר תהלים קול מנחם</t>
  </si>
  <si>
    <t>ספר תרי"ג מצוות</t>
  </si>
  <si>
    <t>ספריית ליובאוויטש</t>
  </si>
  <si>
    <t>ספריית ליובאוויטש &lt;טקסט&gt;</t>
  </si>
  <si>
    <t>ספרים באנגלית - 318 כרכים</t>
  </si>
  <si>
    <t>ספרים בספרדית - 5 כרכים</t>
  </si>
  <si>
    <t>טבצ'ניק, דוד</t>
  </si>
  <si>
    <t>ספרים בפורטוגזית - Fe e Ciencia</t>
  </si>
  <si>
    <t>ספרים בצרפתית - 22 כרכים</t>
  </si>
  <si>
    <t>פריס|פריז</t>
  </si>
  <si>
    <t>ספרים ברוסית - 65 כרכים</t>
  </si>
  <si>
    <t>ספרנו - ב</t>
  </si>
  <si>
    <t>עבד אברהם אנכי</t>
  </si>
  <si>
    <t>עבד מלך</t>
  </si>
  <si>
    <t>עבדות או שליחות</t>
  </si>
  <si>
    <t>כהן, נדב - ברק, גיל</t>
  </si>
  <si>
    <t>עבודת הקודש אצל הרבי מליובאוויטש</t>
  </si>
  <si>
    <t>עבודת התפילה</t>
  </si>
  <si>
    <t>ו</t>
  </si>
  <si>
    <t>עבודת ישראל</t>
  </si>
  <si>
    <t>ברונפמן, ישראל</t>
  </si>
  <si>
    <t>עבודת תיקון המידות</t>
  </si>
  <si>
    <t>גופין, שמעון</t>
  </si>
  <si>
    <t>עדון המידות</t>
  </si>
  <si>
    <t>עוד אבינו חי</t>
  </si>
  <si>
    <t>וויסקונסין</t>
  </si>
  <si>
    <t>עולם הרפואה במשנתו של הרבי מליובאוויטש</t>
  </si>
  <si>
    <t>שניאורסון, מנחם מנדל בן לוי יצחק - הרמן, מנחם (עורך)</t>
  </si>
  <si>
    <t>עולם ומלואו</t>
  </si>
  <si>
    <t>עולם של יצירה</t>
  </si>
  <si>
    <t>עומק הפשט - 3 כרכים</t>
  </si>
  <si>
    <t>עושה אידישקייט</t>
  </si>
  <si>
    <t>עטרת המלך - 2 כרכים</t>
  </si>
  <si>
    <t>עטרת חיה</t>
  </si>
  <si>
    <t>עטרת חכמים</t>
  </si>
  <si>
    <t>עטרת לוי יצחק</t>
  </si>
  <si>
    <t>תלמידים השלוחים מלבורן</t>
  </si>
  <si>
    <t>עטרת מלך</t>
  </si>
  <si>
    <t>עטרת מלכות</t>
  </si>
  <si>
    <t>עטרת צבי</t>
  </si>
  <si>
    <t>שפאלטר, שלום</t>
  </si>
  <si>
    <t>עטרת ראש</t>
  </si>
  <si>
    <t>עיונים בתורת ארץ ישראל ובית הבחירה</t>
  </si>
  <si>
    <t>עיונים וביאורים - א</t>
  </si>
  <si>
    <t>קובץ ישיבת אהל משה, קונגו הדמוקרטית</t>
  </si>
  <si>
    <t>קונטיקט</t>
  </si>
  <si>
    <t>עיונים וביאורים במגילת אסתר</t>
  </si>
  <si>
    <t>עיונים וביאורים מאמר איתא במדרש תילים</t>
  </si>
  <si>
    <t>עיונים והערות ברשימות קודש - א</t>
  </si>
  <si>
    <t>עיניך ברכות בחשבון - א בראשית</t>
  </si>
  <si>
    <t>חסידות, נושאים שונים, תנ''ך</t>
  </si>
  <si>
    <t>על אבותינו ועל יחוסם</t>
  </si>
  <si>
    <t>מרינובסקי, חיים עוזר</t>
  </si>
  <si>
    <t>על הגיור כהלכה</t>
  </si>
  <si>
    <t>על הכוונת</t>
  </si>
  <si>
    <t>על הצדיקים - 2 כרכים</t>
  </si>
  <si>
    <t>פעווזנער, אברהם ברוך בן הלל</t>
  </si>
  <si>
    <t>על הרי הגליל</t>
  </si>
  <si>
    <t>על חטא העיגול</t>
  </si>
  <si>
    <t>על חסידות חב"ד</t>
  </si>
  <si>
    <t>צעירי אגודת חב"ד באה"ק</t>
  </si>
  <si>
    <t>על חסידות חב"ד והיהדות</t>
  </si>
  <si>
    <t>צעירי חב"ד</t>
  </si>
  <si>
    <t>על כולנה</t>
  </si>
  <si>
    <t>על ספר זכרון ירושלים</t>
  </si>
  <si>
    <t>מלמד כהן, רחמים</t>
  </si>
  <si>
    <t>על פרשת דרכים</t>
  </si>
  <si>
    <t>על קדוש השם</t>
  </si>
  <si>
    <t>עלי כבוד</t>
  </si>
  <si>
    <t>עמדו הכן</t>
  </si>
  <si>
    <t>עמדו הכן כולכם - 8 כרכים</t>
  </si>
  <si>
    <t>עמודיה שבעה - 5 כרכים</t>
  </si>
  <si>
    <t>עניין התפילה וההתבוננות</t>
  </si>
  <si>
    <t>ענינו של תלמיד בתומכי תמימים</t>
  </si>
  <si>
    <t>ועדת החינוך שע"י כפר חב"ד</t>
  </si>
  <si>
    <t>ענינו של תמים - 2 כרכים</t>
  </si>
  <si>
    <t>עניני חופה</t>
  </si>
  <si>
    <t>עסקנות ציבורית</t>
  </si>
  <si>
    <t>מערכת ימי תמימים</t>
  </si>
  <si>
    <t>עץ פרי</t>
  </si>
  <si>
    <t>הלכה ומנהג, חסידות, ספריית חב''ד</t>
  </si>
  <si>
    <t>עצה סגולה וברכה</t>
  </si>
  <si>
    <t>רמת השרון</t>
  </si>
  <si>
    <t>עצות והדרכות בעבודת ה'</t>
  </si>
  <si>
    <t>עצות וסגולות לחיים טובים ומאושרים</t>
  </si>
  <si>
    <t>עצת הרבי תנחני</t>
  </si>
  <si>
    <t>קלמס, פנחס מאיר בן יעקב</t>
  </si>
  <si>
    <t>עשרת ימי תשובה</t>
  </si>
  <si>
    <t>פאר המלך</t>
  </si>
  <si>
    <t>פאר לוי יצחק</t>
  </si>
  <si>
    <t>פארברענגן - באנגלית</t>
  </si>
  <si>
    <t>מכון שושנת ירושלים</t>
  </si>
  <si>
    <t>פארברענגן עם הרבי - י"ב תמוז תשמ"ה</t>
  </si>
  <si>
    <t>פארברענגען - 2 כרכים</t>
  </si>
  <si>
    <t>פארברענגען עם הרבי - 17 כרכים</t>
  </si>
  <si>
    <t>פדה בשלום</t>
  </si>
  <si>
    <t>פועלי דיממא אנן</t>
  </si>
  <si>
    <t>פוקח עורים - 2 כרכים</t>
  </si>
  <si>
    <t>פורים - ענייני דיומא</t>
  </si>
  <si>
    <t>קפלן, יצחק</t>
  </si>
  <si>
    <t>פורים חסידי</t>
  </si>
  <si>
    <t>איגוד השלוחים</t>
  </si>
  <si>
    <t>פורים לנו</t>
  </si>
  <si>
    <t>פיטטיא דאורייתא</t>
  </si>
  <si>
    <t>נאטיק, שלום דובער</t>
  </si>
  <si>
    <t>משנה, נושאים שונים, ספריית חב''ד, תלמוד בבלי, תנ''ך</t>
  </si>
  <si>
    <t>פיקוח נפש דוחה פוליטיקה</t>
  </si>
  <si>
    <t>עמותת פיקוח נפש</t>
  </si>
  <si>
    <t>פירוש המלות &lt;טקסט&gt;</t>
  </si>
  <si>
    <t>פירוש המלות</t>
  </si>
  <si>
    <t>פירושים וביאורים מפרדס התורה</t>
  </si>
  <si>
    <t>פירושים להגדה של פסח</t>
  </si>
  <si>
    <t>פלא הדורות</t>
  </si>
  <si>
    <t>פלח הרימון</t>
  </si>
  <si>
    <t>הלוי, הלל</t>
  </si>
  <si>
    <t>פלח הרמון - 5 כרכים</t>
  </si>
  <si>
    <t>פלפול התלמידים &lt;לונדון&gt;</t>
  </si>
  <si>
    <t>פלפול התלמידים - 30 כרכים</t>
  </si>
  <si>
    <t>פלפול התלמידים - 3 כרכים</t>
  </si>
  <si>
    <t>מתיבתא מנחם</t>
  </si>
  <si>
    <t>פלפול התלמידים - 14 כרכים</t>
  </si>
  <si>
    <t>קובץ (מזכירות כ"ק אדמו"ר שליט"א)</t>
  </si>
  <si>
    <t>פלפול התלמידים &lt;סיאטעל&gt;  - 8 כרכים</t>
  </si>
  <si>
    <t>ושינגטון</t>
  </si>
  <si>
    <t>פלפול התלמידים (סינסינעטי אהייא) - ב</t>
  </si>
  <si>
    <t>פלפול התמימים - 22 כרכים</t>
  </si>
  <si>
    <t>פלפול נאה לבר המצוה</t>
  </si>
  <si>
    <t>פלפולא דאורייתא - 2 כרכים</t>
  </si>
  <si>
    <t>כולל נחלת הר חב"ד</t>
  </si>
  <si>
    <t>פלפולא דאורייתא - 4 כרכים</t>
  </si>
  <si>
    <t>ישיבת תומכי תמימים קרית אתא</t>
  </si>
  <si>
    <t>קריית אתא</t>
  </si>
  <si>
    <t>פלפולי וביאורי חברת המתמידים</t>
  </si>
  <si>
    <t>פלפולי תורה מגדל דוד</t>
  </si>
  <si>
    <t>פני משה</t>
  </si>
  <si>
    <t>ליברמן, חיים משה בן יעקב (המאסף)</t>
  </si>
  <si>
    <t>פנים אל פנים</t>
  </si>
  <si>
    <t>פנים לתורה</t>
  </si>
  <si>
    <t>פניני אברהם אליהו</t>
  </si>
  <si>
    <t>פניני אור - א</t>
  </si>
  <si>
    <t>ווילהעלם, נחמן בן אברהם דוד</t>
  </si>
  <si>
    <t>סנט פאולו</t>
  </si>
  <si>
    <t>פניני הכתר - 3 כרכים</t>
  </si>
  <si>
    <t>פניני השבת</t>
  </si>
  <si>
    <t>הכהן, נועם שמעון</t>
  </si>
  <si>
    <t>אושן סיטי מרילנד</t>
  </si>
  <si>
    <t>פניני התניא</t>
  </si>
  <si>
    <t>פניני לוי יצחק - 2 כרכים</t>
  </si>
  <si>
    <t>פניני מנחם - 3 כרכים</t>
  </si>
  <si>
    <t>פניני תורה - 2 כרכים</t>
  </si>
  <si>
    <t>דייטש, שניאור זלמן (ערך וליקט)</t>
  </si>
  <si>
    <t>פנינים - אוסף סיפורים חסידיים</t>
  </si>
  <si>
    <t>ליצמן, טוביה (עורך)</t>
  </si>
  <si>
    <t>פנינים על התורה והמועדים</t>
  </si>
  <si>
    <t>פנסים</t>
  </si>
  <si>
    <t>אנדר, מוני</t>
  </si>
  <si>
    <t>פסח - יוצאים לחירות</t>
  </si>
  <si>
    <t>פסח חסידי - 5 כרכים</t>
  </si>
  <si>
    <t>פסח כהלכתו - הגדה של פסח עם מדריך הלכתי</t>
  </si>
  <si>
    <t>פסח שני</t>
  </si>
  <si>
    <t>פסיפס</t>
  </si>
  <si>
    <t>פסקי אדמו"ר האמצעי - גיטין פ"א</t>
  </si>
  <si>
    <t>קעלער, יוסף יצחק (עורך)</t>
  </si>
  <si>
    <t>פסקי אדמו"ר הזקן - מסכת שבת א</t>
  </si>
  <si>
    <t>פסקי אדמו"ר הזקן בהלכות איסור והיתר - 2 כרכים</t>
  </si>
  <si>
    <t>קפלן, אריה ליב - קפלן, מנחם מנדל</t>
  </si>
  <si>
    <t>פסקי דינים - יו"ד אה"ע</t>
  </si>
  <si>
    <t>פסקי הרב</t>
  </si>
  <si>
    <t>בוגרד, אפרים</t>
  </si>
  <si>
    <t>פסקי הרב על הלכות מילה</t>
  </si>
  <si>
    <t>טייכטל, שניאור זלמן (עורך)</t>
  </si>
  <si>
    <t>פסקי פרי מגדים</t>
  </si>
  <si>
    <t>לאווט, אברהם דוד בן יהודה ליב</t>
  </si>
  <si>
    <t>פרד"ס שלום - 2 כרכים</t>
  </si>
  <si>
    <t>פרדס התמים - א</t>
  </si>
  <si>
    <t>פרדס חב"ד - 19 כרכים</t>
  </si>
  <si>
    <t>בטאון למחשבת חב"ד</t>
  </si>
  <si>
    <t>פרופסור גרין שלום וברכה</t>
  </si>
  <si>
    <t>גרין, וועלוועל</t>
  </si>
  <si>
    <t>פרחי השלוחים</t>
  </si>
  <si>
    <t>פרחי התמימים - א</t>
  </si>
  <si>
    <t>קובץ (לוד)</t>
  </si>
  <si>
    <t>קובץ (חולון)</t>
  </si>
  <si>
    <t>פרחי התמימים - 14 כרכים</t>
  </si>
  <si>
    <t>קובץ (מוריסטאון)</t>
  </si>
  <si>
    <t>פרי ביכורי התמימים - 2 כרכים</t>
  </si>
  <si>
    <t>פרסום ראשון - 14 כרכים</t>
  </si>
  <si>
    <t>פרק תענוג - מתוך ספר משנת חב"ד</t>
  </si>
  <si>
    <t>מילר, משה ליב</t>
  </si>
  <si>
    <t>פרקי יומן</t>
  </si>
  <si>
    <t>גורביץ, יששכר דוב בער הלוי</t>
  </si>
  <si>
    <t>פרקים על כ"ק אדמו"ר שליט"א</t>
  </si>
  <si>
    <t>רשת אהלי יוסף יצחק</t>
  </si>
  <si>
    <t>פרשה באהבה - 2 כרכים</t>
  </si>
  <si>
    <t>שניאורסון, מירי</t>
  </si>
  <si>
    <t>פרשיות עם הרבי - 5 כרכים</t>
  </si>
  <si>
    <t>פשוט חסידות</t>
  </si>
  <si>
    <t>איתן, מנחם - ברנשטיין, אהרן - שילת, משה</t>
  </si>
  <si>
    <t>פשוטו של מקרא - 2 כרכים</t>
  </si>
  <si>
    <t>זאיאנץ, אברהם שמואל בן ישראל</t>
  </si>
  <si>
    <t>פתגמי הבעש"ט</t>
  </si>
  <si>
    <t>ליקוט פתגמים ותורות מהבעש"ט</t>
  </si>
  <si>
    <t>פתגמי הרבי</t>
  </si>
  <si>
    <t>פתיחה - ביקורי רבותינו במאריסטאון</t>
  </si>
  <si>
    <t>פתיחה</t>
  </si>
  <si>
    <t>פתקים משלחנו של הרבי - 3 כרכים</t>
  </si>
  <si>
    <t>צ"ח ניצוצי אור</t>
  </si>
  <si>
    <t>צאצאיה כן פקוד</t>
  </si>
  <si>
    <t>הילפרין, הדסה פעשע (לזכרה)</t>
  </si>
  <si>
    <t>צדי"ק למלך - 7 כרכים</t>
  </si>
  <si>
    <t>צדיק הדור מנחיל אמונה</t>
  </si>
  <si>
    <t>צדיק יסוד עולם</t>
  </si>
  <si>
    <t>צדיקים וידידים</t>
  </si>
  <si>
    <t>צדיקים למופת - 2 כרכים</t>
  </si>
  <si>
    <t>צדקה - מדריך לנתינה יהודית</t>
  </si>
  <si>
    <t>צעירי חב"ד בישראל</t>
  </si>
  <si>
    <t>צדקת ישראל - א</t>
  </si>
  <si>
    <t>צדקתו עומדת לעד</t>
  </si>
  <si>
    <t>מטוסוב, אליהו - מונדשיין, יהושע</t>
  </si>
  <si>
    <t>צו השעה: טיפול שורש</t>
  </si>
  <si>
    <t>צוהר לתיבה</t>
  </si>
  <si>
    <t>חסן, חנן</t>
  </si>
  <si>
    <t>מועדי ישראל, תנ''ך</t>
  </si>
  <si>
    <t>צוואת הריב"ש</t>
  </si>
  <si>
    <t>צום פינף און פערציג יעהריגען יובילעאום</t>
  </si>
  <si>
    <t>ציון לנפש</t>
  </si>
  <si>
    <t>סילבערבערג, אלימלך יוסף בן דוב בער הכהן</t>
  </si>
  <si>
    <t>ציון לנפש חיה - ד</t>
  </si>
  <si>
    <t>ציונים לספר משנה תורה</t>
  </si>
  <si>
    <t>ציור פני הרב</t>
  </si>
  <si>
    <t>צילומי כתי"ק הקשורים להמשך יו"ט של ר"ה תרס"ו</t>
  </si>
  <si>
    <t>ציצית - הלכה למעשה</t>
  </si>
  <si>
    <t>צמאה לך נפשי מבחר שירי מסורת &lt;עם תוים&gt;</t>
  </si>
  <si>
    <t>שירי מסורת</t>
  </si>
  <si>
    <t>צמח צדק - חידושים על סדר השו"ע</t>
  </si>
  <si>
    <t>צמח צדק &lt;שו"ת מהדו"ח&gt;  - 2 כרכים</t>
  </si>
  <si>
    <t>שאלות ותשובות</t>
  </si>
  <si>
    <t>צמח צדק, ספר השיחות</t>
  </si>
  <si>
    <t>ברוד, מנחם מענדל הלוי: עורך</t>
  </si>
  <si>
    <t>צעקת המלך - 2 כרכים</t>
  </si>
  <si>
    <t>צפית לישועה</t>
  </si>
  <si>
    <t>ליבוביץ, חיים יעקב בן ברוך מרדכי יהודא</t>
  </si>
  <si>
    <t>צפת עיר הקודש</t>
  </si>
  <si>
    <t>צרפת פרצת - 18 כרכים</t>
  </si>
  <si>
    <t>ברונו צרפת</t>
  </si>
  <si>
    <t>קאר א וועלט</t>
  </si>
  <si>
    <t>קב נקי</t>
  </si>
  <si>
    <t>קבלה היא בידך</t>
  </si>
  <si>
    <t>קבלו מלכותי</t>
  </si>
  <si>
    <t>קבלת פני משיח צדקנו</t>
  </si>
  <si>
    <t>קבלת פנים</t>
  </si>
  <si>
    <t>קבצים של תשרי - 2 כרכים</t>
  </si>
  <si>
    <t>קדוש ותפלות - ראש השנה, שמחת תורה</t>
  </si>
  <si>
    <t>תנ"ך</t>
  </si>
  <si>
    <t>קדושת המקדש</t>
  </si>
  <si>
    <t>קדמונך תחילה - ימי הסליחות</t>
  </si>
  <si>
    <t>קובץ אב מלך</t>
  </si>
  <si>
    <t>ישיבת ת"ת נתניה</t>
  </si>
  <si>
    <t>קובץ אהלי תורה</t>
  </si>
  <si>
    <t>תלמידי ביהמ"ד אהלי תורה - אהלי מנחם</t>
  </si>
  <si>
    <t>קובץ אור המגדל - א</t>
  </si>
  <si>
    <t>קובץ אור וחיות נפשנו</t>
  </si>
  <si>
    <t>קובץ אני לדודי - 2 כרכים</t>
  </si>
  <si>
    <t>קובץ אשל אברהם</t>
  </si>
  <si>
    <t>קובץ ב' אייר תשנ"ה - סיום אמירת קדיש</t>
  </si>
  <si>
    <t>קובץ בדידי הוה עובדא - 2 כרכים</t>
  </si>
  <si>
    <t>קובץ ביאורי סוגיות בתורת רבינו</t>
  </si>
  <si>
    <t>קובץ ביאורים והערות - 2 כרכים</t>
  </si>
  <si>
    <t>אנשי כפר חב"ד</t>
  </si>
  <si>
    <t>קובץ בין המצרים</t>
  </si>
  <si>
    <t>קובץ בית ישראל</t>
  </si>
  <si>
    <t>קובץ דברי תורה</t>
  </si>
  <si>
    <t>כולל צמח צדק צפת</t>
  </si>
  <si>
    <t>קובץ דברי תורה - 5 כרכים</t>
  </si>
  <si>
    <t>ישיבה גדולה דניו הייווען</t>
  </si>
  <si>
    <t>קובץ דברי תורה - 4 כרכים</t>
  </si>
  <si>
    <t>ישיבה גדולה ליובאוויטש לונדון</t>
  </si>
  <si>
    <t>קובץ דברי תורה - 2 כרכים</t>
  </si>
  <si>
    <t>ישיבת תומכי תמימים קרית גת</t>
  </si>
  <si>
    <t>כולל אברכים חב"ד צפת</t>
  </si>
  <si>
    <t>כולל אברכים ליובאוויטש כפר חב"ד</t>
  </si>
  <si>
    <t>קובץ דברי תורה - 13 כרכים</t>
  </si>
  <si>
    <t>כולל אברכים שע"י מזכירות כ"ק אדמו"ר</t>
  </si>
  <si>
    <t>קובץ דברי תורה - 3 כרכים</t>
  </si>
  <si>
    <t>כולל תומכי תמימים נחלת הר חב"ד</t>
  </si>
  <si>
    <t>קובץ דידן נצח - 5 כרכים</t>
  </si>
  <si>
    <t>קובץ דידן נצח</t>
  </si>
  <si>
    <t>קובץ דמי מעמד</t>
  </si>
  <si>
    <t>קובץ דרך המלך - א (שנה לב)</t>
  </si>
  <si>
    <t>קובץ ישיבה גדולה לונדון</t>
  </si>
  <si>
    <t>קובץ ה' טבת - שלשים שנה</t>
  </si>
  <si>
    <t>קובץ ה' טבת</t>
  </si>
  <si>
    <t>קובץ הארבעים</t>
  </si>
  <si>
    <t>קובץ הארות והערות במסכת גיטין</t>
  </si>
  <si>
    <t>קובץ תומכי תמימים</t>
  </si>
  <si>
    <t>קובץ הדרת מלך</t>
  </si>
  <si>
    <t>קובץ הוספות מנהגים והערות לספר המנהגים</t>
  </si>
  <si>
    <t>הוספות לספר המנהגים</t>
  </si>
  <si>
    <t>קובץ הוראות</t>
  </si>
  <si>
    <t>מלוב, יחיאל (ערך וליקט)</t>
  </si>
  <si>
    <t>קובץ החמישים - עוז למלך</t>
  </si>
  <si>
    <t>קובץ היובל - 2 כרכים</t>
  </si>
  <si>
    <t>קובץ הכנה י"א ניסן - 2 כרכים</t>
  </si>
  <si>
    <t>קובץ הכנה י"א ניסן שנת הק"י - 2 כרכים</t>
  </si>
  <si>
    <t>קובץ הכנה י"א ניסן שנת הקט"ז</t>
  </si>
  <si>
    <t>קובץ הלכות פורים - תשע"ח</t>
  </si>
  <si>
    <t>קובץ הלכות פסח - תשע"ח</t>
  </si>
  <si>
    <t>קובץ המאה ועשר</t>
  </si>
  <si>
    <t>קובץ המאה ועשרים - פג (א)</t>
  </si>
  <si>
    <t>קובץ המשפיעים</t>
  </si>
  <si>
    <t>קובץ הערות (בוסטון) - א-ה</t>
  </si>
  <si>
    <t>תשמ"ח - תש"נ</t>
  </si>
  <si>
    <t>קובץ הערות במאמרי כ"ק אדמו"ר - תשמ"ט</t>
  </si>
  <si>
    <t>קובץ הערות</t>
  </si>
  <si>
    <t>קובץ הערות בנגלה ובדא"ח - א</t>
  </si>
  <si>
    <t>קובץ הערות התמימים ואנ"ש - ב (ג)</t>
  </si>
  <si>
    <t>קובץ הערות וביאורים - ג' תמוז</t>
  </si>
  <si>
    <t>ישיבת תומכי תמימים המרכזית</t>
  </si>
  <si>
    <t>קובץ הערות וביאורים - 756 כרכים</t>
  </si>
  <si>
    <t>קובץ הערות וביאורים - 30 כרכים</t>
  </si>
  <si>
    <t>קובץ הערות וביאורים - 5 כרכים</t>
  </si>
  <si>
    <t>קובץ ישיבת ליובאוויטש מנשסטר</t>
  </si>
  <si>
    <t>קובץ הערות וביאורים (באלטימאר מרילנד) - כו</t>
  </si>
  <si>
    <t>קובץ הערות וביאורים (חובבי תורה) - שנה כ' א (ד)</t>
  </si>
  <si>
    <t>קובץ הערות וביאורים (מנצ'סתר) - לב</t>
  </si>
  <si>
    <t>קובץ הערות ועיונים - 6 כרכים</t>
  </si>
  <si>
    <t>קובץ הערות ופלפולים</t>
  </si>
  <si>
    <t>קובץ ישיבת תפארת יצחק</t>
  </si>
  <si>
    <t>קובץ הערות שערי גאולה - א</t>
  </si>
  <si>
    <t>אברכי כולל שערי גאולה</t>
  </si>
  <si>
    <t>קובץ הערות שערי גאולה - ג</t>
  </si>
  <si>
    <t>קרית גת</t>
  </si>
  <si>
    <t>קובץ הפך בה והפך בה</t>
  </si>
  <si>
    <t>קובץ הקהל</t>
  </si>
  <si>
    <t>קובץ השישים</t>
  </si>
  <si>
    <t>קובץ חב"ד</t>
  </si>
  <si>
    <t>קובץ השלוחים</t>
  </si>
  <si>
    <t>קובץ השליחות - מבצע עבודת השליחות</t>
  </si>
  <si>
    <t>קובץ התקשרות</t>
  </si>
  <si>
    <t>קובץ ו' תשרי</t>
  </si>
  <si>
    <t>קובץ והיה מחנך קדוש</t>
  </si>
  <si>
    <t>קובץ וינחם לבטח</t>
  </si>
  <si>
    <t>התקשרות לאחר ג תמוז</t>
  </si>
  <si>
    <t>קובץ ולדבקה בו</t>
  </si>
  <si>
    <t>צויבל, אלימלך בן צבי יעקב</t>
  </si>
  <si>
    <t>ראטענשטרייך, יעקב זאב</t>
  </si>
  <si>
    <t>קובץ זכרון לרב אהרן חיטריק</t>
  </si>
  <si>
    <t>קובץ זכרון עשרה מאמרות</t>
  </si>
  <si>
    <t>לזכר הרה"ח יהושע מונדשיין ז"ל</t>
  </si>
  <si>
    <t>קובץ חג הגאולה</t>
  </si>
  <si>
    <t>קובץ חיבורים - נושאים בחסידות</t>
  </si>
  <si>
    <t>סמינר בית חנה צפת</t>
  </si>
  <si>
    <t>הישיבה והמתיבתא המרכזית תומכי תמימים ליובאוויטש. ברוקלין</t>
  </si>
  <si>
    <t>קובץ חידושי תורה - א</t>
  </si>
  <si>
    <t>קובץ חידושי תורה - 44 כרכים</t>
  </si>
  <si>
    <t>קובץ חידושי תורה - 7 כרכים</t>
  </si>
  <si>
    <t>ישיבה גדולה "זאל" ליובאוויטש</t>
  </si>
  <si>
    <t>קובץ חידושי תורה זכרון גרשון - א</t>
  </si>
  <si>
    <t>ישיבת אור יוסף</t>
  </si>
  <si>
    <t>קובץ חידושי תורה על ספר משנה תורה</t>
  </si>
  <si>
    <t>בת ים</t>
  </si>
  <si>
    <t>קובץ חידושים ובאורים - 3 כרכים</t>
  </si>
  <si>
    <t>קובץ חידושים וביאורים - 2 כרכים</t>
  </si>
  <si>
    <t>קובץ חידושים וביאורים תורת אמת - 4 כרכים</t>
  </si>
  <si>
    <t>ישיבה גדולה תורת אמת</t>
  </si>
  <si>
    <t>קובץ חידושים והערות - ישיבת תורת אמת</t>
  </si>
  <si>
    <t>קובץ י"א ניסן - 12 כרכים</t>
  </si>
  <si>
    <t>קובץ י"ג אייר - 2 כרכים</t>
  </si>
  <si>
    <t>קובץ י"ד כסלו</t>
  </si>
  <si>
    <t>קובץ יגיעה בתורה - 2 כרכים</t>
  </si>
  <si>
    <t>מחשבה ומוסר, קבצים וכתבי עת, ספרי זכרון ויובל</t>
  </si>
  <si>
    <t>קובץ יום ההילולא ג' תמוז</t>
  </si>
  <si>
    <t>קובץ יום ההילולא</t>
  </si>
  <si>
    <t>קובץ יום הולדת</t>
  </si>
  <si>
    <t>קובץ כ"ב שבט - 2 כרכים</t>
  </si>
  <si>
    <t>קובץ כ"ח סיון - 2 כרכים</t>
  </si>
  <si>
    <t>קובץ כ"ף מנחם אב - 2 כרכים</t>
  </si>
  <si>
    <t>לקט מכתבים</t>
  </si>
  <si>
    <t>קובץ כבוד תורה</t>
  </si>
  <si>
    <t>קובץ כינוס השלוחים</t>
  </si>
  <si>
    <t>ועד המוסיפין</t>
  </si>
  <si>
    <t>קובץ כינוסי השלוחים - 3 כרכים</t>
  </si>
  <si>
    <t>איגוד השלוחים באה"ק</t>
  </si>
  <si>
    <t>קובץ ל"ג בעומר</t>
  </si>
  <si>
    <t>מירון</t>
  </si>
  <si>
    <t>קובץ לחג השבועות</t>
  </si>
  <si>
    <t>קובץ לחיזוק ההתקשרות - 48 כרכים</t>
  </si>
  <si>
    <t>קובץ לחיזוק התקשרות</t>
  </si>
  <si>
    <t>קובץ ליובאוויטש - יד</t>
  </si>
  <si>
    <t>תשט"ז - תשי"ז</t>
  </si>
  <si>
    <t>קובץ ליובאוויטש - כל החלקים</t>
  </si>
  <si>
    <t>קובץ ליובאוויטש</t>
  </si>
  <si>
    <t>קובץ לימוד - שבת הכנה לג' תמוז</t>
  </si>
  <si>
    <t>קובץ לימוד - אייר-מנחם אב תשע"ח</t>
  </si>
  <si>
    <t>מרכז חמ"ש</t>
  </si>
  <si>
    <t>רשת ישיבות בין הזמנים</t>
  </si>
  <si>
    <t>קובץ לימוד - 38 כרכים</t>
  </si>
  <si>
    <t>קובץ לימוד ימים הסמוכים לכ מנחם אב</t>
  </si>
  <si>
    <t>הנהלת רשת אהלי יוסף יצחק</t>
  </si>
  <si>
    <t>קובץ לימוד מתנה לרבי</t>
  </si>
  <si>
    <t>קובץ ליקוטי דינים - 2 כרכים</t>
  </si>
  <si>
    <t>גרינגלאז, מנחם זאב הלוי</t>
  </si>
  <si>
    <t>קובץ לרגל יום הגדול יו"ד שבט</t>
  </si>
  <si>
    <t>קובץ לרגל יום כ"ב שבט</t>
  </si>
  <si>
    <t>קובץ מאה שנה</t>
  </si>
  <si>
    <t>קובץ מאור עינים</t>
  </si>
  <si>
    <t>קובץ מאמרים</t>
  </si>
  <si>
    <t>הקריאה והקדושה</t>
  </si>
  <si>
    <t>תש"ג</t>
  </si>
  <si>
    <t>קובץ מאמרים וסיפורים - 3 כרכים</t>
  </si>
  <si>
    <t>כולל שישי שבת נחלת הר חב"ד</t>
  </si>
  <si>
    <t>קובץ מגדל אור - 3 כרכים</t>
  </si>
  <si>
    <t>ישיבת אור אלחנן חב"ד</t>
  </si>
  <si>
    <t>קובץ מיוחד בעניני פסחים</t>
  </si>
  <si>
    <t>קובץ מיוחד לחידושי תורה וענייני הלכה</t>
  </si>
  <si>
    <t>קובץ מכינה - 2 כרכים</t>
  </si>
  <si>
    <t>קובץ מכינה</t>
  </si>
  <si>
    <t>קובץ מכתבי ר' לוי יצחק</t>
  </si>
  <si>
    <t>קובץ מכתבי ר' שמואל נאטיק</t>
  </si>
  <si>
    <t>נאטיק, צבי הירש</t>
  </si>
  <si>
    <t>קובץ מנהגי חב"ד - בעניני הריון, לידה, ברית, פדיון הבן, ולידת בת</t>
  </si>
  <si>
    <t>קובץ מנהגי חב"ד</t>
  </si>
  <si>
    <t>קובץ מעדני מלך</t>
  </si>
  <si>
    <t>קובץ מעיני ישראל</t>
  </si>
  <si>
    <t>קובץ מקדש מלך - ד</t>
  </si>
  <si>
    <t>קובץ מראי מקומות על הצעת תוכן שיחה - שנים אוחזין בטלית</t>
  </si>
  <si>
    <t>קובץ משיח וגאולה - א-ז</t>
  </si>
  <si>
    <t>תשנ"ז - תשנ"ח</t>
  </si>
  <si>
    <t>קובץ נישואי צדי"ק</t>
  </si>
  <si>
    <t>קובץ נפש חיה למינה</t>
  </si>
  <si>
    <t>קובץ נר הדרום - ב</t>
  </si>
  <si>
    <t>קובץ (יוהנסבורג)</t>
  </si>
  <si>
    <t>יוהנסבורג</t>
  </si>
  <si>
    <t>קובץ נר למאה</t>
  </si>
  <si>
    <t>ישיבת תומכי תמימים ליובאוויטש ברינוא צרפת</t>
  </si>
  <si>
    <t>קובץ נשיא הדור</t>
  </si>
  <si>
    <t>קובץ נשיאן של ישראל</t>
  </si>
  <si>
    <t>קובץ סדר בשליחות (תדפיס)</t>
  </si>
  <si>
    <t>קובץ סיפורים עם ביאורים והוראות בעבודת ה' - 3 כרכים</t>
  </si>
  <si>
    <t>קובץ עטרה ליושנה</t>
  </si>
  <si>
    <t>רוסטוב</t>
  </si>
  <si>
    <t>קובץ עיון תפלה - א</t>
  </si>
  <si>
    <t>קובץ עיון תפלה</t>
  </si>
  <si>
    <t>מועדי ישראל, ספריית חב''ד, קבצים וכתבי עת, ספרי זכרון ויובל</t>
  </si>
  <si>
    <t>קובץ עיוני תורה - 12 כרכים</t>
  </si>
  <si>
    <t>תשמ"א - תשמ"ג</t>
  </si>
  <si>
    <t>קובץ עיונים בתורת החסידות - 2 כרכים</t>
  </si>
  <si>
    <t>כולל מעייני ישראל</t>
  </si>
  <si>
    <t>קובץ עיונים וביאורים - ע</t>
  </si>
  <si>
    <t>ישיבה גדולה תורת אמת ירושלים</t>
  </si>
  <si>
    <t>קובץ עיונים וביאורים - 2 כרכים</t>
  </si>
  <si>
    <t>קובץ עיונים וביאורים בתורת כ"ק אדמו"ר - 2 כרכים</t>
  </si>
  <si>
    <t>קובץ עניני תורה</t>
  </si>
  <si>
    <t>קובץ עצות והדרכות בעבודת ה' - 2 כרכים</t>
  </si>
  <si>
    <t>קובץ פאס - מרוקו - חידושי תורה על ספר הרמב"ם</t>
  </si>
  <si>
    <t>קובץ פז</t>
  </si>
  <si>
    <t>דימונה</t>
  </si>
  <si>
    <t>קובץ פלאי שיח</t>
  </si>
  <si>
    <t>קובץ פלפולי דאורייתא - א</t>
  </si>
  <si>
    <t>סידני</t>
  </si>
  <si>
    <t>קובץ פלפולים וביאורים - א</t>
  </si>
  <si>
    <t>מילאנו</t>
  </si>
  <si>
    <t>קובץ פלפולים וביאורים - ט</t>
  </si>
  <si>
    <t>קובץ  מתיבתא ת"ת קראון הייטס</t>
  </si>
  <si>
    <t>קובץ פלפולים וביאורים - 2 כרכים</t>
  </si>
  <si>
    <t>קובץ (פייוי די קמיורי, איטליה)</t>
  </si>
  <si>
    <t>איטליה</t>
  </si>
  <si>
    <t>קובץ פלפולים וביאורים בנגלה ובחסידות - א</t>
  </si>
  <si>
    <t>קובץ (מנצ'סתר)</t>
  </si>
  <si>
    <t>קובץ (מונטריאול)</t>
  </si>
  <si>
    <t>קובץ (בוסטון)</t>
  </si>
  <si>
    <t>קובץ פלפולים וביאורים בנגלה ובחסידות - 8 כרכים</t>
  </si>
  <si>
    <t>קובץ פלפולים וביאורים בנגלה ובחסידות - 9 כרכים</t>
  </si>
  <si>
    <t>קובץ (אשען פארקוויי)</t>
  </si>
  <si>
    <t>קובץ פלפולים והערות - יא</t>
  </si>
  <si>
    <t>קובץ בואנוס איירס</t>
  </si>
  <si>
    <t>קובץ פלפולים והערות - נ</t>
  </si>
  <si>
    <t>קובץ פלפולים מגדל דוד</t>
  </si>
  <si>
    <t>קובץ פניני האדרת והאמונה</t>
  </si>
  <si>
    <t>קובץ פניני העשור - תש"מ-תש"נ</t>
  </si>
  <si>
    <t>קובץ פניני תורה - ה</t>
  </si>
  <si>
    <t>ישיבת תומכי תמימים אנטוורפן</t>
  </si>
  <si>
    <t>קובץ פרי בכורים - א</t>
  </si>
  <si>
    <t>קובץ צדיק לחיים</t>
  </si>
  <si>
    <t>ישיבת מחנה ישראל</t>
  </si>
  <si>
    <t>פטרופוליס ברזיל</t>
  </si>
  <si>
    <t>קובץ קנאת סופרים - ב</t>
  </si>
  <si>
    <t>קובץ ר"ח כסלו</t>
  </si>
  <si>
    <t>קובץ לחיזוק ההתקשרות</t>
  </si>
  <si>
    <t>קובץ רשימות שיעורים - קידושין</t>
  </si>
  <si>
    <t>קלמנסון, יוסף יצחק בן יקותיאל דובער</t>
  </si>
  <si>
    <t>קובץ שי למורא</t>
  </si>
  <si>
    <t>קובץ שיחות והוראות אודות הקמת בית אגודת חסידי חב"ד</t>
  </si>
  <si>
    <t>קובץ שיחות</t>
  </si>
  <si>
    <t>קובץ שיעורים בענייני משיח וגאולה</t>
  </si>
  <si>
    <t>ועד התמימים העולמי</t>
  </si>
  <si>
    <t>קובץ שמועה טובה</t>
  </si>
  <si>
    <t>קובץ שער רומי</t>
  </si>
  <si>
    <t>קובץ שערי מנחם - 4 כרכים</t>
  </si>
  <si>
    <t>ניו הייווען</t>
  </si>
  <si>
    <t>קובץ תוכן השיחות היומיות</t>
  </si>
  <si>
    <t>מערכת מבצע השיחה היומית</t>
  </si>
  <si>
    <t>קובץ תורת אהלי תורה</t>
  </si>
  <si>
    <t xml:space="preserve">תלמידי אהלי  תורה - אהלי מנחם </t>
  </si>
  <si>
    <t>קובץ תורת אשכנז - 5 כרכים</t>
  </si>
  <si>
    <t>פרנקפורט דמיין</t>
  </si>
  <si>
    <t>קובץ תקנון את"ה</t>
  </si>
  <si>
    <t>קובץ תשובות בעניני שמחה ובטחון בה'</t>
  </si>
  <si>
    <t>קומי אורי</t>
  </si>
  <si>
    <t>קונטרס - על יום ירושלים</t>
  </si>
  <si>
    <t>הורביץ, יעקב הלוי</t>
  </si>
  <si>
    <t>קונטרס - פסק דין בדין הפאות הנכריות המגיעות ממדינת הודו</t>
  </si>
  <si>
    <t>קונטרס אביסל יידישקייט - יהדות על קצה המזלג</t>
  </si>
  <si>
    <t>אייזנבך, שמעון</t>
  </si>
  <si>
    <t>קונטרס אגרות תפלה</t>
  </si>
  <si>
    <t>קונטרס אהבת ישראל - 2 כרכים</t>
  </si>
  <si>
    <t>קונטרס אהבת ישראל</t>
  </si>
  <si>
    <t>קונטרס אור המאיר - הדף</t>
  </si>
  <si>
    <t>קונטרס אור נפלא אור חדש</t>
  </si>
  <si>
    <t>קונטרס אור תורה תמימה</t>
  </si>
  <si>
    <t>פלדמן, יהושע זליג בן שניאור זלמן</t>
  </si>
  <si>
    <t>קונטרס אורה זו תורה</t>
  </si>
  <si>
    <t>קונטרס אחרים אומרים</t>
  </si>
  <si>
    <t>קונטרס אין מעמידין פרנס אא"כ נמלכין בציבור</t>
  </si>
  <si>
    <t>רייצעס, יוסף</t>
  </si>
  <si>
    <t>קונטרס איסור הלבנת פנים</t>
  </si>
  <si>
    <t>קונטרס אמרות קודש על המגיד ממעזריטש</t>
  </si>
  <si>
    <t>קונטרס אמרות קודש</t>
  </si>
  <si>
    <t>קונטרס אני מאמין</t>
  </si>
  <si>
    <t>בלומינג, שמואל חיים</t>
  </si>
  <si>
    <t>קונטרס ביאור והגהות למאמר ויאכילך את המן</t>
  </si>
  <si>
    <t>ריבלין, אליהו יוסף</t>
  </si>
  <si>
    <t>קונטרס ביאור מנהג אנ"ש בעניין נשיאת כפים באה"ק</t>
  </si>
  <si>
    <t>קונטרס ביאור מנהג אנ"ש</t>
  </si>
  <si>
    <t>קונטרס בירורי הלכות</t>
  </si>
  <si>
    <t>קונטרס בל תשחית</t>
  </si>
  <si>
    <t>סילברמן, יוסף יצחק</t>
  </si>
  <si>
    <t>קונטרס בעניין קרן השנה</t>
  </si>
  <si>
    <t>ועד מחנה ישראל</t>
  </si>
  <si>
    <t>קונטרס בענין מידת הבטחון</t>
  </si>
  <si>
    <t>קונטרס בענין ראש השנה ויום הכיפורים</t>
  </si>
  <si>
    <t>קונטרס בר מצוה תרנ"ג</t>
  </si>
  <si>
    <t>קונטרס גזע קודש מחצבתם</t>
  </si>
  <si>
    <t>קונטרס דברי הרש"ג</t>
  </si>
  <si>
    <t>גלעדי, שלמה</t>
  </si>
  <si>
    <t>קונטרס דברי ימי החוזרים</t>
  </si>
  <si>
    <t>קונטרס דברי תורה - 8 כרכים</t>
  </si>
  <si>
    <t>קונטרס דיני ומנהגי ערב פסח שחל בשבת</t>
  </si>
  <si>
    <t>קונטרס דרך הישרה</t>
  </si>
  <si>
    <t>קונטרס דרך חירות</t>
  </si>
  <si>
    <t>קונטרס דרכי החסידות על דרך העבודה</t>
  </si>
  <si>
    <t>וילנר, אברהם</t>
  </si>
  <si>
    <t>קונטרס ההשגחה האלקית בעולם</t>
  </si>
  <si>
    <t>סגל, ישבעם הלוי</t>
  </si>
  <si>
    <t>קונטרס ההשתטחות</t>
  </si>
  <si>
    <t>קונטרס הוראות בפועל</t>
  </si>
  <si>
    <t>קונטרס החיוב ללמוד תורת החסידות</t>
  </si>
  <si>
    <t>קונטרס החלצו</t>
  </si>
  <si>
    <t>אלפנביין, ישראל (עורך)</t>
  </si>
  <si>
    <t>קונטרס החלצו עם תרגום אנגלית - פרק כח</t>
  </si>
  <si>
    <t>קונטרס הליכות מבצעים</t>
  </si>
  <si>
    <t>קונטרס הלכות ראש השנה ויום הכיפורים</t>
  </si>
  <si>
    <t>קונטרס המבצעים</t>
  </si>
  <si>
    <t>קונטרס המפתח לג' מאות ענינים בההמשך רס"ז - רס"ח</t>
  </si>
  <si>
    <t>קונטרס המפתח</t>
  </si>
  <si>
    <t>קונטרס הנה זה בא</t>
  </si>
  <si>
    <t>קונטרס העבודה &lt;מהדורת חדשה&gt;</t>
  </si>
  <si>
    <t>קונטרס העשירות</t>
  </si>
  <si>
    <t>קונטרס הקפות</t>
  </si>
  <si>
    <t>קונטרס הרב</t>
  </si>
  <si>
    <t>שניאור זלמן בן ברוך מלאדי - סגל, שלמה הלוי</t>
  </si>
  <si>
    <t>קונטרס הרבנית דבורה לאה</t>
  </si>
  <si>
    <t>ליקוטים מאדמור"י בית חב"ד</t>
  </si>
  <si>
    <t>קונטרס השליחות - 3 כרכים</t>
  </si>
  <si>
    <t>קונטרס התפלה</t>
  </si>
  <si>
    <t>קונטרס ואשיבה שופטייך - לימודי סמיכה</t>
  </si>
  <si>
    <t>ישיבת תומכי תמימים</t>
  </si>
  <si>
    <t>דרושים</t>
  </si>
  <si>
    <t>קונטרס ואתם תלוקטו לאחד אחד בני ישראל</t>
  </si>
  <si>
    <t>קונטרס וואס לערנט אונז חסידות</t>
  </si>
  <si>
    <t>קונטרס ושבתי בשלום</t>
  </si>
  <si>
    <t>קונטרס זהיר טפי</t>
  </si>
  <si>
    <t>זילבר, אברהם חיים</t>
  </si>
  <si>
    <t>קונטרס זכרון הרב משה מרדכי</t>
  </si>
  <si>
    <t>ארנשטיין, משה מרדכי</t>
  </si>
  <si>
    <t>קונטרס חיזוק הביטחון</t>
  </si>
  <si>
    <t>קונטרס יום טוב שני להעובר ממקום למקום</t>
  </si>
  <si>
    <t>קונטרס יחי אדוננו מורנו ורבנו</t>
  </si>
  <si>
    <t>קונטרס ימות המשיח</t>
  </si>
  <si>
    <t>קונטרס כ"ב שבט - תשע"ח</t>
  </si>
  <si>
    <t>קונטרס כדכד שמשותיך</t>
  </si>
  <si>
    <t>טייכמן, מנחם מנדל בן דוב</t>
  </si>
  <si>
    <t>האדדיטש אוקראינה</t>
  </si>
  <si>
    <t>קונטרס ליקוטי פנינים</t>
  </si>
  <si>
    <t>קונטרס לקח טוב</t>
  </si>
  <si>
    <t>קונטרס לשון חכמים</t>
  </si>
  <si>
    <t>קונטרס מאי חנוכה</t>
  </si>
  <si>
    <t>קונטרס מכתבים ומענות</t>
  </si>
  <si>
    <t>קונטרס מנחם משיב נפשי - 2 כרכים</t>
  </si>
  <si>
    <t>קונטרס מעדני יום טוב - חג שבועות ומתן תורה</t>
  </si>
  <si>
    <t>קונטרס מעדני יום טוב - 2 כרכים</t>
  </si>
  <si>
    <t>קונטרס מעמד</t>
  </si>
  <si>
    <t>קונטרס מקורות וביאורים בספר המנהגים - 2 כרכים</t>
  </si>
  <si>
    <t>קונטרס מקיף - 2 כרכים</t>
  </si>
  <si>
    <t>קונטרס משיח האחרון</t>
  </si>
  <si>
    <t>קאמען, אהרן שלום</t>
  </si>
  <si>
    <t>קנדה</t>
  </si>
  <si>
    <t>קונטרס משיח שבכל דור</t>
  </si>
  <si>
    <t>קעלער, יוסף יצחק</t>
  </si>
  <si>
    <t>קונטרס משנת מלך</t>
  </si>
  <si>
    <t>שפירא, אהרן בן יצחק אייזיק</t>
  </si>
  <si>
    <t>קונטרס נרות להאיר</t>
  </si>
  <si>
    <t>קונטרס סיום והכנסת ספר תורה - 3 כרכים</t>
  </si>
  <si>
    <t>קונטרס ע"ד מבצע הקהל</t>
  </si>
  <si>
    <t>קונטרס עטרת זקנים</t>
  </si>
  <si>
    <t>קונטרס עניינה של תורת החסידות</t>
  </si>
  <si>
    <t>קונטרס ענינה של תורת החסידות</t>
  </si>
  <si>
    <t>קונטרס ענינה של תורת החסידות עם שיעורי הרב יואל כהן</t>
  </si>
  <si>
    <t>קונטרס עץ החיים</t>
  </si>
  <si>
    <t>קונטרס עשרים באב</t>
  </si>
  <si>
    <t>קונטרס פורים קטן - תשנ"ב</t>
  </si>
  <si>
    <t>קונטרס צדיק אוכל לשובע נפשו</t>
  </si>
  <si>
    <t>קונטרס צידה לדרך</t>
  </si>
  <si>
    <t>צידה לדרך</t>
  </si>
  <si>
    <t>קונטרס צפית לישועה</t>
  </si>
  <si>
    <t>קונטרס קביעות עתים</t>
  </si>
  <si>
    <t>קונטרס קידושי אבות</t>
  </si>
  <si>
    <t>קונטרס ר"ח כסלו תשמ"ח</t>
  </si>
  <si>
    <t>קונטרס ריבית ועיסקא דרך קצרה</t>
  </si>
  <si>
    <t>טיאר, שבתי</t>
  </si>
  <si>
    <t>קונטרס רפאני ה' וארפא</t>
  </si>
  <si>
    <t>קונטרס שואלין ודורשין</t>
  </si>
  <si>
    <t>מיניסוטה</t>
  </si>
  <si>
    <t>קונטרס שונה הלכות הרב</t>
  </si>
  <si>
    <t>קונטרס שופטים תתן לך</t>
  </si>
  <si>
    <t>קונטרס שלא תצא מכלל ישראל כו'</t>
  </si>
  <si>
    <t>קונטרס שלום בית - 2 כרכים</t>
  </si>
  <si>
    <t>קונטרס שליחות נפשית ועיקרית</t>
  </si>
  <si>
    <t>קונטרס שלמי חגיגה</t>
  </si>
  <si>
    <t>קונטרס שמונה פרקים מספר התניא</t>
  </si>
  <si>
    <t>קונטרס שני מכתבים</t>
  </si>
  <si>
    <t>קונטרס שנת היובל - חמישים שנה</t>
  </si>
  <si>
    <t>קונטרסים חורף התשל"ח</t>
  </si>
  <si>
    <t>קטלוג הוצאת ספרים קה"ת</t>
  </si>
  <si>
    <t>קטלוג</t>
  </si>
  <si>
    <t>קטלוג קה"ת</t>
  </si>
  <si>
    <t>קידוש החודש להרמב"ם</t>
  </si>
  <si>
    <t>גליצנשטיין, מנחם מנדל בן יצחק</t>
  </si>
  <si>
    <t>קיצור דיני ומנהגי נרות שבת קודש ויו"ט</t>
  </si>
  <si>
    <t>קיצור דיני טהרה</t>
  </si>
  <si>
    <t>חברי כולל מנחם</t>
  </si>
  <si>
    <t>קיצור דיני ריבית והיתר עיסקא</t>
  </si>
  <si>
    <t>כולל לדיינות חב"ד - רחובות</t>
  </si>
  <si>
    <t>קיצור דיני שכירות בתים</t>
  </si>
  <si>
    <t>קיצור דיני שכנים</t>
  </si>
  <si>
    <t>קיצור הלכות משו"ע אדמו"ר הזקן - 2 כרכים</t>
  </si>
  <si>
    <t>הורביץ, יעקב הלוי - אלאשוילי, אברהם</t>
  </si>
  <si>
    <t>קיצור התניא - שער היחוד והאמונה</t>
  </si>
  <si>
    <t>כהן, נדב</t>
  </si>
  <si>
    <t>קיצור סדר השתלשלות בכתבי חסידות חב"ד</t>
  </si>
  <si>
    <t>קיצור שלחן ערוך עם פסקי אדמו"ר הזקן</t>
  </si>
  <si>
    <t>גאנצפריד, שלמה בן יוסף</t>
  </si>
  <si>
    <t>קיצור שלחן ערוך עם פסקי שו"ע אדמור הזקן - מנוקד</t>
  </si>
  <si>
    <t>קיצור שלחן ערוך עם תרגום ספרדית - ב</t>
  </si>
  <si>
    <t>ונצואלה</t>
  </si>
  <si>
    <t>שלחן ערוך ומפרשיו</t>
  </si>
  <si>
    <t>קיצור תולדות חב"ד - א</t>
  </si>
  <si>
    <t>קיצור תניא</t>
  </si>
  <si>
    <t>קיצורים וביאורים לספר התניא</t>
  </si>
  <si>
    <t>ברודנא, אברהם צבי</t>
  </si>
  <si>
    <t>קליאמקע</t>
  </si>
  <si>
    <t>וולף, אלי</t>
  </si>
  <si>
    <t>קנה לך חבר</t>
  </si>
  <si>
    <t>קראתי ואין עונה - 2 כרכים</t>
  </si>
  <si>
    <t>קרוב רחוק</t>
  </si>
  <si>
    <t>בת שלום, רבקה</t>
  </si>
  <si>
    <t>קריה נאמנה</t>
  </si>
  <si>
    <t>קרית מלך - 2 כרכים</t>
  </si>
  <si>
    <t>קרית מלך רב - הדרנים על הרמב"ם</t>
  </si>
  <si>
    <t>רשת מפעלי חב"ד, עכו והקריות</t>
  </si>
  <si>
    <t>עכו</t>
  </si>
  <si>
    <t>קרית מלך רב - 24 כרכים</t>
  </si>
  <si>
    <t>ר"ד בעת הסעודות - 2 כרכים</t>
  </si>
  <si>
    <t>ר"ד בעת הסעודות</t>
  </si>
  <si>
    <t>ר' אברהם אבא הרופא ע"ה זעליגזאן - 2 כרכים</t>
  </si>
  <si>
    <t>זעליגזאן, מיכאל אהרן בן אברהם אבא</t>
  </si>
  <si>
    <t>ר' אברהם הערש</t>
  </si>
  <si>
    <t>רבינוביץ, שניאור זלמן - הכהן, שלום דובער בן אברהם צבי</t>
  </si>
  <si>
    <t>ר' בערל חסיד ומחנך</t>
  </si>
  <si>
    <t>רודרמן, שניאור זלמן</t>
  </si>
  <si>
    <t>ר' הלל מפאריטש - סיפורים</t>
  </si>
  <si>
    <t>מכון היכל הנגינה</t>
  </si>
  <si>
    <t>ר' יוסף ע"ה קלורמן</t>
  </si>
  <si>
    <t>ר' יוסף קלורמן</t>
  </si>
  <si>
    <t>ר' ישראל בעל שם טוב ותנועת החסידות</t>
  </si>
  <si>
    <t>צביאלי, בנימין</t>
  </si>
  <si>
    <t>ר' לוי יצחק זצ"ל שניאורסון זי"ע</t>
  </si>
  <si>
    <t>ר' מענדל</t>
  </si>
  <si>
    <t>פייגלסון, א. ד. (ליקט וערך)</t>
  </si>
  <si>
    <t>ר' משה וויטבסקער - הרה"ח רבי משה ווישצקי</t>
  </si>
  <si>
    <t>ר' שילם - 2 כרכים</t>
  </si>
  <si>
    <t>תולדות וסיפורים</t>
  </si>
  <si>
    <t>ר' שלום</t>
  </si>
  <si>
    <t>ר' שניאור זלמן מלאדי</t>
  </si>
  <si>
    <t>ראה מעשה ונזכר תלמוד - ג</t>
  </si>
  <si>
    <t>לאופר, שלום שמואל שבתי</t>
  </si>
  <si>
    <t>ראש בני ישראל</t>
  </si>
  <si>
    <t>ראש המלמדים - במדבר</t>
  </si>
  <si>
    <t>שניאורסון, מנחם מנדל בן לוי יצחק (מפתח לכתביו)</t>
  </si>
  <si>
    <t>ראש חודש כסלו</t>
  </si>
  <si>
    <t>ראשי פרקים מתולדות ארבעה מחברים</t>
  </si>
  <si>
    <t>ראשי תיבות וקיצורים בספרות החסידות והקבלה</t>
  </si>
  <si>
    <t>רב - מורה דרך</t>
  </si>
  <si>
    <t>רב בישראל</t>
  </si>
  <si>
    <t>רב להושיע - א</t>
  </si>
  <si>
    <t>רבות מופתי</t>
  </si>
  <si>
    <t>סמית, ארי</t>
  </si>
  <si>
    <t>רבותינו נשיאינו - 6 כרכים</t>
  </si>
  <si>
    <t>רשת אהלי יוסף יצחק ליובאוויטש</t>
  </si>
  <si>
    <t>רבותינו נשיאינו ומדינת אשכנז</t>
  </si>
  <si>
    <t>רבותינו נשיאינו</t>
  </si>
  <si>
    <t>רבי ישראל בעל שם טוב</t>
  </si>
  <si>
    <t>רבי לוי יצחק ע"ה שניאורסאהן</t>
  </si>
  <si>
    <t>ליום פטירתו כ' באב סקירה קצרה</t>
  </si>
  <si>
    <t>רבי מאיר שלמה הלוי ינובסקי</t>
  </si>
  <si>
    <t>רבי מיכאל דער אלעטר</t>
  </si>
  <si>
    <t>רבן של ישראל</t>
  </si>
  <si>
    <t>אוסף מאמרים</t>
  </si>
  <si>
    <t>רוחו בקרבנו</t>
  </si>
  <si>
    <t>נאומים מאדמו"ר מטאלנא</t>
  </si>
  <si>
    <t>רוחו של משיח</t>
  </si>
  <si>
    <t>רוסטוב על נהר דון</t>
  </si>
  <si>
    <t>שלוחי רוסטוב</t>
  </si>
  <si>
    <t>רועה אבן ישראל - א</t>
  </si>
  <si>
    <t>רובין, ישראל אליעזר בן משה</t>
  </si>
  <si>
    <t>רועי אמונה</t>
  </si>
  <si>
    <t>מערכת בית משיח</t>
  </si>
  <si>
    <t>רזא דשבת</t>
  </si>
  <si>
    <t>כץ, גדליה הכהן</t>
  </si>
  <si>
    <t>קדימה</t>
  </si>
  <si>
    <t>חסידות, תפלות בקשות פיוטים ושירה</t>
  </si>
  <si>
    <t>רזא דשבתא</t>
  </si>
  <si>
    <t>רזין דאורייתא</t>
  </si>
  <si>
    <t>טננבוים, מנחם מנדל - עמית, שגיב</t>
  </si>
  <si>
    <t>רחובות הנהר - 5 כרכים</t>
  </si>
  <si>
    <t>רישומה של שנה</t>
  </si>
  <si>
    <t>רמ"ח אותיות</t>
  </si>
  <si>
    <t>רמב"ם הערוך - 8 כרכים</t>
  </si>
  <si>
    <t>בלומינג, יעקב פרץ בן ציון</t>
  </si>
  <si>
    <t>רמב"ם מבואר - הלכות תלמוד תורה</t>
  </si>
  <si>
    <t>רמב"ם מבואר</t>
  </si>
  <si>
    <t>רעיא מהימנא</t>
  </si>
  <si>
    <t>רעיון החודש</t>
  </si>
  <si>
    <t>גערליצקי, יוסף ש. - בלוי, טוביה</t>
  </si>
  <si>
    <t>רפואה שלמה</t>
  </si>
  <si>
    <t>רשימה מיחידות כ"ק אדמו"ר מסדיגורא שליט"א אצל כ"ק אדמו"ר שליט"א</t>
  </si>
  <si>
    <t>רשימה מיחידות</t>
  </si>
  <si>
    <t>רשימות - על מגילת איכה</t>
  </si>
  <si>
    <t>תשי"ב</t>
  </si>
  <si>
    <t>רשימות - חלק ה</t>
  </si>
  <si>
    <t>המשפיע ר' גרונם</t>
  </si>
  <si>
    <t>רשימות</t>
  </si>
  <si>
    <t>רשימות הנהגת קודש</t>
  </si>
  <si>
    <t>רשימות - ג</t>
  </si>
  <si>
    <t>אלטהויז, אליהו חיים בן פנחס</t>
  </si>
  <si>
    <t>רשימות - 5 כרכים</t>
  </si>
  <si>
    <t>רשימות - 4 כרכים</t>
  </si>
  <si>
    <t>רשימות דברים - 4 כרכים</t>
  </si>
  <si>
    <t>חיטריק, יהודה בן צבי</t>
  </si>
  <si>
    <t>רשימות הרב"ש</t>
  </si>
  <si>
    <t>שניאורסון, ברוך שניאור</t>
  </si>
  <si>
    <t>רשימות חתונה</t>
  </si>
  <si>
    <t>רשימות סיפורים - 2 כרכים</t>
  </si>
  <si>
    <t>מישולובין, חיים אליהו</t>
  </si>
  <si>
    <t>רשימת אדמו"ר כ"ק יוסף יצחק יא - יג ניסן תרנ"ג</t>
  </si>
  <si>
    <t>רשימת אדמו"ר כ"ק יוסף יצחק שנת תערב</t>
  </si>
  <si>
    <t>רשימת דברי הכ"ק אדמו"ר</t>
  </si>
  <si>
    <t>רשימת דברים</t>
  </si>
  <si>
    <t>רשימת המאסר</t>
  </si>
  <si>
    <t>רשימת המנורה</t>
  </si>
  <si>
    <t>רשימת זכרונות - כו-לט</t>
  </si>
  <si>
    <t>שניארסון, חנה</t>
  </si>
  <si>
    <t>רשימת כ"ק אדמו"ר יוסף יצחק - דברי ימי חיי אדמו"ר הזקן</t>
  </si>
  <si>
    <t>רשימת כ"ק אדמו"ר מנחם מענדל - שמחת בית השואבה תרצ"ב</t>
  </si>
  <si>
    <t>רשימת כבוד קדושת אדמו"ר יוסף יצחק - ו</t>
  </si>
  <si>
    <t>רשימת מאמרי דא"ח של כ"ק אדמו"ר הצמח צדק</t>
  </si>
  <si>
    <t>רשימת מאמרי כ"ק אדמו"ר על המשך תער"ב</t>
  </si>
  <si>
    <t>רשמי ביאורים - א</t>
  </si>
  <si>
    <t>מטוסוב, שלמה בן יצחק אייזיק</t>
  </si>
  <si>
    <t>רשת &lt;בטאון ארגון מורי חב"ד&gt; - 8</t>
  </si>
  <si>
    <t>שאי תפילה</t>
  </si>
  <si>
    <t>שאלות בלקוטי טעמים</t>
  </si>
  <si>
    <t>מערכת קול אברהם</t>
  </si>
  <si>
    <t>שאלות בפירש"י על פרשת השבוע</t>
  </si>
  <si>
    <t>ישיבת תורת אמת ירושלים</t>
  </si>
  <si>
    <t>שאלות וביאורים בפרש"י על פרשת השבוע - י</t>
  </si>
  <si>
    <t>ישיבת אחי תמימים ראשל"צ</t>
  </si>
  <si>
    <t>שאלות ותשובות מהר"י תומרקין</t>
  </si>
  <si>
    <t>תומרקין, יוסף</t>
  </si>
  <si>
    <t>שאלות חזרה</t>
  </si>
  <si>
    <t>שאלות לחזרה בקונטרס "ומעין"</t>
  </si>
  <si>
    <t>שאלות לתינוקות של בית רבן - הגדה ש"פ</t>
  </si>
  <si>
    <t>שאלות פירושים וביאורים - 12 כרכים</t>
  </si>
  <si>
    <t>באגאמילסקי, שמואל פסח</t>
  </si>
  <si>
    <t>מייפלוואוד</t>
  </si>
  <si>
    <t>שאמיל</t>
  </si>
  <si>
    <t>ליפקין, בנימין מנשה</t>
  </si>
  <si>
    <t>שארית יהודה - 2 כרכים</t>
  </si>
  <si>
    <t>שניאורי, יהודה ליב בן ברוך</t>
  </si>
  <si>
    <t>תר"א</t>
  </si>
  <si>
    <t>ספריית חב''ד, שאלות ותשובות, שלחן ערוך ומפרשיו</t>
  </si>
  <si>
    <t>שבועות חסידי</t>
  </si>
  <si>
    <t>הלכות ומנהגי חב"ד לחג השבועות</t>
  </si>
  <si>
    <t>שבח המועדים</t>
  </si>
  <si>
    <t>הורוויץ, שמואל הלוי</t>
  </si>
  <si>
    <t>שבח הנישואין</t>
  </si>
  <si>
    <t>שבח יקר</t>
  </si>
  <si>
    <t>שבחי הבעש"ט &lt;מהדורת מונדשיין&gt;</t>
  </si>
  <si>
    <t>שבחי הבעש"ט</t>
  </si>
  <si>
    <t>שבחי הרב</t>
  </si>
  <si>
    <t>רודקינזון, מיכאל לוי בן אלכסנדר</t>
  </si>
  <si>
    <t>תשכ"א</t>
  </si>
  <si>
    <t>שביעי של פסח</t>
  </si>
  <si>
    <t>קפלן, יצחק &lt;עורך&gt;</t>
  </si>
  <si>
    <t>שביעית כהלכתה</t>
  </si>
  <si>
    <t>שבעים למלך</t>
  </si>
  <si>
    <t>מערכת שערי ישיבה</t>
  </si>
  <si>
    <t>שבעת התורות שאמר מורנו הבעש"ט בגן עדן</t>
  </si>
  <si>
    <t>שבת אחדות - 4 כרכים</t>
  </si>
  <si>
    <t>גבעת וושינגטון</t>
  </si>
  <si>
    <t>שבת בראשית</t>
  </si>
  <si>
    <t>שבת של אחדות ישראל</t>
  </si>
  <si>
    <t>שבת, כיבוד אב ואם, כיסוי ראש, מזוזה</t>
  </si>
  <si>
    <t>שו"ת אדמו"ר הזקן</t>
  </si>
  <si>
    <t>שו"ת במאמרי ליקוטי תורה לאדמו"ר הזקן</t>
  </si>
  <si>
    <t>שאלות ותשובות במאמרי לקוטי תורה</t>
  </si>
  <si>
    <t>שו"ת בענין הגאולה העתידה וביאת המשיח</t>
  </si>
  <si>
    <t>שו"ת הרב</t>
  </si>
  <si>
    <t>שו"ת שלוחי המלך</t>
  </si>
  <si>
    <t>אדרעי, יוסף יצחק בן נסים אליהו</t>
  </si>
  <si>
    <t>שואלים ודורשים - בענייני הפסח</t>
  </si>
  <si>
    <t>שואלין ודורשין וסדר פסח</t>
  </si>
  <si>
    <t>שווה לכל נפש - 2 כרכים</t>
  </si>
  <si>
    <t>שולחן השבת עם הרבי מלובביץ</t>
  </si>
  <si>
    <t>רט, משה - טייב, אליהו</t>
  </si>
  <si>
    <t>שולחן חג</t>
  </si>
  <si>
    <t>שולחן שבת - 5 כרכים</t>
  </si>
  <si>
    <t>ברוד, מנחם - לבנוני, חיה צירל בת משה אהרן</t>
  </si>
  <si>
    <t>שולחן שבת וחג</t>
  </si>
  <si>
    <t>שומרי החומות</t>
  </si>
  <si>
    <t>שורש מצות התפילה - א</t>
  </si>
  <si>
    <t>שניאורסון, מנחם מנדל בן שלום שכנא - קסלמן, שלום דובער</t>
  </si>
  <si>
    <t>שושנת העמקים</t>
  </si>
  <si>
    <t>שי למלך - 2 כרכים</t>
  </si>
  <si>
    <t>שי לצדיק</t>
  </si>
  <si>
    <t>שידוך טוב</t>
  </si>
  <si>
    <t>שיח</t>
  </si>
  <si>
    <t>חוברת בענייני חינוך</t>
  </si>
  <si>
    <t>שיח שרפי קודש</t>
  </si>
  <si>
    <t>שיח תמים - 2 כרכים</t>
  </si>
  <si>
    <t>תשנ"ז - תש"ס</t>
  </si>
  <si>
    <t>שיחו בכל נפלאותיו</t>
  </si>
  <si>
    <t>לאופר, ישראל אריה לייב</t>
  </si>
  <si>
    <t>שיחות הרבי לילדים - 4 כרכים</t>
  </si>
  <si>
    <t>שיחות הרבי לעם - 2 כרכים</t>
  </si>
  <si>
    <t>מרינובסקי, משה</t>
  </si>
  <si>
    <t>חסידות, ספריית חב''ד, תנ''ך</t>
  </si>
  <si>
    <t>שיחות חג הגאולה י"ב - י"ג תמוז תרצ"ו</t>
  </si>
  <si>
    <t>שיחות לנוער - 9 כרכים</t>
  </si>
  <si>
    <t>תשי"ז - תשי"ט</t>
  </si>
  <si>
    <t>שיחות לנוער &lt;סדרה ב&gt;  - 2 כרכים</t>
  </si>
  <si>
    <t>ירחון לנוער</t>
  </si>
  <si>
    <t>שיחות קודש - 53 כרכים</t>
  </si>
  <si>
    <t>שיחות קודש מכ"ק אדמו"ר מוהריי"ץ</t>
  </si>
  <si>
    <t>שיחת היום</t>
  </si>
  <si>
    <t>שיחת השבוע - 6 כרכים</t>
  </si>
  <si>
    <t>גליון שבועי חב"ד</t>
  </si>
  <si>
    <t>תשמ"ז - תשמ"ח</t>
  </si>
  <si>
    <t>שיחת כ"ק הרבי מליובאוויץ לילדים וילדות</t>
  </si>
  <si>
    <t>שיטת לימודו של הרוגוצ'ובי ז"ל</t>
  </si>
  <si>
    <t>טננבוים, מנחם מנדל</t>
  </si>
  <si>
    <t>שיטת רבינו ישראל אבוחצירא בענין גידול וגילוח הזקן</t>
  </si>
  <si>
    <t>ווינער, משה ניסן</t>
  </si>
  <si>
    <t>שיעורי הלכה למעשה - 2 כרכים</t>
  </si>
  <si>
    <t>שיעורים בהמשך המאמרים בשעה שהקדימו תער"ב - 14 כרכים</t>
  </si>
  <si>
    <t>מכון דעת</t>
  </si>
  <si>
    <t>שיעורים בחסידות - 7 כרכים</t>
  </si>
  <si>
    <t>שיעורים בלקוטי שיחות - 2 כרכים</t>
  </si>
  <si>
    <t>שיעורים בלקוטי שיחות</t>
  </si>
  <si>
    <t>שיעורים בספר התניא - 3 כרכים</t>
  </si>
  <si>
    <t>שיעורים בספר התניא</t>
  </si>
  <si>
    <t>שיעורים בספר התניא (בל' הקדש) - 4 כרכים</t>
  </si>
  <si>
    <t>וינברג, יוסף</t>
  </si>
  <si>
    <t>שיעורים בספר סוד ה' ליראיו - 4 כרכים</t>
  </si>
  <si>
    <t>תשע"א - תשע"ז</t>
  </si>
  <si>
    <t>שיעורים בתורת החסידות - המשך תרס"ו א</t>
  </si>
  <si>
    <t>שיעורים בתורת חב"ד</t>
  </si>
  <si>
    <t>שיעורים והתוועדויות - 14 כרכים</t>
  </si>
  <si>
    <t>תשע"ב - תשע"ה</t>
  </si>
  <si>
    <t>שירים אארוג</t>
  </si>
  <si>
    <t>גליצנשטיין, ציפורה</t>
  </si>
  <si>
    <t>שירת מרים</t>
  </si>
  <si>
    <t>שירת משה &lt;מהדורה חדשה&gt;</t>
  </si>
  <si>
    <t>מייזלש, משה בן מרדכי</t>
  </si>
  <si>
    <t>שישאר בינינו</t>
  </si>
  <si>
    <t>פרלוב, ליבא</t>
  </si>
  <si>
    <t>שכונת נוה שלום ירושלים</t>
  </si>
  <si>
    <t>שכינה ביניהם</t>
  </si>
  <si>
    <t>שלבי החינוך לתורה באור ההלכה</t>
  </si>
  <si>
    <t>הכהן, שמואל יחזקאל</t>
  </si>
  <si>
    <t>שלהבות התניא</t>
  </si>
  <si>
    <t>אקסלרוד, גדליהו בן משה</t>
  </si>
  <si>
    <t>שלהבת עולה מאליה</t>
  </si>
  <si>
    <t>שלום שלום ואין שלום - 2 כרכים</t>
  </si>
  <si>
    <t>שלושים שנה לקונטרס 'בית רבינו שבבבל'</t>
  </si>
  <si>
    <t>שלחן הזהב</t>
  </si>
  <si>
    <t>פרידלנד, שלום דובער בן אברהם מנדל</t>
  </si>
  <si>
    <t>שלחן הפסח (תדפיס מהספר)</t>
  </si>
  <si>
    <t>שלחן מנחם - 7 כרכים</t>
  </si>
  <si>
    <t>שלחן ערוך - או"ח קנה קנו</t>
  </si>
  <si>
    <t>שלחן ערוך אדמו"ר הזקן המבואר - או"ח פט-קלא, קנה-קנו</t>
  </si>
  <si>
    <t>שניאור זלמן בן ברוך מלאדי - אלאשוילי, אברהם</t>
  </si>
  <si>
    <t>שלחן ערוך הקצר - 2 כרכים</t>
  </si>
  <si>
    <t>וייס, דניאל שלום</t>
  </si>
  <si>
    <t>שלחן ערוך הרב &lt;טקסט&gt;</t>
  </si>
  <si>
    <t xml:space="preserve">שלחן ערוך הרב &lt;מהדורה מתוקנת ומבוארת עם הוספות מכתב יד&gt; סימנים קנה-קנו </t>
  </si>
  <si>
    <t>שלחן ערוך הרב &lt;מנוקד&gt;  - 5 כרכים</t>
  </si>
  <si>
    <t>שלחן ערוך הרב &lt;עם ציונים ומקורות&gt;  - 7 כרכים</t>
  </si>
  <si>
    <t>שלחן ערוך הרב &lt;עם תרגום אנגלית&gt;  - 5 כרכים</t>
  </si>
  <si>
    <t>שלחן ערוך הרב &lt;בלכתך בדרך&gt;  - 43 כרכים</t>
  </si>
  <si>
    <t>שלחן ערוך הרב &lt;דפוס ראשון&gt;  - 2 כרכים</t>
  </si>
  <si>
    <t>קאפוסט</t>
  </si>
  <si>
    <t>תקע"ו</t>
  </si>
  <si>
    <t>שלחן ערוך הרב הל' יו"ט עם ביאור נימוקי יו"ט</t>
  </si>
  <si>
    <t>ראטה, שמואל בן חיים אלטר</t>
  </si>
  <si>
    <t>שלחן ערוך הרב עם ביאור דברי שלום - 23 כרכים</t>
  </si>
  <si>
    <t>שניאור זלמן בן ברוך מלאדי - לוין, שלום דובער</t>
  </si>
  <si>
    <t>שלחן שבת</t>
  </si>
  <si>
    <t>שליחות חיי</t>
  </si>
  <si>
    <t>שלם בתלמודו - 6 כרכים</t>
  </si>
  <si>
    <t>שלמות - 47 כרכים</t>
  </si>
  <si>
    <t>הועד למען שלמות העם</t>
  </si>
  <si>
    <t>שלמות הארץ</t>
  </si>
  <si>
    <t>גוטניק, יוסף יצחק הכהן</t>
  </si>
  <si>
    <t>שלשה כתרים</t>
  </si>
  <si>
    <t>שלשה מאמרים נפתחים - לך לך</t>
  </si>
  <si>
    <t>גמסון, משה אפרים</t>
  </si>
  <si>
    <t>שלשים שנה לר"ח כסלו תשל"ח</t>
  </si>
  <si>
    <t>יומן מיוחד</t>
  </si>
  <si>
    <t>שלשלת היחס</t>
  </si>
  <si>
    <t>שלשלת נשיאי חב"ד</t>
  </si>
  <si>
    <t>שם בנימין צעיר רדם</t>
  </si>
  <si>
    <t>זכרון להרב בנימין וולף ע"ה</t>
  </si>
  <si>
    <t>שמועות וסיפורים מרבותינו הקדושים - 5 כרכים</t>
  </si>
  <si>
    <t>הכהן, רפאל נחמן בן ברוך שלום</t>
  </si>
  <si>
    <t>שמועסן מיט קינדער - 5 כרכים</t>
  </si>
  <si>
    <t>תש"ה - תש"ז</t>
  </si>
  <si>
    <t>שמחה כאתגר - הגישה החסידית</t>
  </si>
  <si>
    <t>שמחת מלך</t>
  </si>
  <si>
    <t>פאקס, נח שמחה</t>
  </si>
  <si>
    <t>פילדלפיה</t>
  </si>
  <si>
    <t>שמחת סיום הרמב"ם מחזור חמישי</t>
  </si>
  <si>
    <t>שמחת סיום הרמב"ם</t>
  </si>
  <si>
    <t>שמחת עולם</t>
  </si>
  <si>
    <t>לאופר, מרדכי</t>
  </si>
  <si>
    <t>שמחת תורה</t>
  </si>
  <si>
    <t>שמחת תורה - ענייני דיומא</t>
  </si>
  <si>
    <t>מבית מדרשו של אדמו"ר מחב"ד</t>
  </si>
  <si>
    <t>שמים חדשים</t>
  </si>
  <si>
    <t>שמירת הברכות</t>
  </si>
  <si>
    <t>שמירת הטהרה</t>
  </si>
  <si>
    <t>שמירת המצוות לאישה ולבת</t>
  </si>
  <si>
    <t>שמירת השביעית</t>
  </si>
  <si>
    <t>שווארץ, יהודה אריה</t>
  </si>
  <si>
    <t>שמירת השמחות</t>
  </si>
  <si>
    <t>שמירת התפילה - מהדו"א</t>
  </si>
  <si>
    <t>שמירת מצוות היום</t>
  </si>
  <si>
    <t>שמלה חדשה עם בגדי מלכות (תדפיס)</t>
  </si>
  <si>
    <t>דיקשטיין, שלום דובער - הלפרין, לוי יצחק - דיקשטיין, חיים אברהם שמואל</t>
  </si>
  <si>
    <t>שמן ששון מחבריך - 3 כרכים</t>
  </si>
  <si>
    <t>שמעתתא אליבא דהילכתא א</t>
  </si>
  <si>
    <t>כולל להוראה מעשית - קראון הייטס</t>
  </si>
  <si>
    <t>בקרוקלין</t>
  </si>
  <si>
    <t>הלכה ומנהג, חסידות, קבצים וכתבי עת, ספרי זכרון ויובל</t>
  </si>
  <si>
    <t>שני חיי עמרם</t>
  </si>
  <si>
    <t>בלוי, עמרם &lt;תולדותיו&gt;</t>
  </si>
  <si>
    <t>שנים אוחזים בטלית</t>
  </si>
  <si>
    <t>שנים אוחזין בטלית</t>
  </si>
  <si>
    <t>שעורי התמימים</t>
  </si>
  <si>
    <t>שער היחוד</t>
  </si>
  <si>
    <t>שער היחוד והאמונה &lt;עם ביאור המאור שבתורה&gt;</t>
  </si>
  <si>
    <t>ארגון המאור שבתורה</t>
  </si>
  <si>
    <t>שער היחוד והאמונה עם פירוש ועיונים</t>
  </si>
  <si>
    <t>שער היחוד והאמונה עם שיעורי הרב יואל כהן</t>
  </si>
  <si>
    <t>שער הכולל</t>
  </si>
  <si>
    <t>שער התשובה והתפלה &lt;טקסט&gt;</t>
  </si>
  <si>
    <t>שערי אהבה ורצון</t>
  </si>
  <si>
    <t>שערי אהבת ישראל</t>
  </si>
  <si>
    <t>שערי אורה &lt;טקסט&gt;</t>
  </si>
  <si>
    <t>שערי אורה</t>
  </si>
  <si>
    <t>שערי אמונה - 2 כרכים</t>
  </si>
  <si>
    <t>שערי ארץ ישראל</t>
  </si>
  <si>
    <t>שערי בר מצוה ומצות תפילין</t>
  </si>
  <si>
    <t>שערי גאולה - 2 כרכים</t>
  </si>
  <si>
    <t>שערי הלכה ומנהג - 4 כרכים</t>
  </si>
  <si>
    <t>שערי המועדים - 12 כרכים</t>
  </si>
  <si>
    <t>שערי התמימים - 20 כרכים</t>
  </si>
  <si>
    <t>שערי חינוך</t>
  </si>
  <si>
    <t>שערי יהודה - כתובות גיטין קידושין</t>
  </si>
  <si>
    <t>אבר, יהודה בן אברהם יעקב</t>
  </si>
  <si>
    <t>שערי יורה דעה - (תערובות)</t>
  </si>
  <si>
    <t>שערי ישיבה - 16 כרכים</t>
  </si>
  <si>
    <t>שערי ישיבה גדולה - 12 כרכים</t>
  </si>
  <si>
    <t>שערי לימוד החסידות</t>
  </si>
  <si>
    <t>שערי נישואין</t>
  </si>
  <si>
    <t>שערי ספר התניא - 4 כרכים</t>
  </si>
  <si>
    <t>שערי עיון</t>
  </si>
  <si>
    <t>אברהמי, מנחם מענדל דוד בן שמעון</t>
  </si>
  <si>
    <t>שערי עיונים בדא"ח</t>
  </si>
  <si>
    <t>שערי צדקה</t>
  </si>
  <si>
    <t>שערי ציון</t>
  </si>
  <si>
    <t>קובץ לחידושי תורה ועניני הלכה</t>
  </si>
  <si>
    <t>שערי שידוכין</t>
  </si>
  <si>
    <t>שערי שלום</t>
  </si>
  <si>
    <t>שערי שמיטה</t>
  </si>
  <si>
    <t>שערי תורה &lt;חב"ד קרית גת&gt; - א</t>
  </si>
  <si>
    <t>קאראקס</t>
  </si>
  <si>
    <t>שערי תורה &lt;חב"ד קאראקס&gt;  - 3 כרכים</t>
  </si>
  <si>
    <t>שערי תורה &lt;חב"ד טבריא&gt; - 2 כרכים</t>
  </si>
  <si>
    <t>טבריה</t>
  </si>
  <si>
    <t>שערי תפילה</t>
  </si>
  <si>
    <t>שערי תפילה ומנהג - 3 כרכים</t>
  </si>
  <si>
    <t>שערי תשובה</t>
  </si>
  <si>
    <t>שעשועים יום יום - 3 כרכים</t>
  </si>
  <si>
    <t>שפתי חיים</t>
  </si>
  <si>
    <t>שש אנכי על אמרתך</t>
  </si>
  <si>
    <t>שש על אמרתך - בר מצוה</t>
  </si>
  <si>
    <t>שגיב, עמית</t>
  </si>
  <si>
    <t>תא חזי</t>
  </si>
  <si>
    <t>תאריכים בדברי ימי חב"ד</t>
  </si>
  <si>
    <t>תגלנה עצמות דיכית</t>
  </si>
  <si>
    <t>תדפיס מספר תולדות בערל בוימגארטען</t>
  </si>
  <si>
    <t>תדפיס מספר תולדות</t>
  </si>
  <si>
    <t>תהלים אהל יוסף יצחק ע"פ תהלות מנחם - 5 כרכים</t>
  </si>
  <si>
    <t>תהלים עם פירוש יהל אור</t>
  </si>
  <si>
    <t>תשי"ג</t>
  </si>
  <si>
    <t>תהלים עם פירוש תהלות מנחם - 2 כרכים</t>
  </si>
  <si>
    <t>תהלים עם תרגום ספרדית</t>
  </si>
  <si>
    <t>תנ"ך. ניו יורק. תש"ע</t>
  </si>
  <si>
    <t>תהלים עם תרגום רוסית</t>
  </si>
  <si>
    <t>תהלים פ"ט עם ילקוט פירושים</t>
  </si>
  <si>
    <t>תהלת רבותינו - ברכות השחר, הודו</t>
  </si>
  <si>
    <t>תהלתו עומדת לעד</t>
  </si>
  <si>
    <t>תוכן הענינים על לקוטי שיחות ספר בראשית חודש ניסן</t>
  </si>
  <si>
    <t>תוכן הענינים על לקוטי שיחות</t>
  </si>
  <si>
    <t>תוכן השיחות היומיות</t>
  </si>
  <si>
    <t>תוכן התועדות - 3 כרכים</t>
  </si>
  <si>
    <t>תוכן עניינים בדא"ח לחזור בבתי כנסיות - 47 כרכים</t>
  </si>
  <si>
    <t>תוכן קצר ליקוטי תורה ותורה אור</t>
  </si>
  <si>
    <t>תולדות אברהם חיים</t>
  </si>
  <si>
    <t>תולדות אברהם חיים &lt;טקסט&gt;</t>
  </si>
  <si>
    <t>תולדות חב"ד בארץ הקודש</t>
  </si>
  <si>
    <t>תולדות חב"ד בארץ הקודש &lt;טקסט&gt;</t>
  </si>
  <si>
    <t>תולדות חב"ד בארצות הברית</t>
  </si>
  <si>
    <t>תולדות חב"ד בחדרה</t>
  </si>
  <si>
    <t>בית חב"ד חדרה</t>
  </si>
  <si>
    <t>תולדות חב"ד במרוקו</t>
  </si>
  <si>
    <t>משפחת מטוסוב</t>
  </si>
  <si>
    <t>תולדות חב"ד בפולין, ליטא ולטביא</t>
  </si>
  <si>
    <t>תולדות חב"ד בפטרבורג</t>
  </si>
  <si>
    <t>תולדות חב"ד ברוסיא הצארית</t>
  </si>
  <si>
    <t>תולדות חייו של הרה"ת משה אקסלרוד ע"ה</t>
  </si>
  <si>
    <t>תולדות יצחק אייזיק</t>
  </si>
  <si>
    <t>תולדות לוי יצחק - 3 כרכים</t>
  </si>
  <si>
    <t>תולדות ספר התניא</t>
  </si>
  <si>
    <t>תולדות צאצאי רבי יהונתן</t>
  </si>
  <si>
    <t>תולדות ר' אברהם אבא זעליגזאן</t>
  </si>
  <si>
    <t>אהרן, מיכאל</t>
  </si>
  <si>
    <t>תולדות ר' מנחם מענדל</t>
  </si>
  <si>
    <t>תולדות ר' סעדיה</t>
  </si>
  <si>
    <t>ליבראוו, מרדכי צבי</t>
  </si>
  <si>
    <t>תולדות רבותינו נשיאינו</t>
  </si>
  <si>
    <t>הולצמן, לוי יצחק</t>
  </si>
  <si>
    <t>תולדות שמואל מונקעס, החתונה הגדולה בז'לאבין</t>
  </si>
  <si>
    <t>תום ודעת</t>
  </si>
  <si>
    <t>תומכי תמימים</t>
  </si>
  <si>
    <t>ספריית חב''ד, תלמוד בבלי, תלמוד ירושלמי</t>
  </si>
  <si>
    <t>ליקוטים מתורת חב"ד</t>
  </si>
  <si>
    <t>תורה אור &lt;טקסט&gt;</t>
  </si>
  <si>
    <t>תורה אור</t>
  </si>
  <si>
    <t>תורה אור (באנגלית) - א</t>
  </si>
  <si>
    <t>תורה געדאנקען</t>
  </si>
  <si>
    <t>דובראווסקי, יהושע</t>
  </si>
  <si>
    <t>תורה ופירושה - 6 כרכים</t>
  </si>
  <si>
    <t>אלאשוילי, אברהם - משה בן מימון (רמב"ם)</t>
  </si>
  <si>
    <t>תורותיו ינצורו</t>
  </si>
  <si>
    <t>תורת אמת - ב</t>
  </si>
  <si>
    <t>תורת ברלין</t>
  </si>
  <si>
    <t>ברלין</t>
  </si>
  <si>
    <t>תורת החסידות</t>
  </si>
  <si>
    <t>תורת המערב</t>
  </si>
  <si>
    <t>קליפורניה</t>
  </si>
  <si>
    <t>תורת הסוגיות</t>
  </si>
  <si>
    <t>תורת השליחות</t>
  </si>
  <si>
    <t>הראל, אוריאל יצחק בן אריה יהודה</t>
  </si>
  <si>
    <t>הלכה ומנהג, תלמוד בבלי</t>
  </si>
  <si>
    <t>תורת חב"ד - 2 כרכים</t>
  </si>
  <si>
    <t>תורת חיים &lt;טקסט&gt;</t>
  </si>
  <si>
    <t>תורת חיים - 3 כרכים</t>
  </si>
  <si>
    <t>תורת חסד</t>
  </si>
  <si>
    <t>תורת יצחק - 2 כרכים</t>
  </si>
  <si>
    <t>תורת לוי יצחק - ש"ס משנה וגמרא</t>
  </si>
  <si>
    <t>תורת מנחם &lt;טקסט&gt;</t>
  </si>
  <si>
    <t>תורת מנחם - 164 כרכים</t>
  </si>
  <si>
    <t>תורת מנחם &lt;יין מלכות&gt;  - 3 כרכים</t>
  </si>
  <si>
    <t>תורת מנחם (בצרפתית) - ספר המאמרים מלוקט חודש תמוז</t>
  </si>
  <si>
    <t>תורת מנחם מנחם ציון - 2 כרכים</t>
  </si>
  <si>
    <t>תורת מנחם ספר המאמרים מלוקט - 4 כרכים</t>
  </si>
  <si>
    <t>תורת מנחם תפארת לוי יצחק - 3 כרכים</t>
  </si>
  <si>
    <t>תורת נחלת הר חב"ד - 136 כרכים</t>
  </si>
  <si>
    <t>תורת צדק</t>
  </si>
  <si>
    <t>תורת שלום - 3 כרכים</t>
  </si>
  <si>
    <t>תורת שמואל &lt;טקסט&gt;</t>
  </si>
  <si>
    <t>תורת שמואל ספר השיחות</t>
  </si>
  <si>
    <t>תורת תלמיד ותיק</t>
  </si>
  <si>
    <t>תורת תמימים - א</t>
  </si>
  <si>
    <t>תורתו אמת - 2 כרכים</t>
  </si>
  <si>
    <t>תורתו מגן לנו</t>
  </si>
  <si>
    <t>מערכת לכשיפוצו מעינותיך</t>
  </si>
  <si>
    <t>תורתך תלמדנו</t>
  </si>
  <si>
    <t>תחיינו - 8 כרכים</t>
  </si>
  <si>
    <t xml:space="preserve">תשע"ו - </t>
  </si>
  <si>
    <t>תינוק נולד - מדריך יהודי ללידת הבן והבת</t>
  </si>
  <si>
    <t>תיקון המדינה</t>
  </si>
  <si>
    <t>תיקוני מקוואות לפי תקנת רבותינו</t>
  </si>
  <si>
    <t>תכונות השמים</t>
  </si>
  <si>
    <t>קעלער, יוסף יצחק בן יהודה</t>
  </si>
  <si>
    <t>תכנית לימוד דברי חכמי הדורות על הגאולה</t>
  </si>
  <si>
    <t>קפלן נחום יצחק</t>
  </si>
  <si>
    <t>תלת הלכתא רבתא בהלכות עירובין</t>
  </si>
  <si>
    <t>תמונה ללא מסגרת</t>
  </si>
  <si>
    <t>דייטש, שייע</t>
  </si>
  <si>
    <t>תמים בחוקיך</t>
  </si>
  <si>
    <t>תמים תהיה</t>
  </si>
  <si>
    <t>עלון</t>
  </si>
  <si>
    <t>תמת ישרים תנחם</t>
  </si>
  <si>
    <t>תן לחכם</t>
  </si>
  <si>
    <t>וואוסטר מסצ'וסטס</t>
  </si>
  <si>
    <t>פוגלמן, יהודה צבי בן משה יעקב</t>
  </si>
  <si>
    <t>נושאים שונים, תלמוד בבלי</t>
  </si>
  <si>
    <t>תנאים ווארט אירוסין ונישואין</t>
  </si>
  <si>
    <t>תנופה חדשה - יג</t>
  </si>
  <si>
    <t>תניא בעל פה</t>
  </si>
  <si>
    <t>חובל, נתן</t>
  </si>
  <si>
    <t>תניא לאנשים כמוך וכמוני</t>
  </si>
  <si>
    <t>שם-טוב, אליעזר - ליברמן, דובי</t>
  </si>
  <si>
    <t>תניא עם תרגום לגרוזינית</t>
  </si>
  <si>
    <t>תספורת והכנסה לחדר</t>
  </si>
  <si>
    <t>ברוק, לוי יצחק (עורך)</t>
  </si>
  <si>
    <t>תספורת ראשונה</t>
  </si>
  <si>
    <t>תערוכת חב"ד - ליובאוויטש</t>
  </si>
  <si>
    <t>תערוכת חב"ד</t>
  </si>
  <si>
    <t>תערוכת ספריית ליובאוויטש</t>
  </si>
  <si>
    <t>תערוכת רבינו הזקן</t>
  </si>
  <si>
    <t>תפארת אי"ש</t>
  </si>
  <si>
    <t>שוויי, אהרן יעקב - לזכרו</t>
  </si>
  <si>
    <t>תפארת במקדשו</t>
  </si>
  <si>
    <t>תפארת בנים אבותם</t>
  </si>
  <si>
    <t>תפארת השליחות</t>
  </si>
  <si>
    <t>תפארת יגאל</t>
  </si>
  <si>
    <t>תפארת יהודה קלמן - 2 כרכים</t>
  </si>
  <si>
    <t>תפארת יעקב - תולדות רבי יעקב הלוי פרידמאן</t>
  </si>
  <si>
    <t>הורביץ, שלום הלוי</t>
  </si>
  <si>
    <t>תפארת מלך - א</t>
  </si>
  <si>
    <t>תפארת מנחם - ב</t>
  </si>
  <si>
    <t>תפארת עזריאל</t>
  </si>
  <si>
    <t>חייקין, מאיר חיים בן עזריאל</t>
  </si>
  <si>
    <t>תפארת פנחס</t>
  </si>
  <si>
    <t>תפארת שניאור זלמן</t>
  </si>
  <si>
    <t>קובץ זכרון משפחת פעווזנער</t>
  </si>
  <si>
    <t>תפילה לאני</t>
  </si>
  <si>
    <t>תפילות ובקשות על קברי צדיקים</t>
  </si>
  <si>
    <t>לזרוב, חיים צבי בן שמעון (עורך)</t>
  </si>
  <si>
    <t>תפילין</t>
  </si>
  <si>
    <t>תפילין - 2 כרכים</t>
  </si>
  <si>
    <t>תפילין דמארי עלמא</t>
  </si>
  <si>
    <t>תקופת לימוד הרמב"ם</t>
  </si>
  <si>
    <t>תקנון הלכתי לבתי חב"ד</t>
  </si>
  <si>
    <t>תקנון הלכתי</t>
  </si>
  <si>
    <t>תקנות הרבי</t>
  </si>
  <si>
    <t>תקע בשופר גדול</t>
  </si>
  <si>
    <t>תרי"ג מצות</t>
  </si>
  <si>
    <t>מפעל תרי"ג מצוות</t>
  </si>
  <si>
    <t>תשובה בחג הגאולה</t>
  </si>
  <si>
    <t>תשובות וביאורים</t>
  </si>
  <si>
    <t>תשובת השנה</t>
  </si>
  <si>
    <t>תשורה - תשס"ז (סגל) ספר הצאצאים</t>
  </si>
  <si>
    <t>קונטרסי תשורה משמחות חסידי חב"ד</t>
  </si>
  <si>
    <t>תשורה - תשע"ד (כ"ץ) מאמר ואתה תצוה</t>
  </si>
  <si>
    <t>תשורה - תשע"ה (לרנר) מקוה ע"ג האוצר</t>
  </si>
  <si>
    <t>לרנר, בועז</t>
  </si>
  <si>
    <t>תשורה - 993 כרכים</t>
  </si>
  <si>
    <t>אייאווה</t>
  </si>
  <si>
    <t>תשורה מהפאנל - ליקוטי שיחות</t>
  </si>
  <si>
    <t>תשרי ביאת משיח</t>
  </si>
  <si>
    <t>תשרי בליובאוויטש</t>
  </si>
  <si>
    <t>תשרי של נפלאות גדולות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</si>
</sst>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5874-C139-4C44-8434-8450C0BF2287}">
  <dimension ref="A1:H2468"/>
  <sheetViews>
    <sheetView tabSelected="1" workbookViewId="0">
      <selection activeCell="C6" sqref="C6"/>
    </sheetView>
  </sheetViews>
  <sheetFormatPr defaultRowHeight="15" x14ac:dyDescent="0.25"/>
  <cols>
    <col min="1" max="1" width="9.5703125" bestFit="1" customWidth="1"/>
    <col min="2" max="2" width="65.28515625" bestFit="1" customWidth="1"/>
    <col min="3" max="3" width="61.28515625" bestFit="1" customWidth="1"/>
    <col min="4" max="4" width="19" bestFit="1" customWidth="1"/>
    <col min="5" max="5" width="14.85546875" bestFit="1" customWidth="1"/>
    <col min="6" max="6" width="48.85546875" bestFit="1" customWidth="1"/>
    <col min="7" max="7" width="65.2851562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627080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HYPERLINK(_xlfn.CONCAT("https://tablet.otzar.org/",CHAR(35),"/book/627080/p/-1/t/1/fs/0/start/0/end/0/c"),"אבינו מלכנו - ראש השנה ב")</f>
        <v>אבינו מלכנו - ראש השנה ב</v>
      </c>
      <c r="H2" t="str">
        <f>_xlfn.CONCAT("https://tablet.otzar.org/",CHAR(35),"/book/627080/p/-1/t/1/fs/0/start/0/end/0/c")</f>
        <v>https://tablet.otzar.org/#/book/627080/p/-1/t/1/fs/0/start/0/end/0/c</v>
      </c>
    </row>
    <row r="3" spans="1:8" x14ac:dyDescent="0.25">
      <c r="A3">
        <v>157288</v>
      </c>
      <c r="B3" t="s">
        <v>13</v>
      </c>
      <c r="C3" t="s">
        <v>14</v>
      </c>
      <c r="D3" t="s">
        <v>15</v>
      </c>
      <c r="E3" t="s">
        <v>16</v>
      </c>
      <c r="F3" t="s">
        <v>12</v>
      </c>
      <c r="G3" t="str">
        <f>HYPERLINK(_xlfn.CONCAT("https://tablet.otzar.org/",CHAR(35),"/book/157288/p/-1/t/1/fs/0/start/0/end/0/c"),"אביעה חידות")</f>
        <v>אביעה חידות</v>
      </c>
      <c r="H3" t="str">
        <f>_xlfn.CONCAT("https://tablet.otzar.org/",CHAR(35),"/book/157288/p/-1/t/1/fs/0/start/0/end/0/c")</f>
        <v>https://tablet.otzar.org/#/book/157288/p/-1/t/1/fs/0/start/0/end/0/c</v>
      </c>
    </row>
    <row r="4" spans="1:8" x14ac:dyDescent="0.25">
      <c r="A4">
        <v>189062</v>
      </c>
      <c r="B4" t="s">
        <v>17</v>
      </c>
      <c r="C4" t="s">
        <v>18</v>
      </c>
      <c r="D4" t="s">
        <v>10</v>
      </c>
      <c r="E4" t="s">
        <v>19</v>
      </c>
      <c r="F4" t="s">
        <v>20</v>
      </c>
      <c r="G4" t="str">
        <f>HYPERLINK(_xlfn.CONCAT("https://tablet.otzar.org/",CHAR(35),"/book/189062/p/-1/t/1/fs/0/start/0/end/0/c"),"אבני חן - תולדות משפחת חן לדורותיה")</f>
        <v>אבני חן - תולדות משפחת חן לדורותיה</v>
      </c>
      <c r="H4" t="str">
        <f>_xlfn.CONCAT("https://tablet.otzar.org/",CHAR(35),"/book/189062/p/-1/t/1/fs/0/start/0/end/0/c")</f>
        <v>https://tablet.otzar.org/#/book/189062/p/-1/t/1/fs/0/start/0/end/0/c</v>
      </c>
    </row>
    <row r="5" spans="1:8" x14ac:dyDescent="0.25">
      <c r="A5">
        <v>643202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tr">
        <f>HYPERLINK(_xlfn.CONCAT("https://tablet.otzar.org/",CHAR(35),"/book/643202/p/-1/t/1/fs/0/start/0/end/0/c"),"אבני חן ב")</f>
        <v>אבני חן ב</v>
      </c>
      <c r="H5" t="str">
        <f>_xlfn.CONCAT("https://tablet.otzar.org/",CHAR(35),"/book/643202/p/-1/t/1/fs/0/start/0/end/0/c")</f>
        <v>https://tablet.otzar.org/#/book/643202/p/-1/t/1/fs/0/start/0/end/0/c</v>
      </c>
    </row>
    <row r="6" spans="1:8" x14ac:dyDescent="0.25">
      <c r="A6">
        <v>146317</v>
      </c>
      <c r="B6" t="s">
        <v>26</v>
      </c>
      <c r="C6" t="s">
        <v>27</v>
      </c>
      <c r="D6" t="s">
        <v>28</v>
      </c>
      <c r="E6" t="s">
        <v>29</v>
      </c>
      <c r="F6" t="s">
        <v>12</v>
      </c>
      <c r="G6" t="str">
        <f>HYPERLINK(_xlfn.CONCAT("https://tablet.otzar.org/",CHAR(35),"/book/146317/p/-1/t/1/fs/0/start/0/end/0/c"),"אגודת חב""""ד במדינות חבר העמים")</f>
        <v>אגודת חב""ד במדינות חבר העמים</v>
      </c>
      <c r="H6" t="str">
        <f>_xlfn.CONCAT("https://tablet.otzar.org/",CHAR(35),"/book/146317/p/-1/t/1/fs/0/start/0/end/0/c")</f>
        <v>https://tablet.otzar.org/#/book/146317/p/-1/t/1/fs/0/start/0/end/0/c</v>
      </c>
    </row>
    <row r="7" spans="1:8" x14ac:dyDescent="0.25">
      <c r="A7">
        <v>639871</v>
      </c>
      <c r="B7" t="s">
        <v>30</v>
      </c>
      <c r="C7" t="s">
        <v>31</v>
      </c>
      <c r="D7" t="s">
        <v>32</v>
      </c>
      <c r="E7" t="s">
        <v>33</v>
      </c>
      <c r="F7" t="s">
        <v>34</v>
      </c>
      <c r="G7" t="str">
        <f>HYPERLINK(_xlfn.CONCAT("https://tablet.otzar.org/",CHAR(35),"/book/639871/p/-1/t/1/fs/0/start/0/end/0/c"),"אגורה באהלך - א")</f>
        <v>אגורה באהלך - א</v>
      </c>
      <c r="H7" t="str">
        <f>_xlfn.CONCAT("https://tablet.otzar.org/",CHAR(35),"/book/639871/p/-1/t/1/fs/0/start/0/end/0/c")</f>
        <v>https://tablet.otzar.org/#/book/639871/p/-1/t/1/fs/0/start/0/end/0/c</v>
      </c>
    </row>
    <row r="8" spans="1:8" x14ac:dyDescent="0.25">
      <c r="A8">
        <v>27610</v>
      </c>
      <c r="B8" t="s">
        <v>35</v>
      </c>
      <c r="C8" t="s">
        <v>36</v>
      </c>
      <c r="D8" t="s">
        <v>37</v>
      </c>
      <c r="E8" t="s">
        <v>38</v>
      </c>
      <c r="F8" t="s">
        <v>12</v>
      </c>
      <c r="G8" t="str">
        <f>HYPERLINK(_xlfn.CONCAT("https://tablet.otzar.org/",CHAR(35),"/book/27610/p/-1/t/1/fs/0/start/0/end/0/c"),"אגלי נוחם")</f>
        <v>אגלי נוחם</v>
      </c>
      <c r="H8" t="str">
        <f>_xlfn.CONCAT("https://tablet.otzar.org/",CHAR(35),"/book/27610/p/-1/t/1/fs/0/start/0/end/0/c")</f>
        <v>https://tablet.otzar.org/#/book/27610/p/-1/t/1/fs/0/start/0/end/0/c</v>
      </c>
    </row>
    <row r="9" spans="1:8" x14ac:dyDescent="0.25">
      <c r="A9">
        <v>145965</v>
      </c>
      <c r="B9" t="s">
        <v>39</v>
      </c>
      <c r="C9" t="s">
        <v>36</v>
      </c>
      <c r="D9" t="s">
        <v>28</v>
      </c>
      <c r="E9" t="s">
        <v>40</v>
      </c>
      <c r="F9" t="s">
        <v>12</v>
      </c>
      <c r="G9" t="str">
        <f>HYPERLINK(_xlfn.CONCAT("https://tablet.otzar.org/",CHAR(35),"/book/145965/p/-1/t/1/fs/0/start/0/end/0/c"),"אגלי נוחם (נספח)")</f>
        <v>אגלי נוחם (נספח)</v>
      </c>
      <c r="H9" t="str">
        <f>_xlfn.CONCAT("https://tablet.otzar.org/",CHAR(35),"/book/145965/p/-1/t/1/fs/0/start/0/end/0/c")</f>
        <v>https://tablet.otzar.org/#/book/145965/p/-1/t/1/fs/0/start/0/end/0/c</v>
      </c>
    </row>
    <row r="10" spans="1:8" x14ac:dyDescent="0.25">
      <c r="A10">
        <v>162911</v>
      </c>
      <c r="B10" t="s">
        <v>41</v>
      </c>
      <c r="C10" t="s">
        <v>42</v>
      </c>
      <c r="D10" t="s">
        <v>15</v>
      </c>
      <c r="E10" t="s">
        <v>16</v>
      </c>
      <c r="F10" t="s">
        <v>43</v>
      </c>
      <c r="G10" t="str">
        <f>HYPERLINK(_xlfn.CONCAT("https://tablet.otzar.org/",CHAR(35),"/book/162911/p/-1/t/1/fs/0/start/0/end/0/c"),"אגרות חסיד")</f>
        <v>אגרות חסיד</v>
      </c>
      <c r="H10" t="str">
        <f>_xlfn.CONCAT("https://tablet.otzar.org/",CHAR(35),"/book/162911/p/-1/t/1/fs/0/start/0/end/0/c")</f>
        <v>https://tablet.otzar.org/#/book/162911/p/-1/t/1/fs/0/start/0/end/0/c</v>
      </c>
    </row>
    <row r="11" spans="1:8" x14ac:dyDescent="0.25">
      <c r="A11">
        <v>28715</v>
      </c>
      <c r="B11" t="s">
        <v>44</v>
      </c>
      <c r="C11" t="s">
        <v>45</v>
      </c>
      <c r="D11" t="s">
        <v>10</v>
      </c>
      <c r="E11" t="s">
        <v>46</v>
      </c>
      <c r="F11" t="s">
        <v>12</v>
      </c>
      <c r="G11" t="str">
        <f>HYPERLINK(_xlfn.CONCAT("https://tablet.otzar.org/",CHAR(35),"/exKotar/28715"),"אגרות מלך - 2 כרכים")</f>
        <v>אגרות מלך - 2 כרכים</v>
      </c>
      <c r="H11" t="str">
        <f>_xlfn.CONCAT("https://tablet.otzar.org/",CHAR(35),"/exKotar/28715")</f>
        <v>https://tablet.otzar.org/#/exKotar/28715</v>
      </c>
    </row>
    <row r="12" spans="1:8" x14ac:dyDescent="0.25">
      <c r="A12">
        <v>167738</v>
      </c>
      <c r="B12" t="s">
        <v>47</v>
      </c>
      <c r="C12" t="s">
        <v>48</v>
      </c>
      <c r="D12" t="s">
        <v>15</v>
      </c>
      <c r="E12" t="s">
        <v>49</v>
      </c>
      <c r="F12" t="s">
        <v>12</v>
      </c>
      <c r="G12" t="str">
        <f>HYPERLINK(_xlfn.CONCAT("https://tablet.otzar.org/",CHAR(35),"/book/167738/p/-1/t/1/fs/0/start/0/end/0/c"),"אגרות נבחרות מתוך ספר אגרות קודש")</f>
        <v>אגרות נבחרות מתוך ספר אגרות קודש</v>
      </c>
      <c r="H12" t="str">
        <f>_xlfn.CONCAT("https://tablet.otzar.org/",CHAR(35),"/book/167738/p/-1/t/1/fs/0/start/0/end/0/c")</f>
        <v>https://tablet.otzar.org/#/book/167738/p/-1/t/1/fs/0/start/0/end/0/c</v>
      </c>
    </row>
    <row r="13" spans="1:8" x14ac:dyDescent="0.25">
      <c r="A13">
        <v>141491</v>
      </c>
      <c r="B13" t="s">
        <v>50</v>
      </c>
      <c r="C13" t="s">
        <v>45</v>
      </c>
      <c r="D13" t="s">
        <v>15</v>
      </c>
      <c r="E13" t="s">
        <v>51</v>
      </c>
      <c r="F13" t="s">
        <v>12</v>
      </c>
      <c r="G13" t="str">
        <f>HYPERLINK(_xlfn.CONCAT("https://tablet.otzar.org/",CHAR(35),"/exKotar/141491"),"אגרות קדש - 2 כרכים")</f>
        <v>אגרות קדש - 2 כרכים</v>
      </c>
      <c r="H13" t="str">
        <f>_xlfn.CONCAT("https://tablet.otzar.org/",CHAR(35),"/exKotar/141491")</f>
        <v>https://tablet.otzar.org/#/exKotar/141491</v>
      </c>
    </row>
    <row r="14" spans="1:8" x14ac:dyDescent="0.25">
      <c r="A14">
        <v>27152</v>
      </c>
      <c r="B14" t="s">
        <v>52</v>
      </c>
      <c r="C14" t="s">
        <v>53</v>
      </c>
      <c r="D14" t="s">
        <v>10</v>
      </c>
      <c r="E14" t="s">
        <v>54</v>
      </c>
      <c r="G14" t="str">
        <f>HYPERLINK(_xlfn.CONCAT("https://tablet.otzar.org/",CHAR(35),"/book/27152/p/-1/t/1/fs/0/start/0/end/0/c"),"אגרות קודש")</f>
        <v>אגרות קודש</v>
      </c>
      <c r="H14" t="str">
        <f>_xlfn.CONCAT("https://tablet.otzar.org/",CHAR(35),"/book/27152/p/-1/t/1/fs/0/start/0/end/0/c")</f>
        <v>https://tablet.otzar.org/#/book/27152/p/-1/t/1/fs/0/start/0/end/0/c</v>
      </c>
    </row>
    <row r="15" spans="1:8" x14ac:dyDescent="0.25">
      <c r="A15">
        <v>141469</v>
      </c>
      <c r="B15" t="s">
        <v>55</v>
      </c>
      <c r="C15" t="s">
        <v>56</v>
      </c>
      <c r="D15" t="s">
        <v>10</v>
      </c>
      <c r="E15" t="s">
        <v>57</v>
      </c>
      <c r="G15" t="str">
        <f>HYPERLINK(_xlfn.CONCAT("https://tablet.otzar.org/",CHAR(35),"/book/141469/p/-1/t/1/fs/0/start/0/end/0/c"),"אגרות קודש - קונטרס מילואים")</f>
        <v>אגרות קודש - קונטרס מילואים</v>
      </c>
      <c r="H15" t="str">
        <f>_xlfn.CONCAT("https://tablet.otzar.org/",CHAR(35),"/book/141469/p/-1/t/1/fs/0/start/0/end/0/c")</f>
        <v>https://tablet.otzar.org/#/book/141469/p/-1/t/1/fs/0/start/0/end/0/c</v>
      </c>
    </row>
    <row r="16" spans="1:8" x14ac:dyDescent="0.25">
      <c r="A16">
        <v>141691</v>
      </c>
      <c r="B16" t="s">
        <v>58</v>
      </c>
      <c r="C16" t="s">
        <v>59</v>
      </c>
      <c r="D16" t="s">
        <v>37</v>
      </c>
      <c r="E16" t="s">
        <v>60</v>
      </c>
      <c r="G16" t="str">
        <f>HYPERLINK(_xlfn.CONCAT("https://tablet.otzar.org/",CHAR(35),"/book/141691/p/-1/t/1/fs/0/start/0/end/0/c"),"אגרות קודש &lt;טקסט&gt; - כרך יד")</f>
        <v>אגרות קודש &lt;טקסט&gt; - כרך יד</v>
      </c>
      <c r="H16" t="str">
        <f>_xlfn.CONCAT("https://tablet.otzar.org/",CHAR(35),"/book/141691/p/-1/t/1/fs/0/start/0/end/0/c")</f>
        <v>https://tablet.otzar.org/#/book/141691/p/-1/t/1/fs/0/start/0/end/0/c</v>
      </c>
    </row>
    <row r="17" spans="1:8" x14ac:dyDescent="0.25">
      <c r="A17">
        <v>175893</v>
      </c>
      <c r="B17" t="s">
        <v>52</v>
      </c>
      <c r="C17" t="s">
        <v>61</v>
      </c>
      <c r="D17" t="s">
        <v>10</v>
      </c>
      <c r="E17" t="s">
        <v>62</v>
      </c>
      <c r="F17" t="s">
        <v>12</v>
      </c>
      <c r="G17" t="str">
        <f>HYPERLINK(_xlfn.CONCAT("https://tablet.otzar.org/",CHAR(35),"/book/175893/p/-1/t/1/fs/0/start/0/end/0/c"),"אגרות קודש")</f>
        <v>אגרות קודש</v>
      </c>
      <c r="H17" t="str">
        <f>_xlfn.CONCAT("https://tablet.otzar.org/",CHAR(35),"/book/175893/p/-1/t/1/fs/0/start/0/end/0/c")</f>
        <v>https://tablet.otzar.org/#/book/175893/p/-1/t/1/fs/0/start/0/end/0/c</v>
      </c>
    </row>
    <row r="18" spans="1:8" x14ac:dyDescent="0.25">
      <c r="A18">
        <v>26608</v>
      </c>
      <c r="B18" t="s">
        <v>63</v>
      </c>
      <c r="C18" t="s">
        <v>45</v>
      </c>
      <c r="D18" t="s">
        <v>10</v>
      </c>
      <c r="E18" t="s">
        <v>64</v>
      </c>
      <c r="G18" t="str">
        <f>HYPERLINK(_xlfn.CONCAT("https://tablet.otzar.org/",CHAR(35),"/exKotar/26608"),"אגרות קודש - 34 כרכים")</f>
        <v>אגרות קודש - 34 כרכים</v>
      </c>
      <c r="H18" t="str">
        <f>_xlfn.CONCAT("https://tablet.otzar.org/",CHAR(35),"/exKotar/26608")</f>
        <v>https://tablet.otzar.org/#/exKotar/26608</v>
      </c>
    </row>
    <row r="19" spans="1:8" x14ac:dyDescent="0.25">
      <c r="A19">
        <v>26446</v>
      </c>
      <c r="B19" t="s">
        <v>65</v>
      </c>
      <c r="C19" t="s">
        <v>59</v>
      </c>
      <c r="D19" t="s">
        <v>10</v>
      </c>
      <c r="E19" t="s">
        <v>66</v>
      </c>
      <c r="G19" t="str">
        <f>HYPERLINK(_xlfn.CONCAT("https://tablet.otzar.org/",CHAR(35),"/exKotar/26446"),"אגרות קודש - 17 כרכים")</f>
        <v>אגרות קודש - 17 כרכים</v>
      </c>
      <c r="H19" t="str">
        <f>_xlfn.CONCAT("https://tablet.otzar.org/",CHAR(35),"/exKotar/26446")</f>
        <v>https://tablet.otzar.org/#/exKotar/26446</v>
      </c>
    </row>
    <row r="20" spans="1:8" x14ac:dyDescent="0.25">
      <c r="A20">
        <v>27008</v>
      </c>
      <c r="B20" t="s">
        <v>67</v>
      </c>
      <c r="C20" t="s">
        <v>68</v>
      </c>
      <c r="D20" t="s">
        <v>10</v>
      </c>
      <c r="E20" t="s">
        <v>69</v>
      </c>
      <c r="G20" t="str">
        <f>HYPERLINK(_xlfn.CONCAT("https://tablet.otzar.org/",CHAR(35),"/exKotar/27008"),"אגרות קודש - 6 כרכים")</f>
        <v>אגרות קודש - 6 כרכים</v>
      </c>
      <c r="H20" t="str">
        <f>_xlfn.CONCAT("https://tablet.otzar.org/",CHAR(35),"/exKotar/27008")</f>
        <v>https://tablet.otzar.org/#/exKotar/27008</v>
      </c>
    </row>
    <row r="21" spans="1:8" x14ac:dyDescent="0.25">
      <c r="A21">
        <v>141708</v>
      </c>
      <c r="B21" t="s">
        <v>70</v>
      </c>
      <c r="C21" t="s">
        <v>45</v>
      </c>
      <c r="D21" t="s">
        <v>37</v>
      </c>
      <c r="E21" t="s">
        <v>60</v>
      </c>
      <c r="G21" t="str">
        <f>HYPERLINK(_xlfn.CONCAT("https://tablet.otzar.org/",CHAR(35),"/exKotar/141708"),"אגרות קודש &lt;טקסט&gt;  - 5 כרכים")</f>
        <v>אגרות קודש &lt;טקסט&gt;  - 5 כרכים</v>
      </c>
      <c r="H21" t="str">
        <f>_xlfn.CONCAT("https://tablet.otzar.org/",CHAR(35),"/exKotar/141708")</f>
        <v>https://tablet.otzar.org/#/exKotar/141708</v>
      </c>
    </row>
    <row r="22" spans="1:8" x14ac:dyDescent="0.25">
      <c r="A22">
        <v>195649</v>
      </c>
      <c r="B22" t="s">
        <v>71</v>
      </c>
      <c r="C22" t="s">
        <v>72</v>
      </c>
      <c r="D22" t="s">
        <v>10</v>
      </c>
      <c r="E22" t="s">
        <v>62</v>
      </c>
      <c r="F22" t="s">
        <v>12</v>
      </c>
      <c r="G22" t="str">
        <f>HYPERLINK(_xlfn.CONCAT("https://tablet.otzar.org/",CHAR(35),"/book/195649/p/-1/t/1/fs/0/start/0/end/0/c"),"אגרות קודש (אדמו""""ר האמצעי)")</f>
        <v>אגרות קודש (אדמו""ר האמצעי)</v>
      </c>
      <c r="H22" t="str">
        <f>_xlfn.CONCAT("https://tablet.otzar.org/",CHAR(35),"/book/195649/p/-1/t/1/fs/0/start/0/end/0/c")</f>
        <v>https://tablet.otzar.org/#/book/195649/p/-1/t/1/fs/0/start/0/end/0/c</v>
      </c>
    </row>
    <row r="23" spans="1:8" x14ac:dyDescent="0.25">
      <c r="A23">
        <v>27156</v>
      </c>
      <c r="B23" t="s">
        <v>73</v>
      </c>
      <c r="C23" t="s">
        <v>52</v>
      </c>
      <c r="D23" t="s">
        <v>10</v>
      </c>
      <c r="E23" t="s">
        <v>64</v>
      </c>
      <c r="G23" t="str">
        <f>HYPERLINK(_xlfn.CONCAT("https://tablet.otzar.org/",CHAR(35),"/exKotar/27156"),"אגרות קודש (אדמו""""ר הזקן, האמצעי, והצ""""צ) - 2 כרכים")</f>
        <v>אגרות קודש (אדמו""ר הזקן, האמצעי, והצ""צ) - 2 כרכים</v>
      </c>
      <c r="H23" t="str">
        <f>_xlfn.CONCAT("https://tablet.otzar.org/",CHAR(35),"/exKotar/27156")</f>
        <v>https://tablet.otzar.org/#/exKotar/27156</v>
      </c>
    </row>
    <row r="24" spans="1:8" x14ac:dyDescent="0.25">
      <c r="A24">
        <v>146337</v>
      </c>
      <c r="B24" t="s">
        <v>74</v>
      </c>
      <c r="C24" t="s">
        <v>45</v>
      </c>
      <c r="D24" t="s">
        <v>15</v>
      </c>
      <c r="E24" t="s">
        <v>75</v>
      </c>
      <c r="F24" t="s">
        <v>76</v>
      </c>
      <c r="G24" t="str">
        <f>HYPERLINK(_xlfn.CONCAT("https://tablet.otzar.org/",CHAR(35),"/book/146337/p/-1/t/1/fs/0/start/0/end/0/c"),"אגרות קודש בנושא החינוך")</f>
        <v>אגרות קודש בנושא החינוך</v>
      </c>
      <c r="H24" t="str">
        <f>_xlfn.CONCAT("https://tablet.otzar.org/",CHAR(35),"/book/146337/p/-1/t/1/fs/0/start/0/end/0/c")</f>
        <v>https://tablet.otzar.org/#/book/146337/p/-1/t/1/fs/0/start/0/end/0/c</v>
      </c>
    </row>
    <row r="25" spans="1:8" x14ac:dyDescent="0.25">
      <c r="A25">
        <v>27666</v>
      </c>
      <c r="B25" t="s">
        <v>77</v>
      </c>
      <c r="C25" t="s">
        <v>78</v>
      </c>
      <c r="D25" t="s">
        <v>28</v>
      </c>
      <c r="E25" t="s">
        <v>79</v>
      </c>
      <c r="G25" t="str">
        <f>HYPERLINK(_xlfn.CONCAT("https://tablet.otzar.org/",CHAR(35),"/book/27666/p/-1/t/1/fs/0/start/0/end/0/c"),"אגרות קודש בענין בטחון בה'")</f>
        <v>אגרות קודש בענין בטחון בה'</v>
      </c>
      <c r="H25" t="str">
        <f>_xlfn.CONCAT("https://tablet.otzar.org/",CHAR(35),"/book/27666/p/-1/t/1/fs/0/start/0/end/0/c")</f>
        <v>https://tablet.otzar.org/#/book/27666/p/-1/t/1/fs/0/start/0/end/0/c</v>
      </c>
    </row>
    <row r="26" spans="1:8" x14ac:dyDescent="0.25">
      <c r="A26">
        <v>169955</v>
      </c>
      <c r="B26" t="s">
        <v>80</v>
      </c>
      <c r="C26" t="s">
        <v>81</v>
      </c>
      <c r="D26" t="s">
        <v>10</v>
      </c>
      <c r="E26" t="s">
        <v>82</v>
      </c>
      <c r="F26" t="s">
        <v>12</v>
      </c>
      <c r="G26" t="str">
        <f>HYPERLINK(_xlfn.CONCAT("https://tablet.otzar.org/",CHAR(35),"/book/169955/p/-1/t/1/fs/0/start/0/end/0/c"),"אגרות קודש מאת כ""""ק אדמו""""ר הזקן")</f>
        <v>אגרות קודש מאת כ""ק אדמו""ר הזקן</v>
      </c>
      <c r="H26" t="str">
        <f>_xlfn.CONCAT("https://tablet.otzar.org/",CHAR(35),"/book/169955/p/-1/t/1/fs/0/start/0/end/0/c")</f>
        <v>https://tablet.otzar.org/#/book/169955/p/-1/t/1/fs/0/start/0/end/0/c</v>
      </c>
    </row>
    <row r="27" spans="1:8" x14ac:dyDescent="0.25">
      <c r="A27">
        <v>27249</v>
      </c>
      <c r="B27" t="s">
        <v>83</v>
      </c>
      <c r="C27" t="s">
        <v>45</v>
      </c>
      <c r="D27" t="s">
        <v>10</v>
      </c>
      <c r="E27" t="s">
        <v>79</v>
      </c>
      <c r="G27" t="str">
        <f>HYPERLINK(_xlfn.CONCAT("https://tablet.otzar.org/",CHAR(35),"/exKotar/27249"),"אגרות קודש מתורגמות - 4 כרכים")</f>
        <v>אגרות קודש מתורגמות - 4 כרכים</v>
      </c>
      <c r="H27" t="str">
        <f>_xlfn.CONCAT("https://tablet.otzar.org/",CHAR(35),"/exKotar/27249")</f>
        <v>https://tablet.otzar.org/#/exKotar/27249</v>
      </c>
    </row>
    <row r="28" spans="1:8" x14ac:dyDescent="0.25">
      <c r="A28">
        <v>141492</v>
      </c>
      <c r="B28" t="s">
        <v>84</v>
      </c>
      <c r="C28" t="s">
        <v>85</v>
      </c>
      <c r="E28" t="s">
        <v>86</v>
      </c>
      <c r="F28" t="s">
        <v>12</v>
      </c>
      <c r="G28" t="str">
        <f>HYPERLINK(_xlfn.CONCAT("https://tablet.otzar.org/",CHAR(35),"/book/141492/p/-1/t/1/fs/0/start/0/end/0/c"),"אגרות רבינו משה בן מימון")</f>
        <v>אגרות רבינו משה בן מימון</v>
      </c>
      <c r="H28" t="str">
        <f>_xlfn.CONCAT("https://tablet.otzar.org/",CHAR(35),"/book/141492/p/-1/t/1/fs/0/start/0/end/0/c")</f>
        <v>https://tablet.otzar.org/#/book/141492/p/-1/t/1/fs/0/start/0/end/0/c</v>
      </c>
    </row>
    <row r="29" spans="1:8" x14ac:dyDescent="0.25">
      <c r="A29">
        <v>181493</v>
      </c>
      <c r="B29" t="s">
        <v>87</v>
      </c>
      <c r="C29" t="s">
        <v>81</v>
      </c>
      <c r="D29" t="s">
        <v>37</v>
      </c>
      <c r="E29" t="s">
        <v>88</v>
      </c>
      <c r="F29" t="s">
        <v>12</v>
      </c>
      <c r="G29" t="str">
        <f>HYPERLINK(_xlfn.CONCAT("https://tablet.otzar.org/",CHAR(35),"/exKotar/181493"),"אגרת הקדש עם ביאור המאור שבתורה - 2 כרכים")</f>
        <v>אגרת הקדש עם ביאור המאור שבתורה - 2 כרכים</v>
      </c>
      <c r="H29" t="str">
        <f>_xlfn.CONCAT("https://tablet.otzar.org/",CHAR(35),"/exKotar/181493")</f>
        <v>https://tablet.otzar.org/#/exKotar/181493</v>
      </c>
    </row>
    <row r="30" spans="1:8" x14ac:dyDescent="0.25">
      <c r="A30">
        <v>28764</v>
      </c>
      <c r="B30" t="s">
        <v>89</v>
      </c>
      <c r="C30" t="s">
        <v>90</v>
      </c>
      <c r="D30" t="s">
        <v>28</v>
      </c>
      <c r="E30" t="s">
        <v>91</v>
      </c>
      <c r="F30" t="s">
        <v>12</v>
      </c>
      <c r="G30" t="str">
        <f>HYPERLINK(_xlfn.CONCAT("https://tablet.otzar.org/",CHAR(35),"/book/28764/p/-1/t/1/fs/0/start/0/end/0/c"),"אגרת התשובה עם ביאור השווה לכל נפש")</f>
        <v>אגרת התשובה עם ביאור השווה לכל נפש</v>
      </c>
      <c r="H30" t="str">
        <f>_xlfn.CONCAT("https://tablet.otzar.org/",CHAR(35),"/book/28764/p/-1/t/1/fs/0/start/0/end/0/c")</f>
        <v>https://tablet.otzar.org/#/book/28764/p/-1/t/1/fs/0/start/0/end/0/c</v>
      </c>
    </row>
    <row r="31" spans="1:8" x14ac:dyDescent="0.25">
      <c r="A31">
        <v>157287</v>
      </c>
      <c r="B31" t="s">
        <v>92</v>
      </c>
      <c r="C31" t="s">
        <v>93</v>
      </c>
      <c r="D31" t="s">
        <v>28</v>
      </c>
      <c r="E31" t="s">
        <v>49</v>
      </c>
      <c r="F31" t="s">
        <v>94</v>
      </c>
      <c r="G31" t="str">
        <f>HYPERLINK(_xlfn.CONCAT("https://tablet.otzar.org/",CHAR(35),"/book/157287/p/-1/t/1/fs/0/start/0/end/0/c"),"אגרת התשובה עם ביאורי הרבי מליובאוויטש")</f>
        <v>אגרת התשובה עם ביאורי הרבי מליובאוויטש</v>
      </c>
      <c r="H31" t="str">
        <f>_xlfn.CONCAT("https://tablet.otzar.org/",CHAR(35),"/book/157287/p/-1/t/1/fs/0/start/0/end/0/c")</f>
        <v>https://tablet.otzar.org/#/book/157287/p/-1/t/1/fs/0/start/0/end/0/c</v>
      </c>
    </row>
    <row r="32" spans="1:8" x14ac:dyDescent="0.25">
      <c r="A32">
        <v>195722</v>
      </c>
      <c r="B32" t="s">
        <v>95</v>
      </c>
      <c r="C32" t="s">
        <v>81</v>
      </c>
      <c r="D32" t="s">
        <v>37</v>
      </c>
      <c r="E32" t="s">
        <v>88</v>
      </c>
      <c r="F32" t="s">
        <v>96</v>
      </c>
      <c r="G32" t="str">
        <f>HYPERLINK(_xlfn.CONCAT("https://tablet.otzar.org/",CHAR(35),"/book/195722/p/-1/t/1/fs/0/start/0/end/0/c"),"אגרת התשובה עם פירוש ועיונים")</f>
        <v>אגרת התשובה עם פירוש ועיונים</v>
      </c>
      <c r="H32" t="str">
        <f>_xlfn.CONCAT("https://tablet.otzar.org/",CHAR(35),"/book/195722/p/-1/t/1/fs/0/start/0/end/0/c")</f>
        <v>https://tablet.otzar.org/#/book/195722/p/-1/t/1/fs/0/start/0/end/0/c</v>
      </c>
    </row>
    <row r="33" spans="1:8" x14ac:dyDescent="0.25">
      <c r="A33">
        <v>606922</v>
      </c>
      <c r="B33" t="s">
        <v>97</v>
      </c>
      <c r="C33" t="s">
        <v>45</v>
      </c>
      <c r="D33" t="s">
        <v>98</v>
      </c>
      <c r="E33" t="s">
        <v>99</v>
      </c>
      <c r="F33" t="s">
        <v>100</v>
      </c>
      <c r="G33" t="str">
        <f>HYPERLINK(_xlfn.CONCAT("https://tablet.otzar.org/",CHAR(35),"/exKotar/606922"),"אגרת מבוארת - 3 כרכים")</f>
        <v>אגרת מבוארת - 3 כרכים</v>
      </c>
      <c r="H33" t="str">
        <f>_xlfn.CONCAT("https://tablet.otzar.org/",CHAR(35),"/exKotar/606922")</f>
        <v>https://tablet.otzar.org/#/exKotar/606922</v>
      </c>
    </row>
    <row r="34" spans="1:8" x14ac:dyDescent="0.25">
      <c r="A34">
        <v>626819</v>
      </c>
      <c r="B34" t="s">
        <v>101</v>
      </c>
      <c r="C34" t="s">
        <v>102</v>
      </c>
      <c r="D34" t="s">
        <v>15</v>
      </c>
      <c r="E34" t="s">
        <v>103</v>
      </c>
      <c r="F34" t="s">
        <v>43</v>
      </c>
      <c r="G34" t="str">
        <f>HYPERLINK(_xlfn.CONCAT("https://tablet.otzar.org/",CHAR(35),"/book/626819/p/-1/t/1/fs/0/start/0/end/0/c"),"אדמה שמים ותהום")</f>
        <v>אדמה שמים ותהום</v>
      </c>
      <c r="H34" t="str">
        <f>_xlfn.CONCAT("https://tablet.otzar.org/",CHAR(35),"/book/626819/p/-1/t/1/fs/0/start/0/end/0/c")</f>
        <v>https://tablet.otzar.org/#/book/626819/p/-1/t/1/fs/0/start/0/end/0/c</v>
      </c>
    </row>
    <row r="35" spans="1:8" x14ac:dyDescent="0.25">
      <c r="A35">
        <v>607830</v>
      </c>
      <c r="B35" t="s">
        <v>104</v>
      </c>
      <c r="C35" t="s">
        <v>105</v>
      </c>
      <c r="D35" t="s">
        <v>10</v>
      </c>
      <c r="E35" t="s">
        <v>33</v>
      </c>
      <c r="F35" t="s">
        <v>12</v>
      </c>
      <c r="G35" t="str">
        <f>HYPERLINK(_xlfn.CONCAT("https://tablet.otzar.org/",CHAR(35),"/book/607830/p/-1/t/1/fs/0/start/0/end/0/c"),"אדמו""""ר האמצעי")</f>
        <v>אדמו""ר האמצעי</v>
      </c>
      <c r="H35" t="str">
        <f>_xlfn.CONCAT("https://tablet.otzar.org/",CHAR(35),"/book/607830/p/-1/t/1/fs/0/start/0/end/0/c")</f>
        <v>https://tablet.otzar.org/#/book/607830/p/-1/t/1/fs/0/start/0/end/0/c</v>
      </c>
    </row>
    <row r="36" spans="1:8" x14ac:dyDescent="0.25">
      <c r="A36">
        <v>26458</v>
      </c>
      <c r="B36" t="s">
        <v>106</v>
      </c>
      <c r="C36" t="s">
        <v>59</v>
      </c>
      <c r="D36" t="s">
        <v>10</v>
      </c>
      <c r="E36" t="s">
        <v>107</v>
      </c>
      <c r="F36" t="s">
        <v>12</v>
      </c>
      <c r="G36" t="str">
        <f>HYPERLINK(_xlfn.CONCAT("https://tablet.otzar.org/",CHAR(35),"/book/26458/p/-1/t/1/fs/0/start/0/end/0/c"),"אדמו""""ר הצמח צדק ותנועת ההשכלה (הוצאה ה')")</f>
        <v>אדמו""ר הצמח צדק ותנועת ההשכלה (הוצאה ה')</v>
      </c>
      <c r="H36" t="str">
        <f>_xlfn.CONCAT("https://tablet.otzar.org/",CHAR(35),"/book/26458/p/-1/t/1/fs/0/start/0/end/0/c")</f>
        <v>https://tablet.otzar.org/#/book/26458/p/-1/t/1/fs/0/start/0/end/0/c</v>
      </c>
    </row>
    <row r="37" spans="1:8" x14ac:dyDescent="0.25">
      <c r="A37">
        <v>607816</v>
      </c>
      <c r="B37" t="s">
        <v>108</v>
      </c>
      <c r="C37" t="s">
        <v>59</v>
      </c>
      <c r="D37" t="s">
        <v>10</v>
      </c>
      <c r="E37" t="s">
        <v>99</v>
      </c>
      <c r="F37" t="s">
        <v>12</v>
      </c>
      <c r="G37" t="str">
        <f>HYPERLINK(_xlfn.CONCAT("https://tablet.otzar.org/",CHAR(35),"/book/607816/p/-1/t/1/fs/0/start/0/end/0/c"),"אדמו""""ר הצמח צדק ותנועת ההשכלה (הוצאה ו')")</f>
        <v>אדמו""ר הצמח צדק ותנועת ההשכלה (הוצאה ו')</v>
      </c>
      <c r="H37" t="str">
        <f>_xlfn.CONCAT("https://tablet.otzar.org/",CHAR(35),"/book/607816/p/-1/t/1/fs/0/start/0/end/0/c")</f>
        <v>https://tablet.otzar.org/#/book/607816/p/-1/t/1/fs/0/start/0/end/0/c</v>
      </c>
    </row>
    <row r="38" spans="1:8" x14ac:dyDescent="0.25">
      <c r="A38">
        <v>181117</v>
      </c>
      <c r="B38" t="s">
        <v>109</v>
      </c>
      <c r="C38" t="s">
        <v>110</v>
      </c>
      <c r="D38" t="s">
        <v>111</v>
      </c>
      <c r="E38" t="s">
        <v>88</v>
      </c>
      <c r="F38" t="s">
        <v>12</v>
      </c>
      <c r="G38" t="str">
        <f>HYPERLINK(_xlfn.CONCAT("https://tablet.otzar.org/",CHAR(35),"/book/181117/p/-1/t/1/fs/0/start/0/end/0/c"),"אדמו""""רי חב""""ד ויהדות אוסטריה")</f>
        <v>אדמו""רי חב""ד ויהדות אוסטריה</v>
      </c>
      <c r="H38" t="str">
        <f>_xlfn.CONCAT("https://tablet.otzar.org/",CHAR(35),"/book/181117/p/-1/t/1/fs/0/start/0/end/0/c")</f>
        <v>https://tablet.otzar.org/#/book/181117/p/-1/t/1/fs/0/start/0/end/0/c</v>
      </c>
    </row>
    <row r="39" spans="1:8" x14ac:dyDescent="0.25">
      <c r="A39">
        <v>607914</v>
      </c>
      <c r="B39" t="s">
        <v>112</v>
      </c>
      <c r="C39" t="s">
        <v>113</v>
      </c>
      <c r="E39" t="s">
        <v>99</v>
      </c>
      <c r="F39" t="s">
        <v>12</v>
      </c>
      <c r="G39" t="str">
        <f>HYPERLINK(_xlfn.CONCAT("https://tablet.otzar.org/",CHAR(35),"/book/607914/p/-1/t/1/fs/0/start/0/end/0/c"),"אדמו""""רי חב""""ד ויהדות בוכרה")</f>
        <v>אדמו""רי חב""ד ויהדות בוכרה</v>
      </c>
      <c r="H39" t="str">
        <f>_xlfn.CONCAT("https://tablet.otzar.org/",CHAR(35),"/book/607914/p/-1/t/1/fs/0/start/0/end/0/c")</f>
        <v>https://tablet.otzar.org/#/book/607914/p/-1/t/1/fs/0/start/0/end/0/c</v>
      </c>
    </row>
    <row r="40" spans="1:8" x14ac:dyDescent="0.25">
      <c r="A40">
        <v>639920</v>
      </c>
      <c r="B40" t="s">
        <v>114</v>
      </c>
      <c r="C40" t="s">
        <v>113</v>
      </c>
      <c r="E40" t="s">
        <v>115</v>
      </c>
      <c r="F40" t="s">
        <v>12</v>
      </c>
      <c r="G40" t="str">
        <f>HYPERLINK(_xlfn.CONCAT("https://tablet.otzar.org/",CHAR(35),"/book/639920/p/-1/t/1/fs/0/start/0/end/0/c"),"אדמו""""רי חב""""ד ויהדות ברזיל")</f>
        <v>אדמו""רי חב""ד ויהדות ברזיל</v>
      </c>
      <c r="H40" t="str">
        <f>_xlfn.CONCAT("https://tablet.otzar.org/",CHAR(35),"/book/639920/p/-1/t/1/fs/0/start/0/end/0/c")</f>
        <v>https://tablet.otzar.org/#/book/639920/p/-1/t/1/fs/0/start/0/end/0/c</v>
      </c>
    </row>
    <row r="41" spans="1:8" x14ac:dyDescent="0.25">
      <c r="A41">
        <v>607868</v>
      </c>
      <c r="B41" t="s">
        <v>116</v>
      </c>
      <c r="C41" t="s">
        <v>117</v>
      </c>
      <c r="D41" t="s">
        <v>118</v>
      </c>
      <c r="E41" t="s">
        <v>99</v>
      </c>
      <c r="F41" t="s">
        <v>12</v>
      </c>
      <c r="G41" t="str">
        <f>HYPERLINK(_xlfn.CONCAT("https://tablet.otzar.org/",CHAR(35),"/book/607868/p/-1/t/1/fs/0/start/0/end/0/c"),"אדמו""""רי חב""""ד ויהדות גרוזיה")</f>
        <v>אדמו""רי חב""ד ויהדות גרוזיה</v>
      </c>
      <c r="H41" t="str">
        <f>_xlfn.CONCAT("https://tablet.otzar.org/",CHAR(35),"/book/607868/p/-1/t/1/fs/0/start/0/end/0/c")</f>
        <v>https://tablet.otzar.org/#/book/607868/p/-1/t/1/fs/0/start/0/end/0/c</v>
      </c>
    </row>
    <row r="42" spans="1:8" x14ac:dyDescent="0.25">
      <c r="A42">
        <v>142330</v>
      </c>
      <c r="B42" t="s">
        <v>119</v>
      </c>
      <c r="C42" t="s">
        <v>120</v>
      </c>
      <c r="D42" t="s">
        <v>37</v>
      </c>
      <c r="E42" t="s">
        <v>60</v>
      </c>
      <c r="F42" t="s">
        <v>12</v>
      </c>
      <c r="G42" t="str">
        <f>HYPERLINK(_xlfn.CONCAT("https://tablet.otzar.org/",CHAR(35),"/book/142330/p/-1/t/1/fs/0/start/0/end/0/c"),"אדמו""""רי חב""""ד ויהדות גרמניה")</f>
        <v>אדמו""רי חב""ד ויהדות גרמניה</v>
      </c>
      <c r="H42" t="str">
        <f>_xlfn.CONCAT("https://tablet.otzar.org/",CHAR(35),"/book/142330/p/-1/t/1/fs/0/start/0/end/0/c")</f>
        <v>https://tablet.otzar.org/#/book/142330/p/-1/t/1/fs/0/start/0/end/0/c</v>
      </c>
    </row>
    <row r="43" spans="1:8" x14ac:dyDescent="0.25">
      <c r="A43">
        <v>607877</v>
      </c>
      <c r="B43" t="s">
        <v>121</v>
      </c>
      <c r="C43" t="s">
        <v>122</v>
      </c>
      <c r="D43" t="s">
        <v>37</v>
      </c>
      <c r="E43" t="s">
        <v>99</v>
      </c>
      <c r="F43" t="s">
        <v>12</v>
      </c>
      <c r="G43" t="str">
        <f>HYPERLINK(_xlfn.CONCAT("https://tablet.otzar.org/",CHAR(35),"/book/607877/p/-1/t/1/fs/0/start/0/end/0/c"),"אדמו""""רי חב""""ד ויהדות קרים")</f>
        <v>אדמו""רי חב""ד ויהדות קרים</v>
      </c>
      <c r="H43" t="str">
        <f>_xlfn.CONCAT("https://tablet.otzar.org/",CHAR(35),"/book/607877/p/-1/t/1/fs/0/start/0/end/0/c")</f>
        <v>https://tablet.otzar.org/#/book/607877/p/-1/t/1/fs/0/start/0/end/0/c</v>
      </c>
    </row>
    <row r="44" spans="1:8" x14ac:dyDescent="0.25">
      <c r="A44">
        <v>614918</v>
      </c>
      <c r="B44" t="s">
        <v>123</v>
      </c>
      <c r="C44" t="s">
        <v>120</v>
      </c>
      <c r="D44" t="s">
        <v>37</v>
      </c>
      <c r="E44" t="s">
        <v>62</v>
      </c>
      <c r="F44" t="s">
        <v>12</v>
      </c>
      <c r="G44" t="str">
        <f>HYPERLINK(_xlfn.CONCAT("https://tablet.otzar.org/",CHAR(35),"/book/614918/p/-1/t/1/fs/0/start/0/end/0/c"),"אדמו""""רי חב""""ד ויהדות רומניה")</f>
        <v>אדמו""רי חב""ד ויהדות רומניה</v>
      </c>
      <c r="H44" t="str">
        <f>_xlfn.CONCAT("https://tablet.otzar.org/",CHAR(35),"/book/614918/p/-1/t/1/fs/0/start/0/end/0/c")</f>
        <v>https://tablet.otzar.org/#/book/614918/p/-1/t/1/fs/0/start/0/end/0/c</v>
      </c>
    </row>
    <row r="45" spans="1:8" x14ac:dyDescent="0.25">
      <c r="A45">
        <v>27287</v>
      </c>
      <c r="B45" t="s">
        <v>124</v>
      </c>
      <c r="C45" t="s">
        <v>125</v>
      </c>
      <c r="D45" t="s">
        <v>126</v>
      </c>
      <c r="E45" t="s">
        <v>69</v>
      </c>
      <c r="F45" t="s">
        <v>12</v>
      </c>
      <c r="G45" t="str">
        <f>HYPERLINK(_xlfn.CONCAT("https://tablet.otzar.org/",CHAR(35),"/book/27287/p/-1/t/1/fs/0/start/0/end/0/c"),"אהבת המלך")</f>
        <v>אהבת המלך</v>
      </c>
      <c r="H45" t="str">
        <f>_xlfn.CONCAT("https://tablet.otzar.org/",CHAR(35),"/book/27287/p/-1/t/1/fs/0/start/0/end/0/c")</f>
        <v>https://tablet.otzar.org/#/book/27287/p/-1/t/1/fs/0/start/0/end/0/c</v>
      </c>
    </row>
    <row r="46" spans="1:8" x14ac:dyDescent="0.25">
      <c r="A46">
        <v>141242</v>
      </c>
      <c r="B46" t="s">
        <v>127</v>
      </c>
      <c r="C46" t="s">
        <v>125</v>
      </c>
      <c r="D46" t="s">
        <v>128</v>
      </c>
      <c r="E46" t="s">
        <v>129</v>
      </c>
      <c r="F46" t="s">
        <v>12</v>
      </c>
      <c r="G46" t="str">
        <f>HYPERLINK(_xlfn.CONCAT("https://tablet.otzar.org/",CHAR(35),"/exKotar/141242"),"אהבת ישראל - 16 כרכים")</f>
        <v>אהבת ישראל - 16 כרכים</v>
      </c>
      <c r="H46" t="str">
        <f>_xlfn.CONCAT("https://tablet.otzar.org/",CHAR(35),"/exKotar/141242")</f>
        <v>https://tablet.otzar.org/#/exKotar/141242</v>
      </c>
    </row>
    <row r="47" spans="1:8" x14ac:dyDescent="0.25">
      <c r="A47">
        <v>607798</v>
      </c>
      <c r="B47" t="s">
        <v>130</v>
      </c>
      <c r="C47" t="s">
        <v>122</v>
      </c>
      <c r="E47" t="s">
        <v>91</v>
      </c>
      <c r="F47" t="s">
        <v>131</v>
      </c>
      <c r="G47" t="str">
        <f>HYPERLINK(_xlfn.CONCAT("https://tablet.otzar.org/",CHAR(35),"/book/607798/p/-1/t/1/fs/0/start/0/end/0/c"),"אהבת ישראל של יונה הנביא - יום הכיפורים")</f>
        <v>אהבת ישראל של יונה הנביא - יום הכיפורים</v>
      </c>
      <c r="H47" t="str">
        <f>_xlfn.CONCAT("https://tablet.otzar.org/",CHAR(35),"/book/607798/p/-1/t/1/fs/0/start/0/end/0/c")</f>
        <v>https://tablet.otzar.org/#/book/607798/p/-1/t/1/fs/0/start/0/end/0/c</v>
      </c>
    </row>
    <row r="48" spans="1:8" x14ac:dyDescent="0.25">
      <c r="A48">
        <v>26986</v>
      </c>
      <c r="B48" t="s">
        <v>132</v>
      </c>
      <c r="C48" t="s">
        <v>133</v>
      </c>
      <c r="D48" t="s">
        <v>15</v>
      </c>
      <c r="E48" t="s">
        <v>134</v>
      </c>
      <c r="F48" t="s">
        <v>12</v>
      </c>
      <c r="G48" t="str">
        <f>HYPERLINK(_xlfn.CONCAT("https://tablet.otzar.org/",CHAR(35),"/exKotar/26986"),"אהלי ליובאוויטש - 5 כרכים")</f>
        <v>אהלי ליובאוויטש - 5 כרכים</v>
      </c>
      <c r="H48" t="str">
        <f>_xlfn.CONCAT("https://tablet.otzar.org/",CHAR(35),"/exKotar/26986")</f>
        <v>https://tablet.otzar.org/#/exKotar/26986</v>
      </c>
    </row>
    <row r="49" spans="1:8" x14ac:dyDescent="0.25">
      <c r="A49">
        <v>643194</v>
      </c>
      <c r="B49" t="s">
        <v>135</v>
      </c>
      <c r="C49" t="s">
        <v>136</v>
      </c>
      <c r="D49" t="s">
        <v>15</v>
      </c>
      <c r="E49" t="s">
        <v>24</v>
      </c>
      <c r="F49" t="s">
        <v>12</v>
      </c>
      <c r="G49" t="str">
        <f>HYPERLINK(_xlfn.CONCAT("https://tablet.otzar.org/",CHAR(35),"/exKotar/643194"),"אהלי ליובאוויטש - 2 כרכים")</f>
        <v>אהלי ליובאוויטש - 2 כרכים</v>
      </c>
      <c r="H49" t="str">
        <f>_xlfn.CONCAT("https://tablet.otzar.org/",CHAR(35),"/exKotar/643194")</f>
        <v>https://tablet.otzar.org/#/exKotar/643194</v>
      </c>
    </row>
    <row r="50" spans="1:8" x14ac:dyDescent="0.25">
      <c r="A50">
        <v>16598</v>
      </c>
      <c r="B50" t="s">
        <v>137</v>
      </c>
      <c r="C50" t="s">
        <v>138</v>
      </c>
      <c r="D50" t="s">
        <v>15</v>
      </c>
      <c r="E50" t="s">
        <v>139</v>
      </c>
      <c r="G50" t="str">
        <f>HYPERLINK(_xlfn.CONCAT("https://tablet.otzar.org/",CHAR(35),"/exKotar/16598"),"אהלי שם - 9 כרכים")</f>
        <v>אהלי שם - 9 כרכים</v>
      </c>
      <c r="H50" t="str">
        <f>_xlfn.CONCAT("https://tablet.otzar.org/",CHAR(35),"/exKotar/16598")</f>
        <v>https://tablet.otzar.org/#/exKotar/16598</v>
      </c>
    </row>
    <row r="51" spans="1:8" x14ac:dyDescent="0.25">
      <c r="A51">
        <v>145425</v>
      </c>
      <c r="B51" t="s">
        <v>140</v>
      </c>
      <c r="C51" t="s">
        <v>141</v>
      </c>
      <c r="D51" t="s">
        <v>10</v>
      </c>
      <c r="E51" t="s">
        <v>142</v>
      </c>
      <c r="F51" t="s">
        <v>143</v>
      </c>
      <c r="G51" t="str">
        <f>HYPERLINK(_xlfn.CONCAT("https://tablet.otzar.org/",CHAR(35),"/exKotar/145425"),"אהלי תורה - 22 כרכים")</f>
        <v>אהלי תורה - 22 כרכים</v>
      </c>
      <c r="H51" t="str">
        <f>_xlfn.CONCAT("https://tablet.otzar.org/",CHAR(35),"/exKotar/145425")</f>
        <v>https://tablet.otzar.org/#/exKotar/145425</v>
      </c>
    </row>
    <row r="52" spans="1:8" x14ac:dyDescent="0.25">
      <c r="A52">
        <v>146309</v>
      </c>
      <c r="B52" t="s">
        <v>144</v>
      </c>
      <c r="C52" t="s">
        <v>125</v>
      </c>
      <c r="D52" t="s">
        <v>15</v>
      </c>
      <c r="E52" t="s">
        <v>145</v>
      </c>
      <c r="F52" t="s">
        <v>143</v>
      </c>
      <c r="G52" t="str">
        <f>HYPERLINK(_xlfn.CONCAT("https://tablet.otzar.org/",CHAR(35),"/exKotar/146309"),"אהלי תורה - 3 כרכים")</f>
        <v>אהלי תורה - 3 כרכים</v>
      </c>
      <c r="H52" t="str">
        <f>_xlfn.CONCAT("https://tablet.otzar.org/",CHAR(35),"/exKotar/146309")</f>
        <v>https://tablet.otzar.org/#/exKotar/146309</v>
      </c>
    </row>
    <row r="53" spans="1:8" x14ac:dyDescent="0.25">
      <c r="A53">
        <v>607933</v>
      </c>
      <c r="B53" t="s">
        <v>146</v>
      </c>
      <c r="C53" t="s">
        <v>147</v>
      </c>
      <c r="D53" t="s">
        <v>37</v>
      </c>
      <c r="E53" t="s">
        <v>148</v>
      </c>
      <c r="F53" t="s">
        <v>149</v>
      </c>
      <c r="G53" t="str">
        <f>HYPERLINK(_xlfn.CONCAT("https://tablet.otzar.org/",CHAR(35),"/book/607933/p/-1/t/1/fs/0/start/0/end/0/c"),"אוהב עמו ישראל")</f>
        <v>אוהב עמו ישראל</v>
      </c>
      <c r="H53" t="str">
        <f>_xlfn.CONCAT("https://tablet.otzar.org/",CHAR(35),"/book/607933/p/-1/t/1/fs/0/start/0/end/0/c")</f>
        <v>https://tablet.otzar.org/#/book/607933/p/-1/t/1/fs/0/start/0/end/0/c</v>
      </c>
    </row>
    <row r="54" spans="1:8" x14ac:dyDescent="0.25">
      <c r="A54">
        <v>27379</v>
      </c>
      <c r="B54" t="s">
        <v>150</v>
      </c>
      <c r="C54" t="s">
        <v>151</v>
      </c>
      <c r="D54" t="s">
        <v>10</v>
      </c>
      <c r="E54" t="s">
        <v>152</v>
      </c>
      <c r="F54" t="s">
        <v>12</v>
      </c>
      <c r="G54" t="str">
        <f>HYPERLINK(_xlfn.CONCAT("https://tablet.otzar.org/",CHAR(35),"/exKotar/27379"),"אונזער בוך - 2 כרכים")</f>
        <v>אונזער בוך - 2 כרכים</v>
      </c>
      <c r="H54" t="str">
        <f>_xlfn.CONCAT("https://tablet.otzar.org/",CHAR(35),"/exKotar/27379")</f>
        <v>https://tablet.otzar.org/#/exKotar/27379</v>
      </c>
    </row>
    <row r="55" spans="1:8" x14ac:dyDescent="0.25">
      <c r="A55">
        <v>141640</v>
      </c>
      <c r="B55" t="s">
        <v>153</v>
      </c>
      <c r="C55" t="s">
        <v>154</v>
      </c>
      <c r="E55" t="s">
        <v>54</v>
      </c>
      <c r="F55" t="s">
        <v>12</v>
      </c>
      <c r="G55" t="str">
        <f>HYPERLINK(_xlfn.CONCAT("https://tablet.otzar.org/",CHAR(35),"/book/141640/p/-1/t/1/fs/0/start/0/end/0/c"),"אוסף תמונות מבית חב""""ד")</f>
        <v>אוסף תמונות מבית חב""ד</v>
      </c>
      <c r="H55" t="str">
        <f>_xlfn.CONCAT("https://tablet.otzar.org/",CHAR(35),"/book/141640/p/-1/t/1/fs/0/start/0/end/0/c")</f>
        <v>https://tablet.otzar.org/#/book/141640/p/-1/t/1/fs/0/start/0/end/0/c</v>
      </c>
    </row>
    <row r="56" spans="1:8" x14ac:dyDescent="0.25">
      <c r="A56">
        <v>140965</v>
      </c>
      <c r="B56" t="s">
        <v>155</v>
      </c>
      <c r="C56" t="s">
        <v>48</v>
      </c>
      <c r="E56" t="s">
        <v>148</v>
      </c>
      <c r="F56" t="s">
        <v>12</v>
      </c>
      <c r="G56" t="str">
        <f>HYPERLINK(_xlfn.CONCAT("https://tablet.otzar.org/",CHAR(35),"/book/140965/p/-1/t/1/fs/0/start/0/end/0/c"),"אוסף תמונות של הרבי")</f>
        <v>אוסף תמונות של הרבי</v>
      </c>
      <c r="H56" t="str">
        <f>_xlfn.CONCAT("https://tablet.otzar.org/",CHAR(35),"/book/140965/p/-1/t/1/fs/0/start/0/end/0/c")</f>
        <v>https://tablet.otzar.org/#/book/140965/p/-1/t/1/fs/0/start/0/end/0/c</v>
      </c>
    </row>
    <row r="57" spans="1:8" x14ac:dyDescent="0.25">
      <c r="A57">
        <v>181116</v>
      </c>
      <c r="B57" t="s">
        <v>156</v>
      </c>
      <c r="C57" t="s">
        <v>45</v>
      </c>
      <c r="D57" t="s">
        <v>10</v>
      </c>
      <c r="E57" t="s">
        <v>88</v>
      </c>
      <c r="F57" t="s">
        <v>12</v>
      </c>
      <c r="G57" t="str">
        <f>HYPERLINK(_xlfn.CONCAT("https://tablet.otzar.org/",CHAR(35),"/book/181116/p/-1/t/1/fs/0/start/0/end/0/c"),"אוצר אגרות קודש")</f>
        <v>אוצר אגרות קודש</v>
      </c>
      <c r="H57" t="str">
        <f>_xlfn.CONCAT("https://tablet.otzar.org/",CHAR(35),"/book/181116/p/-1/t/1/fs/0/start/0/end/0/c")</f>
        <v>https://tablet.otzar.org/#/book/181116/p/-1/t/1/fs/0/start/0/end/0/c</v>
      </c>
    </row>
    <row r="58" spans="1:8" x14ac:dyDescent="0.25">
      <c r="A58">
        <v>607946</v>
      </c>
      <c r="B58" t="s">
        <v>157</v>
      </c>
      <c r="C58" t="s">
        <v>158</v>
      </c>
      <c r="D58" t="s">
        <v>159</v>
      </c>
      <c r="E58" t="s">
        <v>91</v>
      </c>
      <c r="F58" t="s">
        <v>12</v>
      </c>
      <c r="G58" t="str">
        <f>HYPERLINK(_xlfn.CONCAT("https://tablet.otzar.org/",CHAR(35),"/book/607946/p/-1/t/1/fs/0/start/0/end/0/c"),"אוצר החסידים")</f>
        <v>אוצר החסידים</v>
      </c>
      <c r="H58" t="str">
        <f>_xlfn.CONCAT("https://tablet.otzar.org/",CHAR(35),"/book/607946/p/-1/t/1/fs/0/start/0/end/0/c")</f>
        <v>https://tablet.otzar.org/#/book/607946/p/-1/t/1/fs/0/start/0/end/0/c</v>
      </c>
    </row>
    <row r="59" spans="1:8" x14ac:dyDescent="0.25">
      <c r="A59">
        <v>643195</v>
      </c>
      <c r="B59" t="s">
        <v>160</v>
      </c>
      <c r="C59" t="s">
        <v>45</v>
      </c>
      <c r="D59" t="s">
        <v>23</v>
      </c>
      <c r="E59" t="s">
        <v>24</v>
      </c>
      <c r="F59" t="s">
        <v>161</v>
      </c>
      <c r="G59" t="str">
        <f>HYPERLINK(_xlfn.CONCAT("https://tablet.otzar.org/",CHAR(35),"/book/643195/p/-1/t/1/fs/0/start/0/end/0/c"),"אוצר המלך")</f>
        <v>אוצר המלך</v>
      </c>
      <c r="H59" t="str">
        <f>_xlfn.CONCAT("https://tablet.otzar.org/",CHAR(35),"/book/643195/p/-1/t/1/fs/0/start/0/end/0/c")</f>
        <v>https://tablet.otzar.org/#/book/643195/p/-1/t/1/fs/0/start/0/end/0/c</v>
      </c>
    </row>
    <row r="60" spans="1:8" x14ac:dyDescent="0.25">
      <c r="A60">
        <v>626820</v>
      </c>
      <c r="B60" t="s">
        <v>162</v>
      </c>
      <c r="C60" t="s">
        <v>102</v>
      </c>
      <c r="D60" t="s">
        <v>15</v>
      </c>
      <c r="E60" t="s">
        <v>49</v>
      </c>
      <c r="F60" t="s">
        <v>163</v>
      </c>
      <c r="G60" t="str">
        <f>HYPERLINK(_xlfn.CONCAT("https://tablet.otzar.org/",CHAR(35),"/exKotar/626820"),"אוצר הנפש - 3 כרכים")</f>
        <v>אוצר הנפש - 3 כרכים</v>
      </c>
      <c r="H60" t="str">
        <f>_xlfn.CONCAT("https://tablet.otzar.org/",CHAR(35),"/exKotar/626820")</f>
        <v>https://tablet.otzar.org/#/exKotar/626820</v>
      </c>
    </row>
    <row r="61" spans="1:8" x14ac:dyDescent="0.25">
      <c r="A61">
        <v>181094</v>
      </c>
      <c r="B61" t="s">
        <v>164</v>
      </c>
      <c r="C61" t="s">
        <v>45</v>
      </c>
      <c r="D61" t="s">
        <v>10</v>
      </c>
      <c r="E61" t="s">
        <v>88</v>
      </c>
      <c r="F61" t="s">
        <v>12</v>
      </c>
      <c r="G61" t="str">
        <f>HYPERLINK(_xlfn.CONCAT("https://tablet.otzar.org/",CHAR(35),"/exKotar/181094"),"אוצר התוועדויות - 2 כרכים")</f>
        <v>אוצר התוועדויות - 2 כרכים</v>
      </c>
      <c r="H61" t="str">
        <f>_xlfn.CONCAT("https://tablet.otzar.org/",CHAR(35),"/exKotar/181094")</f>
        <v>https://tablet.otzar.org/#/exKotar/181094</v>
      </c>
    </row>
    <row r="62" spans="1:8" x14ac:dyDescent="0.25">
      <c r="A62">
        <v>657642</v>
      </c>
      <c r="B62" t="s">
        <v>165</v>
      </c>
      <c r="C62" t="s">
        <v>136</v>
      </c>
      <c r="D62" t="s">
        <v>15</v>
      </c>
      <c r="E62" t="s">
        <v>166</v>
      </c>
      <c r="F62" t="s">
        <v>12</v>
      </c>
      <c r="G62" t="str">
        <f>HYPERLINK(_xlfn.CONCAT("https://tablet.otzar.org/",CHAR(35),"/exKotar/657642"),"אוצר חסידי חב""""ד - 2 כרכים")</f>
        <v>אוצר חסידי חב""ד - 2 כרכים</v>
      </c>
      <c r="H62" t="str">
        <f>_xlfn.CONCAT("https://tablet.otzar.org/",CHAR(35),"/exKotar/657642")</f>
        <v>https://tablet.otzar.org/#/exKotar/657642</v>
      </c>
    </row>
    <row r="63" spans="1:8" x14ac:dyDescent="0.25">
      <c r="A63">
        <v>657494</v>
      </c>
      <c r="B63" t="s">
        <v>167</v>
      </c>
      <c r="C63" t="s">
        <v>45</v>
      </c>
      <c r="D63" t="s">
        <v>23</v>
      </c>
      <c r="E63" t="s">
        <v>166</v>
      </c>
      <c r="F63" t="s">
        <v>12</v>
      </c>
      <c r="G63" t="str">
        <f>HYPERLINK(_xlfn.CONCAT("https://tablet.otzar.org/",CHAR(35),"/book/657494/p/-1/t/1/fs/0/start/0/end/0/c"),"אוצר ליקוטי שיחות &lt;ביאורי רש""""י על התורה&gt;")</f>
        <v>אוצר ליקוטי שיחות &lt;ביאורי רש""י על התורה&gt;</v>
      </c>
      <c r="H63" t="str">
        <f>_xlfn.CONCAT("https://tablet.otzar.org/",CHAR(35),"/book/657494/p/-1/t/1/fs/0/start/0/end/0/c")</f>
        <v>https://tablet.otzar.org/#/book/657494/p/-1/t/1/fs/0/start/0/end/0/c</v>
      </c>
    </row>
    <row r="64" spans="1:8" x14ac:dyDescent="0.25">
      <c r="A64">
        <v>613920</v>
      </c>
      <c r="B64" t="s">
        <v>168</v>
      </c>
      <c r="C64" t="s">
        <v>45</v>
      </c>
      <c r="D64" t="s">
        <v>10</v>
      </c>
      <c r="E64" t="s">
        <v>115</v>
      </c>
      <c r="F64" t="s">
        <v>12</v>
      </c>
      <c r="G64" t="str">
        <f>HYPERLINK(_xlfn.CONCAT("https://tablet.otzar.org/",CHAR(35),"/exKotar/613920"),"אוצר לקוטי שיחות - 2 כרכים")</f>
        <v>אוצר לקוטי שיחות - 2 כרכים</v>
      </c>
      <c r="H64" t="str">
        <f>_xlfn.CONCAT("https://tablet.otzar.org/",CHAR(35),"/exKotar/613920")</f>
        <v>https://tablet.otzar.org/#/exKotar/613920</v>
      </c>
    </row>
    <row r="65" spans="1:8" x14ac:dyDescent="0.25">
      <c r="A65">
        <v>173497</v>
      </c>
      <c r="B65" t="s">
        <v>169</v>
      </c>
      <c r="C65" t="s">
        <v>45</v>
      </c>
      <c r="D65" t="s">
        <v>10</v>
      </c>
      <c r="E65" t="s">
        <v>62</v>
      </c>
      <c r="F65" t="s">
        <v>12</v>
      </c>
      <c r="G65" t="str">
        <f>HYPERLINK(_xlfn.CONCAT("https://tablet.otzar.org/",CHAR(35),"/book/173497/p/-1/t/1/fs/0/start/0/end/0/c"),"אוצר מאמרי חסידות")</f>
        <v>אוצר מאמרי חסידות</v>
      </c>
      <c r="H65" t="str">
        <f>_xlfn.CONCAT("https://tablet.otzar.org/",CHAR(35),"/book/173497/p/-1/t/1/fs/0/start/0/end/0/c")</f>
        <v>https://tablet.otzar.org/#/book/173497/p/-1/t/1/fs/0/start/0/end/0/c</v>
      </c>
    </row>
    <row r="66" spans="1:8" x14ac:dyDescent="0.25">
      <c r="A66">
        <v>22076</v>
      </c>
      <c r="B66" t="s">
        <v>170</v>
      </c>
      <c r="C66" t="s">
        <v>171</v>
      </c>
      <c r="D66" t="s">
        <v>37</v>
      </c>
      <c r="E66" t="s">
        <v>134</v>
      </c>
      <c r="F66" t="s">
        <v>12</v>
      </c>
      <c r="G66" t="str">
        <f>HYPERLINK(_xlfn.CONCAT("https://tablet.otzar.org/",CHAR(35),"/exKotar/22076"),"אוצר מנהגי חב""""ד - 2 כרכים")</f>
        <v>אוצר מנהגי חב""ד - 2 כרכים</v>
      </c>
      <c r="H66" t="str">
        <f>_xlfn.CONCAT("https://tablet.otzar.org/",CHAR(35),"/exKotar/22076")</f>
        <v>https://tablet.otzar.org/#/exKotar/22076</v>
      </c>
    </row>
    <row r="67" spans="1:8" x14ac:dyDescent="0.25">
      <c r="A67">
        <v>28804</v>
      </c>
      <c r="B67" t="s">
        <v>172</v>
      </c>
      <c r="C67" t="s">
        <v>173</v>
      </c>
      <c r="D67" t="s">
        <v>37</v>
      </c>
      <c r="E67" t="s">
        <v>174</v>
      </c>
      <c r="F67" t="s">
        <v>175</v>
      </c>
      <c r="G67" t="str">
        <f>HYPERLINK(_xlfn.CONCAT("https://tablet.otzar.org/",CHAR(35),"/book/28804/p/-1/t/1/fs/0/start/0/end/0/c"),"אוצר מנהגים והוראות - יו""""ד")</f>
        <v>אוצר מנהגים והוראות - יו""ד</v>
      </c>
      <c r="H67" t="str">
        <f>_xlfn.CONCAT("https://tablet.otzar.org/",CHAR(35),"/book/28804/p/-1/t/1/fs/0/start/0/end/0/c")</f>
        <v>https://tablet.otzar.org/#/book/28804/p/-1/t/1/fs/0/start/0/end/0/c</v>
      </c>
    </row>
    <row r="68" spans="1:8" x14ac:dyDescent="0.25">
      <c r="A68">
        <v>622501</v>
      </c>
      <c r="B68" t="s">
        <v>176</v>
      </c>
      <c r="C68" t="s">
        <v>59</v>
      </c>
      <c r="D68" t="s">
        <v>10</v>
      </c>
      <c r="E68" t="s">
        <v>11</v>
      </c>
      <c r="F68" t="s">
        <v>12</v>
      </c>
      <c r="G68" t="str">
        <f>HYPERLINK(_xlfn.CONCAT("https://tablet.otzar.org/",CHAR(35),"/book/622501/p/-1/t/1/fs/0/start/0/end/0/c"),"אוצר מרשימות הרבי הריי""""ץ")</f>
        <v>אוצר מרשימות הרבי הריי""ץ</v>
      </c>
      <c r="H68" t="str">
        <f>_xlfn.CONCAT("https://tablet.otzar.org/",CHAR(35),"/book/622501/p/-1/t/1/fs/0/start/0/end/0/c")</f>
        <v>https://tablet.otzar.org/#/book/622501/p/-1/t/1/fs/0/start/0/end/0/c</v>
      </c>
    </row>
    <row r="69" spans="1:8" x14ac:dyDescent="0.25">
      <c r="A69">
        <v>27042</v>
      </c>
      <c r="B69" t="s">
        <v>177</v>
      </c>
      <c r="C69" t="s">
        <v>178</v>
      </c>
      <c r="D69" t="s">
        <v>15</v>
      </c>
      <c r="E69" t="s">
        <v>40</v>
      </c>
      <c r="F69" t="s">
        <v>12</v>
      </c>
      <c r="G69" t="str">
        <f>HYPERLINK(_xlfn.CONCAT("https://tablet.otzar.org/",CHAR(35),"/exKotar/27042"),"אוצר סיפורי חב""""ד - 16 כרכים")</f>
        <v>אוצר סיפורי חב""ד - 16 כרכים</v>
      </c>
      <c r="H69" t="str">
        <f>_xlfn.CONCAT("https://tablet.otzar.org/",CHAR(35),"/exKotar/27042")</f>
        <v>https://tablet.otzar.org/#/exKotar/27042</v>
      </c>
    </row>
    <row r="70" spans="1:8" x14ac:dyDescent="0.25">
      <c r="A70">
        <v>146367</v>
      </c>
      <c r="B70" t="s">
        <v>179</v>
      </c>
      <c r="C70" t="s">
        <v>180</v>
      </c>
      <c r="D70" t="s">
        <v>10</v>
      </c>
      <c r="E70" t="s">
        <v>181</v>
      </c>
      <c r="F70" t="s">
        <v>76</v>
      </c>
      <c r="G70" t="str">
        <f>HYPERLINK(_xlfn.CONCAT("https://tablet.otzar.org/",CHAR(35),"/book/146367/p/-1/t/1/fs/0/start/0/end/0/c"),"אוצר סיפורי ליובאוויטש - א")</f>
        <v>אוצר סיפורי ליובאוויטש - א</v>
      </c>
      <c r="H70" t="str">
        <f>_xlfn.CONCAT("https://tablet.otzar.org/",CHAR(35),"/book/146367/p/-1/t/1/fs/0/start/0/end/0/c")</f>
        <v>https://tablet.otzar.org/#/book/146367/p/-1/t/1/fs/0/start/0/end/0/c</v>
      </c>
    </row>
    <row r="71" spans="1:8" x14ac:dyDescent="0.25">
      <c r="A71">
        <v>181107</v>
      </c>
      <c r="B71" t="s">
        <v>182</v>
      </c>
      <c r="C71" t="s">
        <v>183</v>
      </c>
      <c r="D71" t="s">
        <v>10</v>
      </c>
      <c r="E71" t="s">
        <v>88</v>
      </c>
      <c r="F71" t="s">
        <v>12</v>
      </c>
      <c r="G71" t="str">
        <f>HYPERLINK(_xlfn.CONCAT("https://tablet.otzar.org/",CHAR(35),"/exKotar/181107"),"אוצר פתגמי חב""""ד - 4 כרכים")</f>
        <v>אוצר פתגמי חב""ד - 4 כרכים</v>
      </c>
      <c r="H71" t="str">
        <f>_xlfn.CONCAT("https://tablet.otzar.org/",CHAR(35),"/exKotar/181107")</f>
        <v>https://tablet.otzar.org/#/exKotar/181107</v>
      </c>
    </row>
    <row r="72" spans="1:8" x14ac:dyDescent="0.25">
      <c r="A72">
        <v>633053</v>
      </c>
      <c r="B72" t="s">
        <v>184</v>
      </c>
      <c r="C72" t="s">
        <v>59</v>
      </c>
      <c r="D72" t="s">
        <v>10</v>
      </c>
      <c r="E72" t="s">
        <v>185</v>
      </c>
      <c r="F72" t="s">
        <v>12</v>
      </c>
      <c r="G72" t="str">
        <f>HYPERLINK(_xlfn.CONCAT("https://tablet.otzar.org/",CHAR(35),"/book/633053/p/-1/t/1/fs/0/start/0/end/0/c"),"אוצר פתגמים")</f>
        <v>אוצר פתגמים</v>
      </c>
      <c r="H72" t="str">
        <f>_xlfn.CONCAT("https://tablet.otzar.org/",CHAR(35),"/book/633053/p/-1/t/1/fs/0/start/0/end/0/c")</f>
        <v>https://tablet.otzar.org/#/book/633053/p/-1/t/1/fs/0/start/0/end/0/c</v>
      </c>
    </row>
    <row r="73" spans="1:8" x14ac:dyDescent="0.25">
      <c r="A73">
        <v>144965</v>
      </c>
      <c r="B73" t="s">
        <v>186</v>
      </c>
      <c r="C73" t="s">
        <v>45</v>
      </c>
      <c r="D73" t="s">
        <v>10</v>
      </c>
      <c r="E73" t="s">
        <v>33</v>
      </c>
      <c r="F73" t="s">
        <v>12</v>
      </c>
      <c r="G73" t="str">
        <f>HYPERLINK(_xlfn.CONCAT("https://tablet.otzar.org/",CHAR(35),"/book/144965/p/-1/t/1/fs/0/start/0/end/0/c"),"אוצר רשימות")</f>
        <v>אוצר רשימות</v>
      </c>
      <c r="H73" t="str">
        <f>_xlfn.CONCAT("https://tablet.otzar.org/",CHAR(35),"/book/144965/p/-1/t/1/fs/0/start/0/end/0/c")</f>
        <v>https://tablet.otzar.org/#/book/144965/p/-1/t/1/fs/0/start/0/end/0/c</v>
      </c>
    </row>
    <row r="74" spans="1:8" x14ac:dyDescent="0.25">
      <c r="A74">
        <v>635811</v>
      </c>
      <c r="B74" t="s">
        <v>187</v>
      </c>
      <c r="C74" t="s">
        <v>188</v>
      </c>
      <c r="F74" t="s">
        <v>12</v>
      </c>
      <c r="G74" t="str">
        <f>HYPERLINK(_xlfn.CONCAT("https://tablet.otzar.org/",CHAR(35),"/book/635811/p/-1/t/1/fs/0/start/0/end/0/c"),"אוצר של התקשרות")</f>
        <v>אוצר של התקשרות</v>
      </c>
      <c r="H74" t="str">
        <f>_xlfn.CONCAT("https://tablet.otzar.org/",CHAR(35),"/book/635811/p/-1/t/1/fs/0/start/0/end/0/c")</f>
        <v>https://tablet.otzar.org/#/book/635811/p/-1/t/1/fs/0/start/0/end/0/c</v>
      </c>
    </row>
    <row r="75" spans="1:8" x14ac:dyDescent="0.25">
      <c r="A75">
        <v>27299</v>
      </c>
      <c r="B75" t="s">
        <v>189</v>
      </c>
      <c r="C75" t="s">
        <v>190</v>
      </c>
      <c r="D75" t="s">
        <v>191</v>
      </c>
      <c r="E75" t="s">
        <v>192</v>
      </c>
      <c r="F75" t="s">
        <v>12</v>
      </c>
      <c r="G75" t="str">
        <f>HYPERLINK(_xlfn.CONCAT("https://tablet.otzar.org/",CHAR(35),"/exKotar/27299"),"אוצרות הבעל שם טוב - 2 כרכים")</f>
        <v>אוצרות הבעל שם טוב - 2 כרכים</v>
      </c>
      <c r="H75" t="str">
        <f>_xlfn.CONCAT("https://tablet.otzar.org/",CHAR(35),"/exKotar/27299")</f>
        <v>https://tablet.otzar.org/#/exKotar/27299</v>
      </c>
    </row>
    <row r="76" spans="1:8" x14ac:dyDescent="0.25">
      <c r="A76">
        <v>181089</v>
      </c>
      <c r="B76" t="s">
        <v>193</v>
      </c>
      <c r="C76" t="s">
        <v>194</v>
      </c>
      <c r="D76" t="s">
        <v>10</v>
      </c>
      <c r="E76" t="s">
        <v>88</v>
      </c>
      <c r="G76" t="str">
        <f>HYPERLINK(_xlfn.CONCAT("https://tablet.otzar.org/",CHAR(35),"/book/181089/p/-1/t/1/fs/0/start/0/end/0/c"),"אוצרות ההגדה")</f>
        <v>אוצרות ההגדה</v>
      </c>
      <c r="H76" t="str">
        <f>_xlfn.CONCAT("https://tablet.otzar.org/",CHAR(35),"/book/181089/p/-1/t/1/fs/0/start/0/end/0/c")</f>
        <v>https://tablet.otzar.org/#/book/181089/p/-1/t/1/fs/0/start/0/end/0/c</v>
      </c>
    </row>
    <row r="77" spans="1:8" x14ac:dyDescent="0.25">
      <c r="A77">
        <v>607924</v>
      </c>
      <c r="B77" t="s">
        <v>195</v>
      </c>
      <c r="C77" t="s">
        <v>196</v>
      </c>
      <c r="D77" t="s">
        <v>197</v>
      </c>
      <c r="E77" t="s">
        <v>99</v>
      </c>
      <c r="F77" t="s">
        <v>12</v>
      </c>
      <c r="G77" t="str">
        <f>HYPERLINK(_xlfn.CONCAT("https://tablet.otzar.org/",CHAR(35),"/book/607924/p/-1/t/1/fs/0/start/0/end/0/c"),"אוצרות ההגדה לתלמיד")</f>
        <v>אוצרות ההגדה לתלמיד</v>
      </c>
      <c r="H77" t="str">
        <f>_xlfn.CONCAT("https://tablet.otzar.org/",CHAR(35),"/book/607924/p/-1/t/1/fs/0/start/0/end/0/c")</f>
        <v>https://tablet.otzar.org/#/book/607924/p/-1/t/1/fs/0/start/0/end/0/c</v>
      </c>
    </row>
    <row r="78" spans="1:8" x14ac:dyDescent="0.25">
      <c r="A78">
        <v>615057</v>
      </c>
      <c r="B78" t="s">
        <v>198</v>
      </c>
      <c r="C78" t="s">
        <v>199</v>
      </c>
      <c r="D78" t="s">
        <v>15</v>
      </c>
      <c r="E78" t="s">
        <v>115</v>
      </c>
      <c r="F78" t="s">
        <v>100</v>
      </c>
      <c r="G78" t="str">
        <f>HYPERLINK(_xlfn.CONCAT("https://tablet.otzar.org/",CHAR(35),"/book/615057/p/-1/t/1/fs/0/start/0/end/0/c"),"אוצרות המגילה - מגילת אסתר")</f>
        <v>אוצרות המגילה - מגילת אסתר</v>
      </c>
      <c r="H78" t="str">
        <f>_xlfn.CONCAT("https://tablet.otzar.org/",CHAR(35),"/book/615057/p/-1/t/1/fs/0/start/0/end/0/c")</f>
        <v>https://tablet.otzar.org/#/book/615057/p/-1/t/1/fs/0/start/0/end/0/c</v>
      </c>
    </row>
    <row r="79" spans="1:8" x14ac:dyDescent="0.25">
      <c r="A79">
        <v>614911</v>
      </c>
      <c r="B79" t="s">
        <v>200</v>
      </c>
      <c r="C79" t="s">
        <v>45</v>
      </c>
      <c r="D79" t="s">
        <v>15</v>
      </c>
      <c r="E79" t="s">
        <v>19</v>
      </c>
      <c r="F79" t="s">
        <v>201</v>
      </c>
      <c r="G79" t="str">
        <f>HYPERLINK(_xlfn.CONCAT("https://tablet.otzar.org/",CHAR(35),"/exKotar/614911"),"אוצרות המועדים - 3 כרכים")</f>
        <v>אוצרות המועדים - 3 כרכים</v>
      </c>
      <c r="H79" t="str">
        <f>_xlfn.CONCAT("https://tablet.otzar.org/",CHAR(35),"/exKotar/614911")</f>
        <v>https://tablet.otzar.org/#/exKotar/614911</v>
      </c>
    </row>
    <row r="80" spans="1:8" x14ac:dyDescent="0.25">
      <c r="A80">
        <v>639889</v>
      </c>
      <c r="B80" t="s">
        <v>202</v>
      </c>
      <c r="C80" t="s">
        <v>203</v>
      </c>
      <c r="G80" t="str">
        <f>HYPERLINK(_xlfn.CONCAT("https://tablet.otzar.org/",CHAR(35),"/exKotar/639889"),"אוצרות הרמב""""ם - 2 כרכים")</f>
        <v>אוצרות הרמב""ם - 2 כרכים</v>
      </c>
      <c r="H80" t="str">
        <f>_xlfn.CONCAT("https://tablet.otzar.org/",CHAR(35),"/exKotar/639889")</f>
        <v>https://tablet.otzar.org/#/exKotar/639889</v>
      </c>
    </row>
    <row r="81" spans="1:8" x14ac:dyDescent="0.25">
      <c r="A81">
        <v>141343</v>
      </c>
      <c r="B81" t="s">
        <v>204</v>
      </c>
      <c r="C81" t="s">
        <v>205</v>
      </c>
      <c r="D81" t="s">
        <v>10</v>
      </c>
      <c r="E81" t="s">
        <v>206</v>
      </c>
      <c r="F81" t="s">
        <v>12</v>
      </c>
      <c r="G81" t="str">
        <f>HYPERLINK(_xlfn.CONCAT("https://tablet.otzar.org/",CHAR(35),"/book/141343/p/-1/t/1/fs/0/start/0/end/0/c"),"אוצרות השעורים")</f>
        <v>אוצרות השעורים</v>
      </c>
      <c r="H81" t="str">
        <f>_xlfn.CONCAT("https://tablet.otzar.org/",CHAR(35),"/book/141343/p/-1/t/1/fs/0/start/0/end/0/c")</f>
        <v>https://tablet.otzar.org/#/book/141343/p/-1/t/1/fs/0/start/0/end/0/c</v>
      </c>
    </row>
    <row r="82" spans="1:8" x14ac:dyDescent="0.25">
      <c r="A82">
        <v>650266</v>
      </c>
      <c r="B82" t="s">
        <v>207</v>
      </c>
      <c r="C82" t="s">
        <v>199</v>
      </c>
      <c r="E82" t="s">
        <v>24</v>
      </c>
      <c r="F82" t="s">
        <v>208</v>
      </c>
      <c r="G82" t="str">
        <f>HYPERLINK(_xlfn.CONCAT("https://tablet.otzar.org/",CHAR(35),"/exKotar/650266"),"אוצרות התורה - 2 כרכים")</f>
        <v>אוצרות התורה - 2 כרכים</v>
      </c>
      <c r="H82" t="str">
        <f>_xlfn.CONCAT("https://tablet.otzar.org/",CHAR(35),"/exKotar/650266")</f>
        <v>https://tablet.otzar.org/#/exKotar/650266</v>
      </c>
    </row>
    <row r="83" spans="1:8" x14ac:dyDescent="0.25">
      <c r="A83">
        <v>27295</v>
      </c>
      <c r="B83" t="s">
        <v>209</v>
      </c>
      <c r="C83" t="s">
        <v>210</v>
      </c>
      <c r="D83" t="s">
        <v>15</v>
      </c>
      <c r="E83" t="s">
        <v>148</v>
      </c>
      <c r="F83" t="s">
        <v>12</v>
      </c>
      <c r="G83" t="str">
        <f>HYPERLINK(_xlfn.CONCAT("https://tablet.otzar.org/",CHAR(35),"/exKotar/27295"),"אוצרות חסידיים - 2 כרכים")</f>
        <v>אוצרות חסידיים - 2 כרכים</v>
      </c>
      <c r="H83" t="str">
        <f>_xlfn.CONCAT("https://tablet.otzar.org/",CHAR(35),"/exKotar/27295")</f>
        <v>https://tablet.otzar.org/#/exKotar/27295</v>
      </c>
    </row>
    <row r="84" spans="1:8" x14ac:dyDescent="0.25">
      <c r="A84">
        <v>686919</v>
      </c>
      <c r="B84" t="s">
        <v>211</v>
      </c>
      <c r="C84" t="s">
        <v>212</v>
      </c>
      <c r="E84" t="s">
        <v>185</v>
      </c>
      <c r="F84" t="s">
        <v>12</v>
      </c>
      <c r="G84" t="str">
        <f>HYPERLINK(_xlfn.CONCAT("https://tablet.otzar.org/",CHAR(35),"/exKotar/686919"),"אוצרות ליובאוויטש - 5 כרכים")</f>
        <v>אוצרות ליובאוויטש - 5 כרכים</v>
      </c>
      <c r="H84" t="str">
        <f>_xlfn.CONCAT("https://tablet.otzar.org/",CHAR(35),"/exKotar/686919")</f>
        <v>https://tablet.otzar.org/#/exKotar/686919</v>
      </c>
    </row>
    <row r="85" spans="1:8" x14ac:dyDescent="0.25">
      <c r="A85">
        <v>160948</v>
      </c>
      <c r="B85" t="s">
        <v>213</v>
      </c>
      <c r="C85" t="s">
        <v>214</v>
      </c>
      <c r="D85" t="s">
        <v>215</v>
      </c>
      <c r="E85" t="s">
        <v>79</v>
      </c>
      <c r="F85" t="s">
        <v>25</v>
      </c>
      <c r="G85" t="str">
        <f>HYPERLINK(_xlfn.CONCAT("https://tablet.otzar.org/",CHAR(35),"/book/160948/p/-1/t/1/fs/0/start/0/end/0/c"),"אור אבנר")</f>
        <v>אור אבנר</v>
      </c>
      <c r="H85" t="str">
        <f>_xlfn.CONCAT("https://tablet.otzar.org/",CHAR(35),"/book/160948/p/-1/t/1/fs/0/start/0/end/0/c")</f>
        <v>https://tablet.otzar.org/#/book/160948/p/-1/t/1/fs/0/start/0/end/0/c</v>
      </c>
    </row>
    <row r="86" spans="1:8" x14ac:dyDescent="0.25">
      <c r="A86">
        <v>27421</v>
      </c>
      <c r="B86" t="s">
        <v>216</v>
      </c>
      <c r="C86" t="s">
        <v>190</v>
      </c>
      <c r="D86" t="s">
        <v>15</v>
      </c>
      <c r="E86" t="s">
        <v>217</v>
      </c>
      <c r="F86" t="s">
        <v>12</v>
      </c>
      <c r="G86" t="str">
        <f>HYPERLINK(_xlfn.CONCAT("https://tablet.otzar.org/",CHAR(35),"/exKotar/27421"),"אור הבית - 2 כרכים")</f>
        <v>אור הבית - 2 כרכים</v>
      </c>
      <c r="H86" t="str">
        <f>_xlfn.CONCAT("https://tablet.otzar.org/",CHAR(35),"/exKotar/27421")</f>
        <v>https://tablet.otzar.org/#/exKotar/27421</v>
      </c>
    </row>
    <row r="87" spans="1:8" x14ac:dyDescent="0.25">
      <c r="A87">
        <v>27387</v>
      </c>
      <c r="B87" t="s">
        <v>218</v>
      </c>
      <c r="C87" t="s">
        <v>125</v>
      </c>
      <c r="D87" t="s">
        <v>219</v>
      </c>
      <c r="E87" t="s">
        <v>75</v>
      </c>
      <c r="F87" t="s">
        <v>12</v>
      </c>
      <c r="G87" t="str">
        <f>HYPERLINK(_xlfn.CONCAT("https://tablet.otzar.org/",CHAR(35),"/exKotar/27387"),"אור הדרום - 4 כרכים")</f>
        <v>אור הדרום - 4 כרכים</v>
      </c>
      <c r="H87" t="str">
        <f>_xlfn.CONCAT("https://tablet.otzar.org/",CHAR(35),"/exKotar/27387")</f>
        <v>https://tablet.otzar.org/#/exKotar/27387</v>
      </c>
    </row>
    <row r="88" spans="1:8" x14ac:dyDescent="0.25">
      <c r="A88">
        <v>606194</v>
      </c>
      <c r="B88" t="s">
        <v>220</v>
      </c>
      <c r="C88" t="s">
        <v>221</v>
      </c>
      <c r="D88" t="s">
        <v>37</v>
      </c>
      <c r="E88" t="s">
        <v>60</v>
      </c>
      <c r="F88" t="s">
        <v>222</v>
      </c>
      <c r="G88" t="str">
        <f>HYPERLINK(_xlfn.CONCAT("https://tablet.otzar.org/",CHAR(35),"/book/606194/p/-1/t/1/fs/0/start/0/end/0/c"),"אור החכמה")</f>
        <v>אור החכמה</v>
      </c>
      <c r="H88" t="str">
        <f>_xlfn.CONCAT("https://tablet.otzar.org/",CHAR(35),"/book/606194/p/-1/t/1/fs/0/start/0/end/0/c")</f>
        <v>https://tablet.otzar.org/#/book/606194/p/-1/t/1/fs/0/start/0/end/0/c</v>
      </c>
    </row>
    <row r="89" spans="1:8" x14ac:dyDescent="0.25">
      <c r="A89">
        <v>141504</v>
      </c>
      <c r="B89" t="s">
        <v>223</v>
      </c>
      <c r="C89" t="s">
        <v>178</v>
      </c>
      <c r="D89" t="s">
        <v>15</v>
      </c>
      <c r="E89" t="s">
        <v>75</v>
      </c>
      <c r="F89" t="s">
        <v>12</v>
      </c>
      <c r="G89" t="str">
        <f>HYPERLINK(_xlfn.CONCAT("https://tablet.otzar.org/",CHAR(35),"/book/141504/p/-1/t/1/fs/0/start/0/end/0/c"),"אור החסידות")</f>
        <v>אור החסידות</v>
      </c>
      <c r="H89" t="str">
        <f>_xlfn.CONCAT("https://tablet.otzar.org/",CHAR(35),"/book/141504/p/-1/t/1/fs/0/start/0/end/0/c")</f>
        <v>https://tablet.otzar.org/#/book/141504/p/-1/t/1/fs/0/start/0/end/0/c</v>
      </c>
    </row>
    <row r="90" spans="1:8" x14ac:dyDescent="0.25">
      <c r="A90">
        <v>160616</v>
      </c>
      <c r="B90" t="s">
        <v>224</v>
      </c>
      <c r="C90" t="s">
        <v>48</v>
      </c>
      <c r="D90" t="s">
        <v>225</v>
      </c>
      <c r="E90" t="s">
        <v>226</v>
      </c>
      <c r="F90" t="s">
        <v>222</v>
      </c>
      <c r="G90" t="str">
        <f>HYPERLINK(_xlfn.CONCAT("https://tablet.otzar.org/",CHAR(35),"/book/160616/p/-1/t/1/fs/0/start/0/end/0/c"),"אור המאיר הדף")</f>
        <v>אור המאיר הדף</v>
      </c>
      <c r="H90" t="str">
        <f>_xlfn.CONCAT("https://tablet.otzar.org/",CHAR(35),"/book/160616/p/-1/t/1/fs/0/start/0/end/0/c")</f>
        <v>https://tablet.otzar.org/#/book/160616/p/-1/t/1/fs/0/start/0/end/0/c</v>
      </c>
    </row>
    <row r="91" spans="1:8" x14ac:dyDescent="0.25">
      <c r="A91">
        <v>196295</v>
      </c>
      <c r="B91" t="s">
        <v>227</v>
      </c>
      <c r="C91" t="s">
        <v>228</v>
      </c>
      <c r="D91" t="s">
        <v>15</v>
      </c>
      <c r="E91" t="s">
        <v>99</v>
      </c>
      <c r="F91" t="s">
        <v>229</v>
      </c>
      <c r="G91" t="str">
        <f>HYPERLINK(_xlfn.CONCAT("https://tablet.otzar.org/",CHAR(35),"/book/196295/p/-1/t/1/fs/0/start/0/end/0/c"),"אור השולחן")</f>
        <v>אור השולחן</v>
      </c>
      <c r="H91" t="str">
        <f>_xlfn.CONCAT("https://tablet.otzar.org/",CHAR(35),"/book/196295/p/-1/t/1/fs/0/start/0/end/0/c")</f>
        <v>https://tablet.otzar.org/#/book/196295/p/-1/t/1/fs/0/start/0/end/0/c</v>
      </c>
    </row>
    <row r="92" spans="1:8" x14ac:dyDescent="0.25">
      <c r="A92">
        <v>607874</v>
      </c>
      <c r="B92" t="s">
        <v>230</v>
      </c>
      <c r="C92" t="s">
        <v>228</v>
      </c>
      <c r="D92" t="s">
        <v>15</v>
      </c>
      <c r="E92" t="s">
        <v>99</v>
      </c>
      <c r="F92" t="s">
        <v>231</v>
      </c>
      <c r="G92" t="str">
        <f>HYPERLINK(_xlfn.CONCAT("https://tablet.otzar.org/",CHAR(35),"/book/607874/p/-1/t/1/fs/0/start/0/end/0/c"),"אור השלחן")</f>
        <v>אור השלחן</v>
      </c>
      <c r="H92" t="str">
        <f>_xlfn.CONCAT("https://tablet.otzar.org/",CHAR(35),"/book/607874/p/-1/t/1/fs/0/start/0/end/0/c")</f>
        <v>https://tablet.otzar.org/#/book/607874/p/-1/t/1/fs/0/start/0/end/0/c</v>
      </c>
    </row>
    <row r="93" spans="1:8" x14ac:dyDescent="0.25">
      <c r="A93">
        <v>161299</v>
      </c>
      <c r="B93" t="s">
        <v>232</v>
      </c>
      <c r="C93" t="s">
        <v>125</v>
      </c>
      <c r="D93" t="s">
        <v>233</v>
      </c>
      <c r="E93" t="s">
        <v>139</v>
      </c>
      <c r="F93" t="s">
        <v>25</v>
      </c>
      <c r="G93" t="str">
        <f>HYPERLINK(_xlfn.CONCAT("https://tablet.otzar.org/",CHAR(35),"/book/161299/p/-1/t/1/fs/0/start/0/end/0/c"),"אור התבור")</f>
        <v>אור התבור</v>
      </c>
      <c r="H93" t="str">
        <f>_xlfn.CONCAT("https://tablet.otzar.org/",CHAR(35),"/book/161299/p/-1/t/1/fs/0/start/0/end/0/c")</f>
        <v>https://tablet.otzar.org/#/book/161299/p/-1/t/1/fs/0/start/0/end/0/c</v>
      </c>
    </row>
    <row r="94" spans="1:8" x14ac:dyDescent="0.25">
      <c r="A94">
        <v>141689</v>
      </c>
      <c r="B94" t="s">
        <v>234</v>
      </c>
      <c r="C94" t="s">
        <v>61</v>
      </c>
      <c r="D94" t="s">
        <v>37</v>
      </c>
      <c r="E94" t="s">
        <v>60</v>
      </c>
      <c r="G94" t="str">
        <f>HYPERLINK(_xlfn.CONCAT("https://tablet.otzar.org/",CHAR(35),"/book/141689/p/-1/t/1/fs/0/start/0/end/0/c"),"אור התורה &lt;טקסט&gt; - במדבר ג")</f>
        <v>אור התורה &lt;טקסט&gt; - במדבר ג</v>
      </c>
      <c r="H94" t="str">
        <f>_xlfn.CONCAT("https://tablet.otzar.org/",CHAR(35),"/book/141689/p/-1/t/1/fs/0/start/0/end/0/c")</f>
        <v>https://tablet.otzar.org/#/book/141689/p/-1/t/1/fs/0/start/0/end/0/c</v>
      </c>
    </row>
    <row r="95" spans="1:8" x14ac:dyDescent="0.25">
      <c r="A95">
        <v>26151</v>
      </c>
      <c r="B95" t="s">
        <v>235</v>
      </c>
      <c r="C95" t="s">
        <v>61</v>
      </c>
      <c r="D95" t="s">
        <v>10</v>
      </c>
      <c r="E95" t="s">
        <v>236</v>
      </c>
      <c r="G95" t="str">
        <f>HYPERLINK(_xlfn.CONCAT("https://tablet.otzar.org/",CHAR(35),"/exKotar/26151"),"אור התורה - 43 כרכים")</f>
        <v>אור התורה - 43 כרכים</v>
      </c>
      <c r="H95" t="str">
        <f>_xlfn.CONCAT("https://tablet.otzar.org/",CHAR(35),"/exKotar/26151")</f>
        <v>https://tablet.otzar.org/#/exKotar/26151</v>
      </c>
    </row>
    <row r="96" spans="1:8" x14ac:dyDescent="0.25">
      <c r="A96">
        <v>147722</v>
      </c>
      <c r="B96" t="s">
        <v>237</v>
      </c>
      <c r="C96" t="s">
        <v>238</v>
      </c>
      <c r="D96" t="s">
        <v>10</v>
      </c>
      <c r="E96" t="s">
        <v>139</v>
      </c>
      <c r="F96" t="s">
        <v>239</v>
      </c>
      <c r="G96" t="str">
        <f>HYPERLINK(_xlfn.CONCAT("https://tablet.otzar.org/",CHAR(35),"/exKotar/147722"),"אור התפלה - 7 כרכים")</f>
        <v>אור התפלה - 7 כרכים</v>
      </c>
      <c r="H96" t="str">
        <f>_xlfn.CONCAT("https://tablet.otzar.org/",CHAR(35),"/exKotar/147722")</f>
        <v>https://tablet.otzar.org/#/exKotar/147722</v>
      </c>
    </row>
    <row r="97" spans="1:8" x14ac:dyDescent="0.25">
      <c r="A97">
        <v>676679</v>
      </c>
      <c r="B97" t="s">
        <v>240</v>
      </c>
      <c r="C97" t="s">
        <v>45</v>
      </c>
      <c r="D97" t="s">
        <v>10</v>
      </c>
      <c r="E97" t="s">
        <v>217</v>
      </c>
      <c r="F97" t="s">
        <v>76</v>
      </c>
      <c r="G97" t="str">
        <f>HYPERLINK(_xlfn.CONCAT("https://tablet.otzar.org/",CHAR(35),"/exKotar/676679"),"אור וחום ההתקשרות - 5 כרכים")</f>
        <v>אור וחום ההתקשרות - 5 כרכים</v>
      </c>
      <c r="H97" t="str">
        <f>_xlfn.CONCAT("https://tablet.otzar.org/",CHAR(35),"/exKotar/676679")</f>
        <v>https://tablet.otzar.org/#/exKotar/676679</v>
      </c>
    </row>
    <row r="98" spans="1:8" x14ac:dyDescent="0.25">
      <c r="A98">
        <v>651982</v>
      </c>
      <c r="B98" t="s">
        <v>241</v>
      </c>
      <c r="C98" t="s">
        <v>242</v>
      </c>
      <c r="E98" t="s">
        <v>24</v>
      </c>
      <c r="G98" t="str">
        <f>HYPERLINK(_xlfn.CONCAT("https://tablet.otzar.org/",CHAR(35),"/exKotar/651982"),"אור וחיות - 2 כרכים")</f>
        <v>אור וחיות - 2 כרכים</v>
      </c>
      <c r="H98" t="str">
        <f>_xlfn.CONCAT("https://tablet.otzar.org/",CHAR(35),"/exKotar/651982")</f>
        <v>https://tablet.otzar.org/#/exKotar/651982</v>
      </c>
    </row>
    <row r="99" spans="1:8" x14ac:dyDescent="0.25">
      <c r="A99">
        <v>607745</v>
      </c>
      <c r="B99" t="s">
        <v>243</v>
      </c>
      <c r="C99" t="s">
        <v>244</v>
      </c>
      <c r="D99" t="s">
        <v>10</v>
      </c>
      <c r="E99" t="s">
        <v>88</v>
      </c>
      <c r="G99" t="str">
        <f>HYPERLINK(_xlfn.CONCAT("https://tablet.otzar.org/",CHAR(35),"/book/607745/p/-1/t/1/fs/0/start/0/end/0/c"),"אור וחיות נפשנו")</f>
        <v>אור וחיות נפשנו</v>
      </c>
      <c r="H99" t="str">
        <f>_xlfn.CONCAT("https://tablet.otzar.org/",CHAR(35),"/book/607745/p/-1/t/1/fs/0/start/0/end/0/c")</f>
        <v>https://tablet.otzar.org/#/book/607745/p/-1/t/1/fs/0/start/0/end/0/c</v>
      </c>
    </row>
    <row r="100" spans="1:8" x14ac:dyDescent="0.25">
      <c r="A100">
        <v>140829</v>
      </c>
      <c r="B100" t="s">
        <v>245</v>
      </c>
      <c r="C100" t="s">
        <v>125</v>
      </c>
      <c r="D100" t="s">
        <v>10</v>
      </c>
      <c r="E100" t="s">
        <v>29</v>
      </c>
      <c r="F100" t="s">
        <v>12</v>
      </c>
      <c r="G100" t="str">
        <f>HYPERLINK(_xlfn.CONCAT("https://tablet.otzar.org/",CHAR(35),"/book/140829/p/-1/t/1/fs/0/start/0/end/0/c"),"אור זרוע לצדיק - קובץ פלפולים")</f>
        <v>אור זרוע לצדיק - קובץ פלפולים</v>
      </c>
      <c r="H100" t="str">
        <f>_xlfn.CONCAT("https://tablet.otzar.org/",CHAR(35),"/book/140829/p/-1/t/1/fs/0/start/0/end/0/c")</f>
        <v>https://tablet.otzar.org/#/book/140829/p/-1/t/1/fs/0/start/0/end/0/c</v>
      </c>
    </row>
    <row r="101" spans="1:8" x14ac:dyDescent="0.25">
      <c r="A101">
        <v>27830</v>
      </c>
      <c r="B101" t="s">
        <v>246</v>
      </c>
      <c r="C101" t="s">
        <v>247</v>
      </c>
      <c r="D101" t="s">
        <v>10</v>
      </c>
      <c r="E101" t="s">
        <v>148</v>
      </c>
      <c r="F101" t="s">
        <v>12</v>
      </c>
      <c r="G101" t="str">
        <f>HYPERLINK(_xlfn.CONCAT("https://tablet.otzar.org/",CHAR(35),"/book/27830/p/-1/t/1/fs/0/start/0/end/0/c"),"אור חסידי בחושך הסובייטי")</f>
        <v>אור חסידי בחושך הסובייטי</v>
      </c>
      <c r="H101" t="str">
        <f>_xlfn.CONCAT("https://tablet.otzar.org/",CHAR(35),"/book/27830/p/-1/t/1/fs/0/start/0/end/0/c")</f>
        <v>https://tablet.otzar.org/#/book/27830/p/-1/t/1/fs/0/start/0/end/0/c</v>
      </c>
    </row>
    <row r="102" spans="1:8" x14ac:dyDescent="0.25">
      <c r="A102">
        <v>146048</v>
      </c>
      <c r="B102" t="s">
        <v>248</v>
      </c>
      <c r="C102" t="s">
        <v>125</v>
      </c>
      <c r="D102" t="s">
        <v>249</v>
      </c>
      <c r="E102" t="s">
        <v>250</v>
      </c>
      <c r="F102" t="s">
        <v>251</v>
      </c>
      <c r="G102" t="str">
        <f>HYPERLINK(_xlfn.CONCAT("https://tablet.otzar.org/",CHAR(35),"/exKotar/146048"),"אור מנחם - 2 כרכים")</f>
        <v>אור מנחם - 2 כרכים</v>
      </c>
      <c r="H102" t="str">
        <f>_xlfn.CONCAT("https://tablet.otzar.org/",CHAR(35),"/exKotar/146048")</f>
        <v>https://tablet.otzar.org/#/exKotar/146048</v>
      </c>
    </row>
    <row r="103" spans="1:8" x14ac:dyDescent="0.25">
      <c r="A103">
        <v>143345</v>
      </c>
      <c r="B103" t="s">
        <v>252</v>
      </c>
      <c r="C103" t="s">
        <v>125</v>
      </c>
      <c r="D103" t="s">
        <v>15</v>
      </c>
      <c r="E103" t="s">
        <v>134</v>
      </c>
      <c r="F103" t="s">
        <v>251</v>
      </c>
      <c r="G103" t="str">
        <f>HYPERLINK(_xlfn.CONCAT("https://tablet.otzar.org/",CHAR(35),"/exKotar/143345"),"אור עולם - 2 כרכים")</f>
        <v>אור עולם - 2 כרכים</v>
      </c>
      <c r="H103" t="str">
        <f>_xlfn.CONCAT("https://tablet.otzar.org/",CHAR(35),"/exKotar/143345")</f>
        <v>https://tablet.otzar.org/#/exKotar/143345</v>
      </c>
    </row>
    <row r="104" spans="1:8" x14ac:dyDescent="0.25">
      <c r="A104">
        <v>145476</v>
      </c>
      <c r="B104" t="s">
        <v>253</v>
      </c>
      <c r="C104" t="s">
        <v>254</v>
      </c>
      <c r="D104" t="s">
        <v>255</v>
      </c>
      <c r="E104" t="s">
        <v>54</v>
      </c>
      <c r="F104" t="s">
        <v>12</v>
      </c>
      <c r="G104" t="str">
        <f>HYPERLINK(_xlfn.CONCAT("https://tablet.otzar.org/",CHAR(35),"/book/145476/p/-1/t/1/fs/0/start/0/end/0/c"),"אור פני מלך")</f>
        <v>אור פני מלך</v>
      </c>
      <c r="H104" t="str">
        <f>_xlfn.CONCAT("https://tablet.otzar.org/",CHAR(35),"/book/145476/p/-1/t/1/fs/0/start/0/end/0/c")</f>
        <v>https://tablet.otzar.org/#/book/145476/p/-1/t/1/fs/0/start/0/end/0/c</v>
      </c>
    </row>
    <row r="105" spans="1:8" x14ac:dyDescent="0.25">
      <c r="A105">
        <v>173754</v>
      </c>
      <c r="B105" t="s">
        <v>256</v>
      </c>
      <c r="C105" t="s">
        <v>257</v>
      </c>
      <c r="D105" t="s">
        <v>10</v>
      </c>
      <c r="E105" t="s">
        <v>82</v>
      </c>
      <c r="F105" t="s">
        <v>12</v>
      </c>
      <c r="G105" t="str">
        <f>HYPERLINK(_xlfn.CONCAT("https://tablet.otzar.org/",CHAR(35),"/book/173754/p/-1/t/1/fs/0/start/0/end/0/c"),"אור תורה השלם")</f>
        <v>אור תורה השלם</v>
      </c>
      <c r="H105" t="str">
        <f>_xlfn.CONCAT("https://tablet.otzar.org/",CHAR(35),"/book/173754/p/-1/t/1/fs/0/start/0/end/0/c")</f>
        <v>https://tablet.otzar.org/#/book/173754/p/-1/t/1/fs/0/start/0/end/0/c</v>
      </c>
    </row>
    <row r="106" spans="1:8" x14ac:dyDescent="0.25">
      <c r="A106">
        <v>141369</v>
      </c>
      <c r="B106" t="s">
        <v>258</v>
      </c>
      <c r="C106" t="s">
        <v>259</v>
      </c>
      <c r="D106" t="s">
        <v>15</v>
      </c>
      <c r="E106" t="s">
        <v>260</v>
      </c>
      <c r="F106" t="s">
        <v>12</v>
      </c>
      <c r="G106" t="str">
        <f>HYPERLINK(_xlfn.CONCAT("https://tablet.otzar.org/",CHAR(35),"/book/141369/p/-1/t/1/fs/0/start/0/end/0/c"),"אורו של משיח")</f>
        <v>אורו של משיח</v>
      </c>
      <c r="H106" t="str">
        <f>_xlfn.CONCAT("https://tablet.otzar.org/",CHAR(35),"/book/141369/p/-1/t/1/fs/0/start/0/end/0/c")</f>
        <v>https://tablet.otzar.org/#/book/141369/p/-1/t/1/fs/0/start/0/end/0/c</v>
      </c>
    </row>
    <row r="107" spans="1:8" x14ac:dyDescent="0.25">
      <c r="A107">
        <v>146319</v>
      </c>
      <c r="B107" t="s">
        <v>261</v>
      </c>
      <c r="C107" t="s">
        <v>102</v>
      </c>
      <c r="D107" t="s">
        <v>28</v>
      </c>
      <c r="E107" t="s">
        <v>148</v>
      </c>
      <c r="F107" t="s">
        <v>12</v>
      </c>
      <c r="G107" t="str">
        <f>HYPERLINK(_xlfn.CONCAT("https://tablet.otzar.org/",CHAR(35),"/book/146319/p/-1/t/1/fs/0/start/0/end/0/c"),"אורות דתהו בכלים דתקון")</f>
        <v>אורות דתהו בכלים דתקון</v>
      </c>
      <c r="H107" t="str">
        <f>_xlfn.CONCAT("https://tablet.otzar.org/",CHAR(35),"/book/146319/p/-1/t/1/fs/0/start/0/end/0/c")</f>
        <v>https://tablet.otzar.org/#/book/146319/p/-1/t/1/fs/0/start/0/end/0/c</v>
      </c>
    </row>
    <row r="108" spans="1:8" x14ac:dyDescent="0.25">
      <c r="A108">
        <v>607887</v>
      </c>
      <c r="B108" t="s">
        <v>262</v>
      </c>
      <c r="C108" t="s">
        <v>263</v>
      </c>
      <c r="D108" t="s">
        <v>37</v>
      </c>
      <c r="E108" t="s">
        <v>99</v>
      </c>
      <c r="F108" t="s">
        <v>12</v>
      </c>
      <c r="G108" t="str">
        <f>HYPERLINK(_xlfn.CONCAT("https://tablet.otzar.org/",CHAR(35),"/book/607887/p/-1/t/1/fs/0/start/0/end/0/c"),"אורחות מנחם")</f>
        <v>אורחות מנחם</v>
      </c>
      <c r="H108" t="str">
        <f>_xlfn.CONCAT("https://tablet.otzar.org/",CHAR(35),"/book/607887/p/-1/t/1/fs/0/start/0/end/0/c")</f>
        <v>https://tablet.otzar.org/#/book/607887/p/-1/t/1/fs/0/start/0/end/0/c</v>
      </c>
    </row>
    <row r="109" spans="1:8" x14ac:dyDescent="0.25">
      <c r="A109">
        <v>607961</v>
      </c>
      <c r="B109" t="s">
        <v>264</v>
      </c>
      <c r="C109" t="s">
        <v>36</v>
      </c>
      <c r="D109" t="s">
        <v>265</v>
      </c>
      <c r="E109" t="s">
        <v>99</v>
      </c>
      <c r="F109" t="s">
        <v>25</v>
      </c>
      <c r="G109" t="str">
        <f>HYPERLINK(_xlfn.CONCAT("https://tablet.otzar.org/",CHAR(35),"/book/607961/p/-1/t/1/fs/0/start/0/end/0/c"),"אורי ניסן")</f>
        <v>אורי ניסן</v>
      </c>
      <c r="H109" t="str">
        <f>_xlfn.CONCAT("https://tablet.otzar.org/",CHAR(35),"/book/607961/p/-1/t/1/fs/0/start/0/end/0/c")</f>
        <v>https://tablet.otzar.org/#/book/607961/p/-1/t/1/fs/0/start/0/end/0/c</v>
      </c>
    </row>
    <row r="110" spans="1:8" x14ac:dyDescent="0.25">
      <c r="A110">
        <v>606068</v>
      </c>
      <c r="B110" t="s">
        <v>266</v>
      </c>
      <c r="C110" t="s">
        <v>267</v>
      </c>
      <c r="D110" t="s">
        <v>15</v>
      </c>
      <c r="E110" t="s">
        <v>226</v>
      </c>
      <c r="F110" t="s">
        <v>12</v>
      </c>
      <c r="G110" t="str">
        <f>HYPERLINK(_xlfn.CONCAT("https://tablet.otzar.org/",CHAR(35),"/book/606068/p/-1/t/1/fs/0/start/0/end/0/c"),"אות בספר התורה")</f>
        <v>אות בספר התורה</v>
      </c>
      <c r="H110" t="str">
        <f>_xlfn.CONCAT("https://tablet.otzar.org/",CHAR(35),"/book/606068/p/-1/t/1/fs/0/start/0/end/0/c")</f>
        <v>https://tablet.otzar.org/#/book/606068/p/-1/t/1/fs/0/start/0/end/0/c</v>
      </c>
    </row>
    <row r="111" spans="1:8" x14ac:dyDescent="0.25">
      <c r="A111">
        <v>27234</v>
      </c>
      <c r="B111" t="s">
        <v>268</v>
      </c>
      <c r="C111" t="s">
        <v>268</v>
      </c>
      <c r="D111" t="s">
        <v>37</v>
      </c>
      <c r="E111" t="s">
        <v>129</v>
      </c>
      <c r="F111" t="s">
        <v>12</v>
      </c>
      <c r="G111" t="str">
        <f>HYPERLINK(_xlfn.CONCAT("https://tablet.otzar.org/",CHAR(35),"/book/27234/p/-1/t/1/fs/0/start/0/end/0/c"),"אותיות איתן")</f>
        <v>אותיות איתן</v>
      </c>
      <c r="H111" t="str">
        <f>_xlfn.CONCAT("https://tablet.otzar.org/",CHAR(35),"/book/27234/p/-1/t/1/fs/0/start/0/end/0/c")</f>
        <v>https://tablet.otzar.org/#/book/27234/p/-1/t/1/fs/0/start/0/end/0/c</v>
      </c>
    </row>
    <row r="112" spans="1:8" x14ac:dyDescent="0.25">
      <c r="A112">
        <v>626863</v>
      </c>
      <c r="B112" t="s">
        <v>269</v>
      </c>
      <c r="C112" t="s">
        <v>102</v>
      </c>
      <c r="D112" t="s">
        <v>15</v>
      </c>
      <c r="E112" t="s">
        <v>226</v>
      </c>
      <c r="F112" t="s">
        <v>43</v>
      </c>
      <c r="G112" t="str">
        <f>HYPERLINK(_xlfn.CONCAT("https://tablet.otzar.org/",CHAR(35),"/book/626863/p/-1/t/1/fs/0/start/0/end/0/c"),"אותיות לשון הקודש")</f>
        <v>אותיות לשון הקודש</v>
      </c>
      <c r="H112" t="str">
        <f>_xlfn.CONCAT("https://tablet.otzar.org/",CHAR(35),"/book/626863/p/-1/t/1/fs/0/start/0/end/0/c")</f>
        <v>https://tablet.otzar.org/#/book/626863/p/-1/t/1/fs/0/start/0/end/0/c</v>
      </c>
    </row>
    <row r="113" spans="1:8" x14ac:dyDescent="0.25">
      <c r="A113">
        <v>169941</v>
      </c>
      <c r="B113" t="s">
        <v>270</v>
      </c>
      <c r="C113" t="s">
        <v>271</v>
      </c>
      <c r="D113" t="s">
        <v>28</v>
      </c>
      <c r="E113" t="s">
        <v>82</v>
      </c>
      <c r="F113" t="s">
        <v>12</v>
      </c>
      <c r="G113" t="str">
        <f>HYPERLINK(_xlfn.CONCAT("https://tablet.otzar.org/",CHAR(35),"/book/169941/p/-1/t/1/fs/0/start/0/end/0/c"),"אזכיר על הציון")</f>
        <v>אזכיר על הציון</v>
      </c>
      <c r="H113" t="str">
        <f>_xlfn.CONCAT("https://tablet.otzar.org/",CHAR(35),"/book/169941/p/-1/t/1/fs/0/start/0/end/0/c")</f>
        <v>https://tablet.otzar.org/#/book/169941/p/-1/t/1/fs/0/start/0/end/0/c</v>
      </c>
    </row>
    <row r="114" spans="1:8" x14ac:dyDescent="0.25">
      <c r="A114">
        <v>27858</v>
      </c>
      <c r="B114" t="s">
        <v>272</v>
      </c>
      <c r="C114" t="s">
        <v>273</v>
      </c>
      <c r="D114" t="s">
        <v>15</v>
      </c>
      <c r="E114" t="s">
        <v>217</v>
      </c>
      <c r="F114" t="s">
        <v>12</v>
      </c>
      <c r="G114" t="str">
        <f>HYPERLINK(_xlfn.CONCAT("https://tablet.otzar.org/",CHAR(35),"/book/27858/p/-1/t/1/fs/0/start/0/end/0/c"),"אחד היה אברהם")</f>
        <v>אחד היה אברהם</v>
      </c>
      <c r="H114" t="str">
        <f>_xlfn.CONCAT("https://tablet.otzar.org/",CHAR(35),"/book/27858/p/-1/t/1/fs/0/start/0/end/0/c")</f>
        <v>https://tablet.otzar.org/#/book/27858/p/-1/t/1/fs/0/start/0/end/0/c</v>
      </c>
    </row>
    <row r="115" spans="1:8" x14ac:dyDescent="0.25">
      <c r="A115">
        <v>169950</v>
      </c>
      <c r="B115" t="s">
        <v>274</v>
      </c>
      <c r="C115" t="s">
        <v>275</v>
      </c>
      <c r="D115" t="s">
        <v>15</v>
      </c>
      <c r="E115" t="s">
        <v>82</v>
      </c>
      <c r="F115" t="s">
        <v>12</v>
      </c>
      <c r="G115" t="str">
        <f>HYPERLINK(_xlfn.CONCAT("https://tablet.otzar.org/",CHAR(35),"/book/169950/p/-1/t/1/fs/0/start/0/end/0/c"),"אחד מי יודע")</f>
        <v>אחד מי יודע</v>
      </c>
      <c r="H115" t="str">
        <f>_xlfn.CONCAT("https://tablet.otzar.org/",CHAR(35),"/book/169950/p/-1/t/1/fs/0/start/0/end/0/c")</f>
        <v>https://tablet.otzar.org/#/book/169950/p/-1/t/1/fs/0/start/0/end/0/c</v>
      </c>
    </row>
    <row r="116" spans="1:8" x14ac:dyDescent="0.25">
      <c r="A116">
        <v>189107</v>
      </c>
      <c r="B116" t="s">
        <v>276</v>
      </c>
      <c r="C116" t="s">
        <v>277</v>
      </c>
      <c r="D116" t="s">
        <v>28</v>
      </c>
      <c r="E116" t="s">
        <v>62</v>
      </c>
      <c r="F116" t="s">
        <v>12</v>
      </c>
      <c r="G116" t="str">
        <f>HYPERLINK(_xlfn.CONCAT("https://tablet.otzar.org/",CHAR(35),"/book/189107/p/-1/t/1/fs/0/start/0/end/0/c"),"אחדות בתורה - ב")</f>
        <v>אחדות בתורה - ב</v>
      </c>
      <c r="H116" t="str">
        <f>_xlfn.CONCAT("https://tablet.otzar.org/",CHAR(35),"/book/189107/p/-1/t/1/fs/0/start/0/end/0/c")</f>
        <v>https://tablet.otzar.org/#/book/189107/p/-1/t/1/fs/0/start/0/end/0/c</v>
      </c>
    </row>
    <row r="117" spans="1:8" x14ac:dyDescent="0.25">
      <c r="A117">
        <v>189102</v>
      </c>
      <c r="B117" t="s">
        <v>278</v>
      </c>
      <c r="C117" t="s">
        <v>279</v>
      </c>
      <c r="D117" t="s">
        <v>10</v>
      </c>
      <c r="E117" t="s">
        <v>88</v>
      </c>
      <c r="F117" t="s">
        <v>12</v>
      </c>
      <c r="G117" t="str">
        <f>HYPERLINK(_xlfn.CONCAT("https://tablet.otzar.org/",CHAR(35),"/book/189102/p/-1/t/1/fs/0/start/0/end/0/c"),"אחסידישע בר מצוה")</f>
        <v>אחסידישע בר מצוה</v>
      </c>
      <c r="H117" t="str">
        <f>_xlfn.CONCAT("https://tablet.otzar.org/",CHAR(35),"/book/189102/p/-1/t/1/fs/0/start/0/end/0/c")</f>
        <v>https://tablet.otzar.org/#/book/189102/p/-1/t/1/fs/0/start/0/end/0/c</v>
      </c>
    </row>
    <row r="118" spans="1:8" x14ac:dyDescent="0.25">
      <c r="A118">
        <v>29338</v>
      </c>
      <c r="B118" t="s">
        <v>280</v>
      </c>
      <c r="C118" t="s">
        <v>281</v>
      </c>
      <c r="D118" t="s">
        <v>15</v>
      </c>
      <c r="E118" t="s">
        <v>142</v>
      </c>
      <c r="F118" t="s">
        <v>12</v>
      </c>
      <c r="G118" t="str">
        <f>HYPERLINK(_xlfn.CONCAT("https://tablet.otzar.org/",CHAR(35),"/book/29338/p/-1/t/1/fs/0/start/0/end/0/c"),"אחרי מלחמת יום הכפורים")</f>
        <v>אחרי מלחמת יום הכפורים</v>
      </c>
      <c r="H118" t="str">
        <f>_xlfn.CONCAT("https://tablet.otzar.org/",CHAR(35),"/book/29338/p/-1/t/1/fs/0/start/0/end/0/c")</f>
        <v>https://tablet.otzar.org/#/book/29338/p/-1/t/1/fs/0/start/0/end/0/c</v>
      </c>
    </row>
    <row r="119" spans="1:8" x14ac:dyDescent="0.25">
      <c r="A119">
        <v>640892</v>
      </c>
      <c r="B119" t="s">
        <v>282</v>
      </c>
      <c r="C119" t="s">
        <v>283</v>
      </c>
      <c r="D119" t="s">
        <v>28</v>
      </c>
      <c r="E119" t="s">
        <v>91</v>
      </c>
      <c r="F119" t="s">
        <v>43</v>
      </c>
      <c r="G119" t="str">
        <f>HYPERLINK(_xlfn.CONCAT("https://tablet.otzar.org/",CHAR(35),"/book/640892/p/-1/t/1/fs/0/start/0/end/0/c"),"אחרים אומרים")</f>
        <v>אחרים אומרים</v>
      </c>
      <c r="H119" t="str">
        <f>_xlfn.CONCAT("https://tablet.otzar.org/",CHAR(35),"/book/640892/p/-1/t/1/fs/0/start/0/end/0/c")</f>
        <v>https://tablet.otzar.org/#/book/640892/p/-1/t/1/fs/0/start/0/end/0/c</v>
      </c>
    </row>
    <row r="120" spans="1:8" x14ac:dyDescent="0.25">
      <c r="A120">
        <v>146215</v>
      </c>
      <c r="B120" t="s">
        <v>284</v>
      </c>
      <c r="C120" t="s">
        <v>284</v>
      </c>
      <c r="D120" t="s">
        <v>10</v>
      </c>
      <c r="E120" t="s">
        <v>33</v>
      </c>
      <c r="F120" t="s">
        <v>12</v>
      </c>
      <c r="G120" t="str">
        <f>HYPERLINK(_xlfn.CONCAT("https://tablet.otzar.org/",CHAR(35),"/book/146215/p/-1/t/1/fs/0/start/0/end/0/c"),"איבערלעבן")</f>
        <v>איבערלעבן</v>
      </c>
      <c r="H120" t="str">
        <f>_xlfn.CONCAT("https://tablet.otzar.org/",CHAR(35),"/book/146215/p/-1/t/1/fs/0/start/0/end/0/c")</f>
        <v>https://tablet.otzar.org/#/book/146215/p/-1/t/1/fs/0/start/0/end/0/c</v>
      </c>
    </row>
    <row r="121" spans="1:8" x14ac:dyDescent="0.25">
      <c r="A121">
        <v>143307</v>
      </c>
      <c r="B121" t="s">
        <v>285</v>
      </c>
      <c r="C121" t="s">
        <v>286</v>
      </c>
      <c r="D121" t="s">
        <v>287</v>
      </c>
      <c r="E121" t="s">
        <v>46</v>
      </c>
      <c r="F121" t="s">
        <v>12</v>
      </c>
      <c r="G121" t="str">
        <f>HYPERLINK(_xlfn.CONCAT("https://tablet.otzar.org/",CHAR(35),"/book/143307/p/-1/t/1/fs/0/start/0/end/0/c"),"איי המלך")</f>
        <v>איי המלך</v>
      </c>
      <c r="H121" t="str">
        <f>_xlfn.CONCAT("https://tablet.otzar.org/",CHAR(35),"/book/143307/p/-1/t/1/fs/0/start/0/end/0/c")</f>
        <v>https://tablet.otzar.org/#/book/143307/p/-1/t/1/fs/0/start/0/end/0/c</v>
      </c>
    </row>
    <row r="122" spans="1:8" x14ac:dyDescent="0.25">
      <c r="A122">
        <v>607812</v>
      </c>
      <c r="B122" t="s">
        <v>288</v>
      </c>
      <c r="C122" t="s">
        <v>289</v>
      </c>
      <c r="D122" t="s">
        <v>28</v>
      </c>
      <c r="E122" t="s">
        <v>91</v>
      </c>
      <c r="F122" t="s">
        <v>25</v>
      </c>
      <c r="G122" t="str">
        <f>HYPERLINK(_xlfn.CONCAT("https://tablet.otzar.org/",CHAR(35),"/book/607812/p/-1/t/1/fs/0/start/0/end/0/c"),"איך געדיינק אייך")</f>
        <v>איך געדיינק אייך</v>
      </c>
      <c r="H122" t="str">
        <f>_xlfn.CONCAT("https://tablet.otzar.org/",CHAR(35),"/book/607812/p/-1/t/1/fs/0/start/0/end/0/c")</f>
        <v>https://tablet.otzar.org/#/book/607812/p/-1/t/1/fs/0/start/0/end/0/c</v>
      </c>
    </row>
    <row r="123" spans="1:8" x14ac:dyDescent="0.25">
      <c r="A123">
        <v>27861</v>
      </c>
      <c r="B123" t="s">
        <v>290</v>
      </c>
      <c r="C123" t="s">
        <v>291</v>
      </c>
      <c r="D123" t="s">
        <v>15</v>
      </c>
      <c r="E123" t="s">
        <v>91</v>
      </c>
      <c r="F123" t="s">
        <v>12</v>
      </c>
      <c r="G123" t="str">
        <f>HYPERLINK(_xlfn.CONCAT("https://tablet.otzar.org/",CHAR(35),"/book/27861/p/-1/t/1/fs/0/start/0/end/0/c"),"איך יראה העולם")</f>
        <v>איך יראה העולם</v>
      </c>
      <c r="H123" t="str">
        <f>_xlfn.CONCAT("https://tablet.otzar.org/",CHAR(35),"/book/27861/p/-1/t/1/fs/0/start/0/end/0/c")</f>
        <v>https://tablet.otzar.org/#/book/27861/p/-1/t/1/fs/0/start/0/end/0/c</v>
      </c>
    </row>
    <row r="124" spans="1:8" x14ac:dyDescent="0.25">
      <c r="A124">
        <v>143587</v>
      </c>
      <c r="B124" t="s">
        <v>292</v>
      </c>
      <c r="C124" t="s">
        <v>293</v>
      </c>
      <c r="D124" t="s">
        <v>37</v>
      </c>
      <c r="E124" t="s">
        <v>91</v>
      </c>
      <c r="F124" t="s">
        <v>94</v>
      </c>
      <c r="G124" t="str">
        <f>HYPERLINK(_xlfn.CONCAT("https://tablet.otzar.org/",CHAR(35),"/book/143587/p/-1/t/1/fs/0/start/0/end/0/c"),"איך למה מדוע")</f>
        <v>איך למה מדוע</v>
      </c>
      <c r="H124" t="str">
        <f>_xlfn.CONCAT("https://tablet.otzar.org/",CHAR(35),"/book/143587/p/-1/t/1/fs/0/start/0/end/0/c")</f>
        <v>https://tablet.otzar.org/#/book/143587/p/-1/t/1/fs/0/start/0/end/0/c</v>
      </c>
    </row>
    <row r="125" spans="1:8" x14ac:dyDescent="0.25">
      <c r="A125">
        <v>640903</v>
      </c>
      <c r="B125" t="s">
        <v>294</v>
      </c>
      <c r="D125" t="s">
        <v>295</v>
      </c>
      <c r="E125" t="s">
        <v>29</v>
      </c>
      <c r="F125" t="s">
        <v>229</v>
      </c>
      <c r="G125" t="str">
        <f>HYPERLINK(_xlfn.CONCAT("https://tablet.otzar.org/",CHAR(35),"/book/640903/p/-1/t/1/fs/0/start/0/end/0/c"),"אילן נאה")</f>
        <v>אילן נאה</v>
      </c>
      <c r="H125" t="str">
        <f>_xlfn.CONCAT("https://tablet.otzar.org/",CHAR(35),"/book/640903/p/-1/t/1/fs/0/start/0/end/0/c")</f>
        <v>https://tablet.otzar.org/#/book/640903/p/-1/t/1/fs/0/start/0/end/0/c</v>
      </c>
    </row>
    <row r="126" spans="1:8" x14ac:dyDescent="0.25">
      <c r="A126">
        <v>27576</v>
      </c>
      <c r="B126" t="s">
        <v>296</v>
      </c>
      <c r="C126" t="s">
        <v>45</v>
      </c>
      <c r="D126" t="s">
        <v>10</v>
      </c>
      <c r="E126" t="s">
        <v>217</v>
      </c>
      <c r="F126" t="s">
        <v>12</v>
      </c>
      <c r="G126" t="str">
        <f>HYPERLINK(_xlfn.CONCAT("https://tablet.otzar.org/",CHAR(35),"/book/27576/p/-1/t/1/fs/0/start/0/end/0/c"),"אילנא דחיי")</f>
        <v>אילנא דחיי</v>
      </c>
      <c r="H126" t="str">
        <f>_xlfn.CONCAT("https://tablet.otzar.org/",CHAR(35),"/book/27576/p/-1/t/1/fs/0/start/0/end/0/c")</f>
        <v>https://tablet.otzar.org/#/book/27576/p/-1/t/1/fs/0/start/0/end/0/c</v>
      </c>
    </row>
    <row r="127" spans="1:8" x14ac:dyDescent="0.25">
      <c r="A127">
        <v>169909</v>
      </c>
      <c r="B127" t="s">
        <v>296</v>
      </c>
      <c r="C127" t="s">
        <v>297</v>
      </c>
      <c r="D127" t="s">
        <v>118</v>
      </c>
      <c r="E127" t="s">
        <v>82</v>
      </c>
      <c r="F127" t="s">
        <v>208</v>
      </c>
      <c r="G127" t="str">
        <f>HYPERLINK(_xlfn.CONCAT("https://tablet.otzar.org/",CHAR(35),"/book/169909/p/-1/t/1/fs/0/start/0/end/0/c"),"אילנא דחיי")</f>
        <v>אילנא דחיי</v>
      </c>
      <c r="H127" t="str">
        <f>_xlfn.CONCAT("https://tablet.otzar.org/",CHAR(35),"/book/169909/p/-1/t/1/fs/0/start/0/end/0/c")</f>
        <v>https://tablet.otzar.org/#/book/169909/p/-1/t/1/fs/0/start/0/end/0/c</v>
      </c>
    </row>
    <row r="128" spans="1:8" x14ac:dyDescent="0.25">
      <c r="A128">
        <v>27727</v>
      </c>
      <c r="B128" t="s">
        <v>298</v>
      </c>
      <c r="C128" t="s">
        <v>299</v>
      </c>
      <c r="D128" t="s">
        <v>300</v>
      </c>
      <c r="E128" t="s">
        <v>69</v>
      </c>
      <c r="F128" t="s">
        <v>12</v>
      </c>
      <c r="G128" t="str">
        <f>HYPERLINK(_xlfn.CONCAT("https://tablet.otzar.org/",CHAR(35),"/book/27727/p/-1/t/1/fs/0/start/0/end/0/c"),"אילת המלך")</f>
        <v>אילת המלך</v>
      </c>
      <c r="H128" t="str">
        <f>_xlfn.CONCAT("https://tablet.otzar.org/",CHAR(35),"/book/27727/p/-1/t/1/fs/0/start/0/end/0/c")</f>
        <v>https://tablet.otzar.org/#/book/27727/p/-1/t/1/fs/0/start/0/end/0/c</v>
      </c>
    </row>
    <row r="129" spans="1:8" x14ac:dyDescent="0.25">
      <c r="A129">
        <v>677079</v>
      </c>
      <c r="B129" t="s">
        <v>301</v>
      </c>
      <c r="C129" t="s">
        <v>302</v>
      </c>
      <c r="D129" t="s">
        <v>303</v>
      </c>
      <c r="E129" t="s">
        <v>91</v>
      </c>
      <c r="F129" t="s">
        <v>12</v>
      </c>
      <c r="G129" t="str">
        <f>HYPERLINK(_xlfn.CONCAT("https://tablet.otzar.org/",CHAR(35),"/book/677079/p/-1/t/1/fs/0/start/0/end/0/c"),"אין אידשקייט ניטא וואקיישען")</f>
        <v>אין אידשקייט ניטא וואקיישען</v>
      </c>
      <c r="H129" t="str">
        <f>_xlfn.CONCAT("https://tablet.otzar.org/",CHAR(35),"/book/677079/p/-1/t/1/fs/0/start/0/end/0/c")</f>
        <v>https://tablet.otzar.org/#/book/677079/p/-1/t/1/fs/0/start/0/end/0/c</v>
      </c>
    </row>
    <row r="130" spans="1:8" x14ac:dyDescent="0.25">
      <c r="A130">
        <v>646609</v>
      </c>
      <c r="B130" t="s">
        <v>304</v>
      </c>
      <c r="C130" t="s">
        <v>305</v>
      </c>
      <c r="D130" t="s">
        <v>15</v>
      </c>
      <c r="E130" t="s">
        <v>91</v>
      </c>
      <c r="F130" t="s">
        <v>229</v>
      </c>
      <c r="G130" t="str">
        <f>HYPERLINK(_xlfn.CONCAT("https://tablet.otzar.org/",CHAR(35),"/book/646609/p/-1/t/1/fs/0/start/0/end/0/c"),"איסור הליכה לערכאות")</f>
        <v>איסור הליכה לערכאות</v>
      </c>
      <c r="H130" t="str">
        <f>_xlfn.CONCAT("https://tablet.otzar.org/",CHAR(35),"/book/646609/p/-1/t/1/fs/0/start/0/end/0/c")</f>
        <v>https://tablet.otzar.org/#/book/646609/p/-1/t/1/fs/0/start/0/end/0/c</v>
      </c>
    </row>
    <row r="131" spans="1:8" x14ac:dyDescent="0.25">
      <c r="A131">
        <v>628516</v>
      </c>
      <c r="B131" t="s">
        <v>306</v>
      </c>
      <c r="C131" t="s">
        <v>102</v>
      </c>
      <c r="D131" t="s">
        <v>15</v>
      </c>
      <c r="E131" t="s">
        <v>62</v>
      </c>
      <c r="F131" t="s">
        <v>161</v>
      </c>
      <c r="G131" t="str">
        <f>HYPERLINK(_xlfn.CONCAT("https://tablet.otzar.org/",CHAR(35),"/book/628516/p/-1/t/1/fs/0/start/0/end/0/c"),"איסור נגיעה ותיקונו")</f>
        <v>איסור נגיעה ותיקונו</v>
      </c>
      <c r="H131" t="str">
        <f>_xlfn.CONCAT("https://tablet.otzar.org/",CHAR(35),"/book/628516/p/-1/t/1/fs/0/start/0/end/0/c")</f>
        <v>https://tablet.otzar.org/#/book/628516/p/-1/t/1/fs/0/start/0/end/0/c</v>
      </c>
    </row>
    <row r="132" spans="1:8" x14ac:dyDescent="0.25">
      <c r="A132">
        <v>607696</v>
      </c>
      <c r="B132" t="s">
        <v>307</v>
      </c>
      <c r="C132" t="s">
        <v>308</v>
      </c>
      <c r="D132" t="s">
        <v>15</v>
      </c>
      <c r="E132" t="s">
        <v>99</v>
      </c>
      <c r="F132" t="s">
        <v>25</v>
      </c>
      <c r="G132" t="str">
        <f>HYPERLINK(_xlfn.CONCAT("https://tablet.otzar.org/",CHAR(35),"/book/607696/p/-1/t/1/fs/0/start/0/end/0/c"),"איש החינוך")</f>
        <v>איש החינוך</v>
      </c>
      <c r="H132" t="str">
        <f>_xlfn.CONCAT("https://tablet.otzar.org/",CHAR(35),"/book/607696/p/-1/t/1/fs/0/start/0/end/0/c")</f>
        <v>https://tablet.otzar.org/#/book/607696/p/-1/t/1/fs/0/start/0/end/0/c</v>
      </c>
    </row>
    <row r="133" spans="1:8" x14ac:dyDescent="0.25">
      <c r="A133">
        <v>27544</v>
      </c>
      <c r="B133" t="s">
        <v>309</v>
      </c>
      <c r="C133" t="s">
        <v>36</v>
      </c>
      <c r="D133" t="s">
        <v>15</v>
      </c>
      <c r="E133" t="s">
        <v>192</v>
      </c>
      <c r="F133" t="s">
        <v>12</v>
      </c>
      <c r="G133" t="str">
        <f>HYPERLINK(_xlfn.CONCAT("https://tablet.otzar.org/",CHAR(35),"/book/27544/p/-1/t/1/fs/0/start/0/end/0/c"),"איש חסיד היה")</f>
        <v>איש חסיד היה</v>
      </c>
      <c r="H133" t="str">
        <f>_xlfn.CONCAT("https://tablet.otzar.org/",CHAR(35),"/book/27544/p/-1/t/1/fs/0/start/0/end/0/c")</f>
        <v>https://tablet.otzar.org/#/book/27544/p/-1/t/1/fs/0/start/0/end/0/c</v>
      </c>
    </row>
    <row r="134" spans="1:8" x14ac:dyDescent="0.25">
      <c r="A134">
        <v>657632</v>
      </c>
      <c r="B134" t="s">
        <v>310</v>
      </c>
      <c r="C134" t="s">
        <v>302</v>
      </c>
      <c r="E134" t="s">
        <v>166</v>
      </c>
      <c r="F134" t="s">
        <v>12</v>
      </c>
      <c r="G134" t="str">
        <f>HYPERLINK(_xlfn.CONCAT("https://tablet.otzar.org/",CHAR(35),"/book/657632/p/-1/t/1/fs/0/start/0/end/0/c"),"איתני ארץ")</f>
        <v>איתני ארץ</v>
      </c>
      <c r="H134" t="str">
        <f>_xlfn.CONCAT("https://tablet.otzar.org/",CHAR(35),"/book/657632/p/-1/t/1/fs/0/start/0/end/0/c")</f>
        <v>https://tablet.otzar.org/#/book/657632/p/-1/t/1/fs/0/start/0/end/0/c</v>
      </c>
    </row>
    <row r="135" spans="1:8" x14ac:dyDescent="0.25">
      <c r="A135">
        <v>607818</v>
      </c>
      <c r="B135" t="s">
        <v>311</v>
      </c>
      <c r="C135" t="s">
        <v>312</v>
      </c>
      <c r="D135" t="s">
        <v>15</v>
      </c>
      <c r="E135" t="s">
        <v>91</v>
      </c>
      <c r="F135" t="s">
        <v>149</v>
      </c>
      <c r="G135" t="str">
        <f>HYPERLINK(_xlfn.CONCAT("https://tablet.otzar.org/",CHAR(35),"/book/607818/p/-1/t/1/fs/0/start/0/end/0/c"),"אל אשר תלכי")</f>
        <v>אל אשר תלכי</v>
      </c>
      <c r="H135" t="str">
        <f>_xlfn.CONCAT("https://tablet.otzar.org/",CHAR(35),"/book/607818/p/-1/t/1/fs/0/start/0/end/0/c")</f>
        <v>https://tablet.otzar.org/#/book/607818/p/-1/t/1/fs/0/start/0/end/0/c</v>
      </c>
    </row>
    <row r="136" spans="1:8" x14ac:dyDescent="0.25">
      <c r="A136">
        <v>613800</v>
      </c>
      <c r="B136" t="s">
        <v>313</v>
      </c>
      <c r="C136" t="s">
        <v>314</v>
      </c>
      <c r="D136" t="s">
        <v>315</v>
      </c>
      <c r="E136" t="s">
        <v>115</v>
      </c>
      <c r="F136" t="s">
        <v>251</v>
      </c>
      <c r="G136" t="str">
        <f>HYPERLINK(_xlfn.CONCAT("https://tablet.otzar.org/",CHAR(35),"/book/613800/p/-1/t/1/fs/0/start/0/end/0/c"),"אל מול פני המנורה")</f>
        <v>אל מול פני המנורה</v>
      </c>
      <c r="H136" t="str">
        <f>_xlfn.CONCAT("https://tablet.otzar.org/",CHAR(35),"/book/613800/p/-1/t/1/fs/0/start/0/end/0/c")</f>
        <v>https://tablet.otzar.org/#/book/613800/p/-1/t/1/fs/0/start/0/end/0/c</v>
      </c>
    </row>
    <row r="137" spans="1:8" x14ac:dyDescent="0.25">
      <c r="A137">
        <v>27245</v>
      </c>
      <c r="B137" t="s">
        <v>316</v>
      </c>
      <c r="C137" t="s">
        <v>45</v>
      </c>
      <c r="D137" t="s">
        <v>15</v>
      </c>
      <c r="E137" t="s">
        <v>217</v>
      </c>
      <c r="F137" t="s">
        <v>12</v>
      </c>
      <c r="G137" t="str">
        <f>HYPERLINK(_xlfn.CONCAT("https://tablet.otzar.org/",CHAR(35),"/book/27245/p/-1/t/1/fs/0/start/0/end/0/c"),"אל נשי ובנות ישראל")</f>
        <v>אל נשי ובנות ישראל</v>
      </c>
      <c r="H137" t="str">
        <f>_xlfn.CONCAT("https://tablet.otzar.org/",CHAR(35),"/book/27245/p/-1/t/1/fs/0/start/0/end/0/c")</f>
        <v>https://tablet.otzar.org/#/book/27245/p/-1/t/1/fs/0/start/0/end/0/c</v>
      </c>
    </row>
    <row r="138" spans="1:8" x14ac:dyDescent="0.25">
      <c r="A138">
        <v>643206</v>
      </c>
      <c r="B138" t="s">
        <v>317</v>
      </c>
      <c r="C138" t="s">
        <v>318</v>
      </c>
      <c r="D138" t="s">
        <v>37</v>
      </c>
      <c r="E138" t="s">
        <v>24</v>
      </c>
      <c r="F138" t="s">
        <v>319</v>
      </c>
      <c r="G138" t="str">
        <f>HYPERLINK(_xlfn.CONCAT("https://tablet.otzar.org/",CHAR(35),"/book/643206/p/-1/t/1/fs/0/start/0/end/0/c"),"אל תוך התניא - א")</f>
        <v>אל תוך התניא - א</v>
      </c>
      <c r="H138" t="str">
        <f>_xlfn.CONCAT("https://tablet.otzar.org/",CHAR(35),"/book/643206/p/-1/t/1/fs/0/start/0/end/0/c")</f>
        <v>https://tablet.otzar.org/#/book/643206/p/-1/t/1/fs/0/start/0/end/0/c</v>
      </c>
    </row>
    <row r="139" spans="1:8" x14ac:dyDescent="0.25">
      <c r="A139">
        <v>27566</v>
      </c>
      <c r="B139" t="s">
        <v>320</v>
      </c>
      <c r="C139" t="s">
        <v>321</v>
      </c>
      <c r="D139" t="s">
        <v>10</v>
      </c>
      <c r="E139" t="s">
        <v>103</v>
      </c>
      <c r="F139" t="s">
        <v>12</v>
      </c>
      <c r="G139" t="str">
        <f>HYPERLINK(_xlfn.CONCAT("https://tablet.otzar.org/",CHAR(35),"/book/27566/p/-1/t/1/fs/0/start/0/end/0/c"),"אלבום אמריקה אינה שונה")</f>
        <v>אלבום אמריקה אינה שונה</v>
      </c>
      <c r="H139" t="str">
        <f>_xlfn.CONCAT("https://tablet.otzar.org/",CHAR(35),"/book/27566/p/-1/t/1/fs/0/start/0/end/0/c")</f>
        <v>https://tablet.otzar.org/#/book/27566/p/-1/t/1/fs/0/start/0/end/0/c</v>
      </c>
    </row>
    <row r="140" spans="1:8" x14ac:dyDescent="0.25">
      <c r="A140">
        <v>27553</v>
      </c>
      <c r="B140" t="s">
        <v>322</v>
      </c>
      <c r="C140" t="s">
        <v>322</v>
      </c>
      <c r="E140" t="s">
        <v>91</v>
      </c>
      <c r="F140" t="s">
        <v>12</v>
      </c>
      <c r="G140" t="str">
        <f>HYPERLINK(_xlfn.CONCAT("https://tablet.otzar.org/",CHAR(35),"/book/27553/p/-1/t/1/fs/0/start/0/end/0/c"),"אלבום היום יום")</f>
        <v>אלבום היום יום</v>
      </c>
      <c r="H140" t="str">
        <f>_xlfn.CONCAT("https://tablet.otzar.org/",CHAR(35),"/book/27553/p/-1/t/1/fs/0/start/0/end/0/c")</f>
        <v>https://tablet.otzar.org/#/book/27553/p/-1/t/1/fs/0/start/0/end/0/c</v>
      </c>
    </row>
    <row r="141" spans="1:8" x14ac:dyDescent="0.25">
      <c r="A141">
        <v>609793</v>
      </c>
      <c r="B141" t="s">
        <v>323</v>
      </c>
      <c r="C141" t="s">
        <v>324</v>
      </c>
      <c r="F141" t="s">
        <v>12</v>
      </c>
      <c r="G141" t="str">
        <f>HYPERLINK(_xlfn.CONCAT("https://tablet.otzar.org/",CHAR(35),"/book/609793/p/-1/t/1/fs/0/start/0/end/0/c"),"אלבום חב""""ד בארצנו הקדושה")</f>
        <v>אלבום חב""ד בארצנו הקדושה</v>
      </c>
      <c r="H141" t="str">
        <f>_xlfn.CONCAT("https://tablet.otzar.org/",CHAR(35),"/book/609793/p/-1/t/1/fs/0/start/0/end/0/c")</f>
        <v>https://tablet.otzar.org/#/book/609793/p/-1/t/1/fs/0/start/0/end/0/c</v>
      </c>
    </row>
    <row r="142" spans="1:8" x14ac:dyDescent="0.25">
      <c r="A142">
        <v>141652</v>
      </c>
      <c r="B142" t="s">
        <v>325</v>
      </c>
      <c r="C142" t="s">
        <v>326</v>
      </c>
      <c r="D142" t="s">
        <v>28</v>
      </c>
      <c r="E142" t="s">
        <v>91</v>
      </c>
      <c r="F142" t="s">
        <v>12</v>
      </c>
      <c r="G142" t="str">
        <f>HYPERLINK(_xlfn.CONCAT("https://tablet.otzar.org/",CHAR(35),"/book/141652/p/-1/t/1/fs/0/start/0/end/0/c"),"אלבום חב""""ד בישראל")</f>
        <v>אלבום חב""ד בישראל</v>
      </c>
      <c r="H142" t="str">
        <f>_xlfn.CONCAT("https://tablet.otzar.org/",CHAR(35),"/book/141652/p/-1/t/1/fs/0/start/0/end/0/c")</f>
        <v>https://tablet.otzar.org/#/book/141652/p/-1/t/1/fs/0/start/0/end/0/c</v>
      </c>
    </row>
    <row r="143" spans="1:8" x14ac:dyDescent="0.25">
      <c r="A143">
        <v>141645</v>
      </c>
      <c r="B143" t="s">
        <v>327</v>
      </c>
      <c r="C143" t="s">
        <v>326</v>
      </c>
      <c r="D143" t="s">
        <v>15</v>
      </c>
      <c r="E143" t="s">
        <v>64</v>
      </c>
      <c r="F143" t="s">
        <v>12</v>
      </c>
      <c r="G143" t="str">
        <f>HYPERLINK(_xlfn.CONCAT("https://tablet.otzar.org/",CHAR(35),"/book/141645/p/-1/t/1/fs/0/start/0/end/0/c"),"אלבום לחגיגת סיום הרמב""""ם")</f>
        <v>אלבום לחגיגת סיום הרמב""ם</v>
      </c>
      <c r="H143" t="str">
        <f>_xlfn.CONCAT("https://tablet.otzar.org/",CHAR(35),"/book/141645/p/-1/t/1/fs/0/start/0/end/0/c")</f>
        <v>https://tablet.otzar.org/#/book/141645/p/-1/t/1/fs/0/start/0/end/0/c</v>
      </c>
    </row>
    <row r="144" spans="1:8" x14ac:dyDescent="0.25">
      <c r="A144">
        <v>141651</v>
      </c>
      <c r="B144" t="s">
        <v>328</v>
      </c>
      <c r="C144" t="s">
        <v>326</v>
      </c>
      <c r="D144" t="s">
        <v>15</v>
      </c>
      <c r="E144" t="s">
        <v>91</v>
      </c>
      <c r="F144" t="s">
        <v>12</v>
      </c>
      <c r="G144" t="str">
        <f>HYPERLINK(_xlfn.CONCAT("https://tablet.otzar.org/",CHAR(35),"/book/141651/p/-1/t/1/fs/0/start/0/end/0/c"),"אלבום צעירי אגודת חב""""ד בארץ ישראל")</f>
        <v>אלבום צעירי אגודת חב""ד בארץ ישראל</v>
      </c>
      <c r="H144" t="str">
        <f>_xlfn.CONCAT("https://tablet.otzar.org/",CHAR(35),"/book/141651/p/-1/t/1/fs/0/start/0/end/0/c")</f>
        <v>https://tablet.otzar.org/#/book/141651/p/-1/t/1/fs/0/start/0/end/0/c</v>
      </c>
    </row>
    <row r="145" spans="1:8" x14ac:dyDescent="0.25">
      <c r="A145">
        <v>189060</v>
      </c>
      <c r="B145" t="s">
        <v>329</v>
      </c>
      <c r="C145" t="s">
        <v>330</v>
      </c>
      <c r="D145" t="s">
        <v>15</v>
      </c>
      <c r="E145" t="s">
        <v>19</v>
      </c>
      <c r="F145" t="s">
        <v>20</v>
      </c>
      <c r="G145" t="str">
        <f>HYPERLINK(_xlfn.CONCAT("https://tablet.otzar.org/",CHAR(35),"/book/189060/p/-1/t/1/fs/0/start/0/end/0/c"),"אלה תולדות פרץ")</f>
        <v>אלה תולדות פרץ</v>
      </c>
      <c r="H145" t="str">
        <f>_xlfn.CONCAT("https://tablet.otzar.org/",CHAR(35),"/book/189060/p/-1/t/1/fs/0/start/0/end/0/c")</f>
        <v>https://tablet.otzar.org/#/book/189060/p/-1/t/1/fs/0/start/0/end/0/c</v>
      </c>
    </row>
    <row r="146" spans="1:8" x14ac:dyDescent="0.25">
      <c r="A146">
        <v>657306</v>
      </c>
      <c r="B146" t="s">
        <v>331</v>
      </c>
      <c r="C146" t="s">
        <v>332</v>
      </c>
      <c r="D146" t="s">
        <v>333</v>
      </c>
      <c r="E146" t="s">
        <v>185</v>
      </c>
      <c r="F146" t="s">
        <v>12</v>
      </c>
      <c r="G146" t="str">
        <f>HYPERLINK(_xlfn.CONCAT("https://tablet.otzar.org/",CHAR(35),"/book/657306/p/-1/t/1/fs/0/start/0/end/0/c"),"אלה תולדות ר' אברהם")</f>
        <v>אלה תולדות ר' אברהם</v>
      </c>
      <c r="H146" t="str">
        <f>_xlfn.CONCAT("https://tablet.otzar.org/",CHAR(35),"/book/657306/p/-1/t/1/fs/0/start/0/end/0/c")</f>
        <v>https://tablet.otzar.org/#/book/657306/p/-1/t/1/fs/0/start/0/end/0/c</v>
      </c>
    </row>
    <row r="147" spans="1:8" x14ac:dyDescent="0.25">
      <c r="A147">
        <v>28734</v>
      </c>
      <c r="B147" t="s">
        <v>334</v>
      </c>
      <c r="C147" t="s">
        <v>335</v>
      </c>
      <c r="D147" t="s">
        <v>15</v>
      </c>
      <c r="E147" t="s">
        <v>64</v>
      </c>
      <c r="F147" t="s">
        <v>12</v>
      </c>
      <c r="G147" t="str">
        <f>HYPERLINK(_xlfn.CONCAT("https://tablet.otzar.org/",CHAR(35),"/book/28734/p/-1/t/1/fs/0/start/0/end/0/c"),"אלול - תשרי")</f>
        <v>אלול - תשרי</v>
      </c>
      <c r="H147" t="str">
        <f>_xlfn.CONCAT("https://tablet.otzar.org/",CHAR(35),"/book/28734/p/-1/t/1/fs/0/start/0/end/0/c")</f>
        <v>https://tablet.otzar.org/#/book/28734/p/-1/t/1/fs/0/start/0/end/0/c</v>
      </c>
    </row>
    <row r="148" spans="1:8" x14ac:dyDescent="0.25">
      <c r="A148">
        <v>614924</v>
      </c>
      <c r="B148" t="s">
        <v>334</v>
      </c>
      <c r="C148" t="s">
        <v>279</v>
      </c>
      <c r="D148" t="s">
        <v>15</v>
      </c>
      <c r="E148" t="s">
        <v>49</v>
      </c>
      <c r="F148" t="s">
        <v>12</v>
      </c>
      <c r="G148" t="str">
        <f>HYPERLINK(_xlfn.CONCAT("https://tablet.otzar.org/",CHAR(35),"/book/614924/p/-1/t/1/fs/0/start/0/end/0/c"),"אלול - תשרי")</f>
        <v>אלול - תשרי</v>
      </c>
      <c r="H148" t="str">
        <f>_xlfn.CONCAT("https://tablet.otzar.org/",CHAR(35),"/book/614924/p/-1/t/1/fs/0/start/0/end/0/c")</f>
        <v>https://tablet.otzar.org/#/book/614924/p/-1/t/1/fs/0/start/0/end/0/c</v>
      </c>
    </row>
    <row r="149" spans="1:8" x14ac:dyDescent="0.25">
      <c r="A149">
        <v>145949</v>
      </c>
      <c r="B149" t="s">
        <v>336</v>
      </c>
      <c r="C149" t="s">
        <v>337</v>
      </c>
      <c r="E149" t="s">
        <v>91</v>
      </c>
      <c r="F149" t="s">
        <v>201</v>
      </c>
      <c r="G149" t="str">
        <f>HYPERLINK(_xlfn.CONCAT("https://tablet.otzar.org/",CHAR(35),"/book/145949/p/-1/t/1/fs/0/start/0/end/0/c"),"אלול וימים נוראים")</f>
        <v>אלול וימים נוראים</v>
      </c>
      <c r="H149" t="str">
        <f>_xlfn.CONCAT("https://tablet.otzar.org/",CHAR(35),"/book/145949/p/-1/t/1/fs/0/start/0/end/0/c")</f>
        <v>https://tablet.otzar.org/#/book/145949/p/-1/t/1/fs/0/start/0/end/0/c</v>
      </c>
    </row>
    <row r="150" spans="1:8" x14ac:dyDescent="0.25">
      <c r="A150">
        <v>141483</v>
      </c>
      <c r="B150" t="s">
        <v>338</v>
      </c>
      <c r="C150" t="s">
        <v>339</v>
      </c>
      <c r="D150" t="s">
        <v>191</v>
      </c>
      <c r="E150" t="s">
        <v>91</v>
      </c>
      <c r="F150" t="s">
        <v>12</v>
      </c>
      <c r="G150" t="str">
        <f>HYPERLINK(_xlfn.CONCAT("https://tablet.otzar.org/",CHAR(35),"/book/141483/p/-1/t/1/fs/0/start/0/end/0/c"),"אלוקים באו גויים בנחלתך")</f>
        <v>אלוקים באו גויים בנחלתך</v>
      </c>
      <c r="H150" t="str">
        <f>_xlfn.CONCAT("https://tablet.otzar.org/",CHAR(35),"/book/141483/p/-1/t/1/fs/0/start/0/end/0/c")</f>
        <v>https://tablet.otzar.org/#/book/141483/p/-1/t/1/fs/0/start/0/end/0/c</v>
      </c>
    </row>
    <row r="151" spans="1:8" x14ac:dyDescent="0.25">
      <c r="A151">
        <v>142751</v>
      </c>
      <c r="B151" t="s">
        <v>340</v>
      </c>
      <c r="C151" t="s">
        <v>341</v>
      </c>
      <c r="D151" t="s">
        <v>28</v>
      </c>
      <c r="E151" t="s">
        <v>91</v>
      </c>
      <c r="F151" t="s">
        <v>342</v>
      </c>
      <c r="G151" t="str">
        <f>HYPERLINK(_xlfn.CONCAT("https://tablet.otzar.org/",CHAR(35),"/book/142751/p/-1/t/1/fs/0/start/0/end/0/c"),"אליובאוויטשער תמים")</f>
        <v>אליובאוויטשער תמים</v>
      </c>
      <c r="H151" t="str">
        <f>_xlfn.CONCAT("https://tablet.otzar.org/",CHAR(35),"/book/142751/p/-1/t/1/fs/0/start/0/end/0/c")</f>
        <v>https://tablet.otzar.org/#/book/142751/p/-1/t/1/fs/0/start/0/end/0/c</v>
      </c>
    </row>
    <row r="152" spans="1:8" x14ac:dyDescent="0.25">
      <c r="A152">
        <v>27236</v>
      </c>
      <c r="B152" t="s">
        <v>343</v>
      </c>
      <c r="C152" t="s">
        <v>343</v>
      </c>
      <c r="D152" t="s">
        <v>15</v>
      </c>
      <c r="E152" t="s">
        <v>250</v>
      </c>
      <c r="F152" t="s">
        <v>12</v>
      </c>
      <c r="G152" t="str">
        <f>HYPERLINK(_xlfn.CONCAT("https://tablet.otzar.org/",CHAR(35),"/book/27236/p/-1/t/1/fs/0/start/0/end/0/c"),"אלף עובדות")</f>
        <v>אלף עובדות</v>
      </c>
      <c r="H152" t="str">
        <f>_xlfn.CONCAT("https://tablet.otzar.org/",CHAR(35),"/book/27236/p/-1/t/1/fs/0/start/0/end/0/c")</f>
        <v>https://tablet.otzar.org/#/book/27236/p/-1/t/1/fs/0/start/0/end/0/c</v>
      </c>
    </row>
    <row r="153" spans="1:8" x14ac:dyDescent="0.25">
      <c r="A153">
        <v>141643</v>
      </c>
      <c r="B153" t="s">
        <v>344</v>
      </c>
      <c r="C153" t="s">
        <v>345</v>
      </c>
      <c r="D153" t="s">
        <v>15</v>
      </c>
      <c r="E153" t="s">
        <v>346</v>
      </c>
      <c r="F153" t="s">
        <v>12</v>
      </c>
      <c r="G153" t="str">
        <f>HYPERLINK(_xlfn.CONCAT("https://tablet.otzar.org/",CHAR(35),"/book/141643/p/-1/t/1/fs/0/start/0/end/0/c"),"אם בישראל")</f>
        <v>אם בישראל</v>
      </c>
      <c r="H153" t="str">
        <f>_xlfn.CONCAT("https://tablet.otzar.org/",CHAR(35),"/book/141643/p/-1/t/1/fs/0/start/0/end/0/c")</f>
        <v>https://tablet.otzar.org/#/book/141643/p/-1/t/1/fs/0/start/0/end/0/c</v>
      </c>
    </row>
    <row r="154" spans="1:8" x14ac:dyDescent="0.25">
      <c r="A154">
        <v>27408</v>
      </c>
      <c r="B154" t="s">
        <v>347</v>
      </c>
      <c r="C154" t="s">
        <v>347</v>
      </c>
      <c r="D154" t="s">
        <v>10</v>
      </c>
      <c r="E154" t="s">
        <v>192</v>
      </c>
      <c r="F154" t="s">
        <v>12</v>
      </c>
      <c r="G154" t="str">
        <f>HYPERLINK(_xlfn.CONCAT("https://tablet.otzar.org/",CHAR(35),"/book/27408/p/-1/t/1/fs/0/start/0/end/0/c"),"אם המלכות")</f>
        <v>אם המלכות</v>
      </c>
      <c r="H154" t="str">
        <f>_xlfn.CONCAT("https://tablet.otzar.org/",CHAR(35),"/book/27408/p/-1/t/1/fs/0/start/0/end/0/c")</f>
        <v>https://tablet.otzar.org/#/book/27408/p/-1/t/1/fs/0/start/0/end/0/c</v>
      </c>
    </row>
    <row r="155" spans="1:8" x14ac:dyDescent="0.25">
      <c r="A155">
        <v>162898</v>
      </c>
      <c r="B155" t="s">
        <v>347</v>
      </c>
      <c r="C155" t="s">
        <v>348</v>
      </c>
      <c r="D155" t="s">
        <v>15</v>
      </c>
      <c r="E155" t="s">
        <v>217</v>
      </c>
      <c r="F155" t="s">
        <v>12</v>
      </c>
      <c r="G155" t="str">
        <f>HYPERLINK(_xlfn.CONCAT("https://tablet.otzar.org/",CHAR(35),"/book/162898/p/-1/t/1/fs/0/start/0/end/0/c"),"אם המלכות")</f>
        <v>אם המלכות</v>
      </c>
      <c r="H155" t="str">
        <f>_xlfn.CONCAT("https://tablet.otzar.org/",CHAR(35),"/book/162898/p/-1/t/1/fs/0/start/0/end/0/c")</f>
        <v>https://tablet.otzar.org/#/book/162898/p/-1/t/1/fs/0/start/0/end/0/c</v>
      </c>
    </row>
    <row r="156" spans="1:8" x14ac:dyDescent="0.25">
      <c r="A156">
        <v>639869</v>
      </c>
      <c r="B156" t="s">
        <v>349</v>
      </c>
      <c r="C156" t="s">
        <v>350</v>
      </c>
      <c r="D156" t="s">
        <v>28</v>
      </c>
      <c r="E156" t="s">
        <v>185</v>
      </c>
      <c r="F156" t="s">
        <v>351</v>
      </c>
      <c r="G156" t="str">
        <f>HYPERLINK(_xlfn.CONCAT("https://tablet.otzar.org/",CHAR(35),"/book/639869/p/-1/t/1/fs/0/start/0/end/0/c"),"אמונה בטחון גאולה")</f>
        <v>אמונה בטחון גאולה</v>
      </c>
      <c r="H156" t="str">
        <f>_xlfn.CONCAT("https://tablet.otzar.org/",CHAR(35),"/book/639869/p/-1/t/1/fs/0/start/0/end/0/c")</f>
        <v>https://tablet.otzar.org/#/book/639869/p/-1/t/1/fs/0/start/0/end/0/c</v>
      </c>
    </row>
    <row r="157" spans="1:8" x14ac:dyDescent="0.25">
      <c r="A157">
        <v>12833</v>
      </c>
      <c r="B157" t="s">
        <v>352</v>
      </c>
      <c r="C157" t="s">
        <v>45</v>
      </c>
      <c r="D157" t="s">
        <v>15</v>
      </c>
      <c r="E157" t="s">
        <v>353</v>
      </c>
      <c r="F157" t="s">
        <v>12</v>
      </c>
      <c r="G157" t="str">
        <f>HYPERLINK(_xlfn.CONCAT("https://tablet.otzar.org/",CHAR(35),"/book/12833/p/-1/t/1/fs/0/start/0/end/0/c"),"אמונה ומדע")</f>
        <v>אמונה ומדע</v>
      </c>
      <c r="H157" t="str">
        <f>_xlfn.CONCAT("https://tablet.otzar.org/",CHAR(35),"/book/12833/p/-1/t/1/fs/0/start/0/end/0/c")</f>
        <v>https://tablet.otzar.org/#/book/12833/p/-1/t/1/fs/0/start/0/end/0/c</v>
      </c>
    </row>
    <row r="158" spans="1:8" x14ac:dyDescent="0.25">
      <c r="A158">
        <v>628518</v>
      </c>
      <c r="B158" t="s">
        <v>354</v>
      </c>
      <c r="C158" t="s">
        <v>102</v>
      </c>
      <c r="D158" t="s">
        <v>15</v>
      </c>
      <c r="E158" t="s">
        <v>103</v>
      </c>
      <c r="F158" t="s">
        <v>94</v>
      </c>
      <c r="G158" t="str">
        <f>HYPERLINK(_xlfn.CONCAT("https://tablet.otzar.org/",CHAR(35),"/book/628518/p/-1/t/1/fs/0/start/0/end/0/c"),"אמונה ומודעות")</f>
        <v>אמונה ומודעות</v>
      </c>
      <c r="H158" t="str">
        <f>_xlfn.CONCAT("https://tablet.otzar.org/",CHAR(35),"/book/628518/p/-1/t/1/fs/0/start/0/end/0/c")</f>
        <v>https://tablet.otzar.org/#/book/628518/p/-1/t/1/fs/0/start/0/end/0/c</v>
      </c>
    </row>
    <row r="159" spans="1:8" x14ac:dyDescent="0.25">
      <c r="A159">
        <v>142322</v>
      </c>
      <c r="B159" t="s">
        <v>355</v>
      </c>
      <c r="C159" t="s">
        <v>356</v>
      </c>
      <c r="D159" t="s">
        <v>191</v>
      </c>
      <c r="E159" t="s">
        <v>60</v>
      </c>
      <c r="F159" t="s">
        <v>12</v>
      </c>
      <c r="G159" t="str">
        <f>HYPERLINK(_xlfn.CONCAT("https://tablet.otzar.org/",CHAR(35),"/book/142322/p/-1/t/1/fs/0/start/0/end/0/c"),"אמירת תהלים")</f>
        <v>אמירת תהלים</v>
      </c>
      <c r="H159" t="str">
        <f>_xlfn.CONCAT("https://tablet.otzar.org/",CHAR(35),"/book/142322/p/-1/t/1/fs/0/start/0/end/0/c")</f>
        <v>https://tablet.otzar.org/#/book/142322/p/-1/t/1/fs/0/start/0/end/0/c</v>
      </c>
    </row>
    <row r="160" spans="1:8" x14ac:dyDescent="0.25">
      <c r="A160">
        <v>164343</v>
      </c>
      <c r="B160" t="s">
        <v>357</v>
      </c>
      <c r="C160" t="s">
        <v>358</v>
      </c>
      <c r="D160" t="s">
        <v>15</v>
      </c>
      <c r="E160" t="s">
        <v>16</v>
      </c>
      <c r="F160" t="s">
        <v>12</v>
      </c>
      <c r="G160" t="str">
        <f>HYPERLINK(_xlfn.CONCAT("https://tablet.otzar.org/",CHAR(35),"/book/164343/p/-1/t/1/fs/0/start/0/end/0/c"),"אמרי צבי")</f>
        <v>אמרי צבי</v>
      </c>
      <c r="H160" t="str">
        <f>_xlfn.CONCAT("https://tablet.otzar.org/",CHAR(35),"/book/164343/p/-1/t/1/fs/0/start/0/end/0/c")</f>
        <v>https://tablet.otzar.org/#/book/164343/p/-1/t/1/fs/0/start/0/end/0/c</v>
      </c>
    </row>
    <row r="161" spans="1:8" x14ac:dyDescent="0.25">
      <c r="A161">
        <v>657968</v>
      </c>
      <c r="B161" t="s">
        <v>359</v>
      </c>
      <c r="C161" t="s">
        <v>360</v>
      </c>
      <c r="D161" t="s">
        <v>15</v>
      </c>
      <c r="E161" t="s">
        <v>24</v>
      </c>
      <c r="F161" t="s">
        <v>12</v>
      </c>
      <c r="G161" t="str">
        <f>HYPERLINK(_xlfn.CONCAT("https://tablet.otzar.org/",CHAR(35),"/exKotar/657968"),"אמת ואמונה - 2 כרכים")</f>
        <v>אמת ואמונה - 2 כרכים</v>
      </c>
      <c r="H161" t="str">
        <f>_xlfn.CONCAT("https://tablet.otzar.org/",CHAR(35),"/exKotar/657968")</f>
        <v>https://tablet.otzar.org/#/exKotar/657968</v>
      </c>
    </row>
    <row r="162" spans="1:8" x14ac:dyDescent="0.25">
      <c r="A162">
        <v>145478</v>
      </c>
      <c r="B162" t="s">
        <v>361</v>
      </c>
      <c r="C162" t="s">
        <v>362</v>
      </c>
      <c r="D162" t="s">
        <v>363</v>
      </c>
      <c r="E162" t="s">
        <v>103</v>
      </c>
      <c r="F162" t="s">
        <v>12</v>
      </c>
      <c r="G162" t="str">
        <f>HYPERLINK(_xlfn.CONCAT("https://tablet.otzar.org/",CHAR(35),"/exKotar/145478"),"אמת ליעקב - 3 כרכים")</f>
        <v>אמת ליעקב - 3 כרכים</v>
      </c>
      <c r="H162" t="str">
        <f>_xlfn.CONCAT("https://tablet.otzar.org/",CHAR(35),"/exKotar/145478")</f>
        <v>https://tablet.otzar.org/#/exKotar/145478</v>
      </c>
    </row>
    <row r="163" spans="1:8" x14ac:dyDescent="0.25">
      <c r="A163">
        <v>628519</v>
      </c>
      <c r="B163" t="s">
        <v>364</v>
      </c>
      <c r="C163" t="s">
        <v>102</v>
      </c>
      <c r="D163" t="s">
        <v>15</v>
      </c>
      <c r="E163" t="s">
        <v>62</v>
      </c>
      <c r="F163" t="s">
        <v>163</v>
      </c>
      <c r="G163" t="str">
        <f>HYPERLINK(_xlfn.CONCAT("https://tablet.otzar.org/",CHAR(35),"/book/628519/p/-1/t/1/fs/0/start/0/end/0/c"),"אמת למד פיך")</f>
        <v>אמת למד פיך</v>
      </c>
      <c r="H163" t="str">
        <f>_xlfn.CONCAT("https://tablet.otzar.org/",CHAR(35),"/book/628519/p/-1/t/1/fs/0/start/0/end/0/c")</f>
        <v>https://tablet.otzar.org/#/book/628519/p/-1/t/1/fs/0/start/0/end/0/c</v>
      </c>
    </row>
    <row r="164" spans="1:8" x14ac:dyDescent="0.25">
      <c r="A164">
        <v>635083</v>
      </c>
      <c r="B164" t="s">
        <v>365</v>
      </c>
      <c r="C164" t="s">
        <v>48</v>
      </c>
      <c r="D164" t="s">
        <v>28</v>
      </c>
      <c r="E164" t="s">
        <v>185</v>
      </c>
      <c r="F164" t="s">
        <v>208</v>
      </c>
      <c r="G164" t="str">
        <f>HYPERLINK(_xlfn.CONCAT("https://tablet.otzar.org/",CHAR(35),"/book/635083/p/-1/t/1/fs/0/start/0/end/0/c"),"אני אתה והפרשה")</f>
        <v>אני אתה והפרשה</v>
      </c>
      <c r="H164" t="str">
        <f>_xlfn.CONCAT("https://tablet.otzar.org/",CHAR(35),"/book/635083/p/-1/t/1/fs/0/start/0/end/0/c")</f>
        <v>https://tablet.otzar.org/#/book/635083/p/-1/t/1/fs/0/start/0/end/0/c</v>
      </c>
    </row>
    <row r="165" spans="1:8" x14ac:dyDescent="0.25">
      <c r="A165">
        <v>157293</v>
      </c>
      <c r="B165" t="s">
        <v>366</v>
      </c>
      <c r="C165" t="s">
        <v>367</v>
      </c>
      <c r="D165" t="s">
        <v>15</v>
      </c>
      <c r="E165" t="s">
        <v>49</v>
      </c>
      <c r="F165" t="s">
        <v>12</v>
      </c>
      <c r="G165" t="str">
        <f>HYPERLINK(_xlfn.CONCAT("https://tablet.otzar.org/",CHAR(35),"/book/157293/p/-1/t/1/fs/0/start/0/end/0/c"),"אני ה' רופאך")</f>
        <v>אני ה' רופאך</v>
      </c>
      <c r="H165" t="str">
        <f>_xlfn.CONCAT("https://tablet.otzar.org/",CHAR(35),"/book/157293/p/-1/t/1/fs/0/start/0/end/0/c")</f>
        <v>https://tablet.otzar.org/#/book/157293/p/-1/t/1/fs/0/start/0/end/0/c</v>
      </c>
    </row>
    <row r="166" spans="1:8" x14ac:dyDescent="0.25">
      <c r="A166">
        <v>195741</v>
      </c>
      <c r="B166" t="s">
        <v>368</v>
      </c>
      <c r="D166" t="s">
        <v>10</v>
      </c>
      <c r="E166" t="s">
        <v>226</v>
      </c>
      <c r="F166" t="s">
        <v>12</v>
      </c>
      <c r="G166" t="str">
        <f>HYPERLINK(_xlfn.CONCAT("https://tablet.otzar.org/",CHAR(35),"/book/195741/p/-1/t/1/fs/0/start/0/end/0/c"),"אני לדודי - תשע""""ו")</f>
        <v>אני לדודי - תשע""ו</v>
      </c>
      <c r="H166" t="str">
        <f>_xlfn.CONCAT("https://tablet.otzar.org/",CHAR(35),"/book/195741/p/-1/t/1/fs/0/start/0/end/0/c")</f>
        <v>https://tablet.otzar.org/#/book/195741/p/-1/t/1/fs/0/start/0/end/0/c</v>
      </c>
    </row>
    <row r="167" spans="1:8" x14ac:dyDescent="0.25">
      <c r="A167">
        <v>628520</v>
      </c>
      <c r="B167" t="s">
        <v>369</v>
      </c>
      <c r="C167" t="s">
        <v>102</v>
      </c>
      <c r="D167" t="s">
        <v>15</v>
      </c>
      <c r="E167" t="s">
        <v>54</v>
      </c>
      <c r="F167" t="s">
        <v>370</v>
      </c>
      <c r="G167" t="str">
        <f>HYPERLINK(_xlfn.CONCAT("https://tablet.otzar.org/",CHAR(35),"/book/628520/p/-1/t/1/fs/0/start/0/end/0/c"),"אני לדודי ודודי לי")</f>
        <v>אני לדודי ודודי לי</v>
      </c>
      <c r="H167" t="str">
        <f>_xlfn.CONCAT("https://tablet.otzar.org/",CHAR(35),"/book/628520/p/-1/t/1/fs/0/start/0/end/0/c")</f>
        <v>https://tablet.otzar.org/#/book/628520/p/-1/t/1/fs/0/start/0/end/0/c</v>
      </c>
    </row>
    <row r="168" spans="1:8" x14ac:dyDescent="0.25">
      <c r="A168">
        <v>53095</v>
      </c>
      <c r="B168" t="s">
        <v>371</v>
      </c>
      <c r="C168" t="s">
        <v>372</v>
      </c>
      <c r="D168" t="s">
        <v>191</v>
      </c>
      <c r="E168" t="s">
        <v>60</v>
      </c>
      <c r="F168" t="s">
        <v>12</v>
      </c>
      <c r="G168" t="str">
        <f>HYPERLINK(_xlfn.CONCAT("https://tablet.otzar.org/",CHAR(35),"/book/53095/p/-1/t/1/fs/0/start/0/end/0/c"),"אני מאמין")</f>
        <v>אני מאמין</v>
      </c>
      <c r="H168" t="str">
        <f>_xlfn.CONCAT("https://tablet.otzar.org/",CHAR(35),"/book/53095/p/-1/t/1/fs/0/start/0/end/0/c")</f>
        <v>https://tablet.otzar.org/#/book/53095/p/-1/t/1/fs/0/start/0/end/0/c</v>
      </c>
    </row>
    <row r="169" spans="1:8" x14ac:dyDescent="0.25">
      <c r="A169">
        <v>189080</v>
      </c>
      <c r="B169" t="s">
        <v>371</v>
      </c>
      <c r="C169" t="s">
        <v>373</v>
      </c>
      <c r="D169" t="s">
        <v>374</v>
      </c>
      <c r="E169" t="s">
        <v>88</v>
      </c>
      <c r="F169" t="s">
        <v>351</v>
      </c>
      <c r="G169" t="str">
        <f>HYPERLINK(_xlfn.CONCAT("https://tablet.otzar.org/",CHAR(35),"/book/189080/p/-1/t/1/fs/0/start/0/end/0/c"),"אני מאמין")</f>
        <v>אני מאמין</v>
      </c>
      <c r="H169" t="str">
        <f>_xlfn.CONCAT("https://tablet.otzar.org/",CHAR(35),"/book/189080/p/-1/t/1/fs/0/start/0/end/0/c")</f>
        <v>https://tablet.otzar.org/#/book/189080/p/-1/t/1/fs/0/start/0/end/0/c</v>
      </c>
    </row>
    <row r="170" spans="1:8" x14ac:dyDescent="0.25">
      <c r="A170">
        <v>635070</v>
      </c>
      <c r="B170" t="s">
        <v>375</v>
      </c>
      <c r="C170" t="s">
        <v>376</v>
      </c>
      <c r="D170" t="s">
        <v>377</v>
      </c>
      <c r="E170" t="s">
        <v>185</v>
      </c>
      <c r="F170" t="s">
        <v>76</v>
      </c>
      <c r="G170" t="str">
        <f>HYPERLINK(_xlfn.CONCAT("https://tablet.otzar.org/",CHAR(35),"/book/635070/p/-1/t/1/fs/0/start/0/end/0/c"),"אני ממשיך באור")</f>
        <v>אני ממשיך באור</v>
      </c>
      <c r="H170" t="str">
        <f>_xlfn.CONCAT("https://tablet.otzar.org/",CHAR(35),"/book/635070/p/-1/t/1/fs/0/start/0/end/0/c")</f>
        <v>https://tablet.otzar.org/#/book/635070/p/-1/t/1/fs/0/start/0/end/0/c</v>
      </c>
    </row>
    <row r="171" spans="1:8" x14ac:dyDescent="0.25">
      <c r="A171">
        <v>628521</v>
      </c>
      <c r="B171" t="s">
        <v>378</v>
      </c>
      <c r="C171" t="s">
        <v>102</v>
      </c>
      <c r="D171" t="s">
        <v>363</v>
      </c>
      <c r="E171" t="s">
        <v>103</v>
      </c>
      <c r="F171" t="s">
        <v>379</v>
      </c>
      <c r="G171" t="str">
        <f>HYPERLINK(_xlfn.CONCAT("https://tablet.otzar.org/",CHAR(35),"/book/628521/p/-1/t/1/fs/0/start/0/end/0/c"),"אנכי והילדים")</f>
        <v>אנכי והילדים</v>
      </c>
      <c r="H171" t="str">
        <f>_xlfn.CONCAT("https://tablet.otzar.org/",CHAR(35),"/book/628521/p/-1/t/1/fs/0/start/0/end/0/c")</f>
        <v>https://tablet.otzar.org/#/book/628521/p/-1/t/1/fs/0/start/0/end/0/c</v>
      </c>
    </row>
    <row r="172" spans="1:8" x14ac:dyDescent="0.25">
      <c r="A172">
        <v>27766</v>
      </c>
      <c r="B172" t="s">
        <v>380</v>
      </c>
      <c r="C172" t="s">
        <v>381</v>
      </c>
      <c r="D172" t="s">
        <v>15</v>
      </c>
      <c r="E172" t="s">
        <v>382</v>
      </c>
      <c r="F172" t="s">
        <v>12</v>
      </c>
      <c r="G172" t="str">
        <f>HYPERLINK(_xlfn.CONCAT("https://tablet.otzar.org/",CHAR(35),"/book/27766/p/-1/t/1/fs/0/start/0/end/0/c"),"אנשים חסידים היו")</f>
        <v>אנשים חסידים היו</v>
      </c>
      <c r="H172" t="str">
        <f>_xlfn.CONCAT("https://tablet.otzar.org/",CHAR(35),"/book/27766/p/-1/t/1/fs/0/start/0/end/0/c")</f>
        <v>https://tablet.otzar.org/#/book/27766/p/-1/t/1/fs/0/start/0/end/0/c</v>
      </c>
    </row>
    <row r="173" spans="1:8" x14ac:dyDescent="0.25">
      <c r="A173">
        <v>27527</v>
      </c>
      <c r="B173" t="s">
        <v>383</v>
      </c>
      <c r="C173" t="s">
        <v>383</v>
      </c>
      <c r="D173" t="s">
        <v>384</v>
      </c>
      <c r="E173" t="s">
        <v>174</v>
      </c>
      <c r="F173" t="s">
        <v>12</v>
      </c>
      <c r="G173" t="str">
        <f>HYPERLINK(_xlfn.CONCAT("https://tablet.otzar.org/",CHAR(35),"/book/27527/p/-1/t/1/fs/0/start/0/end/0/c"),"אנשים של צורה")</f>
        <v>אנשים של צורה</v>
      </c>
      <c r="H173" t="str">
        <f>_xlfn.CONCAT("https://tablet.otzar.org/",CHAR(35),"/book/27527/p/-1/t/1/fs/0/start/0/end/0/c")</f>
        <v>https://tablet.otzar.org/#/book/27527/p/-1/t/1/fs/0/start/0/end/0/c</v>
      </c>
    </row>
    <row r="174" spans="1:8" x14ac:dyDescent="0.25">
      <c r="A174">
        <v>140960</v>
      </c>
      <c r="B174" t="s">
        <v>385</v>
      </c>
      <c r="C174" t="s">
        <v>386</v>
      </c>
      <c r="D174" t="s">
        <v>387</v>
      </c>
      <c r="E174" t="s">
        <v>29</v>
      </c>
      <c r="F174" t="s">
        <v>12</v>
      </c>
      <c r="G174" t="str">
        <f>HYPERLINK(_xlfn.CONCAT("https://tablet.otzar.org/",CHAR(35),"/book/140960/p/-1/t/1/fs/0/start/0/end/0/c"),"אסא דבי הילולא")</f>
        <v>אסא דבי הילולא</v>
      </c>
      <c r="H174" t="str">
        <f>_xlfn.CONCAT("https://tablet.otzar.org/",CHAR(35),"/book/140960/p/-1/t/1/fs/0/start/0/end/0/c")</f>
        <v>https://tablet.otzar.org/#/book/140960/p/-1/t/1/fs/0/start/0/end/0/c</v>
      </c>
    </row>
    <row r="175" spans="1:8" x14ac:dyDescent="0.25">
      <c r="A175">
        <v>173487</v>
      </c>
      <c r="B175" t="s">
        <v>388</v>
      </c>
      <c r="C175" t="s">
        <v>389</v>
      </c>
      <c r="D175" t="s">
        <v>15</v>
      </c>
      <c r="E175" t="s">
        <v>62</v>
      </c>
      <c r="F175" t="s">
        <v>12</v>
      </c>
      <c r="G175" t="str">
        <f>HYPERLINK(_xlfn.CONCAT("https://tablet.otzar.org/",CHAR(35),"/book/173487/p/-1/t/1/fs/0/start/0/end/0/c"),"אסדר לסעודתא - ג")</f>
        <v>אסדר לסעודתא - ג</v>
      </c>
      <c r="H175" t="str">
        <f>_xlfn.CONCAT("https://tablet.otzar.org/",CHAR(35),"/book/173487/p/-1/t/1/fs/0/start/0/end/0/c")</f>
        <v>https://tablet.otzar.org/#/book/173487/p/-1/t/1/fs/0/start/0/end/0/c</v>
      </c>
    </row>
    <row r="176" spans="1:8" x14ac:dyDescent="0.25">
      <c r="A176">
        <v>173816</v>
      </c>
      <c r="B176" t="s">
        <v>390</v>
      </c>
      <c r="C176" t="s">
        <v>391</v>
      </c>
      <c r="D176" t="s">
        <v>15</v>
      </c>
      <c r="E176" t="s">
        <v>62</v>
      </c>
      <c r="F176" t="s">
        <v>12</v>
      </c>
      <c r="G176" t="str">
        <f>HYPERLINK(_xlfn.CONCAT("https://tablet.otzar.org/",CHAR(35),"/book/173816/p/-1/t/1/fs/0/start/0/end/0/c"),"אסתלק יקרא")</f>
        <v>אסתלק יקרא</v>
      </c>
      <c r="H176" t="str">
        <f>_xlfn.CONCAT("https://tablet.otzar.org/",CHAR(35),"/book/173816/p/-1/t/1/fs/0/start/0/end/0/c")</f>
        <v>https://tablet.otzar.org/#/book/173816/p/-1/t/1/fs/0/start/0/end/0/c</v>
      </c>
    </row>
    <row r="177" spans="1:8" x14ac:dyDescent="0.25">
      <c r="A177">
        <v>26938</v>
      </c>
      <c r="B177" t="s">
        <v>392</v>
      </c>
      <c r="C177" t="s">
        <v>393</v>
      </c>
      <c r="D177" t="s">
        <v>10</v>
      </c>
      <c r="E177" t="s">
        <v>382</v>
      </c>
      <c r="F177" t="s">
        <v>12</v>
      </c>
      <c r="G177" t="str">
        <f>HYPERLINK(_xlfn.CONCAT("https://tablet.otzar.org/",CHAR(35),"/book/26938/p/-1/t/1/fs/0/start/0/end/0/c"),"אפריון לרבי שמעון")</f>
        <v>אפריון לרבי שמעון</v>
      </c>
      <c r="H177" t="str">
        <f>_xlfn.CONCAT("https://tablet.otzar.org/",CHAR(35),"/book/26938/p/-1/t/1/fs/0/start/0/end/0/c")</f>
        <v>https://tablet.otzar.org/#/book/26938/p/-1/t/1/fs/0/start/0/end/0/c</v>
      </c>
    </row>
    <row r="178" spans="1:8" x14ac:dyDescent="0.25">
      <c r="A178">
        <v>142189</v>
      </c>
      <c r="B178" t="s">
        <v>394</v>
      </c>
      <c r="C178" t="s">
        <v>395</v>
      </c>
      <c r="D178" t="s">
        <v>15</v>
      </c>
      <c r="E178" t="s">
        <v>60</v>
      </c>
      <c r="F178" t="s">
        <v>12</v>
      </c>
      <c r="G178" t="str">
        <f>HYPERLINK(_xlfn.CONCAT("https://tablet.otzar.org/",CHAR(35),"/book/142189/p/-1/t/1/fs/0/start/0/end/0/c"),"אצל אבא")</f>
        <v>אצל אבא</v>
      </c>
      <c r="H178" t="str">
        <f>_xlfn.CONCAT("https://tablet.otzar.org/",CHAR(35),"/book/142189/p/-1/t/1/fs/0/start/0/end/0/c")</f>
        <v>https://tablet.otzar.org/#/book/142189/p/-1/t/1/fs/0/start/0/end/0/c</v>
      </c>
    </row>
    <row r="179" spans="1:8" x14ac:dyDescent="0.25">
      <c r="A179">
        <v>658963</v>
      </c>
      <c r="B179" t="s">
        <v>396</v>
      </c>
      <c r="C179" t="s">
        <v>397</v>
      </c>
      <c r="D179" t="s">
        <v>37</v>
      </c>
      <c r="E179" t="s">
        <v>398</v>
      </c>
      <c r="F179" t="s">
        <v>12</v>
      </c>
      <c r="G179" t="str">
        <f>HYPERLINK(_xlfn.CONCAT("https://tablet.otzar.org/",CHAR(35),"/book/658963/p/-1/t/1/fs/0/start/0/end/0/c"),"אקטואליה בזוית חבדי""""ת")</f>
        <v>אקטואליה בזוית חבדי""ת</v>
      </c>
      <c r="H179" t="str">
        <f>_xlfn.CONCAT("https://tablet.otzar.org/",CHAR(35),"/book/658963/p/-1/t/1/fs/0/start/0/end/0/c")</f>
        <v>https://tablet.otzar.org/#/book/658963/p/-1/t/1/fs/0/start/0/end/0/c</v>
      </c>
    </row>
    <row r="180" spans="1:8" x14ac:dyDescent="0.25">
      <c r="A180">
        <v>162887</v>
      </c>
      <c r="B180" t="s">
        <v>399</v>
      </c>
      <c r="C180" t="s">
        <v>48</v>
      </c>
      <c r="D180" t="s">
        <v>15</v>
      </c>
      <c r="E180" t="s">
        <v>16</v>
      </c>
      <c r="F180" t="s">
        <v>12</v>
      </c>
      <c r="G180" t="str">
        <f>HYPERLINK(_xlfn.CONCAT("https://tablet.otzar.org/",CHAR(35),"/book/162887/p/-1/t/1/fs/0/start/0/end/0/c"),"אראנו נפלאות")</f>
        <v>אראנו נפלאות</v>
      </c>
      <c r="H180" t="str">
        <f>_xlfn.CONCAT("https://tablet.otzar.org/",CHAR(35),"/book/162887/p/-1/t/1/fs/0/start/0/end/0/c")</f>
        <v>https://tablet.otzar.org/#/book/162887/p/-1/t/1/fs/0/start/0/end/0/c</v>
      </c>
    </row>
    <row r="181" spans="1:8" x14ac:dyDescent="0.25">
      <c r="A181">
        <v>29259</v>
      </c>
      <c r="B181" t="s">
        <v>400</v>
      </c>
      <c r="C181" t="s">
        <v>399</v>
      </c>
      <c r="D181" t="s">
        <v>15</v>
      </c>
      <c r="E181" t="s">
        <v>46</v>
      </c>
      <c r="F181" t="s">
        <v>12</v>
      </c>
      <c r="G181" t="str">
        <f>HYPERLINK(_xlfn.CONCAT("https://tablet.otzar.org/",CHAR(35),"/exKotar/29259"),"אראנו נפלאות - 2 כרכים")</f>
        <v>אראנו נפלאות - 2 כרכים</v>
      </c>
      <c r="H181" t="str">
        <f>_xlfn.CONCAT("https://tablet.otzar.org/",CHAR(35),"/exKotar/29259")</f>
        <v>https://tablet.otzar.org/#/exKotar/29259</v>
      </c>
    </row>
    <row r="182" spans="1:8" x14ac:dyDescent="0.25">
      <c r="A182">
        <v>27829</v>
      </c>
      <c r="B182" t="s">
        <v>401</v>
      </c>
      <c r="C182" t="s">
        <v>402</v>
      </c>
      <c r="D182" t="s">
        <v>15</v>
      </c>
      <c r="E182" t="s">
        <v>192</v>
      </c>
      <c r="F182" t="s">
        <v>12</v>
      </c>
      <c r="G182" t="str">
        <f>HYPERLINK(_xlfn.CONCAT("https://tablet.otzar.org/",CHAR(35),"/book/27829/p/-1/t/1/fs/0/start/0/end/0/c"),"ארבעה חסידים")</f>
        <v>ארבעה חסידים</v>
      </c>
      <c r="H182" t="str">
        <f>_xlfn.CONCAT("https://tablet.otzar.org/",CHAR(35),"/book/27829/p/-1/t/1/fs/0/start/0/end/0/c")</f>
        <v>https://tablet.otzar.org/#/book/27829/p/-1/t/1/fs/0/start/0/end/0/c</v>
      </c>
    </row>
    <row r="183" spans="1:8" x14ac:dyDescent="0.25">
      <c r="A183">
        <v>622479</v>
      </c>
      <c r="B183" t="s">
        <v>403</v>
      </c>
      <c r="C183" t="s">
        <v>254</v>
      </c>
      <c r="D183" t="s">
        <v>37</v>
      </c>
      <c r="E183" t="s">
        <v>404</v>
      </c>
      <c r="F183" t="s">
        <v>12</v>
      </c>
      <c r="G183" t="str">
        <f>HYPERLINK(_xlfn.CONCAT("https://tablet.otzar.org/",CHAR(35),"/exKotar/622479"),"ארבעה שערים - 4 כרכים")</f>
        <v>ארבעה שערים - 4 כרכים</v>
      </c>
      <c r="H183" t="str">
        <f>_xlfn.CONCAT("https://tablet.otzar.org/",CHAR(35),"/exKotar/622479")</f>
        <v>https://tablet.otzar.org/#/exKotar/622479</v>
      </c>
    </row>
    <row r="184" spans="1:8" x14ac:dyDescent="0.25">
      <c r="A184">
        <v>140832</v>
      </c>
      <c r="B184" t="s">
        <v>405</v>
      </c>
      <c r="C184" t="s">
        <v>341</v>
      </c>
      <c r="D184" t="s">
        <v>118</v>
      </c>
      <c r="E184" t="s">
        <v>91</v>
      </c>
      <c r="F184" t="s">
        <v>12</v>
      </c>
      <c r="G184" t="str">
        <f>HYPERLINK(_xlfn.CONCAT("https://tablet.otzar.org/",CHAR(35),"/book/140832/p/-1/t/1/fs/0/start/0/end/0/c"),"ארוכה מארץ מידה")</f>
        <v>ארוכה מארץ מידה</v>
      </c>
      <c r="H184" t="str">
        <f>_xlfn.CONCAT("https://tablet.otzar.org/",CHAR(35),"/book/140832/p/-1/t/1/fs/0/start/0/end/0/c")</f>
        <v>https://tablet.otzar.org/#/book/140832/p/-1/t/1/fs/0/start/0/end/0/c</v>
      </c>
    </row>
    <row r="185" spans="1:8" x14ac:dyDescent="0.25">
      <c r="A185">
        <v>171713</v>
      </c>
      <c r="B185" t="s">
        <v>406</v>
      </c>
      <c r="C185" t="s">
        <v>407</v>
      </c>
      <c r="D185" t="s">
        <v>10</v>
      </c>
      <c r="E185" t="s">
        <v>382</v>
      </c>
      <c r="F185" t="s">
        <v>76</v>
      </c>
      <c r="G185" t="str">
        <f>HYPERLINK(_xlfn.CONCAT("https://tablet.otzar.org/",CHAR(35),"/book/171713/p/-1/t/1/fs/0/start/0/end/0/c"),"ארכיון לוי יצחק")</f>
        <v>ארכיון לוי יצחק</v>
      </c>
      <c r="H185" t="str">
        <f>_xlfn.CONCAT("https://tablet.otzar.org/",CHAR(35),"/book/171713/p/-1/t/1/fs/0/start/0/end/0/c")</f>
        <v>https://tablet.otzar.org/#/book/171713/p/-1/t/1/fs/0/start/0/end/0/c</v>
      </c>
    </row>
    <row r="186" spans="1:8" x14ac:dyDescent="0.25">
      <c r="A186">
        <v>650768</v>
      </c>
      <c r="B186" t="s">
        <v>408</v>
      </c>
      <c r="C186" t="s">
        <v>409</v>
      </c>
      <c r="D186" t="s">
        <v>410</v>
      </c>
      <c r="E186" t="s">
        <v>166</v>
      </c>
      <c r="G186" t="str">
        <f>HYPERLINK(_xlfn.CONCAT("https://tablet.otzar.org/",CHAR(35),"/book/650768/p/-1/t/1/fs/0/start/0/end/0/c"),"ארמיא אדמורא")</f>
        <v>ארמיא אדמורא</v>
      </c>
      <c r="H186" t="str">
        <f>_xlfn.CONCAT("https://tablet.otzar.org/",CHAR(35),"/book/650768/p/-1/t/1/fs/0/start/0/end/0/c")</f>
        <v>https://tablet.otzar.org/#/book/650768/p/-1/t/1/fs/0/start/0/end/0/c</v>
      </c>
    </row>
    <row r="187" spans="1:8" x14ac:dyDescent="0.25">
      <c r="A187">
        <v>27729</v>
      </c>
      <c r="B187" t="s">
        <v>411</v>
      </c>
      <c r="C187" t="s">
        <v>125</v>
      </c>
      <c r="D187" t="s">
        <v>412</v>
      </c>
      <c r="E187" t="s">
        <v>75</v>
      </c>
      <c r="F187" t="s">
        <v>12</v>
      </c>
      <c r="G187" t="str">
        <f>HYPERLINK(_xlfn.CONCAT("https://tablet.otzar.org/",CHAR(35),"/book/27729/p/-1/t/1/fs/0/start/0/end/0/c"),"ארעא דרבנן דגליל")</f>
        <v>ארעא דרבנן דגליל</v>
      </c>
      <c r="H187" t="str">
        <f>_xlfn.CONCAT("https://tablet.otzar.org/",CHAR(35),"/book/27729/p/-1/t/1/fs/0/start/0/end/0/c")</f>
        <v>https://tablet.otzar.org/#/book/27729/p/-1/t/1/fs/0/start/0/end/0/c</v>
      </c>
    </row>
    <row r="188" spans="1:8" x14ac:dyDescent="0.25">
      <c r="A188">
        <v>146213</v>
      </c>
      <c r="B188" t="s">
        <v>413</v>
      </c>
      <c r="C188" t="s">
        <v>178</v>
      </c>
      <c r="D188" t="s">
        <v>10</v>
      </c>
      <c r="E188" t="s">
        <v>414</v>
      </c>
      <c r="F188" t="s">
        <v>12</v>
      </c>
      <c r="G188" t="str">
        <f>HYPERLINK(_xlfn.CONCAT("https://tablet.otzar.org/",CHAR(35),"/book/146213/p/-1/t/1/fs/0/start/0/end/0/c"),"ארעסט און באפרייאונג פון אלטן רבי'ן")</f>
        <v>ארעסט און באפרייאונג פון אלטן רבי'ן</v>
      </c>
      <c r="H188" t="str">
        <f>_xlfn.CONCAT("https://tablet.otzar.org/",CHAR(35),"/book/146213/p/-1/t/1/fs/0/start/0/end/0/c")</f>
        <v>https://tablet.otzar.org/#/book/146213/p/-1/t/1/fs/0/start/0/end/0/c</v>
      </c>
    </row>
    <row r="189" spans="1:8" x14ac:dyDescent="0.25">
      <c r="A189">
        <v>628540</v>
      </c>
      <c r="B189" t="s">
        <v>415</v>
      </c>
      <c r="C189" t="s">
        <v>102</v>
      </c>
      <c r="D189" t="s">
        <v>363</v>
      </c>
      <c r="E189" t="s">
        <v>129</v>
      </c>
      <c r="F189" t="s">
        <v>163</v>
      </c>
      <c r="G189" t="str">
        <f>HYPERLINK(_xlfn.CONCAT("https://tablet.otzar.org/",CHAR(35),"/book/628540/p/-1/t/1/fs/0/start/0/end/0/c"),"אשא עיני")</f>
        <v>אשא עיני</v>
      </c>
      <c r="H189" t="str">
        <f>_xlfn.CONCAT("https://tablet.otzar.org/",CHAR(35),"/book/628540/p/-1/t/1/fs/0/start/0/end/0/c")</f>
        <v>https://tablet.otzar.org/#/book/628540/p/-1/t/1/fs/0/start/0/end/0/c</v>
      </c>
    </row>
    <row r="190" spans="1:8" x14ac:dyDescent="0.25">
      <c r="A190">
        <v>621501</v>
      </c>
      <c r="B190" t="s">
        <v>416</v>
      </c>
      <c r="C190" t="s">
        <v>417</v>
      </c>
      <c r="D190" t="s">
        <v>10</v>
      </c>
      <c r="E190" t="s">
        <v>115</v>
      </c>
      <c r="F190" t="s">
        <v>12</v>
      </c>
      <c r="G190" t="str">
        <f>HYPERLINK(_xlfn.CONCAT("https://tablet.otzar.org/",CHAR(35),"/book/621501/p/-1/t/1/fs/0/start/0/end/0/c"),"אשכילה בדרך תמים &lt;שנה ב&gt; ה")</f>
        <v>אשכילה בדרך תמים &lt;שנה ב&gt; ה</v>
      </c>
      <c r="H190" t="str">
        <f>_xlfn.CONCAT("https://tablet.otzar.org/",CHAR(35),"/book/621501/p/-1/t/1/fs/0/start/0/end/0/c")</f>
        <v>https://tablet.otzar.org/#/book/621501/p/-1/t/1/fs/0/start/0/end/0/c</v>
      </c>
    </row>
    <row r="191" spans="1:8" x14ac:dyDescent="0.25">
      <c r="A191">
        <v>607871</v>
      </c>
      <c r="B191" t="s">
        <v>418</v>
      </c>
      <c r="C191" t="s">
        <v>417</v>
      </c>
      <c r="D191" t="s">
        <v>10</v>
      </c>
      <c r="E191" t="s">
        <v>99</v>
      </c>
      <c r="G191" t="str">
        <f>HYPERLINK(_xlfn.CONCAT("https://tablet.otzar.org/",CHAR(35),"/exKotar/607871"),"אשכילה בדרך תמים - 4 כרכים")</f>
        <v>אשכילה בדרך תמים - 4 כרכים</v>
      </c>
      <c r="H191" t="str">
        <f>_xlfn.CONCAT("https://tablet.otzar.org/",CHAR(35),"/exKotar/607871")</f>
        <v>https://tablet.otzar.org/#/exKotar/607871</v>
      </c>
    </row>
    <row r="192" spans="1:8" x14ac:dyDescent="0.25">
      <c r="A192">
        <v>141258</v>
      </c>
      <c r="B192" t="s">
        <v>419</v>
      </c>
      <c r="C192" t="s">
        <v>125</v>
      </c>
      <c r="D192" t="s">
        <v>118</v>
      </c>
      <c r="E192" t="s">
        <v>346</v>
      </c>
      <c r="F192" t="s">
        <v>12</v>
      </c>
      <c r="G192" t="str">
        <f>HYPERLINK(_xlfn.CONCAT("https://tablet.otzar.org/",CHAR(35),"/exKotar/141258"),"אשכילה בדרך תמים - 3 כרכים")</f>
        <v>אשכילה בדרך תמים - 3 כרכים</v>
      </c>
      <c r="H192" t="str">
        <f>_xlfn.CONCAT("https://tablet.otzar.org/",CHAR(35),"/exKotar/141258")</f>
        <v>https://tablet.otzar.org/#/exKotar/141258</v>
      </c>
    </row>
    <row r="193" spans="1:8" x14ac:dyDescent="0.25">
      <c r="A193">
        <v>145966</v>
      </c>
      <c r="B193" t="s">
        <v>420</v>
      </c>
      <c r="C193" t="s">
        <v>421</v>
      </c>
      <c r="D193" t="s">
        <v>15</v>
      </c>
      <c r="E193" t="s">
        <v>91</v>
      </c>
      <c r="F193" t="s">
        <v>76</v>
      </c>
      <c r="G193" t="str">
        <f>HYPERLINK(_xlfn.CONCAT("https://tablet.otzar.org/",CHAR(35),"/book/145966/p/-1/t/1/fs/0/start/0/end/0/c"),"אשנב ליהדות")</f>
        <v>אשנב ליהדות</v>
      </c>
      <c r="H193" t="str">
        <f>_xlfn.CONCAT("https://tablet.otzar.org/",CHAR(35),"/book/145966/p/-1/t/1/fs/0/start/0/end/0/c")</f>
        <v>https://tablet.otzar.org/#/book/145966/p/-1/t/1/fs/0/start/0/end/0/c</v>
      </c>
    </row>
    <row r="194" spans="1:8" x14ac:dyDescent="0.25">
      <c r="A194">
        <v>650181</v>
      </c>
      <c r="B194" t="s">
        <v>422</v>
      </c>
      <c r="C194" t="s">
        <v>45</v>
      </c>
      <c r="E194" t="s">
        <v>423</v>
      </c>
      <c r="F194" t="s">
        <v>12</v>
      </c>
      <c r="G194" t="str">
        <f>HYPERLINK(_xlfn.CONCAT("https://tablet.otzar.org/",CHAR(35),"/book/650181/p/-1/t/1/fs/0/start/0/end/0/c"),"את עלית")</f>
        <v>את עלית</v>
      </c>
      <c r="H194" t="str">
        <f>_xlfn.CONCAT("https://tablet.otzar.org/",CHAR(35),"/book/650181/p/-1/t/1/fs/0/start/0/end/0/c")</f>
        <v>https://tablet.otzar.org/#/book/650181/p/-1/t/1/fs/0/start/0/end/0/c</v>
      </c>
    </row>
    <row r="195" spans="1:8" x14ac:dyDescent="0.25">
      <c r="A195">
        <v>85370</v>
      </c>
      <c r="B195" t="s">
        <v>424</v>
      </c>
      <c r="C195" t="s">
        <v>425</v>
      </c>
      <c r="D195" t="s">
        <v>15</v>
      </c>
      <c r="E195" t="s">
        <v>226</v>
      </c>
      <c r="F195" t="s">
        <v>12</v>
      </c>
      <c r="G195" t="str">
        <f>HYPERLINK(_xlfn.CONCAT("https://tablet.otzar.org/",CHAR(35),"/book/85370/p/-1/t/1/fs/0/start/0/end/0/c"),"אתה בחרתנו")</f>
        <v>אתה בחרתנו</v>
      </c>
      <c r="H195" t="str">
        <f>_xlfn.CONCAT("https://tablet.otzar.org/",CHAR(35),"/book/85370/p/-1/t/1/fs/0/start/0/end/0/c")</f>
        <v>https://tablet.otzar.org/#/book/85370/p/-1/t/1/fs/0/start/0/end/0/c</v>
      </c>
    </row>
    <row r="196" spans="1:8" x14ac:dyDescent="0.25">
      <c r="A196">
        <v>195732</v>
      </c>
      <c r="B196" t="s">
        <v>426</v>
      </c>
      <c r="C196" t="s">
        <v>427</v>
      </c>
      <c r="D196" t="s">
        <v>37</v>
      </c>
      <c r="E196" t="s">
        <v>19</v>
      </c>
      <c r="F196" t="s">
        <v>428</v>
      </c>
      <c r="G196" t="str">
        <f>HYPERLINK(_xlfn.CONCAT("https://tablet.otzar.org/",CHAR(35),"/book/195732/p/-1/t/1/fs/0/start/0/end/0/c"),"אתם שלום")</f>
        <v>אתם שלום</v>
      </c>
      <c r="H196" t="str">
        <f>_xlfn.CONCAT("https://tablet.otzar.org/",CHAR(35),"/book/195732/p/-1/t/1/fs/0/start/0/end/0/c")</f>
        <v>https://tablet.otzar.org/#/book/195732/p/-1/t/1/fs/0/start/0/end/0/c</v>
      </c>
    </row>
    <row r="197" spans="1:8" x14ac:dyDescent="0.25">
      <c r="A197">
        <v>29333</v>
      </c>
      <c r="B197" t="s">
        <v>429</v>
      </c>
      <c r="C197" t="s">
        <v>430</v>
      </c>
      <c r="D197" t="s">
        <v>431</v>
      </c>
      <c r="E197" t="s">
        <v>60</v>
      </c>
      <c r="F197" t="s">
        <v>12</v>
      </c>
      <c r="G197" t="str">
        <f>HYPERLINK(_xlfn.CONCAT("https://tablet.otzar.org/",CHAR(35),"/book/29333/p/-1/t/1/fs/0/start/0/end/0/c"),"אתפשטותא דמשה")</f>
        <v>אתפשטותא דמשה</v>
      </c>
      <c r="H197" t="str">
        <f>_xlfn.CONCAT("https://tablet.otzar.org/",CHAR(35),"/book/29333/p/-1/t/1/fs/0/start/0/end/0/c")</f>
        <v>https://tablet.otzar.org/#/book/29333/p/-1/t/1/fs/0/start/0/end/0/c</v>
      </c>
    </row>
    <row r="198" spans="1:8" x14ac:dyDescent="0.25">
      <c r="A198">
        <v>26964</v>
      </c>
      <c r="B198" t="s">
        <v>432</v>
      </c>
      <c r="C198" t="s">
        <v>433</v>
      </c>
      <c r="D198" t="s">
        <v>431</v>
      </c>
      <c r="E198" t="s">
        <v>192</v>
      </c>
      <c r="F198" t="s">
        <v>12</v>
      </c>
      <c r="G198" t="str">
        <f>HYPERLINK(_xlfn.CONCAT("https://tablet.otzar.org/",CHAR(35),"/exKotar/26964"),"אתפשטותא דמשה - 2 כרכים")</f>
        <v>אתפשטותא דמשה - 2 כרכים</v>
      </c>
      <c r="H198" t="str">
        <f>_xlfn.CONCAT("https://tablet.otzar.org/",CHAR(35),"/exKotar/26964")</f>
        <v>https://tablet.otzar.org/#/exKotar/26964</v>
      </c>
    </row>
    <row r="199" spans="1:8" x14ac:dyDescent="0.25">
      <c r="A199">
        <v>146243</v>
      </c>
      <c r="B199" t="s">
        <v>434</v>
      </c>
      <c r="C199" t="s">
        <v>435</v>
      </c>
      <c r="D199" t="s">
        <v>28</v>
      </c>
      <c r="E199" t="s">
        <v>129</v>
      </c>
      <c r="F199" t="s">
        <v>12</v>
      </c>
      <c r="G199" t="str">
        <f>HYPERLINK(_xlfn.CONCAT("https://tablet.otzar.org/",CHAR(35),"/book/146243/p/-1/t/1/fs/0/start/0/end/0/c"),"אתפשטותא דמשה בכל דרא ודרא")</f>
        <v>אתפשטותא דמשה בכל דרא ודרא</v>
      </c>
      <c r="H199" t="str">
        <f>_xlfn.CONCAT("https://tablet.otzar.org/",CHAR(35),"/book/146243/p/-1/t/1/fs/0/start/0/end/0/c")</f>
        <v>https://tablet.otzar.org/#/book/146243/p/-1/t/1/fs/0/start/0/end/0/c</v>
      </c>
    </row>
    <row r="200" spans="1:8" x14ac:dyDescent="0.25">
      <c r="A200">
        <v>196213</v>
      </c>
      <c r="B200" t="s">
        <v>436</v>
      </c>
      <c r="C200" t="s">
        <v>437</v>
      </c>
      <c r="D200" t="s">
        <v>438</v>
      </c>
      <c r="E200" t="s">
        <v>99</v>
      </c>
      <c r="F200" t="s">
        <v>12</v>
      </c>
      <c r="G200" t="str">
        <f>HYPERLINK(_xlfn.CONCAT("https://tablet.otzar.org/",CHAR(35),"/book/196213/p/-1/t/1/fs/0/start/0/end/0/c"),"בא כח")</f>
        <v>בא כח</v>
      </c>
      <c r="H200" t="str">
        <f>_xlfn.CONCAT("https://tablet.otzar.org/",CHAR(35),"/book/196213/p/-1/t/1/fs/0/start/0/end/0/c")</f>
        <v>https://tablet.otzar.org/#/book/196213/p/-1/t/1/fs/0/start/0/end/0/c</v>
      </c>
    </row>
    <row r="201" spans="1:8" x14ac:dyDescent="0.25">
      <c r="A201">
        <v>27355</v>
      </c>
      <c r="B201" t="s">
        <v>439</v>
      </c>
      <c r="C201" t="s">
        <v>125</v>
      </c>
      <c r="D201" t="s">
        <v>440</v>
      </c>
      <c r="E201" t="s">
        <v>441</v>
      </c>
      <c r="F201" t="s">
        <v>12</v>
      </c>
      <c r="G201" t="str">
        <f>HYPERLINK(_xlfn.CONCAT("https://tablet.otzar.org/",CHAR(35),"/book/27355/p/-1/t/1/fs/0/start/0/end/0/c"),"באגרות מלך")</f>
        <v>באגרות מלך</v>
      </c>
      <c r="H201" t="str">
        <f>_xlfn.CONCAT("https://tablet.otzar.org/",CHAR(35),"/book/27355/p/-1/t/1/fs/0/start/0/end/0/c")</f>
        <v>https://tablet.otzar.org/#/book/27355/p/-1/t/1/fs/0/start/0/end/0/c</v>
      </c>
    </row>
    <row r="202" spans="1:8" x14ac:dyDescent="0.25">
      <c r="A202">
        <v>189278</v>
      </c>
      <c r="B202" t="s">
        <v>442</v>
      </c>
      <c r="C202" t="s">
        <v>443</v>
      </c>
      <c r="D202" t="s">
        <v>10</v>
      </c>
      <c r="E202" t="s">
        <v>88</v>
      </c>
      <c r="F202" t="s">
        <v>12</v>
      </c>
      <c r="G202" t="str">
        <f>HYPERLINK(_xlfn.CONCAT("https://tablet.otzar.org/",CHAR(35),"/exKotar/189278"),"באהלה של תורה - 2 כרכים")</f>
        <v>באהלה של תורה - 2 כרכים</v>
      </c>
      <c r="H202" t="str">
        <f>_xlfn.CONCAT("https://tablet.otzar.org/",CHAR(35),"/exKotar/189278")</f>
        <v>https://tablet.otzar.org/#/exKotar/189278</v>
      </c>
    </row>
    <row r="203" spans="1:8" x14ac:dyDescent="0.25">
      <c r="A203">
        <v>27291</v>
      </c>
      <c r="B203" t="s">
        <v>442</v>
      </c>
      <c r="C203" t="s">
        <v>125</v>
      </c>
      <c r="D203" t="s">
        <v>444</v>
      </c>
      <c r="E203" t="s">
        <v>441</v>
      </c>
      <c r="F203" t="s">
        <v>12</v>
      </c>
      <c r="G203" t="str">
        <f>HYPERLINK(_xlfn.CONCAT("https://tablet.otzar.org/",CHAR(35),"/exKotar/27291"),"באהלה של תורה - 2 כרכים")</f>
        <v>באהלה של תורה - 2 כרכים</v>
      </c>
      <c r="H203" t="str">
        <f>_xlfn.CONCAT("https://tablet.otzar.org/",CHAR(35),"/exKotar/27291")</f>
        <v>https://tablet.otzar.org/#/exKotar/27291</v>
      </c>
    </row>
    <row r="204" spans="1:8" x14ac:dyDescent="0.25">
      <c r="A204">
        <v>29335</v>
      </c>
      <c r="B204" t="s">
        <v>445</v>
      </c>
      <c r="C204" t="s">
        <v>446</v>
      </c>
      <c r="D204" t="s">
        <v>10</v>
      </c>
      <c r="E204" t="s">
        <v>134</v>
      </c>
      <c r="F204" t="s">
        <v>12</v>
      </c>
      <c r="G204" t="str">
        <f>HYPERLINK(_xlfn.CONCAT("https://tablet.otzar.org/",CHAR(35),"/book/29335/p/-1/t/1/fs/0/start/0/end/0/c"),"באהלי חב""""ד - א")</f>
        <v>באהלי חב""ד - א</v>
      </c>
      <c r="H204" t="str">
        <f>_xlfn.CONCAT("https://tablet.otzar.org/",CHAR(35),"/book/29335/p/-1/t/1/fs/0/start/0/end/0/c")</f>
        <v>https://tablet.otzar.org/#/book/29335/p/-1/t/1/fs/0/start/0/end/0/c</v>
      </c>
    </row>
    <row r="205" spans="1:8" x14ac:dyDescent="0.25">
      <c r="A205">
        <v>145859</v>
      </c>
      <c r="B205" t="s">
        <v>447</v>
      </c>
      <c r="C205" t="s">
        <v>448</v>
      </c>
      <c r="D205" t="s">
        <v>15</v>
      </c>
      <c r="E205" t="s">
        <v>449</v>
      </c>
      <c r="F205" t="s">
        <v>12</v>
      </c>
      <c r="G205" t="str">
        <f>HYPERLINK(_xlfn.CONCAT("https://tablet.otzar.org/",CHAR(35),"/exKotar/145859"),"באהלי חנה - 2 כרכים")</f>
        <v>באהלי חנה - 2 כרכים</v>
      </c>
      <c r="H205" t="str">
        <f>_xlfn.CONCAT("https://tablet.otzar.org/",CHAR(35),"/exKotar/145859")</f>
        <v>https://tablet.otzar.org/#/exKotar/145859</v>
      </c>
    </row>
    <row r="206" spans="1:8" x14ac:dyDescent="0.25">
      <c r="A206">
        <v>141237</v>
      </c>
      <c r="B206" t="s">
        <v>450</v>
      </c>
      <c r="C206" t="s">
        <v>451</v>
      </c>
      <c r="D206" t="s">
        <v>10</v>
      </c>
      <c r="E206" t="s">
        <v>452</v>
      </c>
      <c r="F206" t="s">
        <v>12</v>
      </c>
      <c r="G206" t="str">
        <f>HYPERLINK(_xlfn.CONCAT("https://tablet.otzar.org/",CHAR(35),"/exKotar/141237"),"באור החסידות - 5 כרכים")</f>
        <v>באור החסידות - 5 כרכים</v>
      </c>
      <c r="H206" t="str">
        <f>_xlfn.CONCAT("https://tablet.otzar.org/",CHAR(35),"/exKotar/141237")</f>
        <v>https://tablet.otzar.org/#/exKotar/141237</v>
      </c>
    </row>
    <row r="207" spans="1:8" x14ac:dyDescent="0.25">
      <c r="A207">
        <v>154697</v>
      </c>
      <c r="B207" t="s">
        <v>453</v>
      </c>
      <c r="C207" t="s">
        <v>454</v>
      </c>
      <c r="D207" t="s">
        <v>10</v>
      </c>
      <c r="E207" t="s">
        <v>49</v>
      </c>
      <c r="F207" t="s">
        <v>12</v>
      </c>
      <c r="G207" t="str">
        <f>HYPERLINK(_xlfn.CONCAT("https://tablet.otzar.org/",CHAR(35),"/exKotar/154697"),"באר החסידות (פירוש על דרך מצותיך) - 3 כרכים")</f>
        <v>באר החסידות (פירוש על דרך מצותיך) - 3 כרכים</v>
      </c>
      <c r="H207" t="str">
        <f>_xlfn.CONCAT("https://tablet.otzar.org/",CHAR(35),"/exKotar/154697")</f>
        <v>https://tablet.otzar.org/#/exKotar/154697</v>
      </c>
    </row>
    <row r="208" spans="1:8" x14ac:dyDescent="0.25">
      <c r="A208">
        <v>141479</v>
      </c>
      <c r="B208" t="s">
        <v>455</v>
      </c>
      <c r="C208" t="s">
        <v>456</v>
      </c>
      <c r="E208" t="s">
        <v>457</v>
      </c>
      <c r="F208" t="s">
        <v>12</v>
      </c>
      <c r="G208" t="str">
        <f>HYPERLINK(_xlfn.CONCAT("https://tablet.otzar.org/",CHAR(35),"/exKotar/141479"),"באר החסידות משנת חב""""ד - 2 כרכים")</f>
        <v>באר החסידות משנת חב""ד - 2 כרכים</v>
      </c>
      <c r="H208" t="str">
        <f>_xlfn.CONCAT("https://tablet.otzar.org/",CHAR(35),"/exKotar/141479")</f>
        <v>https://tablet.otzar.org/#/exKotar/141479</v>
      </c>
    </row>
    <row r="209" spans="1:8" x14ac:dyDescent="0.25">
      <c r="A209">
        <v>162758</v>
      </c>
      <c r="B209" t="s">
        <v>458</v>
      </c>
      <c r="C209" t="s">
        <v>458</v>
      </c>
      <c r="D209" t="s">
        <v>10</v>
      </c>
      <c r="E209" t="s">
        <v>16</v>
      </c>
      <c r="F209" t="s">
        <v>12</v>
      </c>
      <c r="G209" t="str">
        <f>HYPERLINK(_xlfn.CONCAT("https://tablet.otzar.org/",CHAR(35),"/book/162758/p/-1/t/1/fs/0/start/0/end/0/c"),"באתי לגני")</f>
        <v>באתי לגני</v>
      </c>
      <c r="H209" t="str">
        <f>_xlfn.CONCAT("https://tablet.otzar.org/",CHAR(35),"/book/162758/p/-1/t/1/fs/0/start/0/end/0/c")</f>
        <v>https://tablet.otzar.org/#/book/162758/p/-1/t/1/fs/0/start/0/end/0/c</v>
      </c>
    </row>
    <row r="210" spans="1:8" x14ac:dyDescent="0.25">
      <c r="A210">
        <v>26689</v>
      </c>
      <c r="B210" t="s">
        <v>459</v>
      </c>
      <c r="C210" t="s">
        <v>72</v>
      </c>
      <c r="D210" t="s">
        <v>10</v>
      </c>
      <c r="E210" t="s">
        <v>46</v>
      </c>
      <c r="F210" t="s">
        <v>12</v>
      </c>
      <c r="G210" t="str">
        <f>HYPERLINK(_xlfn.CONCAT("https://tablet.otzar.org/",CHAR(35),"/book/26689/p/-1/t/1/fs/0/start/0/end/0/c"),"בד קודש - מהדורה חדשה ומתוקנת")</f>
        <v>בד קודש - מהדורה חדשה ומתוקנת</v>
      </c>
      <c r="H210" t="str">
        <f>_xlfn.CONCAT("https://tablet.otzar.org/",CHAR(35),"/book/26689/p/-1/t/1/fs/0/start/0/end/0/c")</f>
        <v>https://tablet.otzar.org/#/book/26689/p/-1/t/1/fs/0/start/0/end/0/c</v>
      </c>
    </row>
    <row r="211" spans="1:8" x14ac:dyDescent="0.25">
      <c r="A211">
        <v>141388</v>
      </c>
      <c r="B211" t="s">
        <v>460</v>
      </c>
      <c r="C211" t="s">
        <v>461</v>
      </c>
      <c r="D211" t="s">
        <v>10</v>
      </c>
      <c r="E211" t="s">
        <v>69</v>
      </c>
      <c r="F211" t="s">
        <v>12</v>
      </c>
      <c r="G211" t="str">
        <f>HYPERLINK(_xlfn.CONCAT("https://tablet.otzar.org/",CHAR(35),"/exKotar/141388"),"בדבר מלך - 3 כרכים")</f>
        <v>בדבר מלך - 3 כרכים</v>
      </c>
      <c r="H211" t="str">
        <f>_xlfn.CONCAT("https://tablet.otzar.org/",CHAR(35),"/exKotar/141388")</f>
        <v>https://tablet.otzar.org/#/exKotar/141388</v>
      </c>
    </row>
    <row r="212" spans="1:8" x14ac:dyDescent="0.25">
      <c r="A212">
        <v>657612</v>
      </c>
      <c r="B212" t="s">
        <v>462</v>
      </c>
      <c r="C212" t="s">
        <v>463</v>
      </c>
      <c r="D212" t="s">
        <v>28</v>
      </c>
      <c r="E212" t="s">
        <v>166</v>
      </c>
      <c r="F212" t="s">
        <v>12</v>
      </c>
      <c r="G212" t="str">
        <f>HYPERLINK(_xlfn.CONCAT("https://tablet.otzar.org/",CHAR(35),"/book/657612/p/-1/t/1/fs/0/start/0/end/0/c"),"בדין מצות הקהל")</f>
        <v>בדין מצות הקהל</v>
      </c>
      <c r="H212" t="str">
        <f>_xlfn.CONCAT("https://tablet.otzar.org/",CHAR(35),"/book/657612/p/-1/t/1/fs/0/start/0/end/0/c")</f>
        <v>https://tablet.otzar.org/#/book/657612/p/-1/t/1/fs/0/start/0/end/0/c</v>
      </c>
    </row>
    <row r="213" spans="1:8" x14ac:dyDescent="0.25">
      <c r="A213">
        <v>53165</v>
      </c>
      <c r="B213" t="s">
        <v>464</v>
      </c>
      <c r="C213" t="s">
        <v>465</v>
      </c>
      <c r="D213" t="s">
        <v>191</v>
      </c>
      <c r="E213" t="s">
        <v>91</v>
      </c>
      <c r="F213" t="s">
        <v>12</v>
      </c>
      <c r="G213" t="str">
        <f>HYPERLINK(_xlfn.CONCAT("https://tablet.otzar.org/",CHAR(35),"/book/53165/p/-1/t/1/fs/0/start/0/end/0/c"),"בדרך אל החירות האמיתית")</f>
        <v>בדרך אל החירות האמיתית</v>
      </c>
      <c r="H213" t="str">
        <f>_xlfn.CONCAT("https://tablet.otzar.org/",CHAR(35),"/book/53165/p/-1/t/1/fs/0/start/0/end/0/c")</f>
        <v>https://tablet.otzar.org/#/book/53165/p/-1/t/1/fs/0/start/0/end/0/c</v>
      </c>
    </row>
    <row r="214" spans="1:8" x14ac:dyDescent="0.25">
      <c r="A214">
        <v>651980</v>
      </c>
      <c r="B214" t="s">
        <v>466</v>
      </c>
      <c r="C214" t="s">
        <v>467</v>
      </c>
      <c r="E214" t="s">
        <v>423</v>
      </c>
      <c r="G214" t="str">
        <f>HYPERLINK(_xlfn.CONCAT("https://tablet.otzar.org/",CHAR(35),"/book/651980/p/-1/t/1/fs/0/start/0/end/0/c"),"בדרך הרמז")</f>
        <v>בדרך הרמז</v>
      </c>
      <c r="H214" t="str">
        <f>_xlfn.CONCAT("https://tablet.otzar.org/",CHAR(35),"/book/651980/p/-1/t/1/fs/0/start/0/end/0/c")</f>
        <v>https://tablet.otzar.org/#/book/651980/p/-1/t/1/fs/0/start/0/end/0/c</v>
      </c>
    </row>
    <row r="215" spans="1:8" x14ac:dyDescent="0.25">
      <c r="A215">
        <v>26477</v>
      </c>
      <c r="B215" t="s">
        <v>468</v>
      </c>
      <c r="C215" t="s">
        <v>125</v>
      </c>
      <c r="D215" t="s">
        <v>469</v>
      </c>
      <c r="E215" t="s">
        <v>54</v>
      </c>
      <c r="F215" t="s">
        <v>12</v>
      </c>
      <c r="G215" t="str">
        <f>HYPERLINK(_xlfn.CONCAT("https://tablet.otzar.org/",CHAR(35),"/book/26477/p/-1/t/1/fs/0/start/0/end/0/c"),"בדרך תמים - א")</f>
        <v>בדרך תמים - א</v>
      </c>
      <c r="H215" t="str">
        <f>_xlfn.CONCAT("https://tablet.otzar.org/",CHAR(35),"/book/26477/p/-1/t/1/fs/0/start/0/end/0/c")</f>
        <v>https://tablet.otzar.org/#/book/26477/p/-1/t/1/fs/0/start/0/end/0/c</v>
      </c>
    </row>
    <row r="216" spans="1:8" x14ac:dyDescent="0.25">
      <c r="A216">
        <v>635114</v>
      </c>
      <c r="B216" t="s">
        <v>470</v>
      </c>
      <c r="C216" t="s">
        <v>471</v>
      </c>
      <c r="D216" t="s">
        <v>472</v>
      </c>
      <c r="E216" t="s">
        <v>404</v>
      </c>
      <c r="F216" t="s">
        <v>12</v>
      </c>
      <c r="G216" t="str">
        <f>HYPERLINK(_xlfn.CONCAT("https://tablet.otzar.org/",CHAR(35),"/book/635114/p/-1/t/1/fs/0/start/0/end/0/c"),"בדרך תמים")</f>
        <v>בדרך תמים</v>
      </c>
      <c r="H216" t="str">
        <f>_xlfn.CONCAT("https://tablet.otzar.org/",CHAR(35),"/book/635114/p/-1/t/1/fs/0/start/0/end/0/c")</f>
        <v>https://tablet.otzar.org/#/book/635114/p/-1/t/1/fs/0/start/0/end/0/c</v>
      </c>
    </row>
    <row r="217" spans="1:8" x14ac:dyDescent="0.25">
      <c r="A217">
        <v>164310</v>
      </c>
      <c r="B217" t="s">
        <v>473</v>
      </c>
      <c r="C217" t="s">
        <v>271</v>
      </c>
      <c r="D217" t="s">
        <v>191</v>
      </c>
      <c r="E217" t="s">
        <v>16</v>
      </c>
      <c r="F217" t="s">
        <v>12</v>
      </c>
      <c r="G217" t="str">
        <f>HYPERLINK(_xlfn.CONCAT("https://tablet.otzar.org/",CHAR(35),"/book/164310/p/-1/t/1/fs/0/start/0/end/0/c"),"בדרכי הבעל שם טוב")</f>
        <v>בדרכי הבעל שם טוב</v>
      </c>
      <c r="H217" t="str">
        <f>_xlfn.CONCAT("https://tablet.otzar.org/",CHAR(35),"/book/164310/p/-1/t/1/fs/0/start/0/end/0/c")</f>
        <v>https://tablet.otzar.org/#/book/164310/p/-1/t/1/fs/0/start/0/end/0/c</v>
      </c>
    </row>
    <row r="218" spans="1:8" x14ac:dyDescent="0.25">
      <c r="A218">
        <v>614956</v>
      </c>
      <c r="B218" t="s">
        <v>474</v>
      </c>
      <c r="C218" t="s">
        <v>9</v>
      </c>
      <c r="D218" t="s">
        <v>10</v>
      </c>
      <c r="E218" t="s">
        <v>62</v>
      </c>
      <c r="F218" t="s">
        <v>12</v>
      </c>
      <c r="G218" t="str">
        <f>HYPERLINK(_xlfn.CONCAT("https://tablet.otzar.org/",CHAR(35),"/book/614956/p/-1/t/1/fs/0/start/0/end/0/c"),"בהיכל מלך")</f>
        <v>בהיכל מלך</v>
      </c>
      <c r="H218" t="str">
        <f>_xlfn.CONCAT("https://tablet.otzar.org/",CHAR(35),"/book/614956/p/-1/t/1/fs/0/start/0/end/0/c")</f>
        <v>https://tablet.otzar.org/#/book/614956/p/-1/t/1/fs/0/start/0/end/0/c</v>
      </c>
    </row>
    <row r="219" spans="1:8" x14ac:dyDescent="0.25">
      <c r="A219">
        <v>614914</v>
      </c>
      <c r="B219" t="s">
        <v>475</v>
      </c>
      <c r="C219" t="s">
        <v>476</v>
      </c>
      <c r="D219" t="s">
        <v>15</v>
      </c>
      <c r="E219" t="s">
        <v>88</v>
      </c>
      <c r="F219" t="s">
        <v>12</v>
      </c>
      <c r="G219" t="str">
        <f>HYPERLINK(_xlfn.CONCAT("https://tablet.otzar.org/",CHAR(35),"/book/614914/p/-1/t/1/fs/0/start/0/end/0/c"),"בהשגחה פרטית")</f>
        <v>בהשגחה פרטית</v>
      </c>
      <c r="H219" t="str">
        <f>_xlfn.CONCAT("https://tablet.otzar.org/",CHAR(35),"/book/614914/p/-1/t/1/fs/0/start/0/end/0/c")</f>
        <v>https://tablet.otzar.org/#/book/614914/p/-1/t/1/fs/0/start/0/end/0/c</v>
      </c>
    </row>
    <row r="220" spans="1:8" x14ac:dyDescent="0.25">
      <c r="A220">
        <v>162989</v>
      </c>
      <c r="B220" t="s">
        <v>477</v>
      </c>
      <c r="C220" t="s">
        <v>478</v>
      </c>
      <c r="D220" t="s">
        <v>191</v>
      </c>
      <c r="E220" t="s">
        <v>16</v>
      </c>
      <c r="F220" t="s">
        <v>229</v>
      </c>
      <c r="G220" t="str">
        <f>HYPERLINK(_xlfn.CONCAT("https://tablet.otzar.org/",CHAR(35),"/exKotar/162989"),"בזאת תבחנו - 3 כרכים")</f>
        <v>בזאת תבחנו - 3 כרכים</v>
      </c>
      <c r="H220" t="str">
        <f>_xlfn.CONCAT("https://tablet.otzar.org/",CHAR(35),"/exKotar/162989")</f>
        <v>https://tablet.otzar.org/#/exKotar/162989</v>
      </c>
    </row>
    <row r="221" spans="1:8" x14ac:dyDescent="0.25">
      <c r="A221">
        <v>657620</v>
      </c>
      <c r="B221" t="s">
        <v>479</v>
      </c>
      <c r="C221" t="s">
        <v>480</v>
      </c>
      <c r="D221" t="s">
        <v>15</v>
      </c>
      <c r="E221" t="s">
        <v>24</v>
      </c>
      <c r="G221" t="str">
        <f>HYPERLINK(_xlfn.CONCAT("https://tablet.otzar.org/",CHAR(35),"/book/657620/p/-1/t/1/fs/0/start/0/end/0/c"),"בזכותך נגאל")</f>
        <v>בזכותך נגאל</v>
      </c>
      <c r="H221" t="str">
        <f>_xlfn.CONCAT("https://tablet.otzar.org/",CHAR(35),"/book/657620/p/-1/t/1/fs/0/start/0/end/0/c")</f>
        <v>https://tablet.otzar.org/#/book/657620/p/-1/t/1/fs/0/start/0/end/0/c</v>
      </c>
    </row>
    <row r="222" spans="1:8" x14ac:dyDescent="0.25">
      <c r="A222">
        <v>150943</v>
      </c>
      <c r="B222" t="s">
        <v>481</v>
      </c>
      <c r="C222" t="s">
        <v>482</v>
      </c>
      <c r="D222" t="s">
        <v>10</v>
      </c>
      <c r="E222" t="s">
        <v>49</v>
      </c>
      <c r="F222" t="s">
        <v>483</v>
      </c>
      <c r="G222" t="str">
        <f>HYPERLINK(_xlfn.CONCAT("https://tablet.otzar.org/",CHAR(35),"/exKotar/150943"),"בחודש השביעי - 5 כרכים")</f>
        <v>בחודש השביעי - 5 כרכים</v>
      </c>
      <c r="H222" t="str">
        <f>_xlfn.CONCAT("https://tablet.otzar.org/",CHAR(35),"/exKotar/150943")</f>
        <v>https://tablet.otzar.org/#/exKotar/150943</v>
      </c>
    </row>
    <row r="223" spans="1:8" x14ac:dyDescent="0.25">
      <c r="A223">
        <v>195736</v>
      </c>
      <c r="B223" t="s">
        <v>484</v>
      </c>
      <c r="C223" t="s">
        <v>45</v>
      </c>
      <c r="D223" t="s">
        <v>37</v>
      </c>
      <c r="E223" t="s">
        <v>91</v>
      </c>
      <c r="F223" t="s">
        <v>12</v>
      </c>
      <c r="G223" t="str">
        <f>HYPERLINK(_xlfn.CONCAT("https://tablet.otzar.org/",CHAR(35),"/book/195736/p/-1/t/1/fs/0/start/0/end/0/c"),"בחירתו של הפיקח")</f>
        <v>בחירתו של הפיקח</v>
      </c>
      <c r="H223" t="str">
        <f>_xlfn.CONCAT("https://tablet.otzar.org/",CHAR(35),"/book/195736/p/-1/t/1/fs/0/start/0/end/0/c")</f>
        <v>https://tablet.otzar.org/#/book/195736/p/-1/t/1/fs/0/start/0/end/0/c</v>
      </c>
    </row>
    <row r="224" spans="1:8" x14ac:dyDescent="0.25">
      <c r="A224">
        <v>650260</v>
      </c>
      <c r="B224" t="s">
        <v>485</v>
      </c>
      <c r="C224" t="s">
        <v>302</v>
      </c>
      <c r="D224" t="s">
        <v>374</v>
      </c>
      <c r="E224" t="s">
        <v>24</v>
      </c>
      <c r="G224" t="str">
        <f>HYPERLINK(_xlfn.CONCAT("https://tablet.otzar.org/",CHAR(35),"/book/650260/p/-1/t/1/fs/0/start/0/end/0/c"),"בחצרות בית ה'")</f>
        <v>בחצרות בית ה'</v>
      </c>
      <c r="H224" t="str">
        <f>_xlfn.CONCAT("https://tablet.otzar.org/",CHAR(35),"/book/650260/p/-1/t/1/fs/0/start/0/end/0/c")</f>
        <v>https://tablet.otzar.org/#/book/650260/p/-1/t/1/fs/0/start/0/end/0/c</v>
      </c>
    </row>
    <row r="225" spans="1:8" x14ac:dyDescent="0.25">
      <c r="A225">
        <v>27333</v>
      </c>
      <c r="B225" t="s">
        <v>486</v>
      </c>
      <c r="C225" t="s">
        <v>125</v>
      </c>
      <c r="D225" t="s">
        <v>10</v>
      </c>
      <c r="E225" t="s">
        <v>69</v>
      </c>
      <c r="F225" t="s">
        <v>12</v>
      </c>
      <c r="G225" t="str">
        <f>HYPERLINK(_xlfn.CONCAT("https://tablet.otzar.org/",CHAR(35),"/book/27333/p/-1/t/1/fs/0/start/0/end/0/c"),"בחצרות המלך - א")</f>
        <v>בחצרות המלך - א</v>
      </c>
      <c r="H225" t="str">
        <f>_xlfn.CONCAT("https://tablet.otzar.org/",CHAR(35),"/book/27333/p/-1/t/1/fs/0/start/0/end/0/c")</f>
        <v>https://tablet.otzar.org/#/book/27333/p/-1/t/1/fs/0/start/0/end/0/c</v>
      </c>
    </row>
    <row r="226" spans="1:8" x14ac:dyDescent="0.25">
      <c r="A226">
        <v>607905</v>
      </c>
      <c r="B226" t="s">
        <v>487</v>
      </c>
      <c r="C226" t="s">
        <v>9</v>
      </c>
      <c r="F226" t="s">
        <v>12</v>
      </c>
      <c r="G226" t="str">
        <f>HYPERLINK(_xlfn.CONCAT("https://tablet.otzar.org/",CHAR(35),"/book/607905/p/-1/t/1/fs/0/start/0/end/0/c"),"בחצרות קדשנו")</f>
        <v>בחצרות קדשנו</v>
      </c>
      <c r="H226" t="str">
        <f>_xlfn.CONCAT("https://tablet.otzar.org/",CHAR(35),"/book/607905/p/-1/t/1/fs/0/start/0/end/0/c")</f>
        <v>https://tablet.otzar.org/#/book/607905/p/-1/t/1/fs/0/start/0/end/0/c</v>
      </c>
    </row>
    <row r="227" spans="1:8" x14ac:dyDescent="0.25">
      <c r="A227">
        <v>147689</v>
      </c>
      <c r="B227" t="s">
        <v>488</v>
      </c>
      <c r="C227" t="s">
        <v>489</v>
      </c>
      <c r="D227" t="s">
        <v>15</v>
      </c>
      <c r="E227" t="s">
        <v>490</v>
      </c>
      <c r="F227" t="s">
        <v>251</v>
      </c>
      <c r="G227" t="str">
        <f>HYPERLINK(_xlfn.CONCAT("https://tablet.otzar.org/",CHAR(35),"/exKotar/147689"),"בטאון חב""""ד - 11 כרכים")</f>
        <v>בטאון חב""ד - 11 כרכים</v>
      </c>
      <c r="H227" t="str">
        <f>_xlfn.CONCAT("https://tablet.otzar.org/",CHAR(35),"/exKotar/147689")</f>
        <v>https://tablet.otzar.org/#/exKotar/147689</v>
      </c>
    </row>
    <row r="228" spans="1:8" x14ac:dyDescent="0.25">
      <c r="A228">
        <v>639288</v>
      </c>
      <c r="B228" t="s">
        <v>491</v>
      </c>
      <c r="C228" t="s">
        <v>492</v>
      </c>
      <c r="D228" t="s">
        <v>197</v>
      </c>
      <c r="E228" t="s">
        <v>54</v>
      </c>
      <c r="F228" t="s">
        <v>12</v>
      </c>
      <c r="G228" t="str">
        <f>HYPERLINK(_xlfn.CONCAT("https://tablet.otzar.org/",CHAR(35),"/book/639288/p/-1/t/1/fs/0/start/0/end/0/c"),"ביאור בסוגית המותר בפיך")</f>
        <v>ביאור בסוגית המותר בפיך</v>
      </c>
      <c r="H228" t="str">
        <f>_xlfn.CONCAT("https://tablet.otzar.org/",CHAR(35),"/book/639288/p/-1/t/1/fs/0/start/0/end/0/c")</f>
        <v>https://tablet.otzar.org/#/book/639288/p/-1/t/1/fs/0/start/0/end/0/c</v>
      </c>
    </row>
    <row r="229" spans="1:8" x14ac:dyDescent="0.25">
      <c r="A229">
        <v>27123</v>
      </c>
      <c r="B229" t="s">
        <v>493</v>
      </c>
      <c r="C229" t="s">
        <v>228</v>
      </c>
      <c r="E229" t="s">
        <v>382</v>
      </c>
      <c r="F229" t="s">
        <v>12</v>
      </c>
      <c r="G229" t="str">
        <f>HYPERLINK(_xlfn.CONCAT("https://tablet.otzar.org/",CHAR(35),"/exKotar/27123"),"ביאור הלכות שבת - 2 כרכים")</f>
        <v>ביאור הלכות שבת - 2 כרכים</v>
      </c>
      <c r="H229" t="str">
        <f>_xlfn.CONCAT("https://tablet.otzar.org/",CHAR(35),"/exKotar/27123")</f>
        <v>https://tablet.otzar.org/#/exKotar/27123</v>
      </c>
    </row>
    <row r="230" spans="1:8" x14ac:dyDescent="0.25">
      <c r="A230">
        <v>607707</v>
      </c>
      <c r="B230" t="s">
        <v>494</v>
      </c>
      <c r="C230" t="s">
        <v>495</v>
      </c>
      <c r="D230" t="s">
        <v>10</v>
      </c>
      <c r="E230" t="s">
        <v>19</v>
      </c>
      <c r="F230" t="s">
        <v>12</v>
      </c>
      <c r="G230" t="str">
        <f>HYPERLINK(_xlfn.CONCAT("https://tablet.otzar.org/",CHAR(35),"/book/607707/p/-1/t/1/fs/0/start/0/end/0/c"),"ביאור לתניא")</f>
        <v>ביאור לתניא</v>
      </c>
      <c r="H230" t="str">
        <f>_xlfn.CONCAT("https://tablet.otzar.org/",CHAR(35),"/book/607707/p/-1/t/1/fs/0/start/0/end/0/c")</f>
        <v>https://tablet.otzar.org/#/book/607707/p/-1/t/1/fs/0/start/0/end/0/c</v>
      </c>
    </row>
    <row r="231" spans="1:8" x14ac:dyDescent="0.25">
      <c r="A231">
        <v>607886</v>
      </c>
      <c r="B231" t="s">
        <v>496</v>
      </c>
      <c r="C231" t="s">
        <v>497</v>
      </c>
      <c r="D231" t="s">
        <v>10</v>
      </c>
      <c r="E231" t="s">
        <v>99</v>
      </c>
      <c r="F231" t="s">
        <v>12</v>
      </c>
      <c r="G231" t="str">
        <f>HYPERLINK(_xlfn.CONCAT("https://tablet.otzar.org/",CHAR(35),"/book/607886/p/-1/t/1/fs/0/start/0/end/0/c"),"ביאור על התניא")</f>
        <v>ביאור על התניא</v>
      </c>
      <c r="H231" t="str">
        <f>_xlfn.CONCAT("https://tablet.otzar.org/",CHAR(35),"/book/607886/p/-1/t/1/fs/0/start/0/end/0/c")</f>
        <v>https://tablet.otzar.org/#/book/607886/p/-1/t/1/fs/0/start/0/end/0/c</v>
      </c>
    </row>
    <row r="232" spans="1:8" x14ac:dyDescent="0.25">
      <c r="A232">
        <v>638681</v>
      </c>
      <c r="B232" t="s">
        <v>496</v>
      </c>
      <c r="C232" t="s">
        <v>498</v>
      </c>
      <c r="D232" t="s">
        <v>28</v>
      </c>
      <c r="E232" t="s">
        <v>91</v>
      </c>
      <c r="F232" t="s">
        <v>12</v>
      </c>
      <c r="G232" t="str">
        <f>HYPERLINK(_xlfn.CONCAT("https://tablet.otzar.org/",CHAR(35),"/book/638681/p/-1/t/1/fs/0/start/0/end/0/c"),"ביאור על התניא")</f>
        <v>ביאור על התניא</v>
      </c>
      <c r="H232" t="str">
        <f>_xlfn.CONCAT("https://tablet.otzar.org/",CHAR(35),"/book/638681/p/-1/t/1/fs/0/start/0/end/0/c")</f>
        <v>https://tablet.otzar.org/#/book/638681/p/-1/t/1/fs/0/start/0/end/0/c</v>
      </c>
    </row>
    <row r="233" spans="1:8" x14ac:dyDescent="0.25">
      <c r="A233">
        <v>146327</v>
      </c>
      <c r="B233" t="s">
        <v>499</v>
      </c>
      <c r="C233" t="s">
        <v>500</v>
      </c>
      <c r="D233" t="s">
        <v>15</v>
      </c>
      <c r="E233" t="s">
        <v>501</v>
      </c>
      <c r="F233" t="s">
        <v>12</v>
      </c>
      <c r="G233" t="str">
        <f>HYPERLINK(_xlfn.CONCAT("https://tablet.otzar.org/",CHAR(35),"/book/146327/p/-1/t/1/fs/0/start/0/end/0/c"),"ביאור פרשת גדולת החג י""""ט כסלו")</f>
        <v>ביאור פרשת גדולת החג י""ט כסלו</v>
      </c>
      <c r="H233" t="str">
        <f>_xlfn.CONCAT("https://tablet.otzar.org/",CHAR(35),"/book/146327/p/-1/t/1/fs/0/start/0/end/0/c")</f>
        <v>https://tablet.otzar.org/#/book/146327/p/-1/t/1/fs/0/start/0/end/0/c</v>
      </c>
    </row>
    <row r="234" spans="1:8" x14ac:dyDescent="0.25">
      <c r="A234">
        <v>173565</v>
      </c>
      <c r="B234" t="s">
        <v>502</v>
      </c>
      <c r="C234" t="s">
        <v>503</v>
      </c>
      <c r="D234" t="s">
        <v>10</v>
      </c>
      <c r="E234" t="s">
        <v>82</v>
      </c>
      <c r="F234" t="s">
        <v>12</v>
      </c>
      <c r="G234" t="str">
        <f>HYPERLINK(_xlfn.CONCAT("https://tablet.otzar.org/",CHAR(35),"/book/173565/p/-1/t/1/fs/0/start/0/end/0/c"),"ביאור תניא - פרקים א-כו")</f>
        <v>ביאור תניא - פרקים א-כו</v>
      </c>
      <c r="H234" t="str">
        <f>_xlfn.CONCAT("https://tablet.otzar.org/",CHAR(35),"/book/173565/p/-1/t/1/fs/0/start/0/end/0/c")</f>
        <v>https://tablet.otzar.org/#/book/173565/p/-1/t/1/fs/0/start/0/end/0/c</v>
      </c>
    </row>
    <row r="235" spans="1:8" x14ac:dyDescent="0.25">
      <c r="A235">
        <v>27151</v>
      </c>
      <c r="B235" t="s">
        <v>504</v>
      </c>
      <c r="C235" t="s">
        <v>61</v>
      </c>
      <c r="D235" t="s">
        <v>10</v>
      </c>
      <c r="E235" t="s">
        <v>441</v>
      </c>
      <c r="G235" t="str">
        <f>HYPERLINK(_xlfn.CONCAT("https://tablet.otzar.org/",CHAR(35),"/exKotar/27151"),"ביאורי הזהר - 2 כרכים")</f>
        <v>ביאורי הזהר - 2 כרכים</v>
      </c>
      <c r="H235" t="str">
        <f>_xlfn.CONCAT("https://tablet.otzar.org/",CHAR(35),"/exKotar/27151")</f>
        <v>https://tablet.otzar.org/#/exKotar/27151</v>
      </c>
    </row>
    <row r="236" spans="1:8" x14ac:dyDescent="0.25">
      <c r="A236">
        <v>15993</v>
      </c>
      <c r="B236" t="s">
        <v>504</v>
      </c>
      <c r="C236" t="s">
        <v>505</v>
      </c>
      <c r="D236" t="s">
        <v>506</v>
      </c>
      <c r="E236" t="s">
        <v>507</v>
      </c>
      <c r="F236" t="s">
        <v>175</v>
      </c>
      <c r="G236" t="str">
        <f>HYPERLINK(_xlfn.CONCAT("https://tablet.otzar.org/",CHAR(35),"/exKotar/15993"),"ביאורי הזהר - 2 כרכים")</f>
        <v>ביאורי הזהר - 2 כרכים</v>
      </c>
      <c r="H236" t="str">
        <f>_xlfn.CONCAT("https://tablet.otzar.org/",CHAR(35),"/exKotar/15993")</f>
        <v>https://tablet.otzar.org/#/exKotar/15993</v>
      </c>
    </row>
    <row r="237" spans="1:8" x14ac:dyDescent="0.25">
      <c r="A237">
        <v>29328</v>
      </c>
      <c r="B237" t="s">
        <v>508</v>
      </c>
      <c r="C237" t="s">
        <v>45</v>
      </c>
      <c r="D237" t="s">
        <v>37</v>
      </c>
      <c r="E237" t="s">
        <v>60</v>
      </c>
      <c r="F237" t="s">
        <v>12</v>
      </c>
      <c r="G237" t="str">
        <f>HYPERLINK(_xlfn.CONCAT("https://tablet.otzar.org/",CHAR(35),"/exKotar/29328"),"ביאורי החומש - 6 כרכים")</f>
        <v>ביאורי החומש - 6 כרכים</v>
      </c>
      <c r="H237" t="str">
        <f>_xlfn.CONCAT("https://tablet.otzar.org/",CHAR(35),"/exKotar/29328")</f>
        <v>https://tablet.otzar.org/#/exKotar/29328</v>
      </c>
    </row>
    <row r="238" spans="1:8" x14ac:dyDescent="0.25">
      <c r="A238">
        <v>141459</v>
      </c>
      <c r="B238" t="s">
        <v>509</v>
      </c>
      <c r="C238" t="s">
        <v>510</v>
      </c>
      <c r="D238" t="s">
        <v>15</v>
      </c>
      <c r="E238" t="s">
        <v>91</v>
      </c>
      <c r="F238" t="s">
        <v>12</v>
      </c>
      <c r="G238" t="str">
        <f>HYPERLINK(_xlfn.CONCAT("https://tablet.otzar.org/",CHAR(35),"/book/141459/p/-1/t/1/fs/0/start/0/end/0/c"),"ביאורי המקובל רבינו הירץ ש""""ץ - דברים")</f>
        <v>ביאורי המקובל רבינו הירץ ש""ץ - דברים</v>
      </c>
      <c r="H238" t="str">
        <f>_xlfn.CONCAT("https://tablet.otzar.org/",CHAR(35),"/book/141459/p/-1/t/1/fs/0/start/0/end/0/c")</f>
        <v>https://tablet.otzar.org/#/book/141459/p/-1/t/1/fs/0/start/0/end/0/c</v>
      </c>
    </row>
    <row r="239" spans="1:8" x14ac:dyDescent="0.25">
      <c r="A239">
        <v>142651</v>
      </c>
      <c r="B239" t="s">
        <v>511</v>
      </c>
      <c r="C239" t="s">
        <v>512</v>
      </c>
      <c r="D239" t="s">
        <v>10</v>
      </c>
      <c r="E239" t="s">
        <v>148</v>
      </c>
      <c r="F239" t="s">
        <v>12</v>
      </c>
      <c r="G239" t="str">
        <f>HYPERLINK(_xlfn.CONCAT("https://tablet.otzar.org/",CHAR(35),"/book/142651/p/-1/t/1/fs/0/start/0/end/0/c"),"ביאורי הרב ניסן נמנוב על תניא")</f>
        <v>ביאורי הרב ניסן נמנוב על תניא</v>
      </c>
      <c r="H239" t="str">
        <f>_xlfn.CONCAT("https://tablet.otzar.org/",CHAR(35),"/book/142651/p/-1/t/1/fs/0/start/0/end/0/c")</f>
        <v>https://tablet.otzar.org/#/book/142651/p/-1/t/1/fs/0/start/0/end/0/c</v>
      </c>
    </row>
    <row r="240" spans="1:8" x14ac:dyDescent="0.25">
      <c r="A240">
        <v>147687</v>
      </c>
      <c r="B240" t="s">
        <v>513</v>
      </c>
      <c r="C240" t="s">
        <v>514</v>
      </c>
      <c r="D240" t="s">
        <v>387</v>
      </c>
      <c r="E240" t="s">
        <v>515</v>
      </c>
      <c r="F240" t="s">
        <v>516</v>
      </c>
      <c r="G240" t="str">
        <f>HYPERLINK(_xlfn.CONCAT("https://tablet.otzar.org/",CHAR(35),"/book/147687/p/-1/t/1/fs/0/start/0/end/0/c"),"ביאורי הרנ""""ג על התניא")</f>
        <v>ביאורי הרנ""ג על התניא</v>
      </c>
      <c r="H240" t="str">
        <f>_xlfn.CONCAT("https://tablet.otzar.org/",CHAR(35),"/book/147687/p/-1/t/1/fs/0/start/0/end/0/c")</f>
        <v>https://tablet.otzar.org/#/book/147687/p/-1/t/1/fs/0/start/0/end/0/c</v>
      </c>
    </row>
    <row r="241" spans="1:8" x14ac:dyDescent="0.25">
      <c r="A241">
        <v>146302</v>
      </c>
      <c r="B241" t="s">
        <v>517</v>
      </c>
      <c r="C241" t="s">
        <v>45</v>
      </c>
      <c r="D241" t="s">
        <v>28</v>
      </c>
      <c r="E241" t="s">
        <v>91</v>
      </c>
      <c r="F241" t="s">
        <v>12</v>
      </c>
      <c r="G241" t="str">
        <f>HYPERLINK(_xlfn.CONCAT("https://tablet.otzar.org/",CHAR(35),"/book/146302/p/-1/t/1/fs/0/start/0/end/0/c"),"ביאורי כ""""ק אדמו""""ר שליט""""א בליקוטי לוי יצחק")</f>
        <v>ביאורי כ""ק אדמו""ר שליט""א בליקוטי לוי יצחק</v>
      </c>
      <c r="H241" t="str">
        <f>_xlfn.CONCAT("https://tablet.otzar.org/",CHAR(35),"/book/146302/p/-1/t/1/fs/0/start/0/end/0/c")</f>
        <v>https://tablet.otzar.org/#/book/146302/p/-1/t/1/fs/0/start/0/end/0/c</v>
      </c>
    </row>
    <row r="242" spans="1:8" x14ac:dyDescent="0.25">
      <c r="A242">
        <v>167756</v>
      </c>
      <c r="B242" t="s">
        <v>518</v>
      </c>
      <c r="C242" t="s">
        <v>48</v>
      </c>
      <c r="D242" t="s">
        <v>15</v>
      </c>
      <c r="E242" t="s">
        <v>16</v>
      </c>
      <c r="F242" t="s">
        <v>12</v>
      </c>
      <c r="G242" t="str">
        <f>HYPERLINK(_xlfn.CONCAT("https://tablet.otzar.org/",CHAR(35),"/book/167756/p/-1/t/1/fs/0/start/0/end/0/c"),"ביאורי סוגיות")</f>
        <v>ביאורי סוגיות</v>
      </c>
      <c r="H242" t="str">
        <f>_xlfn.CONCAT("https://tablet.otzar.org/",CHAR(35),"/book/167756/p/-1/t/1/fs/0/start/0/end/0/c")</f>
        <v>https://tablet.otzar.org/#/book/167756/p/-1/t/1/fs/0/start/0/end/0/c</v>
      </c>
    </row>
    <row r="243" spans="1:8" x14ac:dyDescent="0.25">
      <c r="A243">
        <v>164359</v>
      </c>
      <c r="B243" t="s">
        <v>519</v>
      </c>
      <c r="C243" t="s">
        <v>520</v>
      </c>
      <c r="D243" t="s">
        <v>15</v>
      </c>
      <c r="E243" t="s">
        <v>82</v>
      </c>
      <c r="F243" t="s">
        <v>12</v>
      </c>
      <c r="G243" t="str">
        <f>HYPERLINK(_xlfn.CONCAT("https://tablet.otzar.org/",CHAR(35),"/book/164359/p/-1/t/1/fs/0/start/0/end/0/c"),"ביאורי ר' שלמה חיים")</f>
        <v>ביאורי ר' שלמה חיים</v>
      </c>
      <c r="H243" t="str">
        <f>_xlfn.CONCAT("https://tablet.otzar.org/",CHAR(35),"/book/164359/p/-1/t/1/fs/0/start/0/end/0/c")</f>
        <v>https://tablet.otzar.org/#/book/164359/p/-1/t/1/fs/0/start/0/end/0/c</v>
      </c>
    </row>
    <row r="244" spans="1:8" x14ac:dyDescent="0.25">
      <c r="A244">
        <v>27365</v>
      </c>
      <c r="B244" t="s">
        <v>521</v>
      </c>
      <c r="C244" t="s">
        <v>125</v>
      </c>
      <c r="D244" t="s">
        <v>37</v>
      </c>
      <c r="E244" t="s">
        <v>236</v>
      </c>
      <c r="F244" t="s">
        <v>12</v>
      </c>
      <c r="G244" t="str">
        <f>HYPERLINK(_xlfn.CONCAT("https://tablet.otzar.org/",CHAR(35),"/book/27365/p/-1/t/1/fs/0/start/0/end/0/c"),"ביאורים בהלכה - א (הלכות נדה)")</f>
        <v>ביאורים בהלכה - א (הלכות נדה)</v>
      </c>
      <c r="H244" t="str">
        <f>_xlfn.CONCAT("https://tablet.otzar.org/",CHAR(35),"/book/27365/p/-1/t/1/fs/0/start/0/end/0/c")</f>
        <v>https://tablet.otzar.org/#/book/27365/p/-1/t/1/fs/0/start/0/end/0/c</v>
      </c>
    </row>
    <row r="245" spans="1:8" x14ac:dyDescent="0.25">
      <c r="A245">
        <v>607867</v>
      </c>
      <c r="B245" t="s">
        <v>522</v>
      </c>
      <c r="C245" t="s">
        <v>45</v>
      </c>
      <c r="D245" t="s">
        <v>15</v>
      </c>
      <c r="E245" t="s">
        <v>99</v>
      </c>
      <c r="F245" t="s">
        <v>12</v>
      </c>
      <c r="G245" t="str">
        <f>HYPERLINK(_xlfn.CONCAT("https://tablet.otzar.org/",CHAR(35),"/exKotar/607867"),"ביאורים במאמרי רבינו - 4 כרכים")</f>
        <v>ביאורים במאמרי רבינו - 4 כרכים</v>
      </c>
      <c r="H245" t="str">
        <f>_xlfn.CONCAT("https://tablet.otzar.org/",CHAR(35),"/exKotar/607867")</f>
        <v>https://tablet.otzar.org/#/exKotar/607867</v>
      </c>
    </row>
    <row r="246" spans="1:8" x14ac:dyDescent="0.25">
      <c r="A246">
        <v>636418</v>
      </c>
      <c r="B246" t="s">
        <v>523</v>
      </c>
      <c r="C246" t="s">
        <v>524</v>
      </c>
      <c r="D246" t="s">
        <v>15</v>
      </c>
      <c r="E246" t="s">
        <v>19</v>
      </c>
      <c r="F246" t="s">
        <v>12</v>
      </c>
      <c r="G246" t="str">
        <f>HYPERLINK(_xlfn.CONCAT("https://tablet.otzar.org/",CHAR(35),"/book/636418/p/-1/t/1/fs/0/start/0/end/0/c"),"ביאורים במאמרי רבינו - א")</f>
        <v>ביאורים במאמרי רבינו - א</v>
      </c>
      <c r="H246" t="str">
        <f>_xlfn.CONCAT("https://tablet.otzar.org/",CHAR(35),"/book/636418/p/-1/t/1/fs/0/start/0/end/0/c")</f>
        <v>https://tablet.otzar.org/#/book/636418/p/-1/t/1/fs/0/start/0/end/0/c</v>
      </c>
    </row>
    <row r="247" spans="1:8" x14ac:dyDescent="0.25">
      <c r="A247">
        <v>173500</v>
      </c>
      <c r="B247" t="s">
        <v>525</v>
      </c>
      <c r="C247" t="s">
        <v>526</v>
      </c>
      <c r="D247" t="s">
        <v>387</v>
      </c>
      <c r="E247" t="s">
        <v>82</v>
      </c>
      <c r="F247" t="s">
        <v>12</v>
      </c>
      <c r="G247" t="str">
        <f>HYPERLINK(_xlfn.CONCAT("https://tablet.otzar.org/",CHAR(35),"/exKotar/173500"),"ביאורים בספר התניא - 4 כרכים")</f>
        <v>ביאורים בספר התניא - 4 כרכים</v>
      </c>
      <c r="H247" t="str">
        <f>_xlfn.CONCAT("https://tablet.otzar.org/",CHAR(35),"/exKotar/173500")</f>
        <v>https://tablet.otzar.org/#/exKotar/173500</v>
      </c>
    </row>
    <row r="248" spans="1:8" x14ac:dyDescent="0.25">
      <c r="A248">
        <v>143271</v>
      </c>
      <c r="B248" t="s">
        <v>527</v>
      </c>
      <c r="C248" t="s">
        <v>45</v>
      </c>
      <c r="D248" t="s">
        <v>10</v>
      </c>
      <c r="E248" t="s">
        <v>236</v>
      </c>
      <c r="F248" t="s">
        <v>94</v>
      </c>
      <c r="G248" t="str">
        <f>HYPERLINK(_xlfn.CONCAT("https://tablet.otzar.org/",CHAR(35),"/book/143271/p/-1/t/1/fs/0/start/0/end/0/c"),"ביאורים בצוואת הריב""""ש")</f>
        <v>ביאורים בצוואת הריב""ש</v>
      </c>
      <c r="H248" t="str">
        <f>_xlfn.CONCAT("https://tablet.otzar.org/",CHAR(35),"/book/143271/p/-1/t/1/fs/0/start/0/end/0/c")</f>
        <v>https://tablet.otzar.org/#/book/143271/p/-1/t/1/fs/0/start/0/end/0/c</v>
      </c>
    </row>
    <row r="249" spans="1:8" x14ac:dyDescent="0.25">
      <c r="A249">
        <v>607687</v>
      </c>
      <c r="B249" t="s">
        <v>528</v>
      </c>
      <c r="C249" t="s">
        <v>529</v>
      </c>
      <c r="D249" t="s">
        <v>15</v>
      </c>
      <c r="E249" t="s">
        <v>99</v>
      </c>
      <c r="F249" t="s">
        <v>12</v>
      </c>
      <c r="G249" t="str">
        <f>HYPERLINK(_xlfn.CONCAT("https://tablet.otzar.org/",CHAR(35),"/exKotar/607687"),"ביאורים בתורת רבינו - 2 כרכים")</f>
        <v>ביאורים בתורת רבינו - 2 כרכים</v>
      </c>
      <c r="H249" t="str">
        <f>_xlfn.CONCAT("https://tablet.otzar.org/",CHAR(35),"/exKotar/607687")</f>
        <v>https://tablet.otzar.org/#/exKotar/607687</v>
      </c>
    </row>
    <row r="250" spans="1:8" x14ac:dyDescent="0.25">
      <c r="A250">
        <v>160413</v>
      </c>
      <c r="B250" t="s">
        <v>530</v>
      </c>
      <c r="C250" t="s">
        <v>125</v>
      </c>
      <c r="D250" t="s">
        <v>377</v>
      </c>
      <c r="E250" t="s">
        <v>103</v>
      </c>
      <c r="F250" t="s">
        <v>531</v>
      </c>
      <c r="G250" t="str">
        <f>HYPERLINK(_xlfn.CONCAT("https://tablet.otzar.org/",CHAR(35),"/book/160413/p/-1/t/1/fs/0/start/0/end/0/c"),"ביאורים ובירורים במסכת שבת")</f>
        <v>ביאורים ובירורים במסכת שבת</v>
      </c>
      <c r="H250" t="str">
        <f>_xlfn.CONCAT("https://tablet.otzar.org/",CHAR(35),"/book/160413/p/-1/t/1/fs/0/start/0/end/0/c")</f>
        <v>https://tablet.otzar.org/#/book/160413/p/-1/t/1/fs/0/start/0/end/0/c</v>
      </c>
    </row>
    <row r="251" spans="1:8" x14ac:dyDescent="0.25">
      <c r="A251">
        <v>140827</v>
      </c>
      <c r="B251" t="s">
        <v>532</v>
      </c>
      <c r="C251" t="s">
        <v>533</v>
      </c>
      <c r="D251" t="s">
        <v>10</v>
      </c>
      <c r="E251" t="s">
        <v>145</v>
      </c>
      <c r="F251" t="s">
        <v>12</v>
      </c>
      <c r="G251" t="str">
        <f>HYPERLINK(_xlfn.CONCAT("https://tablet.otzar.org/",CHAR(35),"/book/140827/p/-1/t/1/fs/0/start/0/end/0/c"),"ביאורים והערות בקו""""א לש""""ע רבינו הזקן")</f>
        <v>ביאורים והערות בקו""א לש""ע רבינו הזקן</v>
      </c>
      <c r="H251" t="str">
        <f>_xlfn.CONCAT("https://tablet.otzar.org/",CHAR(35),"/book/140827/p/-1/t/1/fs/0/start/0/end/0/c")</f>
        <v>https://tablet.otzar.org/#/book/140827/p/-1/t/1/fs/0/start/0/end/0/c</v>
      </c>
    </row>
    <row r="252" spans="1:8" x14ac:dyDescent="0.25">
      <c r="A252">
        <v>141471</v>
      </c>
      <c r="B252" t="s">
        <v>534</v>
      </c>
      <c r="C252" t="s">
        <v>244</v>
      </c>
      <c r="D252" t="s">
        <v>535</v>
      </c>
      <c r="E252" t="s">
        <v>91</v>
      </c>
      <c r="F252" t="s">
        <v>12</v>
      </c>
      <c r="G252" t="str">
        <f>HYPERLINK(_xlfn.CONCAT("https://tablet.otzar.org/",CHAR(35),"/book/141471/p/-1/t/1/fs/0/start/0/end/0/c"),"ביאורים לנוסח ברכת אירוסין ונישואין")</f>
        <v>ביאורים לנוסח ברכת אירוסין ונישואין</v>
      </c>
      <c r="H252" t="str">
        <f>_xlfn.CONCAT("https://tablet.otzar.org/",CHAR(35),"/book/141471/p/-1/t/1/fs/0/start/0/end/0/c")</f>
        <v>https://tablet.otzar.org/#/book/141471/p/-1/t/1/fs/0/start/0/end/0/c</v>
      </c>
    </row>
    <row r="253" spans="1:8" x14ac:dyDescent="0.25">
      <c r="A253">
        <v>14123</v>
      </c>
      <c r="B253" t="s">
        <v>536</v>
      </c>
      <c r="C253" t="s">
        <v>45</v>
      </c>
      <c r="D253" t="s">
        <v>10</v>
      </c>
      <c r="E253" t="s">
        <v>54</v>
      </c>
      <c r="F253" t="s">
        <v>12</v>
      </c>
      <c r="G253" t="str">
        <f>HYPERLINK(_xlfn.CONCAT("https://tablet.otzar.org/",CHAR(35),"/exKotar/14123"),"ביאורים לפירוש רש""""י על התורה - 7 כרכים")</f>
        <v>ביאורים לפירוש רש""י על התורה - 7 כרכים</v>
      </c>
      <c r="H253" t="str">
        <f>_xlfn.CONCAT("https://tablet.otzar.org/",CHAR(35),"/exKotar/14123")</f>
        <v>https://tablet.otzar.org/#/exKotar/14123</v>
      </c>
    </row>
    <row r="254" spans="1:8" x14ac:dyDescent="0.25">
      <c r="A254">
        <v>27248</v>
      </c>
      <c r="B254" t="s">
        <v>537</v>
      </c>
      <c r="C254" t="s">
        <v>45</v>
      </c>
      <c r="D254" t="s">
        <v>10</v>
      </c>
      <c r="E254" t="s">
        <v>29</v>
      </c>
      <c r="F254" t="s">
        <v>12</v>
      </c>
      <c r="G254" t="str">
        <f>HYPERLINK(_xlfn.CONCAT("https://tablet.otzar.org/",CHAR(35),"/exKotar/27248"),"ביאורים לפרקי אבות - 2 כרכים")</f>
        <v>ביאורים לפרקי אבות - 2 כרכים</v>
      </c>
      <c r="H254" t="str">
        <f>_xlfn.CONCAT("https://tablet.otzar.org/",CHAR(35),"/exKotar/27248")</f>
        <v>https://tablet.otzar.org/#/exKotar/27248</v>
      </c>
    </row>
    <row r="255" spans="1:8" x14ac:dyDescent="0.25">
      <c r="A255">
        <v>85383</v>
      </c>
      <c r="B255" t="s">
        <v>538</v>
      </c>
      <c r="C255" t="s">
        <v>539</v>
      </c>
      <c r="D255" t="s">
        <v>15</v>
      </c>
      <c r="E255" t="s">
        <v>107</v>
      </c>
      <c r="F255" t="s">
        <v>12</v>
      </c>
      <c r="G255" t="str">
        <f>HYPERLINK(_xlfn.CONCAT("https://tablet.otzar.org/",CHAR(35),"/book/85383/p/-1/t/1/fs/0/start/0/end/0/c"),"ביאורים על התניא")</f>
        <v>ביאורים על התניא</v>
      </c>
      <c r="H255" t="str">
        <f>_xlfn.CONCAT("https://tablet.otzar.org/",CHAR(35),"/book/85383/p/-1/t/1/fs/0/start/0/end/0/c")</f>
        <v>https://tablet.otzar.org/#/book/85383/p/-1/t/1/fs/0/start/0/end/0/c</v>
      </c>
    </row>
    <row r="256" spans="1:8" x14ac:dyDescent="0.25">
      <c r="A256">
        <v>173581</v>
      </c>
      <c r="B256" t="s">
        <v>540</v>
      </c>
      <c r="C256" t="s">
        <v>541</v>
      </c>
      <c r="D256" t="s">
        <v>118</v>
      </c>
      <c r="E256" t="s">
        <v>62</v>
      </c>
      <c r="F256" t="s">
        <v>12</v>
      </c>
      <c r="G256" t="str">
        <f>HYPERLINK(_xlfn.CONCAT("https://tablet.otzar.org/",CHAR(35),"/book/173581/p/-1/t/1/fs/0/start/0/end/0/c"),"ביום שמחתכם ומועדיכם")</f>
        <v>ביום שמחתכם ומועדיכם</v>
      </c>
      <c r="H256" t="str">
        <f>_xlfn.CONCAT("https://tablet.otzar.org/",CHAR(35),"/book/173581/p/-1/t/1/fs/0/start/0/end/0/c")</f>
        <v>https://tablet.otzar.org/#/book/173581/p/-1/t/1/fs/0/start/0/end/0/c</v>
      </c>
    </row>
    <row r="257" spans="1:8" x14ac:dyDescent="0.25">
      <c r="A257">
        <v>27359</v>
      </c>
      <c r="B257" t="s">
        <v>542</v>
      </c>
      <c r="C257" t="s">
        <v>125</v>
      </c>
      <c r="D257" t="s">
        <v>37</v>
      </c>
      <c r="E257" t="s">
        <v>40</v>
      </c>
      <c r="F257" t="s">
        <v>12</v>
      </c>
      <c r="G257" t="str">
        <f>HYPERLINK(_xlfn.CONCAT("https://tablet.otzar.org/",CHAR(35),"/book/27359/p/-1/t/1/fs/0/start/0/end/0/c"),"ביכורי תורת אמת")</f>
        <v>ביכורי תורת אמת</v>
      </c>
      <c r="H257" t="str">
        <f>_xlfn.CONCAT("https://tablet.otzar.org/",CHAR(35),"/book/27359/p/-1/t/1/fs/0/start/0/end/0/c")</f>
        <v>https://tablet.otzar.org/#/book/27359/p/-1/t/1/fs/0/start/0/end/0/c</v>
      </c>
    </row>
    <row r="258" spans="1:8" x14ac:dyDescent="0.25">
      <c r="A258">
        <v>142714</v>
      </c>
      <c r="B258" t="s">
        <v>543</v>
      </c>
      <c r="C258" t="s">
        <v>544</v>
      </c>
      <c r="D258" t="s">
        <v>28</v>
      </c>
      <c r="E258" t="s">
        <v>38</v>
      </c>
      <c r="F258" t="s">
        <v>12</v>
      </c>
      <c r="G258" t="str">
        <f>HYPERLINK(_xlfn.CONCAT("https://tablet.otzar.org/",CHAR(35),"/book/142714/p/-1/t/1/fs/0/start/0/end/0/c"),"בימים ההם")</f>
        <v>בימים ההם</v>
      </c>
      <c r="H258" t="str">
        <f>_xlfn.CONCAT("https://tablet.otzar.org/",CHAR(35),"/book/142714/p/-1/t/1/fs/0/start/0/end/0/c")</f>
        <v>https://tablet.otzar.org/#/book/142714/p/-1/t/1/fs/0/start/0/end/0/c</v>
      </c>
    </row>
    <row r="259" spans="1:8" x14ac:dyDescent="0.25">
      <c r="A259">
        <v>639289</v>
      </c>
      <c r="B259" t="s">
        <v>545</v>
      </c>
      <c r="C259" t="s">
        <v>492</v>
      </c>
      <c r="D259" t="s">
        <v>197</v>
      </c>
      <c r="E259" t="s">
        <v>174</v>
      </c>
      <c r="F259" t="s">
        <v>12</v>
      </c>
      <c r="G259" t="str">
        <f>HYPERLINK(_xlfn.CONCAT("https://tablet.otzar.org/",CHAR(35),"/book/639289/p/-1/t/1/fs/0/start/0/end/0/c"),"בין אור לחושך")</f>
        <v>בין אור לחושך</v>
      </c>
      <c r="H259" t="str">
        <f>_xlfn.CONCAT("https://tablet.otzar.org/",CHAR(35),"/book/639289/p/-1/t/1/fs/0/start/0/end/0/c")</f>
        <v>https://tablet.otzar.org/#/book/639289/p/-1/t/1/fs/0/start/0/end/0/c</v>
      </c>
    </row>
    <row r="260" spans="1:8" x14ac:dyDescent="0.25">
      <c r="A260">
        <v>181114</v>
      </c>
      <c r="B260" t="s">
        <v>546</v>
      </c>
      <c r="C260" t="s">
        <v>547</v>
      </c>
      <c r="D260" t="s">
        <v>15</v>
      </c>
      <c r="E260" t="s">
        <v>88</v>
      </c>
      <c r="F260" t="s">
        <v>548</v>
      </c>
      <c r="G260" t="str">
        <f>HYPERLINK(_xlfn.CONCAT("https://tablet.otzar.org/",CHAR(35),"/exKotar/181114"),"בין הדגים לזמירות - 3 כרכים")</f>
        <v>בין הדגים לזמירות - 3 כרכים</v>
      </c>
      <c r="H260" t="str">
        <f>_xlfn.CONCAT("https://tablet.otzar.org/",CHAR(35),"/exKotar/181114")</f>
        <v>https://tablet.otzar.org/#/exKotar/181114</v>
      </c>
    </row>
    <row r="261" spans="1:8" x14ac:dyDescent="0.25">
      <c r="A261">
        <v>614818</v>
      </c>
      <c r="B261" t="s">
        <v>549</v>
      </c>
      <c r="C261" t="s">
        <v>550</v>
      </c>
      <c r="D261" t="s">
        <v>37</v>
      </c>
      <c r="E261" t="s">
        <v>551</v>
      </c>
      <c r="F261" t="s">
        <v>12</v>
      </c>
      <c r="G261" t="str">
        <f>HYPERLINK(_xlfn.CONCAT("https://tablet.otzar.org/",CHAR(35),"/exKotar/614818"),"בין החומות - 2 כרכים")</f>
        <v>בין החומות - 2 כרכים</v>
      </c>
      <c r="H261" t="str">
        <f>_xlfn.CONCAT("https://tablet.otzar.org/",CHAR(35),"/exKotar/614818")</f>
        <v>https://tablet.otzar.org/#/exKotar/614818</v>
      </c>
    </row>
    <row r="262" spans="1:8" x14ac:dyDescent="0.25">
      <c r="A262">
        <v>181632</v>
      </c>
      <c r="B262" t="s">
        <v>552</v>
      </c>
      <c r="C262" t="s">
        <v>553</v>
      </c>
      <c r="D262" t="s">
        <v>10</v>
      </c>
      <c r="E262" t="s">
        <v>88</v>
      </c>
      <c r="F262" t="s">
        <v>43</v>
      </c>
      <c r="G262" t="str">
        <f>HYPERLINK(_xlfn.CONCAT("https://tablet.otzar.org/",CHAR(35),"/book/181632/p/-1/t/1/fs/0/start/0/end/0/c"),"בין הצלחת לטבעת")</f>
        <v>בין הצלחת לטבעת</v>
      </c>
      <c r="H262" t="str">
        <f>_xlfn.CONCAT("https://tablet.otzar.org/",CHAR(35),"/book/181632/p/-1/t/1/fs/0/start/0/end/0/c")</f>
        <v>https://tablet.otzar.org/#/book/181632/p/-1/t/1/fs/0/start/0/end/0/c</v>
      </c>
    </row>
    <row r="263" spans="1:8" x14ac:dyDescent="0.25">
      <c r="A263">
        <v>189076</v>
      </c>
      <c r="B263" t="s">
        <v>554</v>
      </c>
      <c r="C263" t="s">
        <v>555</v>
      </c>
      <c r="D263" t="s">
        <v>300</v>
      </c>
      <c r="E263" t="s">
        <v>88</v>
      </c>
      <c r="F263" t="s">
        <v>12</v>
      </c>
      <c r="G263" t="str">
        <f>HYPERLINK(_xlfn.CONCAT("https://tablet.otzar.org/",CHAR(35),"/book/189076/p/-1/t/1/fs/0/start/0/end/0/c"),"בין ירושלים לאילת")</f>
        <v>בין ירושלים לאילת</v>
      </c>
      <c r="H263" t="str">
        <f>_xlfn.CONCAT("https://tablet.otzar.org/",CHAR(35),"/book/189076/p/-1/t/1/fs/0/start/0/end/0/c")</f>
        <v>https://tablet.otzar.org/#/book/189076/p/-1/t/1/fs/0/start/0/end/0/c</v>
      </c>
    </row>
    <row r="264" spans="1:8" x14ac:dyDescent="0.25">
      <c r="A264">
        <v>26463</v>
      </c>
      <c r="B264" t="s">
        <v>556</v>
      </c>
      <c r="C264" t="s">
        <v>59</v>
      </c>
      <c r="D264" t="s">
        <v>10</v>
      </c>
      <c r="E264" t="s">
        <v>382</v>
      </c>
      <c r="G264" t="str">
        <f>HYPERLINK(_xlfn.CONCAT("https://tablet.otzar.org/",CHAR(35),"/book/26463/p/-1/t/1/fs/0/start/0/end/0/c"),"ביקור שיקאגא - הוצאה ד'")</f>
        <v>ביקור שיקאגא - הוצאה ד'</v>
      </c>
      <c r="H264" t="str">
        <f>_xlfn.CONCAT("https://tablet.otzar.org/",CHAR(35),"/book/26463/p/-1/t/1/fs/0/start/0/end/0/c")</f>
        <v>https://tablet.otzar.org/#/book/26463/p/-1/t/1/fs/0/start/0/end/0/c</v>
      </c>
    </row>
    <row r="265" spans="1:8" x14ac:dyDescent="0.25">
      <c r="A265">
        <v>653514</v>
      </c>
      <c r="B265" t="s">
        <v>557</v>
      </c>
      <c r="C265" t="s">
        <v>558</v>
      </c>
      <c r="D265" t="s">
        <v>412</v>
      </c>
      <c r="E265" t="s">
        <v>166</v>
      </c>
      <c r="G265" t="str">
        <f>HYPERLINK(_xlfn.CONCAT("https://tablet.otzar.org/",CHAR(35),"/book/653514/p/-1/t/1/fs/0/start/0/end/0/c"),"בירורי מנהגים - סדר היום והלילה")</f>
        <v>בירורי מנהגים - סדר היום והלילה</v>
      </c>
      <c r="H265" t="str">
        <f>_xlfn.CONCAT("https://tablet.otzar.org/",CHAR(35),"/book/653514/p/-1/t/1/fs/0/start/0/end/0/c")</f>
        <v>https://tablet.otzar.org/#/book/653514/p/-1/t/1/fs/0/start/0/end/0/c</v>
      </c>
    </row>
    <row r="266" spans="1:8" x14ac:dyDescent="0.25">
      <c r="A266">
        <v>28791</v>
      </c>
      <c r="B266" t="s">
        <v>559</v>
      </c>
      <c r="C266" t="s">
        <v>45</v>
      </c>
      <c r="D266" t="s">
        <v>374</v>
      </c>
      <c r="E266" t="s">
        <v>79</v>
      </c>
      <c r="F266" t="s">
        <v>12</v>
      </c>
      <c r="G266" t="str">
        <f>HYPERLINK(_xlfn.CONCAT("https://tablet.otzar.org/",CHAR(35),"/exKotar/28791"),"בית בישראל בנין עדי עד - 2 כרכים")</f>
        <v>בית בישראל בנין עדי עד - 2 כרכים</v>
      </c>
      <c r="H266" t="str">
        <f>_xlfn.CONCAT("https://tablet.otzar.org/",CHAR(35),"/exKotar/28791")</f>
        <v>https://tablet.otzar.org/#/exKotar/28791</v>
      </c>
    </row>
    <row r="267" spans="1:8" x14ac:dyDescent="0.25">
      <c r="A267">
        <v>141644</v>
      </c>
      <c r="B267" t="s">
        <v>560</v>
      </c>
      <c r="C267" t="s">
        <v>326</v>
      </c>
      <c r="D267" t="s">
        <v>15</v>
      </c>
      <c r="E267" t="s">
        <v>192</v>
      </c>
      <c r="F267" t="s">
        <v>12</v>
      </c>
      <c r="G267" t="str">
        <f>HYPERLINK(_xlfn.CONCAT("https://tablet.otzar.org/",CHAR(35),"/book/141644/p/-1/t/1/fs/0/start/0/end/0/c"),"בית במזרח - עשור לפעילות חב""""ד תאילנד")</f>
        <v>בית במזרח - עשור לפעילות חב""ד תאילנד</v>
      </c>
      <c r="H267" t="str">
        <f>_xlfn.CONCAT("https://tablet.otzar.org/",CHAR(35),"/book/141644/p/-1/t/1/fs/0/start/0/end/0/c")</f>
        <v>https://tablet.otzar.org/#/book/141644/p/-1/t/1/fs/0/start/0/end/0/c</v>
      </c>
    </row>
    <row r="268" spans="1:8" x14ac:dyDescent="0.25">
      <c r="A268">
        <v>27564</v>
      </c>
      <c r="B268" t="s">
        <v>561</v>
      </c>
      <c r="C268" t="s">
        <v>562</v>
      </c>
      <c r="D268" t="s">
        <v>37</v>
      </c>
      <c r="E268" t="s">
        <v>79</v>
      </c>
      <c r="F268" t="s">
        <v>12</v>
      </c>
      <c r="G268" t="str">
        <f>HYPERLINK(_xlfn.CONCAT("https://tablet.otzar.org/",CHAR(35),"/book/27564/p/-1/t/1/fs/0/start/0/end/0/c"),"בית הכנסת חב""""ד ליובאוויטש - התולדות והמורשת")</f>
        <v>בית הכנסת חב""ד ליובאוויטש - התולדות והמורשת</v>
      </c>
      <c r="H268" t="str">
        <f>_xlfn.CONCAT("https://tablet.otzar.org/",CHAR(35),"/book/27564/p/-1/t/1/fs/0/start/0/end/0/c")</f>
        <v>https://tablet.otzar.org/#/book/27564/p/-1/t/1/fs/0/start/0/end/0/c</v>
      </c>
    </row>
    <row r="269" spans="1:8" x14ac:dyDescent="0.25">
      <c r="A269">
        <v>189915</v>
      </c>
      <c r="B269" t="s">
        <v>563</v>
      </c>
      <c r="C269" t="s">
        <v>564</v>
      </c>
      <c r="D269" t="s">
        <v>10</v>
      </c>
      <c r="E269" t="s">
        <v>565</v>
      </c>
      <c r="F269" t="s">
        <v>12</v>
      </c>
      <c r="G269" t="str">
        <f>HYPERLINK(_xlfn.CONCAT("https://tablet.otzar.org/",CHAR(35),"/exKotar/189915"),"בית חיינו - 5 כרכים")</f>
        <v>בית חיינו - 5 כרכים</v>
      </c>
      <c r="H269" t="str">
        <f>_xlfn.CONCAT("https://tablet.otzar.org/",CHAR(35),"/exKotar/189915")</f>
        <v>https://tablet.otzar.org/#/exKotar/189915</v>
      </c>
    </row>
    <row r="270" spans="1:8" x14ac:dyDescent="0.25">
      <c r="A270">
        <v>27859</v>
      </c>
      <c r="B270" t="s">
        <v>566</v>
      </c>
      <c r="C270" t="s">
        <v>567</v>
      </c>
      <c r="D270" t="s">
        <v>37</v>
      </c>
      <c r="E270" t="s">
        <v>382</v>
      </c>
      <c r="F270" t="s">
        <v>12</v>
      </c>
      <c r="G270" t="str">
        <f>HYPERLINK(_xlfn.CONCAT("https://tablet.otzar.org/",CHAR(35),"/exKotar/27859"),"בית חיינו 770 - 2 כרכים")</f>
        <v>בית חיינו 770 - 2 כרכים</v>
      </c>
      <c r="H270" t="str">
        <f>_xlfn.CONCAT("https://tablet.otzar.org/",CHAR(35),"/exKotar/27859")</f>
        <v>https://tablet.otzar.org/#/exKotar/27859</v>
      </c>
    </row>
    <row r="271" spans="1:8" x14ac:dyDescent="0.25">
      <c r="A271">
        <v>26488</v>
      </c>
      <c r="B271" t="s">
        <v>568</v>
      </c>
      <c r="C271" t="s">
        <v>569</v>
      </c>
      <c r="D271" t="s">
        <v>37</v>
      </c>
      <c r="E271" t="s">
        <v>217</v>
      </c>
      <c r="F271" t="s">
        <v>12</v>
      </c>
      <c r="G271" t="str">
        <f>HYPERLINK(_xlfn.CONCAT("https://tablet.otzar.org/",CHAR(35),"/book/26488/p/-1/t/1/fs/0/start/0/end/0/c"),"בית ישראל")</f>
        <v>בית ישראל</v>
      </c>
      <c r="H271" t="str">
        <f>_xlfn.CONCAT("https://tablet.otzar.org/",CHAR(35),"/book/26488/p/-1/t/1/fs/0/start/0/end/0/c")</f>
        <v>https://tablet.otzar.org/#/book/26488/p/-1/t/1/fs/0/start/0/end/0/c</v>
      </c>
    </row>
    <row r="272" spans="1:8" x14ac:dyDescent="0.25">
      <c r="A272">
        <v>607469</v>
      </c>
      <c r="B272" t="s">
        <v>570</v>
      </c>
      <c r="C272" t="s">
        <v>45</v>
      </c>
      <c r="D272" t="s">
        <v>15</v>
      </c>
      <c r="E272" t="s">
        <v>19</v>
      </c>
      <c r="F272" t="s">
        <v>12</v>
      </c>
      <c r="G272" t="str">
        <f>HYPERLINK(_xlfn.CONCAT("https://tablet.otzar.org/",CHAR(35),"/book/607469/p/-1/t/1/fs/0/start/0/end/0/c"),"בית ישראל - בנין עדי עד")</f>
        <v>בית ישראל - בנין עדי עד</v>
      </c>
      <c r="H272" t="str">
        <f>_xlfn.CONCAT("https://tablet.otzar.org/",CHAR(35),"/book/607469/p/-1/t/1/fs/0/start/0/end/0/c")</f>
        <v>https://tablet.otzar.org/#/book/607469/p/-1/t/1/fs/0/start/0/end/0/c</v>
      </c>
    </row>
    <row r="273" spans="1:8" x14ac:dyDescent="0.25">
      <c r="A273">
        <v>153363</v>
      </c>
      <c r="B273" t="s">
        <v>571</v>
      </c>
      <c r="C273" t="s">
        <v>190</v>
      </c>
      <c r="D273" t="s">
        <v>191</v>
      </c>
      <c r="E273" t="s">
        <v>49</v>
      </c>
      <c r="F273" t="s">
        <v>76</v>
      </c>
      <c r="G273" t="str">
        <f>HYPERLINK(_xlfn.CONCAT("https://tablet.otzar.org/",CHAR(35),"/book/153363/p/-1/t/1/fs/0/start/0/end/0/c"),"בית מאושר")</f>
        <v>בית מאושר</v>
      </c>
      <c r="H273" t="str">
        <f>_xlfn.CONCAT("https://tablet.otzar.org/",CHAR(35),"/book/153363/p/-1/t/1/fs/0/start/0/end/0/c")</f>
        <v>https://tablet.otzar.org/#/book/153363/p/-1/t/1/fs/0/start/0/end/0/c</v>
      </c>
    </row>
    <row r="274" spans="1:8" x14ac:dyDescent="0.25">
      <c r="A274">
        <v>27483</v>
      </c>
      <c r="B274" t="s">
        <v>572</v>
      </c>
      <c r="C274" t="s">
        <v>125</v>
      </c>
      <c r="D274" t="s">
        <v>15</v>
      </c>
      <c r="E274" t="s">
        <v>69</v>
      </c>
      <c r="F274" t="s">
        <v>12</v>
      </c>
      <c r="G274" t="str">
        <f>HYPERLINK(_xlfn.CONCAT("https://tablet.otzar.org/",CHAR(35),"/book/27483/p/-1/t/1/fs/0/start/0/end/0/c"),"בית מלך")</f>
        <v>בית מלך</v>
      </c>
      <c r="H274" t="str">
        <f>_xlfn.CONCAT("https://tablet.otzar.org/",CHAR(35),"/book/27483/p/-1/t/1/fs/0/start/0/end/0/c")</f>
        <v>https://tablet.otzar.org/#/book/27483/p/-1/t/1/fs/0/start/0/end/0/c</v>
      </c>
    </row>
    <row r="275" spans="1:8" x14ac:dyDescent="0.25">
      <c r="A275">
        <v>174711</v>
      </c>
      <c r="B275" t="s">
        <v>573</v>
      </c>
      <c r="C275" t="s">
        <v>574</v>
      </c>
      <c r="D275" t="s">
        <v>10</v>
      </c>
      <c r="E275" t="s">
        <v>575</v>
      </c>
      <c r="G275" t="str">
        <f>HYPERLINK(_xlfn.CONCAT("https://tablet.otzar.org/",CHAR(35),"/exKotar/174711"),"בית משיח - 1166 כרכים")</f>
        <v>בית משיח - 1166 כרכים</v>
      </c>
      <c r="H275" t="str">
        <f>_xlfn.CONCAT("https://tablet.otzar.org/",CHAR(35),"/exKotar/174711")</f>
        <v>https://tablet.otzar.org/#/exKotar/174711</v>
      </c>
    </row>
    <row r="276" spans="1:8" x14ac:dyDescent="0.25">
      <c r="A276">
        <v>27644</v>
      </c>
      <c r="B276" t="s">
        <v>576</v>
      </c>
      <c r="C276" t="s">
        <v>577</v>
      </c>
      <c r="D276" t="s">
        <v>15</v>
      </c>
      <c r="E276" t="s">
        <v>29</v>
      </c>
      <c r="F276" t="s">
        <v>12</v>
      </c>
      <c r="G276" t="str">
        <f>HYPERLINK(_xlfn.CONCAT("https://tablet.otzar.org/",CHAR(35),"/book/27644/p/-1/t/1/fs/0/start/0/end/0/c"),"בית רבותינו נשיאנו ברוסטוב")</f>
        <v>בית רבותינו נשיאנו ברוסטוב</v>
      </c>
      <c r="H276" t="str">
        <f>_xlfn.CONCAT("https://tablet.otzar.org/",CHAR(35),"/book/27644/p/-1/t/1/fs/0/start/0/end/0/c")</f>
        <v>https://tablet.otzar.org/#/book/27644/p/-1/t/1/fs/0/start/0/end/0/c</v>
      </c>
    </row>
    <row r="277" spans="1:8" x14ac:dyDescent="0.25">
      <c r="A277">
        <v>607713</v>
      </c>
      <c r="B277" t="s">
        <v>578</v>
      </c>
      <c r="C277" t="s">
        <v>574</v>
      </c>
      <c r="D277" t="s">
        <v>15</v>
      </c>
      <c r="F277" t="s">
        <v>25</v>
      </c>
      <c r="G277" t="str">
        <f>HYPERLINK(_xlfn.CONCAT("https://tablet.otzar.org/",CHAR(35),"/exKotar/607713"),"בית רבינו שבבבל - 2 כרכים")</f>
        <v>בית רבינו שבבבל - 2 כרכים</v>
      </c>
      <c r="H277" t="str">
        <f>_xlfn.CONCAT("https://tablet.otzar.org/",CHAR(35),"/exKotar/607713")</f>
        <v>https://tablet.otzar.org/#/exKotar/607713</v>
      </c>
    </row>
    <row r="278" spans="1:8" x14ac:dyDescent="0.25">
      <c r="A278">
        <v>141439</v>
      </c>
      <c r="B278" t="s">
        <v>579</v>
      </c>
      <c r="C278" t="s">
        <v>580</v>
      </c>
      <c r="D278" t="s">
        <v>15</v>
      </c>
      <c r="E278" t="s">
        <v>236</v>
      </c>
      <c r="F278" t="s">
        <v>12</v>
      </c>
      <c r="G278" t="str">
        <f>HYPERLINK(_xlfn.CONCAT("https://tablet.otzar.org/",CHAR(35),"/book/141439/p/-1/t/1/fs/0/start/0/end/0/c"),"בית רבקה")</f>
        <v>בית רבקה</v>
      </c>
      <c r="H278" t="str">
        <f>_xlfn.CONCAT("https://tablet.otzar.org/",CHAR(35),"/book/141439/p/-1/t/1/fs/0/start/0/end/0/c")</f>
        <v>https://tablet.otzar.org/#/book/141439/p/-1/t/1/fs/0/start/0/end/0/c</v>
      </c>
    </row>
    <row r="279" spans="1:8" x14ac:dyDescent="0.25">
      <c r="A279">
        <v>614986</v>
      </c>
      <c r="B279" t="s">
        <v>581</v>
      </c>
      <c r="C279" t="s">
        <v>582</v>
      </c>
      <c r="D279" t="s">
        <v>10</v>
      </c>
      <c r="E279" t="s">
        <v>46</v>
      </c>
      <c r="F279" t="s">
        <v>12</v>
      </c>
      <c r="G279" t="str">
        <f>HYPERLINK(_xlfn.CONCAT("https://tablet.otzar.org/",CHAR(35),"/exKotar/614986"),"בכל מכל כל - 6 כרכים")</f>
        <v>בכל מכל כל - 6 כרכים</v>
      </c>
      <c r="H279" t="str">
        <f>_xlfn.CONCAT("https://tablet.otzar.org/",CHAR(35),"/exKotar/614986")</f>
        <v>https://tablet.otzar.org/#/exKotar/614986</v>
      </c>
    </row>
    <row r="280" spans="1:8" x14ac:dyDescent="0.25">
      <c r="A280">
        <v>607904</v>
      </c>
      <c r="B280" t="s">
        <v>583</v>
      </c>
      <c r="C280" t="s">
        <v>9</v>
      </c>
      <c r="D280" t="s">
        <v>28</v>
      </c>
      <c r="E280" t="s">
        <v>91</v>
      </c>
      <c r="F280" t="s">
        <v>12</v>
      </c>
      <c r="G280" t="str">
        <f>HYPERLINK(_xlfn.CONCAT("https://tablet.otzar.org/",CHAR(35),"/book/607904/p/-1/t/1/fs/0/start/0/end/0/c"),"בכסה ליום חגנו")</f>
        <v>בכסה ליום חגנו</v>
      </c>
      <c r="H280" t="str">
        <f>_xlfn.CONCAT("https://tablet.otzar.org/",CHAR(35),"/book/607904/p/-1/t/1/fs/0/start/0/end/0/c")</f>
        <v>https://tablet.otzar.org/#/book/607904/p/-1/t/1/fs/0/start/0/end/0/c</v>
      </c>
    </row>
    <row r="281" spans="1:8" x14ac:dyDescent="0.25">
      <c r="A281">
        <v>199157</v>
      </c>
      <c r="B281" t="s">
        <v>584</v>
      </c>
      <c r="C281" t="s">
        <v>567</v>
      </c>
      <c r="D281" t="s">
        <v>10</v>
      </c>
      <c r="E281" t="s">
        <v>88</v>
      </c>
      <c r="F281" t="s">
        <v>12</v>
      </c>
      <c r="G281" t="str">
        <f>HYPERLINK(_xlfn.CONCAT("https://tablet.otzar.org/",CHAR(35),"/book/199157/p/-1/t/1/fs/0/start/0/end/0/c"),"בלבת אש")</f>
        <v>בלבת אש</v>
      </c>
      <c r="H281" t="str">
        <f>_xlfn.CONCAT("https://tablet.otzar.org/",CHAR(35),"/book/199157/p/-1/t/1/fs/0/start/0/end/0/c")</f>
        <v>https://tablet.otzar.org/#/book/199157/p/-1/t/1/fs/0/start/0/end/0/c</v>
      </c>
    </row>
    <row r="282" spans="1:8" x14ac:dyDescent="0.25">
      <c r="A282">
        <v>193282</v>
      </c>
      <c r="B282" t="s">
        <v>585</v>
      </c>
      <c r="C282" t="s">
        <v>14</v>
      </c>
      <c r="D282" t="s">
        <v>28</v>
      </c>
      <c r="E282" t="s">
        <v>82</v>
      </c>
      <c r="F282" t="s">
        <v>12</v>
      </c>
      <c r="G282" t="str">
        <f>HYPERLINK(_xlfn.CONCAT("https://tablet.otzar.org/",CHAR(35),"/book/193282/p/-1/t/1/fs/0/start/0/end/0/c"),"במאי קמיפלגי")</f>
        <v>במאי קמיפלגי</v>
      </c>
      <c r="H282" t="str">
        <f>_xlfn.CONCAT("https://tablet.otzar.org/",CHAR(35),"/book/193282/p/-1/t/1/fs/0/start/0/end/0/c")</f>
        <v>https://tablet.otzar.org/#/book/193282/p/-1/t/1/fs/0/start/0/end/0/c</v>
      </c>
    </row>
    <row r="283" spans="1:8" x14ac:dyDescent="0.25">
      <c r="A283">
        <v>193153</v>
      </c>
      <c r="B283" t="s">
        <v>586</v>
      </c>
      <c r="C283" t="s">
        <v>587</v>
      </c>
      <c r="D283" t="s">
        <v>28</v>
      </c>
      <c r="E283" t="s">
        <v>565</v>
      </c>
      <c r="F283" t="s">
        <v>12</v>
      </c>
      <c r="G283" t="str">
        <f>HYPERLINK(_xlfn.CONCAT("https://tablet.otzar.org/",CHAR(35),"/exKotar/193153"),"במחנה צבאות השם - 4 כרכים")</f>
        <v>במחנה צבאות השם - 4 כרכים</v>
      </c>
      <c r="H283" t="str">
        <f>_xlfn.CONCAT("https://tablet.otzar.org/",CHAR(35),"/exKotar/193153")</f>
        <v>https://tablet.otzar.org/#/exKotar/193153</v>
      </c>
    </row>
    <row r="284" spans="1:8" x14ac:dyDescent="0.25">
      <c r="A284">
        <v>189088</v>
      </c>
      <c r="B284" t="s">
        <v>588</v>
      </c>
      <c r="C284" t="s">
        <v>45</v>
      </c>
      <c r="D284" t="s">
        <v>197</v>
      </c>
      <c r="E284" t="s">
        <v>19</v>
      </c>
      <c r="F284" t="s">
        <v>12</v>
      </c>
      <c r="G284" t="str">
        <f>HYPERLINK(_xlfn.CONCAT("https://tablet.otzar.org/",CHAR(35),"/book/189088/p/-1/t/1/fs/0/start/0/end/0/c"),"במענה למכתבה")</f>
        <v>במענה למכתבה</v>
      </c>
      <c r="H284" t="str">
        <f>_xlfn.CONCAT("https://tablet.otzar.org/",CHAR(35),"/book/189088/p/-1/t/1/fs/0/start/0/end/0/c")</f>
        <v>https://tablet.otzar.org/#/book/189088/p/-1/t/1/fs/0/start/0/end/0/c</v>
      </c>
    </row>
    <row r="285" spans="1:8" x14ac:dyDescent="0.25">
      <c r="A285">
        <v>163622</v>
      </c>
      <c r="B285" t="s">
        <v>589</v>
      </c>
      <c r="C285" t="s">
        <v>590</v>
      </c>
      <c r="D285" t="s">
        <v>10</v>
      </c>
      <c r="E285" t="s">
        <v>16</v>
      </c>
      <c r="G285" t="str">
        <f>HYPERLINK(_xlfn.CONCAT("https://tablet.otzar.org/",CHAR(35),"/book/163622/p/-1/t/1/fs/0/start/0/end/0/c"),"בן אברהם &lt;בית מוסר - שער משיח&gt;")</f>
        <v>בן אברהם &lt;בית מוסר - שער משיח&gt;</v>
      </c>
      <c r="H285" t="str">
        <f>_xlfn.CONCAT("https://tablet.otzar.org/",CHAR(35),"/book/163622/p/-1/t/1/fs/0/start/0/end/0/c")</f>
        <v>https://tablet.otzar.org/#/book/163622/p/-1/t/1/fs/0/start/0/end/0/c</v>
      </c>
    </row>
    <row r="286" spans="1:8" x14ac:dyDescent="0.25">
      <c r="A286">
        <v>650282</v>
      </c>
      <c r="B286" t="s">
        <v>591</v>
      </c>
      <c r="C286" t="s">
        <v>592</v>
      </c>
      <c r="E286" t="s">
        <v>593</v>
      </c>
      <c r="G286" t="str">
        <f>HYPERLINK(_xlfn.CONCAT("https://tablet.otzar.org/",CHAR(35),"/book/650282/p/-1/t/1/fs/0/start/0/end/0/c"),"בן אדם מה לך נרדם")</f>
        <v>בן אדם מה לך נרדם</v>
      </c>
      <c r="H286" t="str">
        <f>_xlfn.CONCAT("https://tablet.otzar.org/",CHAR(35),"/book/650282/p/-1/t/1/fs/0/start/0/end/0/c")</f>
        <v>https://tablet.otzar.org/#/book/650282/p/-1/t/1/fs/0/start/0/end/0/c</v>
      </c>
    </row>
    <row r="287" spans="1:8" x14ac:dyDescent="0.25">
      <c r="A287">
        <v>27301</v>
      </c>
      <c r="B287" t="s">
        <v>594</v>
      </c>
      <c r="C287" t="s">
        <v>595</v>
      </c>
      <c r="D287" t="s">
        <v>15</v>
      </c>
      <c r="E287" t="s">
        <v>103</v>
      </c>
      <c r="F287" t="s">
        <v>12</v>
      </c>
      <c r="G287" t="str">
        <f>HYPERLINK(_xlfn.CONCAT("https://tablet.otzar.org/",CHAR(35),"/book/27301/p/-1/t/1/fs/0/start/0/end/0/c"),"בן י""""ג למצוות")</f>
        <v>בן י""ג למצוות</v>
      </c>
      <c r="H287" t="str">
        <f>_xlfn.CONCAT("https://tablet.otzar.org/",CHAR(35),"/book/27301/p/-1/t/1/fs/0/start/0/end/0/c")</f>
        <v>https://tablet.otzar.org/#/book/27301/p/-1/t/1/fs/0/start/0/end/0/c</v>
      </c>
    </row>
    <row r="288" spans="1:8" x14ac:dyDescent="0.25">
      <c r="A288">
        <v>27660</v>
      </c>
      <c r="B288" t="s">
        <v>596</v>
      </c>
      <c r="C288" t="s">
        <v>45</v>
      </c>
      <c r="D288" t="s">
        <v>10</v>
      </c>
      <c r="E288" t="s">
        <v>134</v>
      </c>
      <c r="F288" t="s">
        <v>12</v>
      </c>
      <c r="G288" t="str">
        <f>HYPERLINK(_xlfn.CONCAT("https://tablet.otzar.org/",CHAR(35),"/book/27660/p/-1/t/1/fs/0/start/0/end/0/c"),"בן י""""ג למצוות - א")</f>
        <v>בן י""ג למצוות - א</v>
      </c>
      <c r="H288" t="str">
        <f>_xlfn.CONCAT("https://tablet.otzar.org/",CHAR(35),"/book/27660/p/-1/t/1/fs/0/start/0/end/0/c")</f>
        <v>https://tablet.otzar.org/#/book/27660/p/-1/t/1/fs/0/start/0/end/0/c</v>
      </c>
    </row>
    <row r="289" spans="1:8" x14ac:dyDescent="0.25">
      <c r="A289">
        <v>27899</v>
      </c>
      <c r="B289" t="s">
        <v>597</v>
      </c>
      <c r="C289" t="s">
        <v>597</v>
      </c>
      <c r="D289" t="s">
        <v>10</v>
      </c>
      <c r="E289" t="s">
        <v>38</v>
      </c>
      <c r="F289" t="s">
        <v>12</v>
      </c>
      <c r="G289" t="str">
        <f>HYPERLINK(_xlfn.CONCAT("https://tablet.otzar.org/",CHAR(35),"/book/27899/p/-1/t/1/fs/0/start/0/end/0/c"),"בנאות דשא")</f>
        <v>בנאות דשא</v>
      </c>
      <c r="H289" t="str">
        <f>_xlfn.CONCAT("https://tablet.otzar.org/",CHAR(35),"/book/27899/p/-1/t/1/fs/0/start/0/end/0/c")</f>
        <v>https://tablet.otzar.org/#/book/27899/p/-1/t/1/fs/0/start/0/end/0/c</v>
      </c>
    </row>
    <row r="290" spans="1:8" x14ac:dyDescent="0.25">
      <c r="A290">
        <v>162897</v>
      </c>
      <c r="B290" t="s">
        <v>598</v>
      </c>
      <c r="C290" t="s">
        <v>348</v>
      </c>
      <c r="D290" t="s">
        <v>15</v>
      </c>
      <c r="E290" t="s">
        <v>60</v>
      </c>
      <c r="F290" t="s">
        <v>12</v>
      </c>
      <c r="G290" t="str">
        <f>HYPERLINK(_xlfn.CONCAT("https://tablet.otzar.org/",CHAR(35),"/book/162897/p/-1/t/1/fs/0/start/0/end/0/c"),"בנה ביתך")</f>
        <v>בנה ביתך</v>
      </c>
      <c r="H290" t="str">
        <f>_xlfn.CONCAT("https://tablet.otzar.org/",CHAR(35),"/book/162897/p/-1/t/1/fs/0/start/0/end/0/c")</f>
        <v>https://tablet.otzar.org/#/book/162897/p/-1/t/1/fs/0/start/0/end/0/c</v>
      </c>
    </row>
    <row r="291" spans="1:8" x14ac:dyDescent="0.25">
      <c r="A291">
        <v>27567</v>
      </c>
      <c r="B291" t="s">
        <v>599</v>
      </c>
      <c r="C291" t="s">
        <v>600</v>
      </c>
      <c r="D291" t="s">
        <v>191</v>
      </c>
      <c r="E291" t="s">
        <v>134</v>
      </c>
      <c r="F291" t="s">
        <v>12</v>
      </c>
      <c r="G291" t="str">
        <f>HYPERLINK(_xlfn.CONCAT("https://tablet.otzar.org/",CHAR(35),"/book/27567/p/-1/t/1/fs/0/start/0/end/0/c"),"בנין עדי עד")</f>
        <v>בנין עדי עד</v>
      </c>
      <c r="H291" t="str">
        <f>_xlfn.CONCAT("https://tablet.otzar.org/",CHAR(35),"/book/27567/p/-1/t/1/fs/0/start/0/end/0/c")</f>
        <v>https://tablet.otzar.org/#/book/27567/p/-1/t/1/fs/0/start/0/end/0/c</v>
      </c>
    </row>
    <row r="292" spans="1:8" x14ac:dyDescent="0.25">
      <c r="A292">
        <v>660043</v>
      </c>
      <c r="B292" t="s">
        <v>601</v>
      </c>
      <c r="C292" t="s">
        <v>602</v>
      </c>
      <c r="D292" t="s">
        <v>37</v>
      </c>
      <c r="E292" t="s">
        <v>398</v>
      </c>
      <c r="F292" t="s">
        <v>43</v>
      </c>
      <c r="G292" t="str">
        <f>HYPERLINK(_xlfn.CONCAT("https://tablet.otzar.org/",CHAR(35),"/book/660043/p/-1/t/1/fs/0/start/0/end/0/c"),"בנתיבות המולד")</f>
        <v>בנתיבות המולד</v>
      </c>
      <c r="H292" t="str">
        <f>_xlfn.CONCAT("https://tablet.otzar.org/",CHAR(35),"/book/660043/p/-1/t/1/fs/0/start/0/end/0/c")</f>
        <v>https://tablet.otzar.org/#/book/660043/p/-1/t/1/fs/0/start/0/end/0/c</v>
      </c>
    </row>
    <row r="293" spans="1:8" x14ac:dyDescent="0.25">
      <c r="A293">
        <v>641429</v>
      </c>
      <c r="B293" t="s">
        <v>603</v>
      </c>
      <c r="C293" t="s">
        <v>604</v>
      </c>
      <c r="D293" t="s">
        <v>37</v>
      </c>
      <c r="E293" t="s">
        <v>88</v>
      </c>
      <c r="F293" t="s">
        <v>12</v>
      </c>
      <c r="G293" t="str">
        <f>HYPERLINK(_xlfn.CONCAT("https://tablet.otzar.org/",CHAR(35),"/book/641429/p/-1/t/1/fs/0/start/0/end/0/c"),"בסוד שיח")</f>
        <v>בסוד שיח</v>
      </c>
      <c r="H293" t="str">
        <f>_xlfn.CONCAT("https://tablet.otzar.org/",CHAR(35),"/book/641429/p/-1/t/1/fs/0/start/0/end/0/c")</f>
        <v>https://tablet.otzar.org/#/book/641429/p/-1/t/1/fs/0/start/0/end/0/c</v>
      </c>
    </row>
    <row r="294" spans="1:8" x14ac:dyDescent="0.25">
      <c r="A294">
        <v>141559</v>
      </c>
      <c r="B294" t="s">
        <v>605</v>
      </c>
      <c r="C294" t="s">
        <v>606</v>
      </c>
      <c r="D294" t="s">
        <v>15</v>
      </c>
      <c r="E294" t="s">
        <v>260</v>
      </c>
      <c r="F294" t="s">
        <v>12</v>
      </c>
      <c r="G294" t="str">
        <f>HYPERLINK(_xlfn.CONCAT("https://tablet.otzar.org/",CHAR(35),"/exKotar/141559"),"בסוד שיח - 3 כרכים")</f>
        <v>בסוד שיח - 3 כרכים</v>
      </c>
      <c r="H294" t="str">
        <f>_xlfn.CONCAT("https://tablet.otzar.org/",CHAR(35),"/exKotar/141559")</f>
        <v>https://tablet.otzar.org/#/exKotar/141559</v>
      </c>
    </row>
    <row r="295" spans="1:8" x14ac:dyDescent="0.25">
      <c r="A295">
        <v>199158</v>
      </c>
      <c r="B295" t="s">
        <v>607</v>
      </c>
      <c r="C295" t="s">
        <v>567</v>
      </c>
      <c r="D295" t="s">
        <v>608</v>
      </c>
      <c r="E295" t="s">
        <v>226</v>
      </c>
      <c r="F295" t="s">
        <v>12</v>
      </c>
      <c r="G295" t="str">
        <f>HYPERLINK(_xlfn.CONCAT("https://tablet.otzar.org/",CHAR(35),"/book/199158/p/-1/t/1/fs/0/start/0/end/0/c"),"בסוד שיח שרפי קודש")</f>
        <v>בסוד שיח שרפי קודש</v>
      </c>
      <c r="H295" t="str">
        <f>_xlfn.CONCAT("https://tablet.otzar.org/",CHAR(35),"/book/199158/p/-1/t/1/fs/0/start/0/end/0/c")</f>
        <v>https://tablet.otzar.org/#/book/199158/p/-1/t/1/fs/0/start/0/end/0/c</v>
      </c>
    </row>
    <row r="296" spans="1:8" x14ac:dyDescent="0.25">
      <c r="A296">
        <v>181499</v>
      </c>
      <c r="B296" t="s">
        <v>609</v>
      </c>
      <c r="C296" t="s">
        <v>610</v>
      </c>
      <c r="D296" t="s">
        <v>10</v>
      </c>
      <c r="E296" t="s">
        <v>62</v>
      </c>
      <c r="F296" t="s">
        <v>611</v>
      </c>
      <c r="G296" t="str">
        <f>HYPERLINK(_xlfn.CONCAT("https://tablet.otzar.org/",CHAR(35),"/book/181499/p/-1/t/1/fs/0/start/0/end/0/c"),"בעומקה של הלכה")</f>
        <v>בעומקה של הלכה</v>
      </c>
      <c r="H296" t="str">
        <f>_xlfn.CONCAT("https://tablet.otzar.org/",CHAR(35),"/book/181499/p/-1/t/1/fs/0/start/0/end/0/c")</f>
        <v>https://tablet.otzar.org/#/book/181499/p/-1/t/1/fs/0/start/0/end/0/c</v>
      </c>
    </row>
    <row r="297" spans="1:8" x14ac:dyDescent="0.25">
      <c r="A297">
        <v>28836</v>
      </c>
      <c r="B297" t="s">
        <v>612</v>
      </c>
      <c r="C297" t="s">
        <v>613</v>
      </c>
      <c r="D297" t="s">
        <v>15</v>
      </c>
      <c r="E297" t="s">
        <v>29</v>
      </c>
      <c r="F297" t="s">
        <v>12</v>
      </c>
      <c r="G297" t="str">
        <f>HYPERLINK(_xlfn.CONCAT("https://tablet.otzar.org/",CHAR(35),"/book/28836/p/-1/t/1/fs/0/start/0/end/0/c"),"בעין הלב")</f>
        <v>בעין הלב</v>
      </c>
      <c r="H297" t="str">
        <f>_xlfn.CONCAT("https://tablet.otzar.org/",CHAR(35),"/book/28836/p/-1/t/1/fs/0/start/0/end/0/c")</f>
        <v>https://tablet.otzar.org/#/book/28836/p/-1/t/1/fs/0/start/0/end/0/c</v>
      </c>
    </row>
    <row r="298" spans="1:8" x14ac:dyDescent="0.25">
      <c r="A298">
        <v>27038</v>
      </c>
      <c r="B298" t="s">
        <v>614</v>
      </c>
      <c r="C298" t="s">
        <v>615</v>
      </c>
      <c r="D298" t="s">
        <v>37</v>
      </c>
      <c r="E298" t="s">
        <v>29</v>
      </c>
      <c r="F298" t="s">
        <v>12</v>
      </c>
      <c r="G298" t="str">
        <f>HYPERLINK(_xlfn.CONCAT("https://tablet.otzar.org/",CHAR(35),"/book/27038/p/-1/t/1/fs/0/start/0/end/0/c"),"בעיניה של אשה")</f>
        <v>בעיניה של אשה</v>
      </c>
      <c r="H298" t="str">
        <f>_xlfn.CONCAT("https://tablet.otzar.org/",CHAR(35),"/book/27038/p/-1/t/1/fs/0/start/0/end/0/c")</f>
        <v>https://tablet.otzar.org/#/book/27038/p/-1/t/1/fs/0/start/0/end/0/c</v>
      </c>
    </row>
    <row r="299" spans="1:8" x14ac:dyDescent="0.25">
      <c r="A299">
        <v>26946</v>
      </c>
      <c r="B299" t="s">
        <v>616</v>
      </c>
      <c r="C299" t="s">
        <v>617</v>
      </c>
      <c r="D299" t="s">
        <v>37</v>
      </c>
      <c r="E299" t="s">
        <v>54</v>
      </c>
      <c r="F299" t="s">
        <v>12</v>
      </c>
      <c r="G299" t="str">
        <f>HYPERLINK(_xlfn.CONCAT("https://tablet.otzar.org/",CHAR(35),"/book/26946/p/-1/t/1/fs/0/start/0/end/0/c"),"בעל התניא")</f>
        <v>בעל התניא</v>
      </c>
      <c r="H299" t="str">
        <f>_xlfn.CONCAT("https://tablet.otzar.org/",CHAR(35),"/book/26946/p/-1/t/1/fs/0/start/0/end/0/c")</f>
        <v>https://tablet.otzar.org/#/book/26946/p/-1/t/1/fs/0/start/0/end/0/c</v>
      </c>
    </row>
    <row r="300" spans="1:8" x14ac:dyDescent="0.25">
      <c r="A300">
        <v>141475</v>
      </c>
      <c r="B300" t="s">
        <v>618</v>
      </c>
      <c r="C300" t="s">
        <v>619</v>
      </c>
      <c r="D300" t="s">
        <v>37</v>
      </c>
      <c r="E300" t="s">
        <v>620</v>
      </c>
      <c r="F300" t="s">
        <v>12</v>
      </c>
      <c r="G300" t="str">
        <f>HYPERLINK(_xlfn.CONCAT("https://tablet.otzar.org/",CHAR(35),"/book/141475/p/-1/t/1/fs/0/start/0/end/0/c"),"בענין החתך שעושים בתפילין לשים בו היוד")</f>
        <v>בענין החתך שעושים בתפילין לשים בו היוד</v>
      </c>
      <c r="H300" t="str">
        <f>_xlfn.CONCAT("https://tablet.otzar.org/",CHAR(35),"/book/141475/p/-1/t/1/fs/0/start/0/end/0/c")</f>
        <v>https://tablet.otzar.org/#/book/141475/p/-1/t/1/fs/0/start/0/end/0/c</v>
      </c>
    </row>
    <row r="301" spans="1:8" x14ac:dyDescent="0.25">
      <c r="A301">
        <v>140957</v>
      </c>
      <c r="B301" t="s">
        <v>621</v>
      </c>
      <c r="C301" t="s">
        <v>45</v>
      </c>
      <c r="D301" t="s">
        <v>98</v>
      </c>
      <c r="E301" t="s">
        <v>129</v>
      </c>
      <c r="F301" t="s">
        <v>12</v>
      </c>
      <c r="G301" t="str">
        <f>HYPERLINK(_xlfn.CONCAT("https://tablet.otzar.org/",CHAR(35),"/book/140957/p/-1/t/1/fs/0/start/0/end/0/c"),"בענין פדיון בכורות")</f>
        <v>בענין פדיון בכורות</v>
      </c>
      <c r="H301" t="str">
        <f>_xlfn.CONCAT("https://tablet.otzar.org/",CHAR(35),"/book/140957/p/-1/t/1/fs/0/start/0/end/0/c")</f>
        <v>https://tablet.otzar.org/#/book/140957/p/-1/t/1/fs/0/start/0/end/0/c</v>
      </c>
    </row>
    <row r="302" spans="1:8" x14ac:dyDescent="0.25">
      <c r="A302">
        <v>181531</v>
      </c>
      <c r="B302" t="s">
        <v>622</v>
      </c>
      <c r="C302" t="s">
        <v>623</v>
      </c>
      <c r="D302" t="s">
        <v>191</v>
      </c>
      <c r="E302" t="s">
        <v>62</v>
      </c>
      <c r="F302" t="s">
        <v>12</v>
      </c>
      <c r="G302" t="str">
        <f>HYPERLINK(_xlfn.CONCAT("https://tablet.otzar.org/",CHAR(35),"/book/181531/p/-1/t/1/fs/0/start/0/end/0/c"),"בעקבות סיפורי חז""""ל - א")</f>
        <v>בעקבות סיפורי חז""ל - א</v>
      </c>
      <c r="H302" t="str">
        <f>_xlfn.CONCAT("https://tablet.otzar.org/",CHAR(35),"/book/181531/p/-1/t/1/fs/0/start/0/end/0/c")</f>
        <v>https://tablet.otzar.org/#/book/181531/p/-1/t/1/fs/0/start/0/end/0/c</v>
      </c>
    </row>
    <row r="303" spans="1:8" x14ac:dyDescent="0.25">
      <c r="A303">
        <v>628542</v>
      </c>
      <c r="B303" t="s">
        <v>624</v>
      </c>
      <c r="C303" t="s">
        <v>102</v>
      </c>
      <c r="D303" t="s">
        <v>363</v>
      </c>
      <c r="E303" t="s">
        <v>79</v>
      </c>
      <c r="F303" t="s">
        <v>379</v>
      </c>
      <c r="G303" t="str">
        <f>HYPERLINK(_xlfn.CONCAT("https://tablet.otzar.org/",CHAR(35),"/book/628542/p/-1/t/1/fs/0/start/0/end/0/c"),"בעתה אחישנה")</f>
        <v>בעתה אחישנה</v>
      </c>
      <c r="H303" t="str">
        <f>_xlfn.CONCAT("https://tablet.otzar.org/",CHAR(35),"/book/628542/p/-1/t/1/fs/0/start/0/end/0/c")</f>
        <v>https://tablet.otzar.org/#/book/628542/p/-1/t/1/fs/0/start/0/end/0/c</v>
      </c>
    </row>
    <row r="304" spans="1:8" x14ac:dyDescent="0.25">
      <c r="A304">
        <v>167698</v>
      </c>
      <c r="B304" t="s">
        <v>625</v>
      </c>
      <c r="C304" t="s">
        <v>183</v>
      </c>
      <c r="D304" t="s">
        <v>626</v>
      </c>
      <c r="E304" t="s">
        <v>82</v>
      </c>
      <c r="F304" t="s">
        <v>94</v>
      </c>
      <c r="G304" t="str">
        <f>HYPERLINK(_xlfn.CONCAT("https://tablet.otzar.org/",CHAR(35),"/book/167698/p/-1/t/1/fs/0/start/0/end/0/c"),"בפיך ובלבבך לעשותו")</f>
        <v>בפיך ובלבבך לעשותו</v>
      </c>
      <c r="H304" t="str">
        <f>_xlfn.CONCAT("https://tablet.otzar.org/",CHAR(35),"/book/167698/p/-1/t/1/fs/0/start/0/end/0/c")</f>
        <v>https://tablet.otzar.org/#/book/167698/p/-1/t/1/fs/0/start/0/end/0/c</v>
      </c>
    </row>
    <row r="305" spans="1:8" x14ac:dyDescent="0.25">
      <c r="A305">
        <v>197177</v>
      </c>
      <c r="B305" t="s">
        <v>627</v>
      </c>
      <c r="C305" t="s">
        <v>628</v>
      </c>
      <c r="D305" t="s">
        <v>629</v>
      </c>
      <c r="E305" t="s">
        <v>99</v>
      </c>
      <c r="F305" t="s">
        <v>630</v>
      </c>
      <c r="G305" t="str">
        <f>HYPERLINK(_xlfn.CONCAT("https://tablet.otzar.org/",CHAR(35),"/book/197177/p/-1/t/1/fs/0/start/0/end/0/c"),"בפן החינוכי")</f>
        <v>בפן החינוכי</v>
      </c>
      <c r="H305" t="str">
        <f>_xlfn.CONCAT("https://tablet.otzar.org/",CHAR(35),"/book/197177/p/-1/t/1/fs/0/start/0/end/0/c")</f>
        <v>https://tablet.otzar.org/#/book/197177/p/-1/t/1/fs/0/start/0/end/0/c</v>
      </c>
    </row>
    <row r="306" spans="1:8" x14ac:dyDescent="0.25">
      <c r="A306">
        <v>634919</v>
      </c>
      <c r="B306" t="s">
        <v>631</v>
      </c>
      <c r="C306" t="s">
        <v>632</v>
      </c>
      <c r="D306" t="s">
        <v>191</v>
      </c>
      <c r="E306" t="s">
        <v>64</v>
      </c>
      <c r="F306" t="s">
        <v>12</v>
      </c>
      <c r="G306" t="str">
        <f>HYPERLINK(_xlfn.CONCAT("https://tablet.otzar.org/",CHAR(35),"/book/634919/p/-1/t/1/fs/0/start/0/end/0/c"),"בצל החכמה")</f>
        <v>בצל החכמה</v>
      </c>
      <c r="H306" t="str">
        <f>_xlfn.CONCAT("https://tablet.otzar.org/",CHAR(35),"/book/634919/p/-1/t/1/fs/0/start/0/end/0/c")</f>
        <v>https://tablet.otzar.org/#/book/634919/p/-1/t/1/fs/0/start/0/end/0/c</v>
      </c>
    </row>
    <row r="307" spans="1:8" x14ac:dyDescent="0.25">
      <c r="A307">
        <v>613938</v>
      </c>
      <c r="B307" t="s">
        <v>633</v>
      </c>
      <c r="C307" t="s">
        <v>634</v>
      </c>
      <c r="D307" t="s">
        <v>191</v>
      </c>
      <c r="E307" t="s">
        <v>115</v>
      </c>
      <c r="F307" t="s">
        <v>12</v>
      </c>
      <c r="G307" t="str">
        <f>HYPERLINK(_xlfn.CONCAT("https://tablet.otzar.org/",CHAR(35),"/exKotar/613938"),"בצרור החיים - 6 כרכים")</f>
        <v>בצרור החיים - 6 כרכים</v>
      </c>
      <c r="H307" t="str">
        <f>_xlfn.CONCAT("https://tablet.otzar.org/",CHAR(35),"/exKotar/613938")</f>
        <v>https://tablet.otzar.org/#/exKotar/613938</v>
      </c>
    </row>
    <row r="308" spans="1:8" x14ac:dyDescent="0.25">
      <c r="A308">
        <v>141466</v>
      </c>
      <c r="B308" t="s">
        <v>635</v>
      </c>
      <c r="C308" t="s">
        <v>102</v>
      </c>
      <c r="D308" t="s">
        <v>37</v>
      </c>
      <c r="E308" t="s">
        <v>75</v>
      </c>
      <c r="F308" t="s">
        <v>12</v>
      </c>
      <c r="G308" t="str">
        <f>HYPERLINK(_xlfn.CONCAT("https://tablet.otzar.org/",CHAR(35),"/book/141466/p/-1/t/1/fs/0/start/0/end/0/c"),"בקשו פני")</f>
        <v>בקשו פני</v>
      </c>
      <c r="H308" t="str">
        <f>_xlfn.CONCAT("https://tablet.otzar.org/",CHAR(35),"/book/141466/p/-1/t/1/fs/0/start/0/end/0/c")</f>
        <v>https://tablet.otzar.org/#/book/141466/p/-1/t/1/fs/0/start/0/end/0/c</v>
      </c>
    </row>
    <row r="309" spans="1:8" x14ac:dyDescent="0.25">
      <c r="A309">
        <v>27409</v>
      </c>
      <c r="B309" t="s">
        <v>636</v>
      </c>
      <c r="C309" t="s">
        <v>637</v>
      </c>
      <c r="D309" t="s">
        <v>15</v>
      </c>
      <c r="E309" t="s">
        <v>192</v>
      </c>
      <c r="F309" t="s">
        <v>12</v>
      </c>
      <c r="G309" t="str">
        <f>HYPERLINK(_xlfn.CONCAT("https://tablet.otzar.org/",CHAR(35),"/book/27409/p/-1/t/1/fs/0/start/0/end/0/c"),"ברוך אומר ועושה")</f>
        <v>ברוך אומר ועושה</v>
      </c>
      <c r="H309" t="str">
        <f>_xlfn.CONCAT("https://tablet.otzar.org/",CHAR(35),"/book/27409/p/-1/t/1/fs/0/start/0/end/0/c")</f>
        <v>https://tablet.otzar.org/#/book/27409/p/-1/t/1/fs/0/start/0/end/0/c</v>
      </c>
    </row>
    <row r="310" spans="1:8" x14ac:dyDescent="0.25">
      <c r="A310">
        <v>141476</v>
      </c>
      <c r="B310" t="s">
        <v>638</v>
      </c>
      <c r="C310" t="s">
        <v>639</v>
      </c>
      <c r="D310" t="s">
        <v>28</v>
      </c>
      <c r="E310" t="s">
        <v>66</v>
      </c>
      <c r="F310" t="s">
        <v>12</v>
      </c>
      <c r="G310" t="str">
        <f>HYPERLINK(_xlfn.CONCAT("https://tablet.otzar.org/",CHAR(35),"/book/141476/p/-1/t/1/fs/0/start/0/end/0/c"),"בריש הורמנותא דמלכא")</f>
        <v>בריש הורמנותא דמלכא</v>
      </c>
      <c r="H310" t="str">
        <f>_xlfn.CONCAT("https://tablet.otzar.org/",CHAR(35),"/book/141476/p/-1/t/1/fs/0/start/0/end/0/c")</f>
        <v>https://tablet.otzar.org/#/book/141476/p/-1/t/1/fs/0/start/0/end/0/c</v>
      </c>
    </row>
    <row r="311" spans="1:8" x14ac:dyDescent="0.25">
      <c r="A311">
        <v>643735</v>
      </c>
      <c r="B311" t="s">
        <v>640</v>
      </c>
      <c r="C311" t="s">
        <v>102</v>
      </c>
      <c r="D311" t="s">
        <v>37</v>
      </c>
      <c r="E311" t="s">
        <v>134</v>
      </c>
      <c r="F311" t="s">
        <v>641</v>
      </c>
      <c r="G311" t="str">
        <f>HYPERLINK(_xlfn.CONCAT("https://tablet.otzar.org/",CHAR(35),"/book/643735/p/-1/t/1/fs/0/start/0/end/0/c"),"ברית הנישואין")</f>
        <v>ברית הנישואין</v>
      </c>
      <c r="H311" t="str">
        <f>_xlfn.CONCAT("https://tablet.otzar.org/",CHAR(35),"/book/643735/p/-1/t/1/fs/0/start/0/end/0/c")</f>
        <v>https://tablet.otzar.org/#/book/643735/p/-1/t/1/fs/0/start/0/end/0/c</v>
      </c>
    </row>
    <row r="312" spans="1:8" x14ac:dyDescent="0.25">
      <c r="A312">
        <v>53172</v>
      </c>
      <c r="B312" t="s">
        <v>642</v>
      </c>
      <c r="C312" t="s">
        <v>136</v>
      </c>
      <c r="D312" t="s">
        <v>15</v>
      </c>
      <c r="E312" t="s">
        <v>60</v>
      </c>
      <c r="F312" t="s">
        <v>12</v>
      </c>
      <c r="G312" t="str">
        <f>HYPERLINK(_xlfn.CONCAT("https://tablet.otzar.org/",CHAR(35),"/book/53172/p/-1/t/1/fs/0/start/0/end/0/c"),"ברית נתן")</f>
        <v>ברית נתן</v>
      </c>
      <c r="H312" t="str">
        <f>_xlfn.CONCAT("https://tablet.otzar.org/",CHAR(35),"/book/53172/p/-1/t/1/fs/0/start/0/end/0/c")</f>
        <v>https://tablet.otzar.org/#/book/53172/p/-1/t/1/fs/0/start/0/end/0/c</v>
      </c>
    </row>
    <row r="313" spans="1:8" x14ac:dyDescent="0.25">
      <c r="A313">
        <v>145657</v>
      </c>
      <c r="B313" t="s">
        <v>643</v>
      </c>
      <c r="C313" t="s">
        <v>45</v>
      </c>
      <c r="D313" t="s">
        <v>10</v>
      </c>
      <c r="E313" t="s">
        <v>46</v>
      </c>
      <c r="F313" t="s">
        <v>12</v>
      </c>
      <c r="G313" t="str">
        <f>HYPERLINK(_xlfn.CONCAT("https://tablet.otzar.org/",CHAR(35),"/book/145657/p/-1/t/1/fs/0/start/0/end/0/c"),"ברכות")</f>
        <v>ברכות</v>
      </c>
      <c r="H313" t="str">
        <f>_xlfn.CONCAT("https://tablet.otzar.org/",CHAR(35),"/book/145657/p/-1/t/1/fs/0/start/0/end/0/c")</f>
        <v>https://tablet.otzar.org/#/book/145657/p/-1/t/1/fs/0/start/0/end/0/c</v>
      </c>
    </row>
    <row r="314" spans="1:8" x14ac:dyDescent="0.25">
      <c r="A314">
        <v>141383</v>
      </c>
      <c r="B314" t="s">
        <v>644</v>
      </c>
      <c r="C314" t="s">
        <v>645</v>
      </c>
      <c r="D314" t="s">
        <v>15</v>
      </c>
      <c r="E314" t="s">
        <v>60</v>
      </c>
      <c r="F314" t="s">
        <v>12</v>
      </c>
      <c r="G314" t="str">
        <f>HYPERLINK(_xlfn.CONCAT("https://tablet.otzar.org/",CHAR(35),"/book/141383/p/-1/t/1/fs/0/start/0/end/0/c"),"ברכות הנהנין המבואר")</f>
        <v>ברכות הנהנין המבואר</v>
      </c>
      <c r="H314" t="str">
        <f>_xlfn.CONCAT("https://tablet.otzar.org/",CHAR(35),"/book/141383/p/-1/t/1/fs/0/start/0/end/0/c")</f>
        <v>https://tablet.otzar.org/#/book/141383/p/-1/t/1/fs/0/start/0/end/0/c</v>
      </c>
    </row>
    <row r="315" spans="1:8" x14ac:dyDescent="0.25">
      <c r="A315">
        <v>146388</v>
      </c>
      <c r="B315" t="s">
        <v>646</v>
      </c>
      <c r="C315" t="s">
        <v>647</v>
      </c>
      <c r="D315" t="s">
        <v>648</v>
      </c>
      <c r="E315" t="s">
        <v>29</v>
      </c>
      <c r="F315" t="s">
        <v>319</v>
      </c>
      <c r="G315" t="str">
        <f>HYPERLINK(_xlfn.CONCAT("https://tablet.otzar.org/",CHAR(35),"/book/146388/p/-1/t/1/fs/0/start/0/end/0/c"),"ברכות השחר על פי נוסח האריז""""ל")</f>
        <v>ברכות השחר על פי נוסח האריז""ל</v>
      </c>
      <c r="H315" t="str">
        <f>_xlfn.CONCAT("https://tablet.otzar.org/",CHAR(35),"/book/146388/p/-1/t/1/fs/0/start/0/end/0/c")</f>
        <v>https://tablet.otzar.org/#/book/146388/p/-1/t/1/fs/0/start/0/end/0/c</v>
      </c>
    </row>
    <row r="316" spans="1:8" x14ac:dyDescent="0.25">
      <c r="A316">
        <v>146378</v>
      </c>
      <c r="B316" t="s">
        <v>649</v>
      </c>
      <c r="C316" t="s">
        <v>650</v>
      </c>
      <c r="D316" t="s">
        <v>10</v>
      </c>
      <c r="E316" t="s">
        <v>57</v>
      </c>
      <c r="F316" t="s">
        <v>651</v>
      </c>
      <c r="G316" t="str">
        <f>HYPERLINK(_xlfn.CONCAT("https://tablet.otzar.org/",CHAR(35),"/book/146378/p/-1/t/1/fs/0/start/0/end/0/c"),"ברכת החמה ע""""פ מנהג חב""""ד")</f>
        <v>ברכת החמה ע""פ מנהג חב""ד</v>
      </c>
      <c r="H316" t="str">
        <f>_xlfn.CONCAT("https://tablet.otzar.org/",CHAR(35),"/book/146378/p/-1/t/1/fs/0/start/0/end/0/c")</f>
        <v>https://tablet.otzar.org/#/book/146378/p/-1/t/1/fs/0/start/0/end/0/c</v>
      </c>
    </row>
    <row r="317" spans="1:8" x14ac:dyDescent="0.25">
      <c r="A317">
        <v>150680</v>
      </c>
      <c r="B317" t="s">
        <v>652</v>
      </c>
      <c r="C317" t="s">
        <v>653</v>
      </c>
      <c r="D317" t="s">
        <v>10</v>
      </c>
      <c r="E317" t="s">
        <v>226</v>
      </c>
      <c r="F317" t="s">
        <v>161</v>
      </c>
      <c r="G317" t="str">
        <f>HYPERLINK(_xlfn.CONCAT("https://tablet.otzar.org/",CHAR(35),"/book/150680/p/-1/t/1/fs/0/start/0/end/0/c"),"ברכת החמה ע""""פ מנהג חב""""ד (מהדורה חדשה)")</f>
        <v>ברכת החמה ע""פ מנהג חב""ד (מהדורה חדשה)</v>
      </c>
      <c r="H317" t="str">
        <f>_xlfn.CONCAT("https://tablet.otzar.org/",CHAR(35),"/book/150680/p/-1/t/1/fs/0/start/0/end/0/c")</f>
        <v>https://tablet.otzar.org/#/book/150680/p/-1/t/1/fs/0/start/0/end/0/c</v>
      </c>
    </row>
    <row r="318" spans="1:8" x14ac:dyDescent="0.25">
      <c r="A318">
        <v>162739</v>
      </c>
      <c r="B318" t="s">
        <v>654</v>
      </c>
      <c r="C318" t="s">
        <v>655</v>
      </c>
      <c r="D318" t="s">
        <v>656</v>
      </c>
      <c r="E318" t="s">
        <v>16</v>
      </c>
      <c r="F318" t="s">
        <v>657</v>
      </c>
      <c r="G318" t="str">
        <f>HYPERLINK(_xlfn.CONCAT("https://tablet.otzar.org/",CHAR(35),"/book/162739/p/-1/t/1/fs/0/start/0/end/0/c"),"ברכת המזון ע""""פ ר' נתן שפירא אב""""ד הוראדנא")</f>
        <v>ברכת המזון ע""פ ר' נתן שפירא אב""ד הוראדנא</v>
      </c>
      <c r="H318" t="str">
        <f>_xlfn.CONCAT("https://tablet.otzar.org/",CHAR(35),"/book/162739/p/-1/t/1/fs/0/start/0/end/0/c")</f>
        <v>https://tablet.otzar.org/#/book/162739/p/-1/t/1/fs/0/start/0/end/0/c</v>
      </c>
    </row>
    <row r="319" spans="1:8" x14ac:dyDescent="0.25">
      <c r="A319">
        <v>28011</v>
      </c>
      <c r="B319" t="s">
        <v>658</v>
      </c>
      <c r="C319" t="s">
        <v>658</v>
      </c>
      <c r="D319" t="s">
        <v>10</v>
      </c>
      <c r="E319" t="s">
        <v>174</v>
      </c>
      <c r="F319" t="s">
        <v>12</v>
      </c>
      <c r="G319" t="str">
        <f>HYPERLINK(_xlfn.CONCAT("https://tablet.otzar.org/",CHAR(35),"/book/28011/p/-1/t/1/fs/0/start/0/end/0/c"),"ברכת המזון עם תרגום אנגלי")</f>
        <v>ברכת המזון עם תרגום אנגלי</v>
      </c>
      <c r="H319" t="str">
        <f>_xlfn.CONCAT("https://tablet.otzar.org/",CHAR(35),"/book/28011/p/-1/t/1/fs/0/start/0/end/0/c")</f>
        <v>https://tablet.otzar.org/#/book/28011/p/-1/t/1/fs/0/start/0/end/0/c</v>
      </c>
    </row>
    <row r="320" spans="1:8" x14ac:dyDescent="0.25">
      <c r="A320">
        <v>145485</v>
      </c>
      <c r="B320" t="s">
        <v>659</v>
      </c>
      <c r="C320" t="s">
        <v>660</v>
      </c>
      <c r="E320" t="s">
        <v>661</v>
      </c>
      <c r="F320" t="s">
        <v>251</v>
      </c>
      <c r="G320" t="str">
        <f>HYPERLINK(_xlfn.CONCAT("https://tablet.otzar.org/",CHAR(35),"/book/145485/p/-1/t/1/fs/0/start/0/end/0/c"),"ברשת החנוך - 1-6")</f>
        <v>ברשת החנוך - 1-6</v>
      </c>
      <c r="H320" t="str">
        <f>_xlfn.CONCAT("https://tablet.otzar.org/",CHAR(35),"/book/145485/p/-1/t/1/fs/0/start/0/end/0/c")</f>
        <v>https://tablet.otzar.org/#/book/145485/p/-1/t/1/fs/0/start/0/end/0/c</v>
      </c>
    </row>
    <row r="321" spans="1:8" x14ac:dyDescent="0.25">
      <c r="A321">
        <v>635086</v>
      </c>
      <c r="B321" t="s">
        <v>662</v>
      </c>
      <c r="C321" t="s">
        <v>173</v>
      </c>
      <c r="D321" t="s">
        <v>663</v>
      </c>
      <c r="E321" t="s">
        <v>185</v>
      </c>
      <c r="F321" t="s">
        <v>229</v>
      </c>
      <c r="G321" t="str">
        <f>HYPERLINK(_xlfn.CONCAT("https://tablet.otzar.org/",CHAR(35),"/book/635086/p/-1/t/1/fs/0/start/0/end/0/c"),"בשבילי השולחן")</f>
        <v>בשבילי השולחן</v>
      </c>
      <c r="H321" t="str">
        <f>_xlfn.CONCAT("https://tablet.otzar.org/",CHAR(35),"/book/635086/p/-1/t/1/fs/0/start/0/end/0/c")</f>
        <v>https://tablet.otzar.org/#/book/635086/p/-1/t/1/fs/0/start/0/end/0/c</v>
      </c>
    </row>
    <row r="322" spans="1:8" x14ac:dyDescent="0.25">
      <c r="A322">
        <v>28492</v>
      </c>
      <c r="B322" t="s">
        <v>664</v>
      </c>
      <c r="C322" t="s">
        <v>45</v>
      </c>
      <c r="D322" t="s">
        <v>10</v>
      </c>
      <c r="E322" t="s">
        <v>38</v>
      </c>
      <c r="F322" t="s">
        <v>12</v>
      </c>
      <c r="G322" t="str">
        <f>HYPERLINK(_xlfn.CONCAT("https://tablet.otzar.org/",CHAR(35),"/book/28492/p/-1/t/1/fs/0/start/0/end/0/c"),"בשורת הגאולה")</f>
        <v>בשורת הגאולה</v>
      </c>
      <c r="H322" t="str">
        <f>_xlfn.CONCAT("https://tablet.otzar.org/",CHAR(35),"/book/28492/p/-1/t/1/fs/0/start/0/end/0/c")</f>
        <v>https://tablet.otzar.org/#/book/28492/p/-1/t/1/fs/0/start/0/end/0/c</v>
      </c>
    </row>
    <row r="323" spans="1:8" x14ac:dyDescent="0.25">
      <c r="A323">
        <v>607993</v>
      </c>
      <c r="B323" t="s">
        <v>665</v>
      </c>
      <c r="C323" t="s">
        <v>482</v>
      </c>
      <c r="D323" t="s">
        <v>10</v>
      </c>
      <c r="E323" t="s">
        <v>19</v>
      </c>
      <c r="F323" t="s">
        <v>25</v>
      </c>
      <c r="G323" t="str">
        <f>HYPERLINK(_xlfn.CONCAT("https://tablet.otzar.org/",CHAR(35),"/book/607993/p/-1/t/1/fs/0/start/0/end/0/c"),"בשמן קדשי משחתיו - ב")</f>
        <v>בשמן קדשי משחתיו - ב</v>
      </c>
      <c r="H323" t="str">
        <f>_xlfn.CONCAT("https://tablet.otzar.org/",CHAR(35),"/book/607993/p/-1/t/1/fs/0/start/0/end/0/c")</f>
        <v>https://tablet.otzar.org/#/book/607993/p/-1/t/1/fs/0/start/0/end/0/c</v>
      </c>
    </row>
    <row r="324" spans="1:8" x14ac:dyDescent="0.25">
      <c r="A324">
        <v>26909</v>
      </c>
      <c r="B324" t="s">
        <v>666</v>
      </c>
      <c r="C324" t="s">
        <v>68</v>
      </c>
      <c r="D324" t="s">
        <v>10</v>
      </c>
      <c r="E324" t="s">
        <v>217</v>
      </c>
      <c r="G324" t="str">
        <f>HYPERLINK(_xlfn.CONCAT("https://tablet.otzar.org/",CHAR(35),"/exKotar/26909"),"בשעה שהקדימו - 3 כרכים")</f>
        <v>בשעה שהקדימו - 3 כרכים</v>
      </c>
      <c r="H324" t="str">
        <f>_xlfn.CONCAT("https://tablet.otzar.org/",CHAR(35),"/exKotar/26909")</f>
        <v>https://tablet.otzar.org/#/exKotar/26909</v>
      </c>
    </row>
    <row r="325" spans="1:8" x14ac:dyDescent="0.25">
      <c r="A325">
        <v>622494</v>
      </c>
      <c r="B325" t="s">
        <v>667</v>
      </c>
      <c r="C325" t="s">
        <v>68</v>
      </c>
      <c r="D325" t="s">
        <v>10</v>
      </c>
      <c r="E325" t="s">
        <v>226</v>
      </c>
      <c r="G325" t="str">
        <f>HYPERLINK(_xlfn.CONCAT("https://tablet.otzar.org/",CHAR(35),"/exKotar/622494"),"בשעה שהקדימו &lt;מהדורה חדשה&gt;  - 2 כרכים")</f>
        <v>בשעה שהקדימו &lt;מהדורה חדשה&gt;  - 2 כרכים</v>
      </c>
      <c r="H325" t="str">
        <f>_xlfn.CONCAT("https://tablet.otzar.org/",CHAR(35),"/exKotar/622494")</f>
        <v>https://tablet.otzar.org/#/exKotar/622494</v>
      </c>
    </row>
    <row r="326" spans="1:8" x14ac:dyDescent="0.25">
      <c r="A326">
        <v>173572</v>
      </c>
      <c r="B326" t="s">
        <v>668</v>
      </c>
      <c r="C326" t="s">
        <v>68</v>
      </c>
      <c r="D326" t="s">
        <v>10</v>
      </c>
      <c r="E326" t="s">
        <v>82</v>
      </c>
      <c r="F326" t="s">
        <v>12</v>
      </c>
      <c r="G326" t="str">
        <f>HYPERLINK(_xlfn.CONCAT("https://tablet.otzar.org/",CHAR(35),"/book/173572/p/-1/t/1/fs/0/start/0/end/0/c"),"בשעה שהקדימו תער""""ב")</f>
        <v>בשעה שהקדימו תער""ב</v>
      </c>
      <c r="H326" t="str">
        <f>_xlfn.CONCAT("https://tablet.otzar.org/",CHAR(35),"/book/173572/p/-1/t/1/fs/0/start/0/end/0/c")</f>
        <v>https://tablet.otzar.org/#/book/173572/p/-1/t/1/fs/0/start/0/end/0/c</v>
      </c>
    </row>
    <row r="327" spans="1:8" x14ac:dyDescent="0.25">
      <c r="A327">
        <v>639873</v>
      </c>
      <c r="B327" t="s">
        <v>669</v>
      </c>
      <c r="C327" t="s">
        <v>670</v>
      </c>
      <c r="E327" t="s">
        <v>24</v>
      </c>
      <c r="F327" t="s">
        <v>12</v>
      </c>
      <c r="G327" t="str">
        <f>HYPERLINK(_xlfn.CONCAT("https://tablet.otzar.org/",CHAR(35),"/book/639873/p/-1/t/1/fs/0/start/0/end/0/c"),"בשעריך התניא")</f>
        <v>בשעריך התניא</v>
      </c>
      <c r="H327" t="str">
        <f>_xlfn.CONCAT("https://tablet.otzar.org/",CHAR(35),"/book/639873/p/-1/t/1/fs/0/start/0/end/0/c")</f>
        <v>https://tablet.otzar.org/#/book/639873/p/-1/t/1/fs/0/start/0/end/0/c</v>
      </c>
    </row>
    <row r="328" spans="1:8" x14ac:dyDescent="0.25">
      <c r="A328">
        <v>142707</v>
      </c>
      <c r="B328" t="s">
        <v>671</v>
      </c>
      <c r="C328" t="s">
        <v>45</v>
      </c>
      <c r="D328" t="s">
        <v>28</v>
      </c>
      <c r="E328" t="s">
        <v>103</v>
      </c>
      <c r="F328" t="s">
        <v>12</v>
      </c>
      <c r="G328" t="str">
        <f>HYPERLINK(_xlfn.CONCAT("https://tablet.otzar.org/",CHAR(35),"/book/142707/p/-1/t/1/fs/0/start/0/end/0/c"),"בת י""""ב למצוות")</f>
        <v>בת י""ב למצוות</v>
      </c>
      <c r="H328" t="str">
        <f>_xlfn.CONCAT("https://tablet.otzar.org/",CHAR(35),"/book/142707/p/-1/t/1/fs/0/start/0/end/0/c")</f>
        <v>https://tablet.otzar.org/#/book/142707/p/-1/t/1/fs/0/start/0/end/0/c</v>
      </c>
    </row>
    <row r="329" spans="1:8" x14ac:dyDescent="0.25">
      <c r="A329">
        <v>614804</v>
      </c>
      <c r="B329" t="s">
        <v>672</v>
      </c>
      <c r="C329" t="s">
        <v>673</v>
      </c>
      <c r="D329" t="s">
        <v>28</v>
      </c>
      <c r="E329" t="s">
        <v>250</v>
      </c>
      <c r="F329" t="s">
        <v>12</v>
      </c>
      <c r="G329" t="str">
        <f>HYPERLINK(_xlfn.CONCAT("https://tablet.otzar.org/",CHAR(35),"/book/614804/p/-1/t/1/fs/0/start/0/end/0/c"),"בת מלך - בעקבות הרבניות")</f>
        <v>בת מלך - בעקבות הרבניות</v>
      </c>
      <c r="H329" t="str">
        <f>_xlfn.CONCAT("https://tablet.otzar.org/",CHAR(35),"/book/614804/p/-1/t/1/fs/0/start/0/end/0/c")</f>
        <v>https://tablet.otzar.org/#/book/614804/p/-1/t/1/fs/0/start/0/end/0/c</v>
      </c>
    </row>
    <row r="330" spans="1:8" x14ac:dyDescent="0.25">
      <c r="A330">
        <v>142339</v>
      </c>
      <c r="B330" t="s">
        <v>674</v>
      </c>
      <c r="C330" t="s">
        <v>675</v>
      </c>
      <c r="D330" t="s">
        <v>15</v>
      </c>
      <c r="E330" t="s">
        <v>60</v>
      </c>
      <c r="F330" t="s">
        <v>12</v>
      </c>
      <c r="G330" t="str">
        <f>HYPERLINK(_xlfn.CONCAT("https://tablet.otzar.org/",CHAR(35),"/exKotar/142339"),"בתבונה בונה ביתה - 4 כרכים")</f>
        <v>בתבונה בונה ביתה - 4 כרכים</v>
      </c>
      <c r="H330" t="str">
        <f>_xlfn.CONCAT("https://tablet.otzar.org/",CHAR(35),"/exKotar/142339")</f>
        <v>https://tablet.otzar.org/#/exKotar/142339</v>
      </c>
    </row>
    <row r="331" spans="1:8" x14ac:dyDescent="0.25">
      <c r="A331">
        <v>607828</v>
      </c>
      <c r="B331" t="s">
        <v>676</v>
      </c>
      <c r="C331" t="s">
        <v>122</v>
      </c>
      <c r="E331" t="s">
        <v>91</v>
      </c>
      <c r="F331" t="s">
        <v>43</v>
      </c>
      <c r="G331" t="str">
        <f>HYPERLINK(_xlfn.CONCAT("https://tablet.otzar.org/",CHAR(35),"/book/607828/p/-1/t/1/fs/0/start/0/end/0/c"),"גאולה בפרשה")</f>
        <v>גאולה בפרשה</v>
      </c>
      <c r="H331" t="str">
        <f>_xlfn.CONCAT("https://tablet.otzar.org/",CHAR(35),"/book/607828/p/-1/t/1/fs/0/start/0/end/0/c")</f>
        <v>https://tablet.otzar.org/#/book/607828/p/-1/t/1/fs/0/start/0/end/0/c</v>
      </c>
    </row>
    <row r="332" spans="1:8" x14ac:dyDescent="0.25">
      <c r="A332">
        <v>145953</v>
      </c>
      <c r="B332" t="s">
        <v>677</v>
      </c>
      <c r="C332" t="s">
        <v>678</v>
      </c>
      <c r="D332" t="s">
        <v>28</v>
      </c>
      <c r="E332" t="s">
        <v>91</v>
      </c>
      <c r="F332" t="s">
        <v>319</v>
      </c>
      <c r="G332" t="str">
        <f>HYPERLINK(_xlfn.CONCAT("https://tablet.otzar.org/",CHAR(35),"/book/145953/p/-1/t/1/fs/0/start/0/end/0/c"),"גאולה ומשיח באור ההלכה")</f>
        <v>גאולה ומשיח באור ההלכה</v>
      </c>
      <c r="H332" t="str">
        <f>_xlfn.CONCAT("https://tablet.otzar.org/",CHAR(35),"/book/145953/p/-1/t/1/fs/0/start/0/end/0/c")</f>
        <v>https://tablet.otzar.org/#/book/145953/p/-1/t/1/fs/0/start/0/end/0/c</v>
      </c>
    </row>
    <row r="333" spans="1:8" x14ac:dyDescent="0.25">
      <c r="A333">
        <v>141664</v>
      </c>
      <c r="B333" t="s">
        <v>679</v>
      </c>
      <c r="C333" t="s">
        <v>680</v>
      </c>
      <c r="D333" t="s">
        <v>681</v>
      </c>
      <c r="E333" t="s">
        <v>60</v>
      </c>
      <c r="F333" t="s">
        <v>12</v>
      </c>
      <c r="G333" t="str">
        <f>HYPERLINK(_xlfn.CONCAT("https://tablet.otzar.org/",CHAR(35),"/book/141664/p/-1/t/1/fs/0/start/0/end/0/c"),"גאון וחסיד")</f>
        <v>גאון וחסיד</v>
      </c>
      <c r="H333" t="str">
        <f>_xlfn.CONCAT("https://tablet.otzar.org/",CHAR(35),"/book/141664/p/-1/t/1/fs/0/start/0/end/0/c")</f>
        <v>https://tablet.otzar.org/#/book/141664/p/-1/t/1/fs/0/start/0/end/0/c</v>
      </c>
    </row>
    <row r="334" spans="1:8" x14ac:dyDescent="0.25">
      <c r="A334">
        <v>26947</v>
      </c>
      <c r="B334" t="s">
        <v>682</v>
      </c>
      <c r="C334" t="s">
        <v>683</v>
      </c>
      <c r="D334" t="s">
        <v>684</v>
      </c>
      <c r="E334" t="s">
        <v>382</v>
      </c>
      <c r="F334" t="s">
        <v>12</v>
      </c>
      <c r="G334" t="str">
        <f>HYPERLINK(_xlfn.CONCAT("https://tablet.otzar.org/",CHAR(35),"/book/26947/p/-1/t/1/fs/0/start/0/end/0/c"),"גבורה יהודית במלכות הרשע")</f>
        <v>גבורה יהודית במלכות הרשע</v>
      </c>
      <c r="H334" t="str">
        <f>_xlfn.CONCAT("https://tablet.otzar.org/",CHAR(35),"/book/26947/p/-1/t/1/fs/0/start/0/end/0/c")</f>
        <v>https://tablet.otzar.org/#/book/26947/p/-1/t/1/fs/0/start/0/end/0/c</v>
      </c>
    </row>
    <row r="335" spans="1:8" x14ac:dyDescent="0.25">
      <c r="A335">
        <v>27473</v>
      </c>
      <c r="B335" t="s">
        <v>685</v>
      </c>
      <c r="C335" t="s">
        <v>685</v>
      </c>
      <c r="D335" t="s">
        <v>28</v>
      </c>
      <c r="E335" t="s">
        <v>54</v>
      </c>
      <c r="F335" t="s">
        <v>12</v>
      </c>
      <c r="G335" t="str">
        <f>HYPERLINK(_xlfn.CONCAT("https://tablet.otzar.org/",CHAR(35),"/book/27473/p/-1/t/1/fs/0/start/0/end/0/c"),"גבורות מנחם")</f>
        <v>גבורות מנחם</v>
      </c>
      <c r="H335" t="str">
        <f>_xlfn.CONCAT("https://tablet.otzar.org/",CHAR(35),"/book/27473/p/-1/t/1/fs/0/start/0/end/0/c")</f>
        <v>https://tablet.otzar.org/#/book/27473/p/-1/t/1/fs/0/start/0/end/0/c</v>
      </c>
    </row>
    <row r="336" spans="1:8" x14ac:dyDescent="0.25">
      <c r="A336">
        <v>643292</v>
      </c>
      <c r="B336" t="s">
        <v>686</v>
      </c>
      <c r="C336" t="s">
        <v>687</v>
      </c>
      <c r="D336" t="s">
        <v>374</v>
      </c>
      <c r="E336" t="s">
        <v>24</v>
      </c>
      <c r="G336" t="str">
        <f>HYPERLINK(_xlfn.CONCAT("https://tablet.otzar.org/",CHAR(35),"/book/643292/p/-1/t/1/fs/0/start/0/end/0/c"),"גבורי העם שלנו")</f>
        <v>גבורי העם שלנו</v>
      </c>
      <c r="H336" t="str">
        <f>_xlfn.CONCAT("https://tablet.otzar.org/",CHAR(35),"/book/643292/p/-1/t/1/fs/0/start/0/end/0/c")</f>
        <v>https://tablet.otzar.org/#/book/643292/p/-1/t/1/fs/0/start/0/end/0/c</v>
      </c>
    </row>
    <row r="337" spans="1:8" x14ac:dyDescent="0.25">
      <c r="A337">
        <v>141413</v>
      </c>
      <c r="B337" t="s">
        <v>688</v>
      </c>
      <c r="C337" t="s">
        <v>689</v>
      </c>
      <c r="D337" t="s">
        <v>387</v>
      </c>
      <c r="E337" t="s">
        <v>145</v>
      </c>
      <c r="F337" t="s">
        <v>12</v>
      </c>
      <c r="G337" t="str">
        <f>HYPERLINK(_xlfn.CONCAT("https://tablet.otzar.org/",CHAR(35),"/book/141413/p/-1/t/1/fs/0/start/0/end/0/c"),"גדולי תורה על החזרת שטחים")</f>
        <v>גדולי תורה על החזרת שטחים</v>
      </c>
      <c r="H337" t="str">
        <f>_xlfn.CONCAT("https://tablet.otzar.org/",CHAR(35),"/book/141413/p/-1/t/1/fs/0/start/0/end/0/c")</f>
        <v>https://tablet.otzar.org/#/book/141413/p/-1/t/1/fs/0/start/0/end/0/c</v>
      </c>
    </row>
    <row r="338" spans="1:8" x14ac:dyDescent="0.25">
      <c r="A338">
        <v>27574</v>
      </c>
      <c r="B338" t="s">
        <v>690</v>
      </c>
      <c r="C338" t="s">
        <v>45</v>
      </c>
      <c r="D338" t="s">
        <v>10</v>
      </c>
      <c r="E338" t="s">
        <v>40</v>
      </c>
      <c r="F338" t="s">
        <v>12</v>
      </c>
      <c r="G338" t="str">
        <f>HYPERLINK(_xlfn.CONCAT("https://tablet.otzar.org/",CHAR(35),"/book/27574/p/-1/t/1/fs/0/start/0/end/0/c"),"גדרן של מצות")</f>
        <v>גדרן של מצות</v>
      </c>
      <c r="H338" t="str">
        <f>_xlfn.CONCAT("https://tablet.otzar.org/",CHAR(35),"/book/27574/p/-1/t/1/fs/0/start/0/end/0/c")</f>
        <v>https://tablet.otzar.org/#/book/27574/p/-1/t/1/fs/0/start/0/end/0/c</v>
      </c>
    </row>
    <row r="339" spans="1:8" x14ac:dyDescent="0.25">
      <c r="A339">
        <v>643033</v>
      </c>
      <c r="B339" t="s">
        <v>691</v>
      </c>
      <c r="C339" t="s">
        <v>691</v>
      </c>
      <c r="D339" t="s">
        <v>410</v>
      </c>
      <c r="E339" t="s">
        <v>185</v>
      </c>
      <c r="F339" t="s">
        <v>12</v>
      </c>
      <c r="G339" t="str">
        <f>HYPERLINK(_xlfn.CONCAT("https://tablet.otzar.org/",CHAR(35),"/book/643033/p/-1/t/1/fs/0/start/0/end/0/c"),"גוט שבת מוסקבה")</f>
        <v>גוט שבת מוסקבה</v>
      </c>
      <c r="H339" t="str">
        <f>_xlfn.CONCAT("https://tablet.otzar.org/",CHAR(35),"/book/643033/p/-1/t/1/fs/0/start/0/end/0/c")</f>
        <v>https://tablet.otzar.org/#/book/643033/p/-1/t/1/fs/0/start/0/end/0/c</v>
      </c>
    </row>
    <row r="340" spans="1:8" x14ac:dyDescent="0.25">
      <c r="A340">
        <v>628546</v>
      </c>
      <c r="B340" t="s">
        <v>692</v>
      </c>
      <c r="C340" t="s">
        <v>102</v>
      </c>
      <c r="D340" t="s">
        <v>15</v>
      </c>
      <c r="E340" t="s">
        <v>60</v>
      </c>
      <c r="F340" t="s">
        <v>163</v>
      </c>
      <c r="G340" t="str">
        <f>HYPERLINK(_xlfn.CONCAT("https://tablet.otzar.org/",CHAR(35),"/book/628546/p/-1/t/1/fs/0/start/0/end/0/c"),"גוף נפש ונשמה")</f>
        <v>גוף נפש ונשמה</v>
      </c>
      <c r="H340" t="str">
        <f>_xlfn.CONCAT("https://tablet.otzar.org/",CHAR(35),"/book/628546/p/-1/t/1/fs/0/start/0/end/0/c")</f>
        <v>https://tablet.otzar.org/#/book/628546/p/-1/t/1/fs/0/start/0/end/0/c</v>
      </c>
    </row>
    <row r="341" spans="1:8" x14ac:dyDescent="0.25">
      <c r="A341">
        <v>646552</v>
      </c>
      <c r="B341" t="s">
        <v>693</v>
      </c>
      <c r="C341" t="s">
        <v>402</v>
      </c>
      <c r="F341" t="s">
        <v>694</v>
      </c>
      <c r="G341" t="str">
        <f>HYPERLINK(_xlfn.CONCAT("https://tablet.otzar.org/",CHAR(35),"/book/646552/p/-1/t/1/fs/0/start/0/end/0/c"),"גזע חסידים")</f>
        <v>גזע חסידים</v>
      </c>
      <c r="H341" t="str">
        <f>_xlfn.CONCAT("https://tablet.otzar.org/",CHAR(35),"/book/646552/p/-1/t/1/fs/0/start/0/end/0/c")</f>
        <v>https://tablet.otzar.org/#/book/646552/p/-1/t/1/fs/0/start/0/end/0/c</v>
      </c>
    </row>
    <row r="342" spans="1:8" x14ac:dyDescent="0.25">
      <c r="A342">
        <v>632295</v>
      </c>
      <c r="B342" t="s">
        <v>695</v>
      </c>
      <c r="C342" t="s">
        <v>696</v>
      </c>
      <c r="D342" t="s">
        <v>28</v>
      </c>
      <c r="E342" t="s">
        <v>185</v>
      </c>
      <c r="F342" t="s">
        <v>163</v>
      </c>
      <c r="G342" t="str">
        <f>HYPERLINK(_xlfn.CONCAT("https://tablet.otzar.org/",CHAR(35),"/book/632295/p/-1/t/1/fs/0/start/0/end/0/c"),"גזע קודש מחצבתם")</f>
        <v>גזע קודש מחצבתם</v>
      </c>
      <c r="H342" t="str">
        <f>_xlfn.CONCAT("https://tablet.otzar.org/",CHAR(35),"/book/632295/p/-1/t/1/fs/0/start/0/end/0/c")</f>
        <v>https://tablet.otzar.org/#/book/632295/p/-1/t/1/fs/0/start/0/end/0/c</v>
      </c>
    </row>
    <row r="343" spans="1:8" x14ac:dyDescent="0.25">
      <c r="A343">
        <v>169905</v>
      </c>
      <c r="B343" t="s">
        <v>697</v>
      </c>
      <c r="C343" t="s">
        <v>48</v>
      </c>
      <c r="D343" t="s">
        <v>28</v>
      </c>
      <c r="E343" t="s">
        <v>82</v>
      </c>
      <c r="F343" t="s">
        <v>12</v>
      </c>
      <c r="G343" t="str">
        <f>HYPERLINK(_xlfn.CONCAT("https://tablet.otzar.org/",CHAR(35),"/book/169905/p/-1/t/1/fs/0/start/0/end/0/c"),"גידול זקן")</f>
        <v>גידול זקן</v>
      </c>
      <c r="H343" t="str">
        <f>_xlfn.CONCAT("https://tablet.otzar.org/",CHAR(35),"/book/169905/p/-1/t/1/fs/0/start/0/end/0/c")</f>
        <v>https://tablet.otzar.org/#/book/169905/p/-1/t/1/fs/0/start/0/end/0/c</v>
      </c>
    </row>
    <row r="344" spans="1:8" x14ac:dyDescent="0.25">
      <c r="A344">
        <v>141367</v>
      </c>
      <c r="B344" t="s">
        <v>698</v>
      </c>
      <c r="C344" t="s">
        <v>125</v>
      </c>
      <c r="D344" t="s">
        <v>37</v>
      </c>
      <c r="E344" t="s">
        <v>181</v>
      </c>
      <c r="F344" t="s">
        <v>12</v>
      </c>
      <c r="G344" t="str">
        <f>HYPERLINK(_xlfn.CONCAT("https://tablet.otzar.org/",CHAR(35),"/book/141367/p/-1/t/1/fs/0/start/0/end/0/c"),"גינת ביתן המלך")</f>
        <v>גינת ביתן המלך</v>
      </c>
      <c r="H344" t="str">
        <f>_xlfn.CONCAT("https://tablet.otzar.org/",CHAR(35),"/book/141367/p/-1/t/1/fs/0/start/0/end/0/c")</f>
        <v>https://tablet.otzar.org/#/book/141367/p/-1/t/1/fs/0/start/0/end/0/c</v>
      </c>
    </row>
    <row r="345" spans="1:8" x14ac:dyDescent="0.25">
      <c r="A345">
        <v>27278</v>
      </c>
      <c r="B345" t="s">
        <v>699</v>
      </c>
      <c r="C345" t="s">
        <v>125</v>
      </c>
      <c r="D345" t="s">
        <v>37</v>
      </c>
      <c r="E345" t="s">
        <v>64</v>
      </c>
      <c r="F345" t="s">
        <v>12</v>
      </c>
      <c r="G345" t="str">
        <f>HYPERLINK(_xlfn.CONCAT("https://tablet.otzar.org/",CHAR(35),"/book/27278/p/-1/t/1/fs/0/start/0/end/0/c"),"גינת המלך")</f>
        <v>גינת המלך</v>
      </c>
      <c r="H345" t="str">
        <f>_xlfn.CONCAT("https://tablet.otzar.org/",CHAR(35),"/book/27278/p/-1/t/1/fs/0/start/0/end/0/c")</f>
        <v>https://tablet.otzar.org/#/book/27278/p/-1/t/1/fs/0/start/0/end/0/c</v>
      </c>
    </row>
    <row r="346" spans="1:8" x14ac:dyDescent="0.25">
      <c r="A346">
        <v>630554</v>
      </c>
      <c r="B346" t="s">
        <v>700</v>
      </c>
      <c r="C346" t="s">
        <v>701</v>
      </c>
      <c r="D346" t="s">
        <v>702</v>
      </c>
      <c r="E346" t="s">
        <v>11</v>
      </c>
      <c r="F346" t="s">
        <v>12</v>
      </c>
      <c r="G346" t="str">
        <f>HYPERLINK(_xlfn.CONCAT("https://tablet.otzar.org/",CHAR(35),"/exKotar/630554"),"גל עיני - 2 כרכים")</f>
        <v>גל עיני - 2 כרכים</v>
      </c>
      <c r="H346" t="str">
        <f>_xlfn.CONCAT("https://tablet.otzar.org/",CHAR(35),"/exKotar/630554")</f>
        <v>https://tablet.otzar.org/#/exKotar/630554</v>
      </c>
    </row>
    <row r="347" spans="1:8" x14ac:dyDescent="0.25">
      <c r="A347">
        <v>687704</v>
      </c>
      <c r="B347" t="s">
        <v>703</v>
      </c>
      <c r="C347" t="s">
        <v>704</v>
      </c>
      <c r="D347" t="s">
        <v>15</v>
      </c>
      <c r="E347" t="s">
        <v>705</v>
      </c>
      <c r="F347" t="s">
        <v>251</v>
      </c>
      <c r="G347" t="str">
        <f>HYPERLINK(_xlfn.CONCAT("https://tablet.otzar.org/",CHAR(35),"/exKotar/687704"),"גנזיא - 3 כרכים")</f>
        <v>גנזיא - 3 כרכים</v>
      </c>
      <c r="H347" t="str">
        <f>_xlfn.CONCAT("https://tablet.otzar.org/",CHAR(35),"/exKotar/687704")</f>
        <v>https://tablet.otzar.org/#/exKotar/687704</v>
      </c>
    </row>
    <row r="348" spans="1:8" x14ac:dyDescent="0.25">
      <c r="A348">
        <v>85019</v>
      </c>
      <c r="B348" t="s">
        <v>706</v>
      </c>
      <c r="C348" t="s">
        <v>125</v>
      </c>
      <c r="D348" t="s">
        <v>15</v>
      </c>
      <c r="E348" t="s">
        <v>226</v>
      </c>
      <c r="F348" t="s">
        <v>12</v>
      </c>
      <c r="G348" t="str">
        <f>HYPERLINK(_xlfn.CONCAT("https://tablet.otzar.org/",CHAR(35),"/book/85019/p/-1/t/1/fs/0/start/0/end/0/c"),"דבר בקדשו")</f>
        <v>דבר בקדשו</v>
      </c>
      <c r="H348" t="str">
        <f>_xlfn.CONCAT("https://tablet.otzar.org/",CHAR(35),"/book/85019/p/-1/t/1/fs/0/start/0/end/0/c")</f>
        <v>https://tablet.otzar.org/#/book/85019/p/-1/t/1/fs/0/start/0/end/0/c</v>
      </c>
    </row>
    <row r="349" spans="1:8" x14ac:dyDescent="0.25">
      <c r="A349">
        <v>141441</v>
      </c>
      <c r="B349" t="s">
        <v>707</v>
      </c>
      <c r="C349" t="s">
        <v>45</v>
      </c>
      <c r="D349" t="s">
        <v>15</v>
      </c>
      <c r="E349" t="s">
        <v>103</v>
      </c>
      <c r="F349" t="s">
        <v>12</v>
      </c>
      <c r="G349" t="str">
        <f>HYPERLINK(_xlfn.CONCAT("https://tablet.otzar.org/",CHAR(35),"/exKotar/141441"),"דבר מלך - 2 כרכים")</f>
        <v>דבר מלך - 2 כרכים</v>
      </c>
      <c r="H349" t="str">
        <f>_xlfn.CONCAT("https://tablet.otzar.org/",CHAR(35),"/exKotar/141441")</f>
        <v>https://tablet.otzar.org/#/exKotar/141441</v>
      </c>
    </row>
    <row r="350" spans="1:8" x14ac:dyDescent="0.25">
      <c r="A350">
        <v>639917</v>
      </c>
      <c r="B350" t="s">
        <v>708</v>
      </c>
      <c r="C350" t="s">
        <v>45</v>
      </c>
      <c r="E350" t="s">
        <v>185</v>
      </c>
      <c r="F350" t="s">
        <v>12</v>
      </c>
      <c r="G350" t="str">
        <f>HYPERLINK(_xlfn.CONCAT("https://tablet.otzar.org/",CHAR(35),"/exKotar/639917"),"דבר מלכות - 6 כרכים")</f>
        <v>דבר מלכות - 6 כרכים</v>
      </c>
      <c r="H350" t="str">
        <f>_xlfn.CONCAT("https://tablet.otzar.org/",CHAR(35),"/exKotar/639917")</f>
        <v>https://tablet.otzar.org/#/exKotar/639917</v>
      </c>
    </row>
    <row r="351" spans="1:8" x14ac:dyDescent="0.25">
      <c r="A351">
        <v>194303</v>
      </c>
      <c r="B351" t="s">
        <v>709</v>
      </c>
      <c r="C351" t="s">
        <v>710</v>
      </c>
      <c r="D351" t="s">
        <v>28</v>
      </c>
      <c r="E351" t="s">
        <v>91</v>
      </c>
      <c r="F351" t="s">
        <v>12</v>
      </c>
      <c r="G351" t="str">
        <f>HYPERLINK(_xlfn.CONCAT("https://tablet.otzar.org/",CHAR(35),"/book/194303/p/-1/t/1/fs/0/start/0/end/0/c"),"דבר מלכות מבואר - א")</f>
        <v>דבר מלכות מבואר - א</v>
      </c>
      <c r="H351" t="str">
        <f>_xlfn.CONCAT("https://tablet.otzar.org/",CHAR(35),"/book/194303/p/-1/t/1/fs/0/start/0/end/0/c")</f>
        <v>https://tablet.otzar.org/#/book/194303/p/-1/t/1/fs/0/start/0/end/0/c</v>
      </c>
    </row>
    <row r="352" spans="1:8" x14ac:dyDescent="0.25">
      <c r="A352">
        <v>27572</v>
      </c>
      <c r="B352" t="s">
        <v>711</v>
      </c>
      <c r="C352" t="s">
        <v>712</v>
      </c>
      <c r="D352" t="s">
        <v>10</v>
      </c>
      <c r="E352" t="s">
        <v>103</v>
      </c>
      <c r="F352" t="s">
        <v>12</v>
      </c>
      <c r="G352" t="str">
        <f>HYPERLINK(_xlfn.CONCAT("https://tablet.otzar.org/",CHAR(35),"/book/27572/p/-1/t/1/fs/0/start/0/end/0/c"),"דברי העדות שכתב אדמו""""ר הזקן")</f>
        <v>דברי העדות שכתב אדמו""ר הזקן</v>
      </c>
      <c r="H352" t="str">
        <f>_xlfn.CONCAT("https://tablet.otzar.org/",CHAR(35),"/book/27572/p/-1/t/1/fs/0/start/0/end/0/c")</f>
        <v>https://tablet.otzar.org/#/book/27572/p/-1/t/1/fs/0/start/0/end/0/c</v>
      </c>
    </row>
    <row r="353" spans="1:8" x14ac:dyDescent="0.25">
      <c r="A353">
        <v>27200</v>
      </c>
      <c r="B353" t="s">
        <v>713</v>
      </c>
      <c r="C353" t="s">
        <v>59</v>
      </c>
      <c r="D353" t="s">
        <v>10</v>
      </c>
      <c r="E353" t="s">
        <v>174</v>
      </c>
      <c r="G353" t="str">
        <f>HYPERLINK(_xlfn.CONCAT("https://tablet.otzar.org/",CHAR(35),"/book/27200/p/-1/t/1/fs/0/start/0/end/0/c"),"דברי ימי החוזרים")</f>
        <v>דברי ימי החוזרים</v>
      </c>
      <c r="H353" t="str">
        <f>_xlfn.CONCAT("https://tablet.otzar.org/",CHAR(35),"/book/27200/p/-1/t/1/fs/0/start/0/end/0/c")</f>
        <v>https://tablet.otzar.org/#/book/27200/p/-1/t/1/fs/0/start/0/end/0/c</v>
      </c>
    </row>
    <row r="354" spans="1:8" x14ac:dyDescent="0.25">
      <c r="A354">
        <v>29308</v>
      </c>
      <c r="B354" t="s">
        <v>714</v>
      </c>
      <c r="C354" t="s">
        <v>59</v>
      </c>
      <c r="D354" t="s">
        <v>10</v>
      </c>
      <c r="E354" t="s">
        <v>79</v>
      </c>
      <c r="F354" t="s">
        <v>12</v>
      </c>
      <c r="G354" t="str">
        <f>HYPERLINK(_xlfn.CONCAT("https://tablet.otzar.org/",CHAR(35),"/book/29308/p/-1/t/1/fs/0/start/0/end/0/c"),"דברי ימי הרבנית רבקה")</f>
        <v>דברי ימי הרבנית רבקה</v>
      </c>
      <c r="H354" t="str">
        <f>_xlfn.CONCAT("https://tablet.otzar.org/",CHAR(35),"/book/29308/p/-1/t/1/fs/0/start/0/end/0/c")</f>
        <v>https://tablet.otzar.org/#/book/29308/p/-1/t/1/fs/0/start/0/end/0/c</v>
      </c>
    </row>
    <row r="355" spans="1:8" x14ac:dyDescent="0.25">
      <c r="A355">
        <v>141442</v>
      </c>
      <c r="B355" t="s">
        <v>715</v>
      </c>
      <c r="C355" t="s">
        <v>36</v>
      </c>
      <c r="D355" t="s">
        <v>37</v>
      </c>
      <c r="E355" t="s">
        <v>40</v>
      </c>
      <c r="F355" t="s">
        <v>12</v>
      </c>
      <c r="G355" t="str">
        <f>HYPERLINK(_xlfn.CONCAT("https://tablet.otzar.org/",CHAR(35),"/book/141442/p/-1/t/1/fs/0/start/0/end/0/c"),"דברי שלום")</f>
        <v>דברי שלום</v>
      </c>
      <c r="H355" t="str">
        <f>_xlfn.CONCAT("https://tablet.otzar.org/",CHAR(35),"/book/141442/p/-1/t/1/fs/0/start/0/end/0/c")</f>
        <v>https://tablet.otzar.org/#/book/141442/p/-1/t/1/fs/0/start/0/end/0/c</v>
      </c>
    </row>
    <row r="356" spans="1:8" x14ac:dyDescent="0.25">
      <c r="A356">
        <v>145940</v>
      </c>
      <c r="B356" t="s">
        <v>716</v>
      </c>
      <c r="C356" t="s">
        <v>125</v>
      </c>
      <c r="D356" t="s">
        <v>387</v>
      </c>
      <c r="E356" t="s">
        <v>38</v>
      </c>
      <c r="F356" t="s">
        <v>12</v>
      </c>
      <c r="G356" t="str">
        <f>HYPERLINK(_xlfn.CONCAT("https://tablet.otzar.org/",CHAR(35),"/book/145940/p/-1/t/1/fs/0/start/0/end/0/c"),"דברי שלום ואמת")</f>
        <v>דברי שלום ואמת</v>
      </c>
      <c r="H356" t="str">
        <f>_xlfn.CONCAT("https://tablet.otzar.org/",CHAR(35),"/book/145940/p/-1/t/1/fs/0/start/0/end/0/c")</f>
        <v>https://tablet.otzar.org/#/book/145940/p/-1/t/1/fs/0/start/0/end/0/c</v>
      </c>
    </row>
    <row r="357" spans="1:8" x14ac:dyDescent="0.25">
      <c r="A357">
        <v>140928</v>
      </c>
      <c r="B357" t="s">
        <v>717</v>
      </c>
      <c r="C357" t="s">
        <v>717</v>
      </c>
      <c r="D357" t="s">
        <v>28</v>
      </c>
      <c r="E357" t="s">
        <v>181</v>
      </c>
      <c r="F357" t="s">
        <v>12</v>
      </c>
      <c r="G357" t="str">
        <f>HYPERLINK(_xlfn.CONCAT("https://tablet.otzar.org/",CHAR(35),"/book/140928/p/-1/t/1/fs/0/start/0/end/0/c"),"דברי שלום וברכה")</f>
        <v>דברי שלום וברכה</v>
      </c>
      <c r="H357" t="str">
        <f>_xlfn.CONCAT("https://tablet.otzar.org/",CHAR(35),"/book/140928/p/-1/t/1/fs/0/start/0/end/0/c")</f>
        <v>https://tablet.otzar.org/#/book/140928/p/-1/t/1/fs/0/start/0/end/0/c</v>
      </c>
    </row>
    <row r="358" spans="1:8" x14ac:dyDescent="0.25">
      <c r="A358">
        <v>169823</v>
      </c>
      <c r="B358" t="s">
        <v>718</v>
      </c>
      <c r="C358" t="s">
        <v>125</v>
      </c>
      <c r="D358" t="s">
        <v>15</v>
      </c>
      <c r="E358" t="s">
        <v>16</v>
      </c>
      <c r="F358" t="s">
        <v>12</v>
      </c>
      <c r="G358" t="str">
        <f>HYPERLINK(_xlfn.CONCAT("https://tablet.otzar.org/",CHAR(35),"/book/169823/p/-1/t/1/fs/0/start/0/end/0/c"),"דברתי מלכי")</f>
        <v>דברתי מלכי</v>
      </c>
      <c r="H358" t="str">
        <f>_xlfn.CONCAT("https://tablet.otzar.org/",CHAR(35),"/book/169823/p/-1/t/1/fs/0/start/0/end/0/c")</f>
        <v>https://tablet.otzar.org/#/book/169823/p/-1/t/1/fs/0/start/0/end/0/c</v>
      </c>
    </row>
    <row r="359" spans="1:8" x14ac:dyDescent="0.25">
      <c r="A359">
        <v>141580</v>
      </c>
      <c r="B359" t="s">
        <v>719</v>
      </c>
      <c r="C359" t="s">
        <v>719</v>
      </c>
      <c r="D359" t="s">
        <v>10</v>
      </c>
      <c r="E359" t="s">
        <v>38</v>
      </c>
      <c r="F359" t="s">
        <v>12</v>
      </c>
      <c r="G359" t="str">
        <f>HYPERLINK(_xlfn.CONCAT("https://tablet.otzar.org/",CHAR(35),"/book/141580/p/-1/t/1/fs/0/start/0/end/0/c"),"דו""""ח דהכנס דתלמידים השלוחים")</f>
        <v>דו""ח דהכנס דתלמידים השלוחים</v>
      </c>
      <c r="H359" t="str">
        <f>_xlfn.CONCAT("https://tablet.otzar.org/",CHAR(35),"/book/141580/p/-1/t/1/fs/0/start/0/end/0/c")</f>
        <v>https://tablet.otzar.org/#/book/141580/p/-1/t/1/fs/0/start/0/end/0/c</v>
      </c>
    </row>
    <row r="360" spans="1:8" x14ac:dyDescent="0.25">
      <c r="A360">
        <v>27562</v>
      </c>
      <c r="B360" t="s">
        <v>720</v>
      </c>
      <c r="C360" t="s">
        <v>27</v>
      </c>
      <c r="D360" t="s">
        <v>15</v>
      </c>
      <c r="E360" t="s">
        <v>54</v>
      </c>
      <c r="F360" t="s">
        <v>12</v>
      </c>
      <c r="G360" t="str">
        <f>HYPERLINK(_xlfn.CONCAT("https://tablet.otzar.org/",CHAR(35),"/book/27562/p/-1/t/1/fs/0/start/0/end/0/c"),"דובר שלום - הערות וביאורים בשו""""ע אדמו""""ר הזקן")</f>
        <v>דובר שלום - הערות וביאורים בשו""ע אדמו""ר הזקן</v>
      </c>
      <c r="H360" t="str">
        <f>_xlfn.CONCAT("https://tablet.otzar.org/",CHAR(35),"/book/27562/p/-1/t/1/fs/0/start/0/end/0/c")</f>
        <v>https://tablet.otzar.org/#/book/27562/p/-1/t/1/fs/0/start/0/end/0/c</v>
      </c>
    </row>
    <row r="361" spans="1:8" x14ac:dyDescent="0.25">
      <c r="A361">
        <v>147685</v>
      </c>
      <c r="B361" t="s">
        <v>721</v>
      </c>
      <c r="C361" t="s">
        <v>113</v>
      </c>
      <c r="D361" t="s">
        <v>15</v>
      </c>
      <c r="E361" t="s">
        <v>226</v>
      </c>
      <c r="F361" t="s">
        <v>12</v>
      </c>
      <c r="G361" t="str">
        <f>HYPERLINK(_xlfn.CONCAT("https://tablet.otzar.org/",CHAR(35),"/book/147685/p/-1/t/1/fs/0/start/0/end/0/c"),"דובר שלום - חיים של קידוש שם ליובאוויטש")</f>
        <v>דובר שלום - חיים של קידוש שם ליובאוויטש</v>
      </c>
      <c r="H361" t="str">
        <f>_xlfn.CONCAT("https://tablet.otzar.org/",CHAR(35),"/book/147685/p/-1/t/1/fs/0/start/0/end/0/c")</f>
        <v>https://tablet.otzar.org/#/book/147685/p/-1/t/1/fs/0/start/0/end/0/c</v>
      </c>
    </row>
    <row r="362" spans="1:8" x14ac:dyDescent="0.25">
      <c r="A362">
        <v>27772</v>
      </c>
      <c r="B362" t="s">
        <v>722</v>
      </c>
      <c r="C362" t="s">
        <v>391</v>
      </c>
      <c r="D362" t="s">
        <v>15</v>
      </c>
      <c r="E362" t="s">
        <v>382</v>
      </c>
      <c r="F362" t="s">
        <v>12</v>
      </c>
      <c r="G362" t="str">
        <f>HYPERLINK(_xlfn.CONCAT("https://tablet.otzar.org/",CHAR(35),"/book/27772/p/-1/t/1/fs/0/start/0/end/0/c"),"דוד עבדי")</f>
        <v>דוד עבדי</v>
      </c>
      <c r="H362" t="str">
        <f>_xlfn.CONCAT("https://tablet.otzar.org/",CHAR(35),"/book/27772/p/-1/t/1/fs/0/start/0/end/0/c")</f>
        <v>https://tablet.otzar.org/#/book/27772/p/-1/t/1/fs/0/start/0/end/0/c</v>
      </c>
    </row>
    <row r="363" spans="1:8" x14ac:dyDescent="0.25">
      <c r="A363">
        <v>145926</v>
      </c>
      <c r="B363" t="s">
        <v>723</v>
      </c>
      <c r="C363" t="s">
        <v>724</v>
      </c>
      <c r="D363" t="s">
        <v>28</v>
      </c>
      <c r="E363" t="s">
        <v>91</v>
      </c>
      <c r="F363" t="s">
        <v>12</v>
      </c>
      <c r="G363" t="str">
        <f>HYPERLINK(_xlfn.CONCAT("https://tablet.otzar.org/",CHAR(35),"/book/145926/p/-1/t/1/fs/0/start/0/end/0/c"),"דודי ירד לגנו")</f>
        <v>דודי ירד לגנו</v>
      </c>
      <c r="H363" t="str">
        <f>_xlfn.CONCAT("https://tablet.otzar.org/",CHAR(35),"/book/145926/p/-1/t/1/fs/0/start/0/end/0/c")</f>
        <v>https://tablet.otzar.org/#/book/145926/p/-1/t/1/fs/0/start/0/end/0/c</v>
      </c>
    </row>
    <row r="364" spans="1:8" x14ac:dyDescent="0.25">
      <c r="A364">
        <v>195650</v>
      </c>
      <c r="B364" t="s">
        <v>725</v>
      </c>
      <c r="C364" t="s">
        <v>726</v>
      </c>
      <c r="D364" t="s">
        <v>37</v>
      </c>
      <c r="E364" t="s">
        <v>19</v>
      </c>
      <c r="F364" t="s">
        <v>163</v>
      </c>
      <c r="G364" t="str">
        <f>HYPERLINK(_xlfn.CONCAT("https://tablet.otzar.org/",CHAR(35),"/book/195650/p/-1/t/1/fs/0/start/0/end/0/c"),"דור דעה - ת""""ק תר""""כ")</f>
        <v>דור דעה - ת""ק תר""כ</v>
      </c>
      <c r="H364" t="str">
        <f>_xlfn.CONCAT("https://tablet.otzar.org/",CHAR(35),"/book/195650/p/-1/t/1/fs/0/start/0/end/0/c")</f>
        <v>https://tablet.otzar.org/#/book/195650/p/-1/t/1/fs/0/start/0/end/0/c</v>
      </c>
    </row>
    <row r="365" spans="1:8" x14ac:dyDescent="0.25">
      <c r="A365">
        <v>145956</v>
      </c>
      <c r="B365" t="s">
        <v>727</v>
      </c>
      <c r="C365" t="s">
        <v>728</v>
      </c>
      <c r="D365" t="s">
        <v>28</v>
      </c>
      <c r="E365" t="s">
        <v>91</v>
      </c>
      <c r="F365" t="s">
        <v>12</v>
      </c>
      <c r="G365" t="str">
        <f>HYPERLINK(_xlfn.CONCAT("https://tablet.otzar.org/",CHAR(35),"/book/145956/p/-1/t/1/fs/0/start/0/end/0/c"),"דור המבול")</f>
        <v>דור המבול</v>
      </c>
      <c r="H365" t="str">
        <f>_xlfn.CONCAT("https://tablet.otzar.org/",CHAR(35),"/book/145956/p/-1/t/1/fs/0/start/0/end/0/c")</f>
        <v>https://tablet.otzar.org/#/book/145956/p/-1/t/1/fs/0/start/0/end/0/c</v>
      </c>
    </row>
    <row r="366" spans="1:8" x14ac:dyDescent="0.25">
      <c r="A366">
        <v>146339</v>
      </c>
      <c r="B366" t="s">
        <v>729</v>
      </c>
      <c r="C366" t="s">
        <v>728</v>
      </c>
      <c r="D366" t="s">
        <v>28</v>
      </c>
      <c r="E366" t="s">
        <v>91</v>
      </c>
      <c r="F366" t="s">
        <v>251</v>
      </c>
      <c r="G366" t="str">
        <f>HYPERLINK(_xlfn.CONCAT("https://tablet.otzar.org/",CHAR(35),"/book/146339/p/-1/t/1/fs/0/start/0/end/0/c"),"דור הפלגה ודורו של משיח")</f>
        <v>דור הפלגה ודורו של משיח</v>
      </c>
      <c r="H366" t="str">
        <f>_xlfn.CONCAT("https://tablet.otzar.org/",CHAR(35),"/book/146339/p/-1/t/1/fs/0/start/0/end/0/c")</f>
        <v>https://tablet.otzar.org/#/book/146339/p/-1/t/1/fs/0/start/0/end/0/c</v>
      </c>
    </row>
    <row r="367" spans="1:8" x14ac:dyDescent="0.25">
      <c r="A367">
        <v>169912</v>
      </c>
      <c r="B367" t="s">
        <v>730</v>
      </c>
      <c r="C367" t="s">
        <v>731</v>
      </c>
      <c r="D367" t="s">
        <v>28</v>
      </c>
      <c r="E367" t="s">
        <v>82</v>
      </c>
      <c r="F367" t="s">
        <v>12</v>
      </c>
      <c r="G367" t="str">
        <f>HYPERLINK(_xlfn.CONCAT("https://tablet.otzar.org/",CHAR(35),"/book/169912/p/-1/t/1/fs/0/start/0/end/0/c"),"דורות של חסידים")</f>
        <v>דורות של חסידים</v>
      </c>
      <c r="H367" t="str">
        <f>_xlfn.CONCAT("https://tablet.otzar.org/",CHAR(35),"/book/169912/p/-1/t/1/fs/0/start/0/end/0/c")</f>
        <v>https://tablet.otzar.org/#/book/169912/p/-1/t/1/fs/0/start/0/end/0/c</v>
      </c>
    </row>
    <row r="368" spans="1:8" x14ac:dyDescent="0.25">
      <c r="A368">
        <v>27298</v>
      </c>
      <c r="B368" t="s">
        <v>732</v>
      </c>
      <c r="C368" t="s">
        <v>733</v>
      </c>
      <c r="D368" t="s">
        <v>15</v>
      </c>
      <c r="E368" t="s">
        <v>29</v>
      </c>
      <c r="F368" t="s">
        <v>12</v>
      </c>
      <c r="G368" t="str">
        <f>HYPERLINK(_xlfn.CONCAT("https://tablet.otzar.org/",CHAR(35),"/exKotar/27298"),"דורש טוב לכל עמו - 2 כרכים")</f>
        <v>דורש טוב לכל עמו - 2 כרכים</v>
      </c>
      <c r="H368" t="str">
        <f>_xlfn.CONCAT("https://tablet.otzar.org/",CHAR(35),"/exKotar/27298")</f>
        <v>https://tablet.otzar.org/#/exKotar/27298</v>
      </c>
    </row>
    <row r="369" spans="1:8" x14ac:dyDescent="0.25">
      <c r="A369">
        <v>85373</v>
      </c>
      <c r="B369" t="s">
        <v>734</v>
      </c>
      <c r="C369" t="s">
        <v>735</v>
      </c>
      <c r="D369" t="s">
        <v>10</v>
      </c>
      <c r="E369" t="s">
        <v>736</v>
      </c>
      <c r="F369" t="s">
        <v>12</v>
      </c>
      <c r="G369" t="str">
        <f>HYPERLINK(_xlfn.CONCAT("https://tablet.otzar.org/",CHAR(35),"/exKotar/85373"),"די אידישע היים - 7 כרכים")</f>
        <v>די אידישע היים - 7 כרכים</v>
      </c>
      <c r="H369" t="str">
        <f>_xlfn.CONCAT("https://tablet.otzar.org/",CHAR(35),"/exKotar/85373")</f>
        <v>https://tablet.otzar.org/#/exKotar/85373</v>
      </c>
    </row>
    <row r="370" spans="1:8" x14ac:dyDescent="0.25">
      <c r="A370">
        <v>146310</v>
      </c>
      <c r="B370" t="s">
        <v>737</v>
      </c>
      <c r="C370" t="s">
        <v>360</v>
      </c>
      <c r="D370" t="s">
        <v>738</v>
      </c>
      <c r="E370" t="s">
        <v>739</v>
      </c>
      <c r="F370" t="s">
        <v>12</v>
      </c>
      <c r="G370" t="str">
        <f>HYPERLINK(_xlfn.CONCAT("https://tablet.otzar.org/",CHAR(35),"/book/146310/p/-1/t/1/fs/0/start/0/end/0/c"),"די אידישע פרוי - 1")</f>
        <v>די אידישע פרוי - 1</v>
      </c>
      <c r="H370" t="str">
        <f>_xlfn.CONCAT("https://tablet.otzar.org/",CHAR(35),"/book/146310/p/-1/t/1/fs/0/start/0/end/0/c")</f>
        <v>https://tablet.otzar.org/#/book/146310/p/-1/t/1/fs/0/start/0/end/0/c</v>
      </c>
    </row>
    <row r="371" spans="1:8" x14ac:dyDescent="0.25">
      <c r="A371">
        <v>146521</v>
      </c>
      <c r="B371" t="s">
        <v>740</v>
      </c>
      <c r="C371" t="s">
        <v>122</v>
      </c>
      <c r="D371" t="s">
        <v>741</v>
      </c>
      <c r="E371" t="s">
        <v>742</v>
      </c>
      <c r="F371" t="s">
        <v>12</v>
      </c>
      <c r="G371" t="str">
        <f>HYPERLINK(_xlfn.CONCAT("https://tablet.otzar.org/",CHAR(35),"/book/146521/p/-1/t/1/fs/0/start/0/end/0/c"),"די יסורים פון ליבאוויטשן רבין")</f>
        <v>די יסורים פון ליבאוויטשן רבין</v>
      </c>
      <c r="H371" t="str">
        <f>_xlfn.CONCAT("https://tablet.otzar.org/",CHAR(35),"/book/146521/p/-1/t/1/fs/0/start/0/end/0/c")</f>
        <v>https://tablet.otzar.org/#/book/146521/p/-1/t/1/fs/0/start/0/end/0/c</v>
      </c>
    </row>
    <row r="372" spans="1:8" x14ac:dyDescent="0.25">
      <c r="A372">
        <v>146303</v>
      </c>
      <c r="B372" t="s">
        <v>743</v>
      </c>
      <c r="C372" t="s">
        <v>59</v>
      </c>
      <c r="E372" t="s">
        <v>744</v>
      </c>
      <c r="G372" t="str">
        <f>HYPERLINK(_xlfn.CONCAT("https://tablet.otzar.org/",CHAR(35),"/book/146303/p/-1/t/1/fs/0/start/0/end/0/c"),"די מאראלישע און דערציערישע באדייטונג פון חסידות חב""""ד")</f>
        <v>די מאראלישע און דערציערישע באדייטונג פון חסידות חב""ד</v>
      </c>
      <c r="H372" t="str">
        <f>_xlfn.CONCAT("https://tablet.otzar.org/",CHAR(35),"/book/146303/p/-1/t/1/fs/0/start/0/end/0/c")</f>
        <v>https://tablet.otzar.org/#/book/146303/p/-1/t/1/fs/0/start/0/end/0/c</v>
      </c>
    </row>
    <row r="373" spans="1:8" x14ac:dyDescent="0.25">
      <c r="A373">
        <v>61438</v>
      </c>
      <c r="B373" t="s">
        <v>745</v>
      </c>
      <c r="C373" t="s">
        <v>746</v>
      </c>
      <c r="D373" t="s">
        <v>37</v>
      </c>
      <c r="E373" t="s">
        <v>551</v>
      </c>
      <c r="F373" t="s">
        <v>25</v>
      </c>
      <c r="G373" t="str">
        <f>HYPERLINK(_xlfn.CONCAT("https://tablet.otzar.org/",CHAR(35),"/book/61438/p/-1/t/1/fs/0/start/0/end/0/c"),"די תורה ליכט - 5")</f>
        <v>די תורה ליכט - 5</v>
      </c>
      <c r="H373" t="str">
        <f>_xlfn.CONCAT("https://tablet.otzar.org/",CHAR(35),"/book/61438/p/-1/t/1/fs/0/start/0/end/0/c")</f>
        <v>https://tablet.otzar.org/#/book/61438/p/-1/t/1/fs/0/start/0/end/0/c</v>
      </c>
    </row>
    <row r="374" spans="1:8" x14ac:dyDescent="0.25">
      <c r="A374">
        <v>141443</v>
      </c>
      <c r="B374" t="s">
        <v>747</v>
      </c>
      <c r="C374" t="s">
        <v>748</v>
      </c>
      <c r="D374" t="s">
        <v>28</v>
      </c>
      <c r="E374" t="s">
        <v>64</v>
      </c>
      <c r="F374" t="s">
        <v>12</v>
      </c>
      <c r="G374" t="str">
        <f>HYPERLINK(_xlfn.CONCAT("https://tablet.otzar.org/",CHAR(35),"/book/141443/p/-1/t/1/fs/0/start/0/end/0/c"),"דידן נצח - פסק הדין במשפט הספרים")</f>
        <v>דידן נצח - פסק הדין במשפט הספרים</v>
      </c>
      <c r="H374" t="str">
        <f>_xlfn.CONCAT("https://tablet.otzar.org/",CHAR(35),"/book/141443/p/-1/t/1/fs/0/start/0/end/0/c")</f>
        <v>https://tablet.otzar.org/#/book/141443/p/-1/t/1/fs/0/start/0/end/0/c</v>
      </c>
    </row>
    <row r="375" spans="1:8" x14ac:dyDescent="0.25">
      <c r="A375">
        <v>608411</v>
      </c>
      <c r="B375" t="s">
        <v>749</v>
      </c>
      <c r="C375" t="s">
        <v>750</v>
      </c>
      <c r="D375" t="s">
        <v>10</v>
      </c>
      <c r="E375" t="s">
        <v>404</v>
      </c>
      <c r="F375" t="s">
        <v>12</v>
      </c>
      <c r="G375" t="str">
        <f>HYPERLINK(_xlfn.CONCAT("https://tablet.otzar.org/",CHAR(35),"/book/608411/p/-1/t/1/fs/0/start/0/end/0/c"),"דידן נצח - שלשים שנה")</f>
        <v>דידן נצח - שלשים שנה</v>
      </c>
      <c r="H375" t="str">
        <f>_xlfn.CONCAT("https://tablet.otzar.org/",CHAR(35),"/book/608411/p/-1/t/1/fs/0/start/0/end/0/c")</f>
        <v>https://tablet.otzar.org/#/book/608411/p/-1/t/1/fs/0/start/0/end/0/c</v>
      </c>
    </row>
    <row r="376" spans="1:8" x14ac:dyDescent="0.25">
      <c r="A376">
        <v>27595</v>
      </c>
      <c r="B376" t="s">
        <v>751</v>
      </c>
      <c r="C376" t="s">
        <v>752</v>
      </c>
      <c r="D376" t="s">
        <v>28</v>
      </c>
      <c r="E376" t="s">
        <v>91</v>
      </c>
      <c r="F376" t="s">
        <v>12</v>
      </c>
      <c r="G376" t="str">
        <f>HYPERLINK(_xlfn.CONCAT("https://tablet.otzar.org/",CHAR(35),"/exKotar/27595"),"דידן נצח - 4 כרכים")</f>
        <v>דידן נצח - 4 כרכים</v>
      </c>
      <c r="H376" t="str">
        <f>_xlfn.CONCAT("https://tablet.otzar.org/",CHAR(35),"/exKotar/27595")</f>
        <v>https://tablet.otzar.org/#/exKotar/27595</v>
      </c>
    </row>
    <row r="377" spans="1:8" x14ac:dyDescent="0.25">
      <c r="A377">
        <v>143298</v>
      </c>
      <c r="B377" t="s">
        <v>753</v>
      </c>
      <c r="C377" t="s">
        <v>754</v>
      </c>
      <c r="D377" t="s">
        <v>10</v>
      </c>
      <c r="E377" t="s">
        <v>33</v>
      </c>
      <c r="F377" t="s">
        <v>251</v>
      </c>
      <c r="G377" t="str">
        <f>HYPERLINK(_xlfn.CONCAT("https://tablet.otzar.org/",CHAR(35),"/book/143298/p/-1/t/1/fs/0/start/0/end/0/c"),"דיוקנו של חסיד")</f>
        <v>דיוקנו של חסיד</v>
      </c>
      <c r="H377" t="str">
        <f>_xlfn.CONCAT("https://tablet.otzar.org/",CHAR(35),"/book/143298/p/-1/t/1/fs/0/start/0/end/0/c")</f>
        <v>https://tablet.otzar.org/#/book/143298/p/-1/t/1/fs/0/start/0/end/0/c</v>
      </c>
    </row>
    <row r="378" spans="1:8" x14ac:dyDescent="0.25">
      <c r="A378">
        <v>146318</v>
      </c>
      <c r="B378" t="s">
        <v>755</v>
      </c>
      <c r="C378" t="s">
        <v>756</v>
      </c>
      <c r="D378" t="s">
        <v>28</v>
      </c>
      <c r="E378" t="s">
        <v>757</v>
      </c>
      <c r="F378" t="s">
        <v>12</v>
      </c>
      <c r="G378" t="str">
        <f>HYPERLINK(_xlfn.CONCAT("https://tablet.otzar.org/",CHAR(35),"/book/146318/p/-1/t/1/fs/0/start/0/end/0/c"),"דין וחשבון על הכינוס השנתי תשי""""ט של צאגו""""ח")</f>
        <v>דין וחשבון על הכינוס השנתי תשי""ט של צאגו""ח</v>
      </c>
      <c r="H378" t="str">
        <f>_xlfn.CONCAT("https://tablet.otzar.org/",CHAR(35),"/book/146318/p/-1/t/1/fs/0/start/0/end/0/c")</f>
        <v>https://tablet.otzar.org/#/book/146318/p/-1/t/1/fs/0/start/0/end/0/c</v>
      </c>
    </row>
    <row r="379" spans="1:8" x14ac:dyDescent="0.25">
      <c r="A379">
        <v>27662</v>
      </c>
      <c r="B379" t="s">
        <v>758</v>
      </c>
      <c r="C379" t="s">
        <v>759</v>
      </c>
      <c r="D379" t="s">
        <v>15</v>
      </c>
      <c r="E379" t="s">
        <v>139</v>
      </c>
      <c r="F379" t="s">
        <v>12</v>
      </c>
      <c r="G379" t="str">
        <f>HYPERLINK(_xlfn.CONCAT("https://tablet.otzar.org/",CHAR(35),"/book/27662/p/-1/t/1/fs/0/start/0/end/0/c"),"דיני הפסק בתפלה")</f>
        <v>דיני הפסק בתפלה</v>
      </c>
      <c r="H379" t="str">
        <f>_xlfn.CONCAT("https://tablet.otzar.org/",CHAR(35),"/book/27662/p/-1/t/1/fs/0/start/0/end/0/c")</f>
        <v>https://tablet.otzar.org/#/book/27662/p/-1/t/1/fs/0/start/0/end/0/c</v>
      </c>
    </row>
    <row r="380" spans="1:8" x14ac:dyDescent="0.25">
      <c r="A380">
        <v>29253</v>
      </c>
      <c r="B380" t="s">
        <v>760</v>
      </c>
      <c r="C380" t="s">
        <v>113</v>
      </c>
      <c r="D380" t="s">
        <v>15</v>
      </c>
      <c r="E380" t="s">
        <v>174</v>
      </c>
      <c r="F380" t="s">
        <v>12</v>
      </c>
      <c r="G380" t="str">
        <f>HYPERLINK(_xlfn.CONCAT("https://tablet.otzar.org/",CHAR(35),"/book/29253/p/-1/t/1/fs/0/start/0/end/0/c"),"דיעדושקא - הרבי מליובאוויטש ויהדות רוסיה")</f>
        <v>דיעדושקא - הרבי מליובאוויטש ויהדות רוסיה</v>
      </c>
      <c r="H380" t="str">
        <f>_xlfn.CONCAT("https://tablet.otzar.org/",CHAR(35),"/book/29253/p/-1/t/1/fs/0/start/0/end/0/c")</f>
        <v>https://tablet.otzar.org/#/book/29253/p/-1/t/1/fs/0/start/0/end/0/c</v>
      </c>
    </row>
    <row r="381" spans="1:8" x14ac:dyDescent="0.25">
      <c r="A381">
        <v>627059</v>
      </c>
      <c r="B381" t="s">
        <v>761</v>
      </c>
      <c r="C381" t="s">
        <v>9</v>
      </c>
      <c r="D381" t="s">
        <v>10</v>
      </c>
      <c r="E381" t="s">
        <v>11</v>
      </c>
      <c r="F381" t="s">
        <v>12</v>
      </c>
      <c r="G381" t="str">
        <f>HYPERLINK(_xlfn.CONCAT("https://tablet.otzar.org/",CHAR(35),"/book/627059/p/-1/t/1/fs/0/start/0/end/0/c"),"דליים של שמחה - שמחת תורה")</f>
        <v>דליים של שמחה - שמחת תורה</v>
      </c>
      <c r="H381" t="str">
        <f>_xlfn.CONCAT("https://tablet.otzar.org/",CHAR(35),"/book/627059/p/-1/t/1/fs/0/start/0/end/0/c")</f>
        <v>https://tablet.otzar.org/#/book/627059/p/-1/t/1/fs/0/start/0/end/0/c</v>
      </c>
    </row>
    <row r="382" spans="1:8" x14ac:dyDescent="0.25">
      <c r="A382">
        <v>189296</v>
      </c>
      <c r="B382" t="s">
        <v>762</v>
      </c>
      <c r="C382" t="s">
        <v>763</v>
      </c>
      <c r="D382" t="s">
        <v>15</v>
      </c>
      <c r="E382" t="s">
        <v>19</v>
      </c>
      <c r="F382" t="s">
        <v>548</v>
      </c>
      <c r="G382" t="str">
        <f>HYPERLINK(_xlfn.CONCAT("https://tablet.otzar.org/",CHAR(35),"/exKotar/189296"),"דמויות תנ""""כיות - 2 כרכים")</f>
        <v>דמויות תנ""כיות - 2 כרכים</v>
      </c>
      <c r="H382" t="str">
        <f>_xlfn.CONCAT("https://tablet.otzar.org/",CHAR(35),"/exKotar/189296")</f>
        <v>https://tablet.otzar.org/#/exKotar/189296</v>
      </c>
    </row>
    <row r="383" spans="1:8" x14ac:dyDescent="0.25">
      <c r="A383">
        <v>141376</v>
      </c>
      <c r="B383" t="s">
        <v>764</v>
      </c>
      <c r="C383" t="s">
        <v>765</v>
      </c>
      <c r="D383" t="s">
        <v>37</v>
      </c>
      <c r="E383" t="s">
        <v>181</v>
      </c>
      <c r="F383" t="s">
        <v>12</v>
      </c>
      <c r="G383" t="str">
        <f>HYPERLINK(_xlfn.CONCAT("https://tablet.otzar.org/",CHAR(35),"/book/141376/p/-1/t/1/fs/0/start/0/end/0/c"),"דמות חסידית")</f>
        <v>דמות חסידית</v>
      </c>
      <c r="H383" t="str">
        <f>_xlfn.CONCAT("https://tablet.otzar.org/",CHAR(35),"/book/141376/p/-1/t/1/fs/0/start/0/end/0/c")</f>
        <v>https://tablet.otzar.org/#/book/141376/p/-1/t/1/fs/0/start/0/end/0/c</v>
      </c>
    </row>
    <row r="384" spans="1:8" x14ac:dyDescent="0.25">
      <c r="A384">
        <v>614959</v>
      </c>
      <c r="B384" t="s">
        <v>766</v>
      </c>
      <c r="C384" t="s">
        <v>9</v>
      </c>
      <c r="D384" t="s">
        <v>10</v>
      </c>
      <c r="E384" t="s">
        <v>88</v>
      </c>
      <c r="F384" t="s">
        <v>12</v>
      </c>
      <c r="G384" t="str">
        <f>HYPERLINK(_xlfn.CONCAT("https://tablet.otzar.org/",CHAR(35),"/book/614959/p/-1/t/1/fs/0/start/0/end/0/c"),"דעם רבי'נס טאג")</f>
        <v>דעם רבי'נס טאג</v>
      </c>
      <c r="H384" t="str">
        <f>_xlfn.CONCAT("https://tablet.otzar.org/",CHAR(35),"/book/614959/p/-1/t/1/fs/0/start/0/end/0/c")</f>
        <v>https://tablet.otzar.org/#/book/614959/p/-1/t/1/fs/0/start/0/end/0/c</v>
      </c>
    </row>
    <row r="385" spans="1:8" x14ac:dyDescent="0.25">
      <c r="A385">
        <v>607743</v>
      </c>
      <c r="B385" t="s">
        <v>767</v>
      </c>
      <c r="C385" t="s">
        <v>9</v>
      </c>
      <c r="D385" t="s">
        <v>10</v>
      </c>
      <c r="E385" t="s">
        <v>88</v>
      </c>
      <c r="F385" t="s">
        <v>12</v>
      </c>
      <c r="G385" t="str">
        <f>HYPERLINK(_xlfn.CONCAT("https://tablet.otzar.org/",CHAR(35),"/book/607743/p/-1/t/1/fs/0/start/0/end/0/c"),"דעם רבינ'ס קאך")</f>
        <v>דעם רבינ'ס קאך</v>
      </c>
      <c r="H385" t="str">
        <f>_xlfn.CONCAT("https://tablet.otzar.org/",CHAR(35),"/book/607743/p/-1/t/1/fs/0/start/0/end/0/c")</f>
        <v>https://tablet.otzar.org/#/book/607743/p/-1/t/1/fs/0/start/0/end/0/c</v>
      </c>
    </row>
    <row r="386" spans="1:8" x14ac:dyDescent="0.25">
      <c r="A386">
        <v>142645</v>
      </c>
      <c r="B386" t="s">
        <v>768</v>
      </c>
      <c r="C386" t="s">
        <v>9</v>
      </c>
      <c r="D386" t="s">
        <v>10</v>
      </c>
      <c r="E386" t="s">
        <v>217</v>
      </c>
      <c r="F386" t="s">
        <v>12</v>
      </c>
      <c r="G386" t="str">
        <f>HYPERLINK(_xlfn.CONCAT("https://tablet.otzar.org/",CHAR(35),"/book/142645/p/-1/t/1/fs/0/start/0/end/0/c"),"דעם רבינ'ס קינדער")</f>
        <v>דעם רבינ'ס קינדער</v>
      </c>
      <c r="H386" t="str">
        <f>_xlfn.CONCAT("https://tablet.otzar.org/",CHAR(35),"/book/142645/p/-1/t/1/fs/0/start/0/end/0/c")</f>
        <v>https://tablet.otzar.org/#/book/142645/p/-1/t/1/fs/0/start/0/end/0/c</v>
      </c>
    </row>
    <row r="387" spans="1:8" x14ac:dyDescent="0.25">
      <c r="A387">
        <v>146514</v>
      </c>
      <c r="B387" t="s">
        <v>769</v>
      </c>
      <c r="C387" t="s">
        <v>770</v>
      </c>
      <c r="D387" t="s">
        <v>10</v>
      </c>
      <c r="E387" t="s">
        <v>86</v>
      </c>
      <c r="F387" t="s">
        <v>76</v>
      </c>
      <c r="G387" t="str">
        <f>HYPERLINK(_xlfn.CONCAT("https://tablet.otzar.org/",CHAR(35),"/exKotar/146514"),"דער ליובאוויטשער רבי - 2 כרכים")</f>
        <v>דער ליובאוויטשער רבי - 2 כרכים</v>
      </c>
      <c r="H387" t="str">
        <f>_xlfn.CONCAT("https://tablet.otzar.org/",CHAR(35),"/exKotar/146514")</f>
        <v>https://tablet.otzar.org/#/exKotar/146514</v>
      </c>
    </row>
    <row r="388" spans="1:8" x14ac:dyDescent="0.25">
      <c r="A388">
        <v>28735</v>
      </c>
      <c r="B388" t="s">
        <v>771</v>
      </c>
      <c r="C388" t="s">
        <v>772</v>
      </c>
      <c r="D388" t="s">
        <v>10</v>
      </c>
      <c r="E388" t="s">
        <v>69</v>
      </c>
      <c r="F388" t="s">
        <v>12</v>
      </c>
      <c r="G388" t="str">
        <f>HYPERLINK(_xlfn.CONCAT("https://tablet.otzar.org/",CHAR(35),"/book/28735/p/-1/t/1/fs/0/start/0/end/0/c"),"דער רב")</f>
        <v>דער רב</v>
      </c>
      <c r="H388" t="str">
        <f>_xlfn.CONCAT("https://tablet.otzar.org/",CHAR(35),"/book/28735/p/-1/t/1/fs/0/start/0/end/0/c")</f>
        <v>https://tablet.otzar.org/#/book/28735/p/-1/t/1/fs/0/start/0/end/0/c</v>
      </c>
    </row>
    <row r="389" spans="1:8" x14ac:dyDescent="0.25">
      <c r="A389">
        <v>142194</v>
      </c>
      <c r="B389" t="s">
        <v>773</v>
      </c>
      <c r="C389" t="s">
        <v>45</v>
      </c>
      <c r="D389" t="s">
        <v>10</v>
      </c>
      <c r="E389" t="s">
        <v>129</v>
      </c>
      <c r="F389" t="s">
        <v>12</v>
      </c>
      <c r="G389" t="str">
        <f>HYPERLINK(_xlfn.CONCAT("https://tablet.otzar.org/",CHAR(35),"/exKotar/142194"),"דער רבי רעדט צו קינדער - 3 כרכים")</f>
        <v>דער רבי רעדט צו קינדער - 3 כרכים</v>
      </c>
      <c r="H389" t="str">
        <f>_xlfn.CONCAT("https://tablet.otzar.org/",CHAR(35),"/exKotar/142194")</f>
        <v>https://tablet.otzar.org/#/exKotar/142194</v>
      </c>
    </row>
    <row r="390" spans="1:8" x14ac:dyDescent="0.25">
      <c r="A390">
        <v>141579</v>
      </c>
      <c r="B390" t="s">
        <v>774</v>
      </c>
      <c r="C390" t="s">
        <v>774</v>
      </c>
      <c r="D390" t="s">
        <v>10</v>
      </c>
      <c r="E390" t="s">
        <v>145</v>
      </c>
      <c r="F390" t="s">
        <v>12</v>
      </c>
      <c r="G390" t="str">
        <f>HYPERLINK(_xlfn.CONCAT("https://tablet.otzar.org/",CHAR(35),"/book/141579/p/-1/t/1/fs/0/start/0/end/0/c"),"דער שבת")</f>
        <v>דער שבת</v>
      </c>
      <c r="H390" t="str">
        <f>_xlfn.CONCAT("https://tablet.otzar.org/",CHAR(35),"/book/141579/p/-1/t/1/fs/0/start/0/end/0/c")</f>
        <v>https://tablet.otzar.org/#/book/141579/p/-1/t/1/fs/0/start/0/end/0/c</v>
      </c>
    </row>
    <row r="391" spans="1:8" x14ac:dyDescent="0.25">
      <c r="A391">
        <v>145422</v>
      </c>
      <c r="B391" t="s">
        <v>775</v>
      </c>
      <c r="C391" t="s">
        <v>61</v>
      </c>
      <c r="D391" t="s">
        <v>10</v>
      </c>
      <c r="E391" t="s">
        <v>776</v>
      </c>
      <c r="F391" t="s">
        <v>12</v>
      </c>
      <c r="G391" t="str">
        <f>HYPERLINK(_xlfn.CONCAT("https://tablet.otzar.org/",CHAR(35),"/book/145422/p/-1/t/1/fs/0/start/0/end/0/c"),"דער שמע ישראל וואס אדמו""""ר רשכבה""""ג הצמח צדק")</f>
        <v>דער שמע ישראל וואס אדמו""ר רשכבה""ג הצמח צדק</v>
      </c>
      <c r="H391" t="str">
        <f>_xlfn.CONCAT("https://tablet.otzar.org/",CHAR(35),"/book/145422/p/-1/t/1/fs/0/start/0/end/0/c")</f>
        <v>https://tablet.otzar.org/#/book/145422/p/-1/t/1/fs/0/start/0/end/0/c</v>
      </c>
    </row>
    <row r="392" spans="1:8" x14ac:dyDescent="0.25">
      <c r="A392">
        <v>27019</v>
      </c>
      <c r="B392" t="s">
        <v>777</v>
      </c>
      <c r="C392" t="s">
        <v>778</v>
      </c>
      <c r="D392" t="s">
        <v>10</v>
      </c>
      <c r="E392" t="s">
        <v>40</v>
      </c>
      <c r="F392" t="s">
        <v>12</v>
      </c>
      <c r="G392" t="str">
        <f>HYPERLINK(_xlfn.CONCAT("https://tablet.otzar.org/",CHAR(35),"/exKotar/27019"),"דערצייל מיר א מעשה - 2 כרכים")</f>
        <v>דערצייל מיר א מעשה - 2 כרכים</v>
      </c>
      <c r="H392" t="str">
        <f>_xlfn.CONCAT("https://tablet.otzar.org/",CHAR(35),"/exKotar/27019")</f>
        <v>https://tablet.otzar.org/#/exKotar/27019</v>
      </c>
    </row>
    <row r="393" spans="1:8" x14ac:dyDescent="0.25">
      <c r="A393">
        <v>28770</v>
      </c>
      <c r="B393" t="s">
        <v>779</v>
      </c>
      <c r="C393" t="s">
        <v>780</v>
      </c>
      <c r="D393" t="s">
        <v>15</v>
      </c>
      <c r="E393" t="s">
        <v>382</v>
      </c>
      <c r="F393" t="s">
        <v>12</v>
      </c>
      <c r="G393" t="str">
        <f>HYPERLINK(_xlfn.CONCAT("https://tablet.otzar.org/",CHAR(35),"/book/28770/p/-1/t/1/fs/0/start/0/end/0/c"),"דעת מאיר")</f>
        <v>דעת מאיר</v>
      </c>
      <c r="H393" t="str">
        <f>_xlfn.CONCAT("https://tablet.otzar.org/",CHAR(35),"/book/28770/p/-1/t/1/fs/0/start/0/end/0/c")</f>
        <v>https://tablet.otzar.org/#/book/28770/p/-1/t/1/fs/0/start/0/end/0/c</v>
      </c>
    </row>
    <row r="394" spans="1:8" x14ac:dyDescent="0.25">
      <c r="A394">
        <v>146511</v>
      </c>
      <c r="B394" t="s">
        <v>781</v>
      </c>
      <c r="C394" t="s">
        <v>782</v>
      </c>
      <c r="D394" t="s">
        <v>10</v>
      </c>
      <c r="E394" t="s">
        <v>250</v>
      </c>
      <c r="F394" t="s">
        <v>12</v>
      </c>
      <c r="G394" t="str">
        <f>HYPERLINK(_xlfn.CONCAT("https://tablet.otzar.org/",CHAR(35),"/book/146511/p/-1/t/1/fs/0/start/0/end/0/c"),"דעת תורה")</f>
        <v>דעת תורה</v>
      </c>
      <c r="H394" t="str">
        <f>_xlfn.CONCAT("https://tablet.otzar.org/",CHAR(35),"/book/146511/p/-1/t/1/fs/0/start/0/end/0/c")</f>
        <v>https://tablet.otzar.org/#/book/146511/p/-1/t/1/fs/0/start/0/end/0/c</v>
      </c>
    </row>
    <row r="395" spans="1:8" x14ac:dyDescent="0.25">
      <c r="A395">
        <v>26520</v>
      </c>
      <c r="B395" t="s">
        <v>783</v>
      </c>
      <c r="C395" t="s">
        <v>784</v>
      </c>
      <c r="D395" t="s">
        <v>197</v>
      </c>
      <c r="E395" t="s">
        <v>66</v>
      </c>
      <c r="F395" t="s">
        <v>12</v>
      </c>
      <c r="G395" t="str">
        <f>HYPERLINK(_xlfn.CONCAT("https://tablet.otzar.org/",CHAR(35),"/book/26520/p/-1/t/1/fs/0/start/0/end/0/c"),"דעת תורה בעניני המצב בארץ הקדש")</f>
        <v>דעת תורה בעניני המצב בארץ הקדש</v>
      </c>
      <c r="H395" t="str">
        <f>_xlfn.CONCAT("https://tablet.otzar.org/",CHAR(35),"/book/26520/p/-1/t/1/fs/0/start/0/end/0/c")</f>
        <v>https://tablet.otzar.org/#/book/26520/p/-1/t/1/fs/0/start/0/end/0/c</v>
      </c>
    </row>
    <row r="396" spans="1:8" x14ac:dyDescent="0.25">
      <c r="A396">
        <v>146222</v>
      </c>
      <c r="B396" t="s">
        <v>785</v>
      </c>
      <c r="C396" t="s">
        <v>45</v>
      </c>
      <c r="D396" t="s">
        <v>28</v>
      </c>
      <c r="E396" t="s">
        <v>346</v>
      </c>
      <c r="F396" t="s">
        <v>12</v>
      </c>
      <c r="G396" t="str">
        <f>HYPERLINK(_xlfn.CONCAT("https://tablet.otzar.org/",CHAR(35),"/book/146222/p/-1/t/1/fs/0/start/0/end/0/c"),"דעת תורה ע""""ד המצב באה""""ק ת""""ו")</f>
        <v>דעת תורה ע""ד המצב באה""ק ת""ו</v>
      </c>
      <c r="H396" t="str">
        <f>_xlfn.CONCAT("https://tablet.otzar.org/",CHAR(35),"/book/146222/p/-1/t/1/fs/0/start/0/end/0/c")</f>
        <v>https://tablet.otzar.org/#/book/146222/p/-1/t/1/fs/0/start/0/end/0/c</v>
      </c>
    </row>
    <row r="397" spans="1:8" x14ac:dyDescent="0.25">
      <c r="A397">
        <v>29337</v>
      </c>
      <c r="B397" t="s">
        <v>786</v>
      </c>
      <c r="C397" t="s">
        <v>283</v>
      </c>
      <c r="D397" t="s">
        <v>629</v>
      </c>
      <c r="E397" t="s">
        <v>174</v>
      </c>
      <c r="F397" t="s">
        <v>12</v>
      </c>
      <c r="G397" t="str">
        <f>HYPERLINK(_xlfn.CONCAT("https://tablet.otzar.org/",CHAR(35),"/book/29337/p/-1/t/1/fs/0/start/0/end/0/c"),"דעתן עלך - יומא, סוכה")</f>
        <v>דעתן עלך - יומא, סוכה</v>
      </c>
      <c r="H397" t="str">
        <f>_xlfn.CONCAT("https://tablet.otzar.org/",CHAR(35),"/book/29337/p/-1/t/1/fs/0/start/0/end/0/c")</f>
        <v>https://tablet.otzar.org/#/book/29337/p/-1/t/1/fs/0/start/0/end/0/c</v>
      </c>
    </row>
    <row r="398" spans="1:8" x14ac:dyDescent="0.25">
      <c r="A398">
        <v>638680</v>
      </c>
      <c r="B398" t="s">
        <v>787</v>
      </c>
      <c r="C398" t="s">
        <v>61</v>
      </c>
      <c r="D398" t="s">
        <v>28</v>
      </c>
      <c r="E398" t="s">
        <v>91</v>
      </c>
      <c r="F398" t="s">
        <v>12</v>
      </c>
      <c r="G398" t="str">
        <f>HYPERLINK(_xlfn.CONCAT("https://tablet.otzar.org/",CHAR(35),"/book/638680/p/-1/t/1/fs/0/start/0/end/0/c"),"דרוש הנקרא ג' מיני אדם")</f>
        <v>דרוש הנקרא ג' מיני אדם</v>
      </c>
      <c r="H398" t="str">
        <f>_xlfn.CONCAT("https://tablet.otzar.org/",CHAR(35),"/book/638680/p/-1/t/1/fs/0/start/0/end/0/c")</f>
        <v>https://tablet.otzar.org/#/book/638680/p/-1/t/1/fs/0/start/0/end/0/c</v>
      </c>
    </row>
    <row r="399" spans="1:8" x14ac:dyDescent="0.25">
      <c r="A399">
        <v>27541</v>
      </c>
      <c r="B399" t="s">
        <v>788</v>
      </c>
      <c r="C399" t="s">
        <v>81</v>
      </c>
      <c r="D399" t="s">
        <v>15</v>
      </c>
      <c r="E399" t="s">
        <v>54</v>
      </c>
      <c r="F399" t="s">
        <v>12</v>
      </c>
      <c r="G399" t="str">
        <f>HYPERLINK(_xlfn.CONCAT("https://tablet.otzar.org/",CHAR(35),"/book/27541/p/-1/t/1/fs/0/start/0/end/0/c"),"דרוש לחתונה עם ביאורי ר' הלל מפאריטש")</f>
        <v>דרוש לחתונה עם ביאורי ר' הלל מפאריטש</v>
      </c>
      <c r="H399" t="str">
        <f>_xlfn.CONCAT("https://tablet.otzar.org/",CHAR(35),"/book/27541/p/-1/t/1/fs/0/start/0/end/0/c")</f>
        <v>https://tablet.otzar.org/#/book/27541/p/-1/t/1/fs/0/start/0/end/0/c</v>
      </c>
    </row>
    <row r="400" spans="1:8" x14ac:dyDescent="0.25">
      <c r="A400">
        <v>195720</v>
      </c>
      <c r="B400" t="s">
        <v>789</v>
      </c>
      <c r="C400" t="s">
        <v>68</v>
      </c>
      <c r="D400" t="s">
        <v>10</v>
      </c>
      <c r="E400" t="s">
        <v>62</v>
      </c>
      <c r="F400" t="s">
        <v>12</v>
      </c>
      <c r="G400" t="str">
        <f>HYPERLINK(_xlfn.CONCAT("https://tablet.otzar.org/",CHAR(35),"/exKotar/195720"),"דרושי חתונה - 2 כרכים")</f>
        <v>דרושי חתונה - 2 כרכים</v>
      </c>
      <c r="H400" t="str">
        <f>_xlfn.CONCAT("https://tablet.otzar.org/",CHAR(35),"/exKotar/195720")</f>
        <v>https://tablet.otzar.org/#/exKotar/195720</v>
      </c>
    </row>
    <row r="401" spans="1:8" x14ac:dyDescent="0.25">
      <c r="A401">
        <v>27546</v>
      </c>
      <c r="B401" t="s">
        <v>790</v>
      </c>
      <c r="C401" t="s">
        <v>791</v>
      </c>
      <c r="D401" t="s">
        <v>28</v>
      </c>
      <c r="E401" t="s">
        <v>91</v>
      </c>
      <c r="F401" t="s">
        <v>12</v>
      </c>
      <c r="G401" t="str">
        <f>HYPERLINK(_xlfn.CONCAT("https://tablet.otzar.org/",CHAR(35),"/book/27546/p/-1/t/1/fs/0/start/0/end/0/c"),"דרך המלך")</f>
        <v>דרך המלך</v>
      </c>
      <c r="H401" t="str">
        <f>_xlfn.CONCAT("https://tablet.otzar.org/",CHAR(35),"/book/27546/p/-1/t/1/fs/0/start/0/end/0/c")</f>
        <v>https://tablet.otzar.org/#/book/27546/p/-1/t/1/fs/0/start/0/end/0/c</v>
      </c>
    </row>
    <row r="402" spans="1:8" x14ac:dyDescent="0.25">
      <c r="A402">
        <v>147718</v>
      </c>
      <c r="B402" t="s">
        <v>792</v>
      </c>
      <c r="C402" t="s">
        <v>72</v>
      </c>
      <c r="D402" t="s">
        <v>10</v>
      </c>
      <c r="E402" t="s">
        <v>60</v>
      </c>
      <c r="G402" t="str">
        <f>HYPERLINK(_xlfn.CONCAT("https://tablet.otzar.org/",CHAR(35),"/exKotar/147718"),"דרך חיים ותוכחת מוסר השכל - 2 כרכים")</f>
        <v>דרך חיים ותוכחת מוסר השכל - 2 כרכים</v>
      </c>
      <c r="H402" t="str">
        <f>_xlfn.CONCAT("https://tablet.otzar.org/",CHAR(35),"/exKotar/147718")</f>
        <v>https://tablet.otzar.org/#/exKotar/147718</v>
      </c>
    </row>
    <row r="403" spans="1:8" x14ac:dyDescent="0.25">
      <c r="A403">
        <v>141687</v>
      </c>
      <c r="B403" t="s">
        <v>793</v>
      </c>
      <c r="C403" t="s">
        <v>61</v>
      </c>
      <c r="D403" t="s">
        <v>37</v>
      </c>
      <c r="E403" t="s">
        <v>60</v>
      </c>
      <c r="G403" t="str">
        <f>HYPERLINK(_xlfn.CONCAT("https://tablet.otzar.org/",CHAR(35),"/book/141687/p/-1/t/1/fs/0/start/0/end/0/c"),"דרך מצותיך &lt;טקסט&gt;")</f>
        <v>דרך מצותיך &lt;טקסט&gt;</v>
      </c>
      <c r="H403" t="str">
        <f>_xlfn.CONCAT("https://tablet.otzar.org/",CHAR(35),"/book/141687/p/-1/t/1/fs/0/start/0/end/0/c")</f>
        <v>https://tablet.otzar.org/#/book/141687/p/-1/t/1/fs/0/start/0/end/0/c</v>
      </c>
    </row>
    <row r="404" spans="1:8" x14ac:dyDescent="0.25">
      <c r="A404">
        <v>27154</v>
      </c>
      <c r="B404" t="s">
        <v>794</v>
      </c>
      <c r="C404" t="s">
        <v>61</v>
      </c>
      <c r="D404" t="s">
        <v>10</v>
      </c>
      <c r="E404" t="s">
        <v>54</v>
      </c>
      <c r="F404" t="s">
        <v>12</v>
      </c>
      <c r="G404" t="str">
        <f>HYPERLINK(_xlfn.CONCAT("https://tablet.otzar.org/",CHAR(35),"/exKotar/27154"),"דרך מצותיך - 2 כרכים")</f>
        <v>דרך מצותיך - 2 כרכים</v>
      </c>
      <c r="H404" t="str">
        <f>_xlfn.CONCAT("https://tablet.otzar.org/",CHAR(35),"/exKotar/27154")</f>
        <v>https://tablet.otzar.org/#/exKotar/27154</v>
      </c>
    </row>
    <row r="405" spans="1:8" x14ac:dyDescent="0.25">
      <c r="A405">
        <v>652345</v>
      </c>
      <c r="B405" t="s">
        <v>795</v>
      </c>
      <c r="C405" t="s">
        <v>61</v>
      </c>
      <c r="D405" t="s">
        <v>10</v>
      </c>
      <c r="E405" t="s">
        <v>11</v>
      </c>
      <c r="G405" t="str">
        <f>HYPERLINK(_xlfn.CONCAT("https://tablet.otzar.org/",CHAR(35),"/exKotar/652345"),"דרך מצותיך המבואר - 5 כרכים")</f>
        <v>דרך מצותיך המבואר - 5 כרכים</v>
      </c>
      <c r="H405" t="str">
        <f>_xlfn.CONCAT("https://tablet.otzar.org/",CHAR(35),"/exKotar/652345")</f>
        <v>https://tablet.otzar.org/#/exKotar/652345</v>
      </c>
    </row>
    <row r="406" spans="1:8" x14ac:dyDescent="0.25">
      <c r="A406">
        <v>601583</v>
      </c>
      <c r="B406" t="s">
        <v>796</v>
      </c>
      <c r="C406" t="s">
        <v>797</v>
      </c>
      <c r="D406" t="s">
        <v>10</v>
      </c>
      <c r="E406" t="s">
        <v>99</v>
      </c>
      <c r="F406" t="s">
        <v>12</v>
      </c>
      <c r="G406" t="str">
        <f>HYPERLINK(_xlfn.CONCAT("https://tablet.otzar.org/",CHAR(35),"/exKotar/601583"),"דרך תמים - 3 כרכים")</f>
        <v>דרך תמים - 3 כרכים</v>
      </c>
      <c r="H406" t="str">
        <f>_xlfn.CONCAT("https://tablet.otzar.org/",CHAR(35),"/exKotar/601583")</f>
        <v>https://tablet.otzar.org/#/exKotar/601583</v>
      </c>
    </row>
    <row r="407" spans="1:8" x14ac:dyDescent="0.25">
      <c r="A407">
        <v>611243</v>
      </c>
      <c r="B407" t="s">
        <v>798</v>
      </c>
      <c r="C407" t="s">
        <v>45</v>
      </c>
      <c r="D407" t="s">
        <v>10</v>
      </c>
      <c r="E407" t="s">
        <v>404</v>
      </c>
      <c r="F407" t="s">
        <v>12</v>
      </c>
      <c r="G407" t="str">
        <f>HYPERLINK(_xlfn.CONCAT("https://tablet.otzar.org/",CHAR(35),"/book/611243/p/-1/t/1/fs/0/start/0/end/0/c"),"דרכי החיים")</f>
        <v>דרכי החיים</v>
      </c>
      <c r="H407" t="str">
        <f>_xlfn.CONCAT("https://tablet.otzar.org/",CHAR(35),"/book/611243/p/-1/t/1/fs/0/start/0/end/0/c")</f>
        <v>https://tablet.otzar.org/#/book/611243/p/-1/t/1/fs/0/start/0/end/0/c</v>
      </c>
    </row>
    <row r="408" spans="1:8" x14ac:dyDescent="0.25">
      <c r="A408">
        <v>173551</v>
      </c>
      <c r="B408" t="s">
        <v>799</v>
      </c>
      <c r="C408" t="s">
        <v>800</v>
      </c>
      <c r="D408" t="s">
        <v>15</v>
      </c>
      <c r="E408" t="s">
        <v>62</v>
      </c>
      <c r="F408" t="s">
        <v>12</v>
      </c>
      <c r="G408" t="str">
        <f>HYPERLINK(_xlfn.CONCAT("https://tablet.otzar.org/",CHAR(35),"/book/173551/p/-1/t/1/fs/0/start/0/end/0/c"),"דרכי החסידות - על סדר פרשיות התורה")</f>
        <v>דרכי החסידות - על סדר פרשיות התורה</v>
      </c>
      <c r="H408" t="str">
        <f>_xlfn.CONCAT("https://tablet.otzar.org/",CHAR(35),"/book/173551/p/-1/t/1/fs/0/start/0/end/0/c")</f>
        <v>https://tablet.otzar.org/#/book/173551/p/-1/t/1/fs/0/start/0/end/0/c</v>
      </c>
    </row>
    <row r="409" spans="1:8" x14ac:dyDescent="0.25">
      <c r="A409">
        <v>29262</v>
      </c>
      <c r="B409" t="s">
        <v>801</v>
      </c>
      <c r="C409" t="s">
        <v>199</v>
      </c>
      <c r="D409" t="s">
        <v>15</v>
      </c>
      <c r="E409" t="s">
        <v>174</v>
      </c>
      <c r="F409" t="s">
        <v>12</v>
      </c>
      <c r="G409" t="str">
        <f>HYPERLINK(_xlfn.CONCAT("https://tablet.otzar.org/",CHAR(35),"/exKotar/29262"),"דרכי החסידות - 2 כרכים")</f>
        <v>דרכי החסידות - 2 כרכים</v>
      </c>
      <c r="H409" t="str">
        <f>_xlfn.CONCAT("https://tablet.otzar.org/",CHAR(35),"/exKotar/29262")</f>
        <v>https://tablet.otzar.org/#/exKotar/29262</v>
      </c>
    </row>
    <row r="410" spans="1:8" x14ac:dyDescent="0.25">
      <c r="A410">
        <v>607700</v>
      </c>
      <c r="B410" t="s">
        <v>802</v>
      </c>
      <c r="C410" t="s">
        <v>803</v>
      </c>
      <c r="D410" t="s">
        <v>648</v>
      </c>
      <c r="E410" t="s">
        <v>99</v>
      </c>
      <c r="F410" t="s">
        <v>208</v>
      </c>
      <c r="G410" t="str">
        <f>HYPERLINK(_xlfn.CONCAT("https://tablet.otzar.org/",CHAR(35),"/exKotar/607700"),"דרשה לכל דורש - 3 כרכים")</f>
        <v>דרשה לכל דורש - 3 כרכים</v>
      </c>
      <c r="H410" t="str">
        <f>_xlfn.CONCAT("https://tablet.otzar.org/",CHAR(35),"/exKotar/607700")</f>
        <v>https://tablet.otzar.org/#/exKotar/607700</v>
      </c>
    </row>
    <row r="411" spans="1:8" x14ac:dyDescent="0.25">
      <c r="A411">
        <v>649059</v>
      </c>
      <c r="B411" t="s">
        <v>804</v>
      </c>
      <c r="C411" t="s">
        <v>212</v>
      </c>
      <c r="D411" t="s">
        <v>197</v>
      </c>
      <c r="E411" t="s">
        <v>24</v>
      </c>
      <c r="G411" t="str">
        <f>HYPERLINK(_xlfn.CONCAT("https://tablet.otzar.org/",CHAR(35),"/book/649059/p/-1/t/1/fs/0/start/0/end/0/c"),"ה'יום יום' לעם")</f>
        <v>ה'יום יום' לעם</v>
      </c>
      <c r="H411" t="str">
        <f>_xlfn.CONCAT("https://tablet.otzar.org/",CHAR(35),"/book/649059/p/-1/t/1/fs/0/start/0/end/0/c")</f>
        <v>https://tablet.otzar.org/#/book/649059/p/-1/t/1/fs/0/start/0/end/0/c</v>
      </c>
    </row>
    <row r="412" spans="1:8" x14ac:dyDescent="0.25">
      <c r="A412">
        <v>141349</v>
      </c>
      <c r="B412" t="s">
        <v>805</v>
      </c>
      <c r="C412" t="s">
        <v>806</v>
      </c>
      <c r="D412" t="s">
        <v>10</v>
      </c>
      <c r="E412" t="s">
        <v>807</v>
      </c>
      <c r="F412" t="s">
        <v>12</v>
      </c>
      <c r="G412" t="str">
        <f>HYPERLINK(_xlfn.CONCAT("https://tablet.otzar.org/",CHAR(35),"/book/141349/p/-1/t/1/fs/0/start/0/end/0/c"),"האדם והבריאה")</f>
        <v>האדם והבריאה</v>
      </c>
      <c r="H412" t="str">
        <f>_xlfn.CONCAT("https://tablet.otzar.org/",CHAR(35),"/book/141349/p/-1/t/1/fs/0/start/0/end/0/c")</f>
        <v>https://tablet.otzar.org/#/book/141349/p/-1/t/1/fs/0/start/0/end/0/c</v>
      </c>
    </row>
    <row r="413" spans="1:8" x14ac:dyDescent="0.25">
      <c r="A413">
        <v>614756</v>
      </c>
      <c r="B413" t="s">
        <v>808</v>
      </c>
      <c r="C413" t="s">
        <v>808</v>
      </c>
      <c r="D413" t="s">
        <v>28</v>
      </c>
      <c r="E413" t="s">
        <v>51</v>
      </c>
      <c r="F413" t="s">
        <v>12</v>
      </c>
      <c r="G413" t="str">
        <f>HYPERLINK(_xlfn.CONCAT("https://tablet.otzar.org/",CHAR(35),"/book/614756/p/-1/t/1/fs/0/start/0/end/0/c"),"האדמו""""ר מליובאוויטש - ליובלו השבעים")</f>
        <v>האדמו""ר מליובאוויטש - ליובלו השבעים</v>
      </c>
      <c r="H413" t="str">
        <f>_xlfn.CONCAT("https://tablet.otzar.org/",CHAR(35),"/book/614756/p/-1/t/1/fs/0/start/0/end/0/c")</f>
        <v>https://tablet.otzar.org/#/book/614756/p/-1/t/1/fs/0/start/0/end/0/c</v>
      </c>
    </row>
    <row r="414" spans="1:8" x14ac:dyDescent="0.25">
      <c r="A414">
        <v>169964</v>
      </c>
      <c r="B414" t="s">
        <v>809</v>
      </c>
      <c r="C414" t="s">
        <v>810</v>
      </c>
      <c r="D414" t="s">
        <v>811</v>
      </c>
      <c r="E414" t="s">
        <v>812</v>
      </c>
      <c r="F414" t="s">
        <v>12</v>
      </c>
      <c r="G414" t="str">
        <f>HYPERLINK(_xlfn.CONCAT("https://tablet.otzar.org/",CHAR(35),"/book/169964/p/-1/t/1/fs/0/start/0/end/0/c"),"האח - כל הגליונות")</f>
        <v>האח - כל הגליונות</v>
      </c>
      <c r="H414" t="str">
        <f>_xlfn.CONCAT("https://tablet.otzar.org/",CHAR(35),"/book/169964/p/-1/t/1/fs/0/start/0/end/0/c")</f>
        <v>https://tablet.otzar.org/#/book/169964/p/-1/t/1/fs/0/start/0/end/0/c</v>
      </c>
    </row>
    <row r="415" spans="1:8" x14ac:dyDescent="0.25">
      <c r="A415">
        <v>687691</v>
      </c>
      <c r="B415" t="s">
        <v>813</v>
      </c>
      <c r="C415" t="s">
        <v>814</v>
      </c>
      <c r="D415" t="s">
        <v>815</v>
      </c>
      <c r="E415" t="s">
        <v>705</v>
      </c>
      <c r="F415" t="s">
        <v>12</v>
      </c>
      <c r="G415" t="str">
        <f>HYPERLINK(_xlfn.CONCAT("https://tablet.otzar.org/",CHAR(35),"/book/687691/p/-1/t/1/fs/0/start/0/end/0/c"),"האיש מרדכי")</f>
        <v>האיש מרדכי</v>
      </c>
      <c r="H415" t="str">
        <f>_xlfn.CONCAT("https://tablet.otzar.org/",CHAR(35),"/book/687691/p/-1/t/1/fs/0/start/0/end/0/c")</f>
        <v>https://tablet.otzar.org/#/book/687691/p/-1/t/1/fs/0/start/0/end/0/c</v>
      </c>
    </row>
    <row r="416" spans="1:8" x14ac:dyDescent="0.25">
      <c r="A416">
        <v>162744</v>
      </c>
      <c r="B416" t="s">
        <v>816</v>
      </c>
      <c r="C416" t="s">
        <v>391</v>
      </c>
      <c r="D416" t="s">
        <v>817</v>
      </c>
      <c r="E416" t="s">
        <v>16</v>
      </c>
      <c r="F416" t="s">
        <v>12</v>
      </c>
      <c r="G416" t="str">
        <f>HYPERLINK(_xlfn.CONCAT("https://tablet.otzar.org/",CHAR(35),"/book/162744/p/-1/t/1/fs/0/start/0/end/0/c"),"האיש של הרבי בערד")</f>
        <v>האיש של הרבי בערד</v>
      </c>
      <c r="H416" t="str">
        <f>_xlfn.CONCAT("https://tablet.otzar.org/",CHAR(35),"/book/162744/p/-1/t/1/fs/0/start/0/end/0/c")</f>
        <v>https://tablet.otzar.org/#/book/162744/p/-1/t/1/fs/0/start/0/end/0/c</v>
      </c>
    </row>
    <row r="417" spans="1:8" x14ac:dyDescent="0.25">
      <c r="A417">
        <v>627063</v>
      </c>
      <c r="B417" t="s">
        <v>818</v>
      </c>
      <c r="C417" t="s">
        <v>819</v>
      </c>
      <c r="D417" t="s">
        <v>10</v>
      </c>
      <c r="F417" t="s">
        <v>12</v>
      </c>
      <c r="G417" t="str">
        <f>HYPERLINK(_xlfn.CONCAT("https://tablet.otzar.org/",CHAR(35),"/book/627063/p/-1/t/1/fs/0/start/0/end/0/c"),"האמונה והפצתה")</f>
        <v>האמונה והפצתה</v>
      </c>
      <c r="H417" t="str">
        <f>_xlfn.CONCAT("https://tablet.otzar.org/",CHAR(35),"/book/627063/p/-1/t/1/fs/0/start/0/end/0/c")</f>
        <v>https://tablet.otzar.org/#/book/627063/p/-1/t/1/fs/0/start/0/end/0/c</v>
      </c>
    </row>
    <row r="418" spans="1:8" x14ac:dyDescent="0.25">
      <c r="A418">
        <v>640272</v>
      </c>
      <c r="B418" t="s">
        <v>820</v>
      </c>
      <c r="C418" t="s">
        <v>821</v>
      </c>
      <c r="F418" t="s">
        <v>428</v>
      </c>
      <c r="G418" t="str">
        <f>HYPERLINK(_xlfn.CONCAT("https://tablet.otzar.org/",CHAR(35),"/book/640272/p/-1/t/1/fs/0/start/0/end/0/c"),"האמת והשלום אהבו - הרב שלום חסקינד")</f>
        <v>האמת והשלום אהבו - הרב שלום חסקינד</v>
      </c>
      <c r="H418" t="str">
        <f>_xlfn.CONCAT("https://tablet.otzar.org/",CHAR(35),"/book/640272/p/-1/t/1/fs/0/start/0/end/0/c")</f>
        <v>https://tablet.otzar.org/#/book/640272/p/-1/t/1/fs/0/start/0/end/0/c</v>
      </c>
    </row>
    <row r="419" spans="1:8" x14ac:dyDescent="0.25">
      <c r="A419">
        <v>181498</v>
      </c>
      <c r="B419" t="s">
        <v>822</v>
      </c>
      <c r="C419" t="s">
        <v>823</v>
      </c>
      <c r="D419" t="s">
        <v>15</v>
      </c>
      <c r="E419" t="s">
        <v>88</v>
      </c>
      <c r="F419" t="s">
        <v>12</v>
      </c>
      <c r="G419" t="str">
        <f>HYPERLINK(_xlfn.CONCAT("https://tablet.otzar.org/",CHAR(35),"/exKotar/181498"),"הבית החסידי במשנתו של הרבי - 3 כרכים")</f>
        <v>הבית החסידי במשנתו של הרבי - 3 כרכים</v>
      </c>
      <c r="H419" t="str">
        <f>_xlfn.CONCAT("https://tablet.otzar.org/",CHAR(35),"/exKotar/181498")</f>
        <v>https://tablet.otzar.org/#/exKotar/181498</v>
      </c>
    </row>
    <row r="420" spans="1:8" x14ac:dyDescent="0.25">
      <c r="A420">
        <v>661241</v>
      </c>
      <c r="B420" t="s">
        <v>824</v>
      </c>
      <c r="C420" t="s">
        <v>600</v>
      </c>
      <c r="D420" t="s">
        <v>191</v>
      </c>
      <c r="E420" t="s">
        <v>148</v>
      </c>
      <c r="F420" t="s">
        <v>12</v>
      </c>
      <c r="G420" t="str">
        <f>HYPERLINK(_xlfn.CONCAT("https://tablet.otzar.org/",CHAR(35),"/book/661241/p/-1/t/1/fs/0/start/0/end/0/c"),"הבית היהודי")</f>
        <v>הבית היהודי</v>
      </c>
      <c r="H420" t="str">
        <f>_xlfn.CONCAT("https://tablet.otzar.org/",CHAR(35),"/book/661241/p/-1/t/1/fs/0/start/0/end/0/c")</f>
        <v>https://tablet.otzar.org/#/book/661241/p/-1/t/1/fs/0/start/0/end/0/c</v>
      </c>
    </row>
    <row r="421" spans="1:8" x14ac:dyDescent="0.25">
      <c r="A421">
        <v>618913</v>
      </c>
      <c r="B421" t="s">
        <v>825</v>
      </c>
      <c r="C421" t="s">
        <v>826</v>
      </c>
      <c r="D421" t="s">
        <v>648</v>
      </c>
      <c r="E421" t="s">
        <v>115</v>
      </c>
      <c r="F421" t="s">
        <v>12</v>
      </c>
      <c r="G421" t="str">
        <f>HYPERLINK(_xlfn.CONCAT("https://tablet.otzar.org/",CHAR(35),"/book/618913/p/-1/t/1/fs/0/start/0/end/0/c"),"הבית השני - חוברת לימוד")</f>
        <v>הבית השני - חוברת לימוד</v>
      </c>
      <c r="H421" t="str">
        <f>_xlfn.CONCAT("https://tablet.otzar.org/",CHAR(35),"/book/618913/p/-1/t/1/fs/0/start/0/end/0/c")</f>
        <v>https://tablet.otzar.org/#/book/618913/p/-1/t/1/fs/0/start/0/end/0/c</v>
      </c>
    </row>
    <row r="422" spans="1:8" x14ac:dyDescent="0.25">
      <c r="A422">
        <v>27570</v>
      </c>
      <c r="B422" t="s">
        <v>827</v>
      </c>
      <c r="C422" t="s">
        <v>828</v>
      </c>
      <c r="D422" t="s">
        <v>10</v>
      </c>
      <c r="E422" t="s">
        <v>129</v>
      </c>
      <c r="F422" t="s">
        <v>12</v>
      </c>
      <c r="G422" t="str">
        <f>HYPERLINK(_xlfn.CONCAT("https://tablet.otzar.org/",CHAR(35),"/book/27570/p/-1/t/1/fs/0/start/0/end/0/c"),"הבעל שם טוב - 300 שנה להולדתו")</f>
        <v>הבעל שם טוב - 300 שנה להולדתו</v>
      </c>
      <c r="H422" t="str">
        <f>_xlfn.CONCAT("https://tablet.otzar.org/",CHAR(35),"/book/27570/p/-1/t/1/fs/0/start/0/end/0/c")</f>
        <v>https://tablet.otzar.org/#/book/27570/p/-1/t/1/fs/0/start/0/end/0/c</v>
      </c>
    </row>
    <row r="423" spans="1:8" x14ac:dyDescent="0.25">
      <c r="A423">
        <v>27864</v>
      </c>
      <c r="B423" t="s">
        <v>829</v>
      </c>
      <c r="C423" t="s">
        <v>547</v>
      </c>
      <c r="D423" t="s">
        <v>15</v>
      </c>
      <c r="E423" t="s">
        <v>91</v>
      </c>
      <c r="F423" t="s">
        <v>12</v>
      </c>
      <c r="G423" t="str">
        <f>HYPERLINK(_xlfn.CONCAT("https://tablet.otzar.org/",CHAR(35),"/book/27864/p/-1/t/1/fs/0/start/0/end/0/c"),"הבעל שם טוב")</f>
        <v>הבעל שם טוב</v>
      </c>
      <c r="H423" t="str">
        <f>_xlfn.CONCAT("https://tablet.otzar.org/",CHAR(35),"/book/27864/p/-1/t/1/fs/0/start/0/end/0/c")</f>
        <v>https://tablet.otzar.org/#/book/27864/p/-1/t/1/fs/0/start/0/end/0/c</v>
      </c>
    </row>
    <row r="424" spans="1:8" x14ac:dyDescent="0.25">
      <c r="A424">
        <v>141390</v>
      </c>
      <c r="B424" t="s">
        <v>830</v>
      </c>
      <c r="C424" t="s">
        <v>831</v>
      </c>
      <c r="D424" t="s">
        <v>37</v>
      </c>
      <c r="E424" t="s">
        <v>515</v>
      </c>
      <c r="F424" t="s">
        <v>12</v>
      </c>
      <c r="G424" t="str">
        <f>HYPERLINK(_xlfn.CONCAT("https://tablet.otzar.org/",CHAR(35),"/book/141390/p/-1/t/1/fs/0/start/0/end/0/c"),"הגאון מלובלין")</f>
        <v>הגאון מלובלין</v>
      </c>
      <c r="H424" t="str">
        <f>_xlfn.CONCAT("https://tablet.otzar.org/",CHAR(35),"/book/141390/p/-1/t/1/fs/0/start/0/end/0/c")</f>
        <v>https://tablet.otzar.org/#/book/141390/p/-1/t/1/fs/0/start/0/end/0/c</v>
      </c>
    </row>
    <row r="425" spans="1:8" x14ac:dyDescent="0.25">
      <c r="A425">
        <v>160593</v>
      </c>
      <c r="B425" t="s">
        <v>832</v>
      </c>
      <c r="C425" t="s">
        <v>833</v>
      </c>
      <c r="D425" t="s">
        <v>15</v>
      </c>
      <c r="E425" t="s">
        <v>226</v>
      </c>
      <c r="F425" t="s">
        <v>12</v>
      </c>
      <c r="G425" t="str">
        <f>HYPERLINK(_xlfn.CONCAT("https://tablet.otzar.org/",CHAR(35),"/book/160593/p/-1/t/1/fs/0/start/0/end/0/c"),"הגדה למעשה - הגדה ש""""פ עם מנהגי חב""""ד")</f>
        <v>הגדה למעשה - הגדה ש""פ עם מנהגי חב""ד</v>
      </c>
      <c r="H425" t="str">
        <f>_xlfn.CONCAT("https://tablet.otzar.org/",CHAR(35),"/book/160593/p/-1/t/1/fs/0/start/0/end/0/c")</f>
        <v>https://tablet.otzar.org/#/book/160593/p/-1/t/1/fs/0/start/0/end/0/c</v>
      </c>
    </row>
    <row r="426" spans="1:8" x14ac:dyDescent="0.25">
      <c r="A426">
        <v>28793</v>
      </c>
      <c r="B426" t="s">
        <v>834</v>
      </c>
      <c r="C426" t="s">
        <v>835</v>
      </c>
      <c r="D426" t="s">
        <v>738</v>
      </c>
      <c r="E426" t="s">
        <v>192</v>
      </c>
      <c r="F426" t="s">
        <v>12</v>
      </c>
      <c r="G426" t="str">
        <f>HYPERLINK(_xlfn.CONCAT("https://tablet.otzar.org/",CHAR(35),"/book/28793/p/-1/t/1/fs/0/start/0/end/0/c"),"הגדה לעם")</f>
        <v>הגדה לעם</v>
      </c>
      <c r="H426" t="str">
        <f>_xlfn.CONCAT("https://tablet.otzar.org/",CHAR(35),"/book/28793/p/-1/t/1/fs/0/start/0/end/0/c")</f>
        <v>https://tablet.otzar.org/#/book/28793/p/-1/t/1/fs/0/start/0/end/0/c</v>
      </c>
    </row>
    <row r="427" spans="1:8" x14ac:dyDescent="0.25">
      <c r="A427">
        <v>27874</v>
      </c>
      <c r="B427" t="s">
        <v>836</v>
      </c>
      <c r="C427" t="s">
        <v>837</v>
      </c>
      <c r="D427" t="s">
        <v>10</v>
      </c>
      <c r="E427" t="s">
        <v>382</v>
      </c>
      <c r="F427" t="s">
        <v>12</v>
      </c>
      <c r="G427" t="str">
        <f>HYPERLINK(_xlfn.CONCAT("https://tablet.otzar.org/",CHAR(35),"/book/27874/p/-1/t/1/fs/0/start/0/end/0/c"),"הגדה של פסח - עם תרגום אנגלי")</f>
        <v>הגדה של פסח - עם תרגום אנגלי</v>
      </c>
      <c r="H427" t="str">
        <f>_xlfn.CONCAT("https://tablet.otzar.org/",CHAR(35),"/book/27874/p/-1/t/1/fs/0/start/0/end/0/c")</f>
        <v>https://tablet.otzar.org/#/book/27874/p/-1/t/1/fs/0/start/0/end/0/c</v>
      </c>
    </row>
    <row r="428" spans="1:8" x14ac:dyDescent="0.25">
      <c r="A428">
        <v>53177</v>
      </c>
      <c r="B428" t="s">
        <v>838</v>
      </c>
      <c r="C428" t="s">
        <v>839</v>
      </c>
      <c r="D428" t="s">
        <v>840</v>
      </c>
      <c r="E428" t="s">
        <v>60</v>
      </c>
      <c r="F428" t="s">
        <v>131</v>
      </c>
      <c r="G428" t="str">
        <f>HYPERLINK(_xlfn.CONCAT("https://tablet.otzar.org/",CHAR(35),"/book/53177/p/-1/t/1/fs/0/start/0/end/0/c"),"הגדה של פסח &lt;נוסח חוקת הפסח של העדה הבוכרית&gt;")</f>
        <v>הגדה של פסח &lt;נוסח חוקת הפסח של העדה הבוכרית&gt;</v>
      </c>
      <c r="H428" t="str">
        <f>_xlfn.CONCAT("https://tablet.otzar.org/",CHAR(35),"/book/53177/p/-1/t/1/fs/0/start/0/end/0/c")</f>
        <v>https://tablet.otzar.org/#/book/53177/p/-1/t/1/fs/0/start/0/end/0/c</v>
      </c>
    </row>
    <row r="429" spans="1:8" x14ac:dyDescent="0.25">
      <c r="A429">
        <v>636790</v>
      </c>
      <c r="B429" t="s">
        <v>841</v>
      </c>
      <c r="C429" t="s">
        <v>842</v>
      </c>
      <c r="D429" t="s">
        <v>843</v>
      </c>
      <c r="E429" t="s">
        <v>88</v>
      </c>
      <c r="F429" t="s">
        <v>201</v>
      </c>
      <c r="G429" t="str">
        <f>HYPERLINK(_xlfn.CONCAT("https://tablet.otzar.org/",CHAR(35),"/book/636790/p/-1/t/1/fs/0/start/0/end/0/c"),"הגדה של פסח &lt;כי ישאלך בנך&gt;")</f>
        <v>הגדה של פסח &lt;כי ישאלך בנך&gt;</v>
      </c>
      <c r="H429" t="str">
        <f>_xlfn.CONCAT("https://tablet.otzar.org/",CHAR(35),"/book/636790/p/-1/t/1/fs/0/start/0/end/0/c")</f>
        <v>https://tablet.otzar.org/#/book/636790/p/-1/t/1/fs/0/start/0/end/0/c</v>
      </c>
    </row>
    <row r="430" spans="1:8" x14ac:dyDescent="0.25">
      <c r="A430">
        <v>607672</v>
      </c>
      <c r="B430" t="s">
        <v>844</v>
      </c>
      <c r="C430" t="s">
        <v>845</v>
      </c>
      <c r="D430" t="s">
        <v>438</v>
      </c>
      <c r="E430" t="s">
        <v>19</v>
      </c>
      <c r="F430" t="s">
        <v>131</v>
      </c>
      <c r="G430" t="str">
        <f>HYPERLINK(_xlfn.CONCAT("https://tablet.otzar.org/",CHAR(35),"/exKotar/607672"),"הגדה של פסח בתרגום צרפתית - 2 כרכים")</f>
        <v>הגדה של פסח בתרגום צרפתית - 2 כרכים</v>
      </c>
      <c r="H430" t="str">
        <f>_xlfn.CONCAT("https://tablet.otzar.org/",CHAR(35),"/exKotar/607672")</f>
        <v>https://tablet.otzar.org/#/exKotar/607672</v>
      </c>
    </row>
    <row r="431" spans="1:8" x14ac:dyDescent="0.25">
      <c r="A431">
        <v>607674</v>
      </c>
      <c r="B431" t="s">
        <v>846</v>
      </c>
      <c r="C431" t="s">
        <v>847</v>
      </c>
      <c r="D431" t="s">
        <v>15</v>
      </c>
      <c r="E431" t="s">
        <v>91</v>
      </c>
      <c r="G431" t="str">
        <f>HYPERLINK(_xlfn.CONCAT("https://tablet.otzar.org/",CHAR(35),"/exKotar/607674"),"הגדה של פסח בתרגום רוסית - 2 כרכים")</f>
        <v>הגדה של פסח בתרגום רוסית - 2 כרכים</v>
      </c>
      <c r="H431" t="str">
        <f>_xlfn.CONCAT("https://tablet.otzar.org/",CHAR(35),"/exKotar/607674")</f>
        <v>https://tablet.otzar.org/#/exKotar/607674</v>
      </c>
    </row>
    <row r="432" spans="1:8" x14ac:dyDescent="0.25">
      <c r="A432">
        <v>615050</v>
      </c>
      <c r="B432" t="s">
        <v>848</v>
      </c>
      <c r="C432" t="s">
        <v>849</v>
      </c>
      <c r="D432" t="s">
        <v>23</v>
      </c>
      <c r="E432" t="s">
        <v>115</v>
      </c>
      <c r="F432" t="s">
        <v>201</v>
      </c>
      <c r="G432" t="str">
        <f>HYPERLINK(_xlfn.CONCAT("https://tablet.otzar.org/",CHAR(35),"/book/615050/p/-1/t/1/fs/0/start/0/end/0/c"),"הגדה של פסח עם ביאור דברי שלום")</f>
        <v>הגדה של פסח עם ביאור דברי שלום</v>
      </c>
      <c r="H432" t="str">
        <f>_xlfn.CONCAT("https://tablet.otzar.org/",CHAR(35),"/book/615050/p/-1/t/1/fs/0/start/0/end/0/c")</f>
        <v>https://tablet.otzar.org/#/book/615050/p/-1/t/1/fs/0/start/0/end/0/c</v>
      </c>
    </row>
    <row r="433" spans="1:8" x14ac:dyDescent="0.25">
      <c r="A433">
        <v>27826</v>
      </c>
      <c r="B433" t="s">
        <v>850</v>
      </c>
      <c r="C433" t="s">
        <v>45</v>
      </c>
      <c r="D433" t="s">
        <v>37</v>
      </c>
      <c r="E433" t="s">
        <v>250</v>
      </c>
      <c r="F433" t="s">
        <v>12</v>
      </c>
      <c r="G433" t="str">
        <f>HYPERLINK(_xlfn.CONCAT("https://tablet.otzar.org/",CHAR(35),"/exKotar/27826"),"הגדה של פסח עם ליקוטי טעמים ומנהגים - 8 כרכים")</f>
        <v>הגדה של פסח עם ליקוטי טעמים ומנהגים - 8 כרכים</v>
      </c>
      <c r="H433" t="str">
        <f>_xlfn.CONCAT("https://tablet.otzar.org/",CHAR(35),"/exKotar/27826")</f>
        <v>https://tablet.otzar.org/#/exKotar/27826</v>
      </c>
    </row>
    <row r="434" spans="1:8" x14ac:dyDescent="0.25">
      <c r="A434">
        <v>168955</v>
      </c>
      <c r="B434" t="s">
        <v>851</v>
      </c>
      <c r="C434" t="s">
        <v>852</v>
      </c>
      <c r="D434" t="s">
        <v>10</v>
      </c>
      <c r="E434" t="s">
        <v>16</v>
      </c>
      <c r="F434" t="s">
        <v>12</v>
      </c>
      <c r="G434" t="str">
        <f>HYPERLINK(_xlfn.CONCAT("https://tablet.otzar.org/",CHAR(35),"/book/168955/p/-1/t/1/fs/0/start/0/end/0/c"),"הגדה של פסח עם תרגום אנגלית")</f>
        <v>הגדה של פסח עם תרגום אנגלית</v>
      </c>
      <c r="H434" t="str">
        <f>_xlfn.CONCAT("https://tablet.otzar.org/",CHAR(35),"/book/168955/p/-1/t/1/fs/0/start/0/end/0/c")</f>
        <v>https://tablet.otzar.org/#/book/168955/p/-1/t/1/fs/0/start/0/end/0/c</v>
      </c>
    </row>
    <row r="435" spans="1:8" x14ac:dyDescent="0.25">
      <c r="A435">
        <v>181648</v>
      </c>
      <c r="B435" t="s">
        <v>853</v>
      </c>
      <c r="C435" t="s">
        <v>341</v>
      </c>
      <c r="D435" t="s">
        <v>15</v>
      </c>
      <c r="E435" t="s">
        <v>88</v>
      </c>
      <c r="F435" t="s">
        <v>131</v>
      </c>
      <c r="G435" t="str">
        <f>HYPERLINK(_xlfn.CONCAT("https://tablet.otzar.org/",CHAR(35),"/book/181648/p/-1/t/1/fs/0/start/0/end/0/c"),"הגדת ארבעת הבנים")</f>
        <v>הגדת ארבעת הבנים</v>
      </c>
      <c r="H435" t="str">
        <f>_xlfn.CONCAT("https://tablet.otzar.org/",CHAR(35),"/book/181648/p/-1/t/1/fs/0/start/0/end/0/c")</f>
        <v>https://tablet.otzar.org/#/book/181648/p/-1/t/1/fs/0/start/0/end/0/c</v>
      </c>
    </row>
    <row r="436" spans="1:8" x14ac:dyDescent="0.25">
      <c r="A436">
        <v>658960</v>
      </c>
      <c r="B436" t="s">
        <v>854</v>
      </c>
      <c r="C436" t="s">
        <v>45</v>
      </c>
      <c r="D436" t="s">
        <v>855</v>
      </c>
      <c r="E436" t="s">
        <v>856</v>
      </c>
      <c r="G436" t="str">
        <f>HYPERLINK(_xlfn.CONCAT("https://tablet.otzar.org/",CHAR(35),"/book/658960/p/-1/t/1/fs/0/start/0/end/0/c"),"הגדת הרבי - הגדה של פסח עם לקוטי טעמים ומנהגים")</f>
        <v>הגדת הרבי - הגדה של פסח עם לקוטי טעמים ומנהגים</v>
      </c>
      <c r="H436" t="str">
        <f>_xlfn.CONCAT("https://tablet.otzar.org/",CHAR(35),"/book/658960/p/-1/t/1/fs/0/start/0/end/0/c")</f>
        <v>https://tablet.otzar.org/#/book/658960/p/-1/t/1/fs/0/start/0/end/0/c</v>
      </c>
    </row>
    <row r="437" spans="1:8" x14ac:dyDescent="0.25">
      <c r="A437">
        <v>607473</v>
      </c>
      <c r="B437" t="s">
        <v>857</v>
      </c>
      <c r="C437" t="s">
        <v>858</v>
      </c>
      <c r="D437" t="s">
        <v>859</v>
      </c>
      <c r="E437" t="s">
        <v>99</v>
      </c>
      <c r="F437" t="s">
        <v>12</v>
      </c>
      <c r="G437" t="str">
        <f>HYPERLINK(_xlfn.CONCAT("https://tablet.otzar.org/",CHAR(35),"/book/607473/p/-1/t/1/fs/0/start/0/end/0/c"),"הגדת מלך")</f>
        <v>הגדת מלך</v>
      </c>
      <c r="H437" t="str">
        <f>_xlfn.CONCAT("https://tablet.otzar.org/",CHAR(35),"/book/607473/p/-1/t/1/fs/0/start/0/end/0/c")</f>
        <v>https://tablet.otzar.org/#/book/607473/p/-1/t/1/fs/0/start/0/end/0/c</v>
      </c>
    </row>
    <row r="438" spans="1:8" x14ac:dyDescent="0.25">
      <c r="A438">
        <v>27013</v>
      </c>
      <c r="B438" t="s">
        <v>860</v>
      </c>
      <c r="C438" t="s">
        <v>68</v>
      </c>
      <c r="D438" t="s">
        <v>10</v>
      </c>
      <c r="E438" t="s">
        <v>192</v>
      </c>
      <c r="G438" t="str">
        <f>HYPERLINK(_xlfn.CONCAT("https://tablet.otzar.org/",CHAR(35),"/exKotar/27013"),"הגהות לד""""ה פתח אליהו - 2 כרכים")</f>
        <v>הגהות לד""ה פתח אליהו - 2 כרכים</v>
      </c>
      <c r="H438" t="str">
        <f>_xlfn.CONCAT("https://tablet.otzar.org/",CHAR(35),"/exKotar/27013")</f>
        <v>https://tablet.otzar.org/#/exKotar/27013</v>
      </c>
    </row>
    <row r="439" spans="1:8" x14ac:dyDescent="0.25">
      <c r="A439">
        <v>140877</v>
      </c>
      <c r="B439" t="s">
        <v>861</v>
      </c>
      <c r="C439" t="s">
        <v>45</v>
      </c>
      <c r="D439" t="s">
        <v>10</v>
      </c>
      <c r="E439" t="s">
        <v>60</v>
      </c>
      <c r="F439" t="s">
        <v>12</v>
      </c>
      <c r="G439" t="str">
        <f>HYPERLINK(_xlfn.CONCAT("https://tablet.otzar.org/",CHAR(35),"/book/140877/p/-1/t/1/fs/0/start/0/end/0/c"),"הגהות לסידור רבנו הזקן")</f>
        <v>הגהות לסידור רבנו הזקן</v>
      </c>
      <c r="H439" t="str">
        <f>_xlfn.CONCAT("https://tablet.otzar.org/",CHAR(35),"/book/140877/p/-1/t/1/fs/0/start/0/end/0/c")</f>
        <v>https://tablet.otzar.org/#/book/140877/p/-1/t/1/fs/0/start/0/end/0/c</v>
      </c>
    </row>
    <row r="440" spans="1:8" x14ac:dyDescent="0.25">
      <c r="A440">
        <v>610254</v>
      </c>
      <c r="B440" t="s">
        <v>862</v>
      </c>
      <c r="C440" t="s">
        <v>863</v>
      </c>
      <c r="D440" t="s">
        <v>10</v>
      </c>
      <c r="E440" t="s">
        <v>404</v>
      </c>
      <c r="G440" t="str">
        <f>HYPERLINK(_xlfn.CONCAT("https://tablet.otzar.org/",CHAR(35),"/book/610254/p/-1/t/1/fs/0/start/0/end/0/c"),"הגהות על מאמר באתי לגני תשל""""ז")</f>
        <v>הגהות על מאמר באתי לגני תשל""ז</v>
      </c>
      <c r="H440" t="str">
        <f>_xlfn.CONCAT("https://tablet.otzar.org/",CHAR(35),"/book/610254/p/-1/t/1/fs/0/start/0/end/0/c")</f>
        <v>https://tablet.otzar.org/#/book/610254/p/-1/t/1/fs/0/start/0/end/0/c</v>
      </c>
    </row>
    <row r="441" spans="1:8" x14ac:dyDescent="0.25">
      <c r="A441">
        <v>141445</v>
      </c>
      <c r="B441" t="s">
        <v>864</v>
      </c>
      <c r="C441" t="s">
        <v>244</v>
      </c>
      <c r="D441" t="s">
        <v>15</v>
      </c>
      <c r="E441" t="s">
        <v>260</v>
      </c>
      <c r="F441" t="s">
        <v>12</v>
      </c>
      <c r="G441" t="str">
        <f>HYPERLINK(_xlfn.CONCAT("https://tablet.otzar.org/",CHAR(35),"/book/141445/p/-1/t/1/fs/0/start/0/end/0/c"),"הגיע זמן גאולתכם")</f>
        <v>הגיע זמן גאולתכם</v>
      </c>
      <c r="H441" t="str">
        <f>_xlfn.CONCAT("https://tablet.otzar.org/",CHAR(35),"/book/141445/p/-1/t/1/fs/0/start/0/end/0/c")</f>
        <v>https://tablet.otzar.org/#/book/141445/p/-1/t/1/fs/0/start/0/end/0/c</v>
      </c>
    </row>
    <row r="442" spans="1:8" x14ac:dyDescent="0.25">
      <c r="A442">
        <v>613910</v>
      </c>
      <c r="B442" t="s">
        <v>865</v>
      </c>
      <c r="C442" t="s">
        <v>866</v>
      </c>
      <c r="D442" t="s">
        <v>28</v>
      </c>
      <c r="E442" t="s">
        <v>91</v>
      </c>
      <c r="G442" t="str">
        <f>HYPERLINK(_xlfn.CONCAT("https://tablet.otzar.org/",CHAR(35),"/book/613910/p/-1/t/1/fs/0/start/0/end/0/c"),"הדוד בנימין")</f>
        <v>הדוד בנימין</v>
      </c>
      <c r="H442" t="str">
        <f>_xlfn.CONCAT("https://tablet.otzar.org/",CHAR(35),"/book/613910/p/-1/t/1/fs/0/start/0/end/0/c")</f>
        <v>https://tablet.otzar.org/#/book/613910/p/-1/t/1/fs/0/start/0/end/0/c</v>
      </c>
    </row>
    <row r="443" spans="1:8" x14ac:dyDescent="0.25">
      <c r="A443">
        <v>146270</v>
      </c>
      <c r="B443" t="s">
        <v>867</v>
      </c>
      <c r="C443" t="s">
        <v>868</v>
      </c>
      <c r="D443" t="s">
        <v>28</v>
      </c>
      <c r="E443" t="s">
        <v>91</v>
      </c>
      <c r="F443" t="s">
        <v>94</v>
      </c>
      <c r="G443" t="str">
        <f>HYPERLINK(_xlfn.CONCAT("https://tablet.otzar.org/",CHAR(35),"/book/146270/p/-1/t/1/fs/0/start/0/end/0/c"),"הדפסת ספר התניא")</f>
        <v>הדפסת ספר התניא</v>
      </c>
      <c r="H443" t="str">
        <f>_xlfn.CONCAT("https://tablet.otzar.org/",CHAR(35),"/book/146270/p/-1/t/1/fs/0/start/0/end/0/c")</f>
        <v>https://tablet.otzar.org/#/book/146270/p/-1/t/1/fs/0/start/0/end/0/c</v>
      </c>
    </row>
    <row r="444" spans="1:8" x14ac:dyDescent="0.25">
      <c r="A444">
        <v>27732</v>
      </c>
      <c r="B444" t="s">
        <v>869</v>
      </c>
      <c r="C444" t="s">
        <v>125</v>
      </c>
      <c r="D444" t="s">
        <v>870</v>
      </c>
      <c r="E444" t="s">
        <v>346</v>
      </c>
      <c r="F444" t="s">
        <v>12</v>
      </c>
      <c r="G444" t="str">
        <f>HYPERLINK(_xlfn.CONCAT("https://tablet.otzar.org/",CHAR(35),"/book/27732/p/-1/t/1/fs/0/start/0/end/0/c"),"הדר הכרמל")</f>
        <v>הדר הכרמל</v>
      </c>
      <c r="H444" t="str">
        <f>_xlfn.CONCAT("https://tablet.otzar.org/",CHAR(35),"/book/27732/p/-1/t/1/fs/0/start/0/end/0/c")</f>
        <v>https://tablet.otzar.org/#/book/27732/p/-1/t/1/fs/0/start/0/end/0/c</v>
      </c>
    </row>
    <row r="445" spans="1:8" x14ac:dyDescent="0.25">
      <c r="A445">
        <v>26478</v>
      </c>
      <c r="B445" t="s">
        <v>871</v>
      </c>
      <c r="C445" t="s">
        <v>125</v>
      </c>
      <c r="D445" t="s">
        <v>10</v>
      </c>
      <c r="E445" t="s">
        <v>79</v>
      </c>
      <c r="F445" t="s">
        <v>12</v>
      </c>
      <c r="G445" t="str">
        <f>HYPERLINK(_xlfn.CONCAT("https://tablet.otzar.org/",CHAR(35),"/book/26478/p/-1/t/1/fs/0/start/0/end/0/c"),"הדרך הישרה - א")</f>
        <v>הדרך הישרה - א</v>
      </c>
      <c r="H445" t="str">
        <f>_xlfn.CONCAT("https://tablet.otzar.org/",CHAR(35),"/book/26478/p/-1/t/1/fs/0/start/0/end/0/c")</f>
        <v>https://tablet.otzar.org/#/book/26478/p/-1/t/1/fs/0/start/0/end/0/c</v>
      </c>
    </row>
    <row r="446" spans="1:8" x14ac:dyDescent="0.25">
      <c r="A446">
        <v>26968</v>
      </c>
      <c r="B446" t="s">
        <v>872</v>
      </c>
      <c r="C446" t="s">
        <v>873</v>
      </c>
      <c r="E446" t="s">
        <v>148</v>
      </c>
      <c r="F446" t="s">
        <v>12</v>
      </c>
      <c r="G446" t="str">
        <f>HYPERLINK(_xlfn.CONCAT("https://tablet.otzar.org/",CHAR(35),"/book/26968/p/-1/t/1/fs/0/start/0/end/0/c"),"הדרך לחיים של משמעות")</f>
        <v>הדרך לחיים של משמעות</v>
      </c>
      <c r="H446" t="str">
        <f>_xlfn.CONCAT("https://tablet.otzar.org/",CHAR(35),"/book/26968/p/-1/t/1/fs/0/start/0/end/0/c")</f>
        <v>https://tablet.otzar.org/#/book/26968/p/-1/t/1/fs/0/start/0/end/0/c</v>
      </c>
    </row>
    <row r="447" spans="1:8" x14ac:dyDescent="0.25">
      <c r="A447">
        <v>195705</v>
      </c>
      <c r="B447" t="s">
        <v>874</v>
      </c>
      <c r="C447" t="s">
        <v>45</v>
      </c>
      <c r="D447" t="s">
        <v>10</v>
      </c>
      <c r="E447" t="s">
        <v>19</v>
      </c>
      <c r="F447" t="s">
        <v>12</v>
      </c>
      <c r="G447" t="str">
        <f>HYPERLINK(_xlfn.CONCAT("https://tablet.otzar.org/",CHAR(35),"/exKotar/195705"),"הדרן - 2 כרכים")</f>
        <v>הדרן - 2 כרכים</v>
      </c>
      <c r="H447" t="str">
        <f>_xlfn.CONCAT("https://tablet.otzar.org/",CHAR(35),"/exKotar/195705")</f>
        <v>https://tablet.otzar.org/#/exKotar/195705</v>
      </c>
    </row>
    <row r="448" spans="1:8" x14ac:dyDescent="0.25">
      <c r="A448">
        <v>140947</v>
      </c>
      <c r="B448" t="s">
        <v>875</v>
      </c>
      <c r="C448" t="s">
        <v>45</v>
      </c>
      <c r="D448" t="s">
        <v>10</v>
      </c>
      <c r="E448" t="s">
        <v>40</v>
      </c>
      <c r="F448" t="s">
        <v>12</v>
      </c>
      <c r="G448" t="str">
        <f>HYPERLINK(_xlfn.CONCAT("https://tablet.otzar.org/",CHAR(35),"/book/140947/p/-1/t/1/fs/0/start/0/end/0/c"),"הדרן על הש""""ס")</f>
        <v>הדרן על הש""ס</v>
      </c>
      <c r="H448" t="str">
        <f>_xlfn.CONCAT("https://tablet.otzar.org/",CHAR(35),"/book/140947/p/-1/t/1/fs/0/start/0/end/0/c")</f>
        <v>https://tablet.otzar.org/#/book/140947/p/-1/t/1/fs/0/start/0/end/0/c</v>
      </c>
    </row>
    <row r="449" spans="1:8" x14ac:dyDescent="0.25">
      <c r="A449">
        <v>146392</v>
      </c>
      <c r="B449" t="s">
        <v>876</v>
      </c>
      <c r="C449" t="s">
        <v>45</v>
      </c>
      <c r="D449" t="s">
        <v>10</v>
      </c>
      <c r="E449" t="s">
        <v>40</v>
      </c>
      <c r="F449" t="s">
        <v>319</v>
      </c>
      <c r="G449" t="str">
        <f>HYPERLINK(_xlfn.CONCAT("https://tablet.otzar.org/",CHAR(35),"/book/146392/p/-1/t/1/fs/0/start/0/end/0/c"),"הדרן על ששה סדרי משנה")</f>
        <v>הדרן על ששה סדרי משנה</v>
      </c>
      <c r="H449" t="str">
        <f>_xlfn.CONCAT("https://tablet.otzar.org/",CHAR(35),"/book/146392/p/-1/t/1/fs/0/start/0/end/0/c")</f>
        <v>https://tablet.otzar.org/#/book/146392/p/-1/t/1/fs/0/start/0/end/0/c</v>
      </c>
    </row>
    <row r="450" spans="1:8" x14ac:dyDescent="0.25">
      <c r="A450">
        <v>145758</v>
      </c>
      <c r="B450" t="s">
        <v>877</v>
      </c>
      <c r="C450" t="s">
        <v>45</v>
      </c>
      <c r="D450" t="s">
        <v>28</v>
      </c>
      <c r="E450" t="s">
        <v>139</v>
      </c>
      <c r="F450" t="s">
        <v>12</v>
      </c>
      <c r="G450" t="str">
        <f>HYPERLINK(_xlfn.CONCAT("https://tablet.otzar.org/",CHAR(35),"/book/145758/p/-1/t/1/fs/0/start/0/end/0/c"),"הדרנים על הרמב""""ם")</f>
        <v>הדרנים על הרמב""ם</v>
      </c>
      <c r="H450" t="str">
        <f>_xlfn.CONCAT("https://tablet.otzar.org/",CHAR(35),"/book/145758/p/-1/t/1/fs/0/start/0/end/0/c")</f>
        <v>https://tablet.otzar.org/#/book/145758/p/-1/t/1/fs/0/start/0/end/0/c</v>
      </c>
    </row>
    <row r="451" spans="1:8" x14ac:dyDescent="0.25">
      <c r="A451">
        <v>26514</v>
      </c>
      <c r="B451" t="s">
        <v>878</v>
      </c>
      <c r="C451" t="s">
        <v>879</v>
      </c>
      <c r="D451" t="s">
        <v>28</v>
      </c>
      <c r="E451" t="s">
        <v>192</v>
      </c>
      <c r="F451" t="s">
        <v>12</v>
      </c>
      <c r="G451" t="str">
        <f>HYPERLINK(_xlfn.CONCAT("https://tablet.otzar.org/",CHAR(35),"/book/26514/p/-1/t/1/fs/0/start/0/end/0/c"),"הדרנים על ששה סדרי משנה")</f>
        <v>הדרנים על ששה סדרי משנה</v>
      </c>
      <c r="H451" t="str">
        <f>_xlfn.CONCAT("https://tablet.otzar.org/",CHAR(35),"/book/26514/p/-1/t/1/fs/0/start/0/end/0/c")</f>
        <v>https://tablet.otzar.org/#/book/26514/p/-1/t/1/fs/0/start/0/end/0/c</v>
      </c>
    </row>
    <row r="452" spans="1:8" x14ac:dyDescent="0.25">
      <c r="A452">
        <v>145740</v>
      </c>
      <c r="B452" t="s">
        <v>880</v>
      </c>
      <c r="C452" t="s">
        <v>881</v>
      </c>
      <c r="D452" t="s">
        <v>882</v>
      </c>
      <c r="E452" t="s">
        <v>260</v>
      </c>
      <c r="F452" t="s">
        <v>883</v>
      </c>
      <c r="G452" t="str">
        <f>HYPERLINK(_xlfn.CONCAT("https://tablet.otzar.org/",CHAR(35),"/book/145740/p/-1/t/1/fs/0/start/0/end/0/c"),"הדרת מלך - גיטין")</f>
        <v>הדרת מלך - גיטין</v>
      </c>
      <c r="H452" t="str">
        <f>_xlfn.CONCAT("https://tablet.otzar.org/",CHAR(35),"/book/145740/p/-1/t/1/fs/0/start/0/end/0/c")</f>
        <v>https://tablet.otzar.org/#/book/145740/p/-1/t/1/fs/0/start/0/end/0/c</v>
      </c>
    </row>
    <row r="453" spans="1:8" x14ac:dyDescent="0.25">
      <c r="A453">
        <v>27370</v>
      </c>
      <c r="B453" t="s">
        <v>884</v>
      </c>
      <c r="C453" t="s">
        <v>885</v>
      </c>
      <c r="D453" t="s">
        <v>10</v>
      </c>
      <c r="E453" t="s">
        <v>75</v>
      </c>
      <c r="F453" t="s">
        <v>12</v>
      </c>
      <c r="G453" t="str">
        <f>HYPERLINK(_xlfn.CONCAT("https://tablet.otzar.org/",CHAR(35),"/exKotar/27370"),"הדרת מלך - 5 כרכים")</f>
        <v>הדרת מלך - 5 כרכים</v>
      </c>
      <c r="H453" t="str">
        <f>_xlfn.CONCAT("https://tablet.otzar.org/",CHAR(35),"/exKotar/27370")</f>
        <v>https://tablet.otzar.org/#/exKotar/27370</v>
      </c>
    </row>
    <row r="454" spans="1:8" x14ac:dyDescent="0.25">
      <c r="A454">
        <v>683082</v>
      </c>
      <c r="B454" t="s">
        <v>886</v>
      </c>
      <c r="C454" t="s">
        <v>887</v>
      </c>
      <c r="D454" t="s">
        <v>888</v>
      </c>
      <c r="E454" t="s">
        <v>705</v>
      </c>
      <c r="F454" t="s">
        <v>131</v>
      </c>
      <c r="G454" t="str">
        <f>HYPERLINK(_xlfn.CONCAT("https://tablet.otzar.org/",CHAR(35),"/book/683082/p/-1/t/1/fs/0/start/0/end/0/c"),"ההגדה לעורך הסדר")</f>
        <v>ההגדה לעורך הסדר</v>
      </c>
      <c r="H454" t="str">
        <f>_xlfn.CONCAT("https://tablet.otzar.org/",CHAR(35),"/book/683082/p/-1/t/1/fs/0/start/0/end/0/c")</f>
        <v>https://tablet.otzar.org/#/book/683082/p/-1/t/1/fs/0/start/0/end/0/c</v>
      </c>
    </row>
    <row r="455" spans="1:8" x14ac:dyDescent="0.25">
      <c r="A455">
        <v>160842</v>
      </c>
      <c r="B455" t="s">
        <v>889</v>
      </c>
      <c r="C455" t="s">
        <v>45</v>
      </c>
      <c r="D455" t="s">
        <v>10</v>
      </c>
      <c r="E455" t="s">
        <v>16</v>
      </c>
      <c r="F455" t="s">
        <v>12</v>
      </c>
      <c r="G455" t="str">
        <f>HYPERLINK(_xlfn.CONCAT("https://tablet.otzar.org/",CHAR(35),"/book/160842/p/-1/t/1/fs/0/start/0/end/0/c"),"ההתקשרות האמיתית")</f>
        <v>ההתקשרות האמיתית</v>
      </c>
      <c r="H455" t="str">
        <f>_xlfn.CONCAT("https://tablet.otzar.org/",CHAR(35),"/book/160842/p/-1/t/1/fs/0/start/0/end/0/c")</f>
        <v>https://tablet.otzar.org/#/book/160842/p/-1/t/1/fs/0/start/0/end/0/c</v>
      </c>
    </row>
    <row r="456" spans="1:8" x14ac:dyDescent="0.25">
      <c r="A456">
        <v>141348</v>
      </c>
      <c r="B456" t="s">
        <v>890</v>
      </c>
      <c r="C456" t="s">
        <v>891</v>
      </c>
      <c r="D456" t="s">
        <v>681</v>
      </c>
      <c r="E456" t="s">
        <v>134</v>
      </c>
      <c r="F456" t="s">
        <v>12</v>
      </c>
      <c r="G456" t="str">
        <f>HYPERLINK(_xlfn.CONCAT("https://tablet.otzar.org/",CHAR(35),"/book/141348/p/-1/t/1/fs/0/start/0/end/0/c"),"הוגה בתורה")</f>
        <v>הוגה בתורה</v>
      </c>
      <c r="H456" t="str">
        <f>_xlfn.CONCAT("https://tablet.otzar.org/",CHAR(35),"/book/141348/p/-1/t/1/fs/0/start/0/end/0/c")</f>
        <v>https://tablet.otzar.org/#/book/141348/p/-1/t/1/fs/0/start/0/end/0/c</v>
      </c>
    </row>
    <row r="457" spans="1:8" x14ac:dyDescent="0.25">
      <c r="A457">
        <v>153354</v>
      </c>
      <c r="B457" t="s">
        <v>892</v>
      </c>
      <c r="C457" t="s">
        <v>45</v>
      </c>
      <c r="D457" t="s">
        <v>37</v>
      </c>
      <c r="E457" t="s">
        <v>49</v>
      </c>
      <c r="F457" t="s">
        <v>12</v>
      </c>
      <c r="G457" t="str">
        <f>HYPERLINK(_xlfn.CONCAT("https://tablet.otzar.org/",CHAR(35),"/book/153354/p/-1/t/1/fs/0/start/0/end/0/c"),"הוה גביר")</f>
        <v>הוה גביר</v>
      </c>
      <c r="H457" t="str">
        <f>_xlfn.CONCAT("https://tablet.otzar.org/",CHAR(35),"/book/153354/p/-1/t/1/fs/0/start/0/end/0/c")</f>
        <v>https://tablet.otzar.org/#/book/153354/p/-1/t/1/fs/0/start/0/end/0/c</v>
      </c>
    </row>
    <row r="458" spans="1:8" x14ac:dyDescent="0.25">
      <c r="A458">
        <v>161297</v>
      </c>
      <c r="B458" t="s">
        <v>893</v>
      </c>
      <c r="C458" t="s">
        <v>59</v>
      </c>
      <c r="D458" t="s">
        <v>191</v>
      </c>
      <c r="E458" t="s">
        <v>49</v>
      </c>
      <c r="G458" t="str">
        <f>HYPERLINK(_xlfn.CONCAT("https://tablet.otzar.org/",CHAR(35),"/book/161297/p/-1/t/1/fs/0/start/0/end/0/c"),"הוויכוח במינסק")</f>
        <v>הוויכוח במינסק</v>
      </c>
      <c r="H458" t="str">
        <f>_xlfn.CONCAT("https://tablet.otzar.org/",CHAR(35),"/book/161297/p/-1/t/1/fs/0/start/0/end/0/c")</f>
        <v>https://tablet.otzar.org/#/book/161297/p/-1/t/1/fs/0/start/0/end/0/c</v>
      </c>
    </row>
    <row r="459" spans="1:8" x14ac:dyDescent="0.25">
      <c r="A459">
        <v>607984</v>
      </c>
      <c r="B459" t="s">
        <v>894</v>
      </c>
      <c r="C459" t="s">
        <v>59</v>
      </c>
      <c r="D459" t="s">
        <v>10</v>
      </c>
      <c r="E459" t="s">
        <v>99</v>
      </c>
      <c r="F459" t="s">
        <v>12</v>
      </c>
      <c r="G459" t="str">
        <f>HYPERLINK(_xlfn.CONCAT("https://tablet.otzar.org/",CHAR(35),"/book/607984/p/-1/t/1/fs/0/start/0/end/0/c"),"הוויכוח במינסק (בתרגום אנגלית)")</f>
        <v>הוויכוח במינסק (בתרגום אנגלית)</v>
      </c>
      <c r="H459" t="str">
        <f>_xlfn.CONCAT("https://tablet.otzar.org/",CHAR(35),"/book/607984/p/-1/t/1/fs/0/start/0/end/0/c")</f>
        <v>https://tablet.otzar.org/#/book/607984/p/-1/t/1/fs/0/start/0/end/0/c</v>
      </c>
    </row>
    <row r="460" spans="1:8" x14ac:dyDescent="0.25">
      <c r="A460">
        <v>27551</v>
      </c>
      <c r="B460" t="s">
        <v>895</v>
      </c>
      <c r="C460" t="s">
        <v>895</v>
      </c>
      <c r="D460" t="s">
        <v>10</v>
      </c>
      <c r="E460" t="s">
        <v>29</v>
      </c>
      <c r="F460" t="s">
        <v>12</v>
      </c>
      <c r="G460" t="str">
        <f>HYPERLINK(_xlfn.CONCAT("https://tablet.otzar.org/",CHAR(35),"/book/27551/p/-1/t/1/fs/0/start/0/end/0/c"),"הולך בדרך תמים")</f>
        <v>הולך בדרך תמים</v>
      </c>
      <c r="H460" t="str">
        <f>_xlfn.CONCAT("https://tablet.otzar.org/",CHAR(35),"/book/27551/p/-1/t/1/fs/0/start/0/end/0/c")</f>
        <v>https://tablet.otzar.org/#/book/27551/p/-1/t/1/fs/0/start/0/end/0/c</v>
      </c>
    </row>
    <row r="461" spans="1:8" x14ac:dyDescent="0.25">
      <c r="A461">
        <v>196127</v>
      </c>
      <c r="B461" t="s">
        <v>896</v>
      </c>
      <c r="C461" t="s">
        <v>897</v>
      </c>
      <c r="D461" t="s">
        <v>15</v>
      </c>
      <c r="E461" t="s">
        <v>62</v>
      </c>
      <c r="F461" t="s">
        <v>12</v>
      </c>
      <c r="G461" t="str">
        <f>HYPERLINK(_xlfn.CONCAT("https://tablet.otzar.org/",CHAR(35),"/book/196127/p/-1/t/1/fs/0/start/0/end/0/c"),"הוצאת ספרים קה""""ת - תולדותיה")</f>
        <v>הוצאת ספרים קה""ת - תולדותיה</v>
      </c>
      <c r="H461" t="str">
        <f>_xlfn.CONCAT("https://tablet.otzar.org/",CHAR(35),"/book/196127/p/-1/t/1/fs/0/start/0/end/0/c")</f>
        <v>https://tablet.otzar.org/#/book/196127/p/-1/t/1/fs/0/start/0/end/0/c</v>
      </c>
    </row>
    <row r="462" spans="1:8" x14ac:dyDescent="0.25">
      <c r="A462">
        <v>652438</v>
      </c>
      <c r="B462" t="s">
        <v>898</v>
      </c>
      <c r="C462" t="s">
        <v>899</v>
      </c>
      <c r="D462" t="s">
        <v>363</v>
      </c>
      <c r="E462" t="s">
        <v>24</v>
      </c>
      <c r="G462" t="str">
        <f>HYPERLINK(_xlfn.CONCAT("https://tablet.otzar.org/",CHAR(35),"/exKotar/652438"),"הוראה ומשפט &lt;ליובאוויטש&gt;  - 3 כרכים")</f>
        <v>הוראה ומשפט &lt;ליובאוויטש&gt;  - 3 כרכים</v>
      </c>
      <c r="H462" t="str">
        <f>_xlfn.CONCAT("https://tablet.otzar.org/",CHAR(35),"/exKotar/652438")</f>
        <v>https://tablet.otzar.org/#/exKotar/652438</v>
      </c>
    </row>
    <row r="463" spans="1:8" x14ac:dyDescent="0.25">
      <c r="A463">
        <v>141518</v>
      </c>
      <c r="B463" t="s">
        <v>900</v>
      </c>
      <c r="C463" t="s">
        <v>102</v>
      </c>
      <c r="D463" t="s">
        <v>37</v>
      </c>
      <c r="E463" t="s">
        <v>75</v>
      </c>
      <c r="F463" t="s">
        <v>12</v>
      </c>
      <c r="G463" t="str">
        <f>HYPERLINK(_xlfn.CONCAT("https://tablet.otzar.org/",CHAR(35),"/book/141518/p/-1/t/1/fs/0/start/0/end/0/c"),"הוראת המספרים")</f>
        <v>הוראת המספרים</v>
      </c>
      <c r="H463" t="str">
        <f>_xlfn.CONCAT("https://tablet.otzar.org/",CHAR(35),"/book/141518/p/-1/t/1/fs/0/start/0/end/0/c")</f>
        <v>https://tablet.otzar.org/#/book/141518/p/-1/t/1/fs/0/start/0/end/0/c</v>
      </c>
    </row>
    <row r="464" spans="1:8" x14ac:dyDescent="0.25">
      <c r="A464">
        <v>27900</v>
      </c>
      <c r="B464" t="s">
        <v>901</v>
      </c>
      <c r="C464" t="s">
        <v>902</v>
      </c>
      <c r="D464" t="s">
        <v>15</v>
      </c>
      <c r="E464" t="s">
        <v>79</v>
      </c>
      <c r="F464" t="s">
        <v>12</v>
      </c>
      <c r="G464" t="str">
        <f>HYPERLINK(_xlfn.CONCAT("https://tablet.otzar.org/",CHAR(35),"/exKotar/27900"),"הורנו מדרכיו - 2 כרכים")</f>
        <v>הורנו מדרכיו - 2 כרכים</v>
      </c>
      <c r="H464" t="str">
        <f>_xlfn.CONCAT("https://tablet.otzar.org/",CHAR(35),"/exKotar/27900")</f>
        <v>https://tablet.otzar.org/#/exKotar/27900</v>
      </c>
    </row>
    <row r="465" spans="1:8" x14ac:dyDescent="0.25">
      <c r="A465">
        <v>142675</v>
      </c>
      <c r="B465" t="s">
        <v>903</v>
      </c>
      <c r="C465" t="s">
        <v>904</v>
      </c>
      <c r="D465" t="s">
        <v>10</v>
      </c>
      <c r="E465" t="s">
        <v>54</v>
      </c>
      <c r="F465" t="s">
        <v>12</v>
      </c>
      <c r="G465" t="str">
        <f>HYPERLINK(_xlfn.CONCAT("https://tablet.otzar.org/",CHAR(35),"/exKotar/142675"),"הורנו מדרכיו - 3 כרכים")</f>
        <v>הורנו מדרכיו - 3 כרכים</v>
      </c>
      <c r="H465" t="str">
        <f>_xlfn.CONCAT("https://tablet.otzar.org/",CHAR(35),"/exKotar/142675")</f>
        <v>https://tablet.otzar.org/#/exKotar/142675</v>
      </c>
    </row>
    <row r="466" spans="1:8" x14ac:dyDescent="0.25">
      <c r="A466">
        <v>162752</v>
      </c>
      <c r="B466" t="s">
        <v>905</v>
      </c>
      <c r="C466" t="s">
        <v>348</v>
      </c>
      <c r="D466" t="s">
        <v>28</v>
      </c>
      <c r="E466" t="s">
        <v>91</v>
      </c>
      <c r="G466" t="str">
        <f>HYPERLINK(_xlfn.CONCAT("https://tablet.otzar.org/",CHAR(35),"/book/162752/p/-1/t/1/fs/0/start/0/end/0/c"),"הזולת הוא הראי")</f>
        <v>הזולת הוא הראי</v>
      </c>
      <c r="H466" t="str">
        <f>_xlfn.CONCAT("https://tablet.otzar.org/",CHAR(35),"/book/162752/p/-1/t/1/fs/0/start/0/end/0/c")</f>
        <v>https://tablet.otzar.org/#/book/162752/p/-1/t/1/fs/0/start/0/end/0/c</v>
      </c>
    </row>
    <row r="467" spans="1:8" x14ac:dyDescent="0.25">
      <c r="A467">
        <v>146516</v>
      </c>
      <c r="B467" t="s">
        <v>906</v>
      </c>
      <c r="C467" t="s">
        <v>907</v>
      </c>
      <c r="D467" t="s">
        <v>28</v>
      </c>
      <c r="E467" t="s">
        <v>236</v>
      </c>
      <c r="F467" t="s">
        <v>12</v>
      </c>
      <c r="G467" t="str">
        <f>HYPERLINK(_xlfn.CONCAT("https://tablet.otzar.org/",CHAR(35),"/exKotar/146516"),"החגיגה העולמית לסיום ספר משנה תורה - 5 כרכים")</f>
        <v>החגיגה העולמית לסיום ספר משנה תורה - 5 כרכים</v>
      </c>
      <c r="H467" t="str">
        <f>_xlfn.CONCAT("https://tablet.otzar.org/",CHAR(35),"/exKotar/146516")</f>
        <v>https://tablet.otzar.org/#/exKotar/146516</v>
      </c>
    </row>
    <row r="468" spans="1:8" x14ac:dyDescent="0.25">
      <c r="A468">
        <v>150936</v>
      </c>
      <c r="B468" t="s">
        <v>908</v>
      </c>
      <c r="C468" t="s">
        <v>909</v>
      </c>
      <c r="D468" t="s">
        <v>910</v>
      </c>
      <c r="E468" t="s">
        <v>226</v>
      </c>
      <c r="F468" t="s">
        <v>201</v>
      </c>
      <c r="G468" t="str">
        <f>HYPERLINK(_xlfn.CONCAT("https://tablet.otzar.org/",CHAR(35),"/book/150936/p/-1/t/1/fs/0/start/0/end/0/c"),"החודש השביעי")</f>
        <v>החודש השביעי</v>
      </c>
      <c r="H468" t="str">
        <f>_xlfn.CONCAT("https://tablet.otzar.org/",CHAR(35),"/book/150936/p/-1/t/1/fs/0/start/0/end/0/c")</f>
        <v>https://tablet.otzar.org/#/book/150936/p/-1/t/1/fs/0/start/0/end/0/c</v>
      </c>
    </row>
    <row r="469" spans="1:8" x14ac:dyDescent="0.25">
      <c r="A469">
        <v>146507</v>
      </c>
      <c r="B469" t="s">
        <v>911</v>
      </c>
      <c r="C469" t="s">
        <v>912</v>
      </c>
      <c r="D469" t="s">
        <v>28</v>
      </c>
      <c r="E469" t="s">
        <v>91</v>
      </c>
      <c r="F469" t="s">
        <v>12</v>
      </c>
      <c r="G469" t="str">
        <f>HYPERLINK(_xlfn.CONCAT("https://tablet.otzar.org/",CHAR(35),"/book/146507/p/-1/t/1/fs/0/start/0/end/0/c"),"החוק הכפול והנגדי")</f>
        <v>החוק הכפול והנגדי</v>
      </c>
      <c r="H469" t="str">
        <f>_xlfn.CONCAT("https://tablet.otzar.org/",CHAR(35),"/book/146507/p/-1/t/1/fs/0/start/0/end/0/c")</f>
        <v>https://tablet.otzar.org/#/book/146507/p/-1/t/1/fs/0/start/0/end/0/c</v>
      </c>
    </row>
    <row r="470" spans="1:8" x14ac:dyDescent="0.25">
      <c r="A470">
        <v>607881</v>
      </c>
      <c r="B470" t="s">
        <v>913</v>
      </c>
      <c r="C470" t="s">
        <v>595</v>
      </c>
      <c r="D470" t="s">
        <v>15</v>
      </c>
      <c r="E470" t="s">
        <v>91</v>
      </c>
      <c r="F470" t="s">
        <v>12</v>
      </c>
      <c r="G470" t="str">
        <f>HYPERLINK(_xlfn.CONCAT("https://tablet.otzar.org/",CHAR(35),"/book/607881/p/-1/t/1/fs/0/start/0/end/0/c"),"החיים השמחים")</f>
        <v>החיים השמחים</v>
      </c>
      <c r="H470" t="str">
        <f>_xlfn.CONCAT("https://tablet.otzar.org/",CHAR(35),"/book/607881/p/-1/t/1/fs/0/start/0/end/0/c")</f>
        <v>https://tablet.otzar.org/#/book/607881/p/-1/t/1/fs/0/start/0/end/0/c</v>
      </c>
    </row>
    <row r="471" spans="1:8" x14ac:dyDescent="0.25">
      <c r="A471">
        <v>173564</v>
      </c>
      <c r="B471" t="s">
        <v>914</v>
      </c>
      <c r="C471" t="s">
        <v>915</v>
      </c>
      <c r="D471" t="s">
        <v>15</v>
      </c>
      <c r="E471" t="s">
        <v>62</v>
      </c>
      <c r="F471" t="s">
        <v>12</v>
      </c>
      <c r="G471" t="str">
        <f>HYPERLINK(_xlfn.CONCAT("https://tablet.otzar.org/",CHAR(35),"/book/173564/p/-1/t/1/fs/0/start/0/end/0/c"),"החינוך במשנתו של הרבי")</f>
        <v>החינוך במשנתו של הרבי</v>
      </c>
      <c r="H471" t="str">
        <f>_xlfn.CONCAT("https://tablet.otzar.org/",CHAR(35),"/book/173564/p/-1/t/1/fs/0/start/0/end/0/c")</f>
        <v>https://tablet.otzar.org/#/book/173564/p/-1/t/1/fs/0/start/0/end/0/c</v>
      </c>
    </row>
    <row r="472" spans="1:8" x14ac:dyDescent="0.25">
      <c r="A472">
        <v>614941</v>
      </c>
      <c r="B472" t="s">
        <v>916</v>
      </c>
      <c r="C472" t="s">
        <v>917</v>
      </c>
      <c r="D472" t="s">
        <v>15</v>
      </c>
      <c r="E472" t="s">
        <v>66</v>
      </c>
      <c r="F472" t="s">
        <v>12</v>
      </c>
      <c r="G472" t="str">
        <f>HYPERLINK(_xlfn.CONCAT("https://tablet.otzar.org/",CHAR(35),"/book/614941/p/-1/t/1/fs/0/start/0/end/0/c"),"החינוך היהודי סוד ויסוד קיומנו")</f>
        <v>החינוך היהודי סוד ויסוד קיומנו</v>
      </c>
      <c r="H472" t="str">
        <f>_xlfn.CONCAT("https://tablet.otzar.org/",CHAR(35),"/book/614941/p/-1/t/1/fs/0/start/0/end/0/c")</f>
        <v>https://tablet.otzar.org/#/book/614941/p/-1/t/1/fs/0/start/0/end/0/c</v>
      </c>
    </row>
    <row r="473" spans="1:8" x14ac:dyDescent="0.25">
      <c r="A473">
        <v>141448</v>
      </c>
      <c r="B473" t="s">
        <v>918</v>
      </c>
      <c r="C473" t="s">
        <v>244</v>
      </c>
      <c r="D473" t="s">
        <v>28</v>
      </c>
      <c r="E473" t="s">
        <v>91</v>
      </c>
      <c r="F473" t="s">
        <v>12</v>
      </c>
      <c r="G473" t="str">
        <f>HYPERLINK(_xlfn.CONCAT("https://tablet.otzar.org/",CHAR(35),"/book/141448/p/-1/t/1/fs/0/start/0/end/0/c"),"החינוך על טהרת הקודש")</f>
        <v>החינוך על טהרת הקודש</v>
      </c>
      <c r="H473" t="str">
        <f>_xlfn.CONCAT("https://tablet.otzar.org/",CHAR(35),"/book/141448/p/-1/t/1/fs/0/start/0/end/0/c")</f>
        <v>https://tablet.otzar.org/#/book/141448/p/-1/t/1/fs/0/start/0/end/0/c</v>
      </c>
    </row>
    <row r="474" spans="1:8" x14ac:dyDescent="0.25">
      <c r="A474">
        <v>162760</v>
      </c>
      <c r="B474" t="s">
        <v>919</v>
      </c>
      <c r="C474" t="s">
        <v>920</v>
      </c>
      <c r="D474" t="s">
        <v>15</v>
      </c>
      <c r="E474" t="s">
        <v>217</v>
      </c>
      <c r="F474" t="s">
        <v>12</v>
      </c>
      <c r="G474" t="str">
        <f>HYPERLINK(_xlfn.CONCAT("https://tablet.otzar.org/",CHAR(35),"/book/162760/p/-1/t/1/fs/0/start/0/end/0/c"),"החן החסידי")</f>
        <v>החן החסידי</v>
      </c>
      <c r="H474" t="str">
        <f>_xlfn.CONCAT("https://tablet.otzar.org/",CHAR(35),"/book/162760/p/-1/t/1/fs/0/start/0/end/0/c")</f>
        <v>https://tablet.otzar.org/#/book/162760/p/-1/t/1/fs/0/start/0/end/0/c</v>
      </c>
    </row>
    <row r="475" spans="1:8" x14ac:dyDescent="0.25">
      <c r="A475">
        <v>628547</v>
      </c>
      <c r="B475" t="s">
        <v>921</v>
      </c>
      <c r="C475" t="s">
        <v>102</v>
      </c>
      <c r="D475" t="s">
        <v>15</v>
      </c>
      <c r="E475" t="s">
        <v>192</v>
      </c>
      <c r="F475" t="s">
        <v>96</v>
      </c>
      <c r="G475" t="str">
        <f>HYPERLINK(_xlfn.CONCAT("https://tablet.otzar.org/",CHAR(35),"/book/628547/p/-1/t/1/fs/0/start/0/end/0/c"),"הטבע היהודי")</f>
        <v>הטבע היהודי</v>
      </c>
      <c r="H475" t="str">
        <f>_xlfn.CONCAT("https://tablet.otzar.org/",CHAR(35),"/book/628547/p/-1/t/1/fs/0/start/0/end/0/c")</f>
        <v>https://tablet.otzar.org/#/book/628547/p/-1/t/1/fs/0/start/0/end/0/c</v>
      </c>
    </row>
    <row r="476" spans="1:8" x14ac:dyDescent="0.25">
      <c r="A476">
        <v>150940</v>
      </c>
      <c r="B476" t="s">
        <v>922</v>
      </c>
      <c r="C476" t="s">
        <v>923</v>
      </c>
      <c r="D476" t="s">
        <v>15</v>
      </c>
      <c r="E476" t="s">
        <v>226</v>
      </c>
      <c r="F476" t="s">
        <v>12</v>
      </c>
      <c r="G476" t="str">
        <f>HYPERLINK(_xlfn.CONCAT("https://tablet.otzar.org/",CHAR(35),"/exKotar/150940"),"הטרקטוריסט של הרבי - 2 כרכים")</f>
        <v>הטרקטוריסט של הרבי - 2 כרכים</v>
      </c>
      <c r="H476" t="str">
        <f>_xlfn.CONCAT("https://tablet.otzar.org/",CHAR(35),"/exKotar/150940")</f>
        <v>https://tablet.otzar.org/#/exKotar/150940</v>
      </c>
    </row>
    <row r="477" spans="1:8" x14ac:dyDescent="0.25">
      <c r="A477">
        <v>607810</v>
      </c>
      <c r="B477" t="s">
        <v>924</v>
      </c>
      <c r="C477" t="s">
        <v>925</v>
      </c>
      <c r="D477" t="s">
        <v>37</v>
      </c>
      <c r="E477" t="s">
        <v>404</v>
      </c>
      <c r="F477" t="s">
        <v>12</v>
      </c>
      <c r="G477" t="str">
        <f>HYPERLINK(_xlfn.CONCAT("https://tablet.otzar.org/",CHAR(35),"/exKotar/607810"),"היא שיחתי - 2 כרכים")</f>
        <v>היא שיחתי - 2 כרכים</v>
      </c>
      <c r="H477" t="str">
        <f>_xlfn.CONCAT("https://tablet.otzar.org/",CHAR(35),"/exKotar/607810")</f>
        <v>https://tablet.otzar.org/#/exKotar/607810</v>
      </c>
    </row>
    <row r="478" spans="1:8" x14ac:dyDescent="0.25">
      <c r="A478">
        <v>607973</v>
      </c>
      <c r="B478" t="s">
        <v>926</v>
      </c>
      <c r="C478" t="s">
        <v>9</v>
      </c>
      <c r="D478" t="s">
        <v>10</v>
      </c>
      <c r="E478" t="s">
        <v>91</v>
      </c>
      <c r="F478" t="s">
        <v>12</v>
      </c>
      <c r="G478" t="str">
        <f>HYPERLINK(_xlfn.CONCAT("https://tablet.otzar.org/",CHAR(35),"/book/607973/p/-1/t/1/fs/0/start/0/end/0/c"),"היום הרת עולם - ראש השנה ג")</f>
        <v>היום הרת עולם - ראש השנה ג</v>
      </c>
      <c r="H478" t="str">
        <f>_xlfn.CONCAT("https://tablet.otzar.org/",CHAR(35),"/book/607973/p/-1/t/1/fs/0/start/0/end/0/c")</f>
        <v>https://tablet.otzar.org/#/book/607973/p/-1/t/1/fs/0/start/0/end/0/c</v>
      </c>
    </row>
    <row r="479" spans="1:8" x14ac:dyDescent="0.25">
      <c r="A479">
        <v>141688</v>
      </c>
      <c r="B479" t="s">
        <v>927</v>
      </c>
      <c r="C479" t="s">
        <v>59</v>
      </c>
      <c r="D479" t="s">
        <v>37</v>
      </c>
      <c r="E479" t="s">
        <v>60</v>
      </c>
      <c r="G479" t="str">
        <f>HYPERLINK(_xlfn.CONCAT("https://tablet.otzar.org/",CHAR(35),"/book/141688/p/-1/t/1/fs/0/start/0/end/0/c"),"היום יום &lt;טקסט&gt;")</f>
        <v>היום יום &lt;טקסט&gt;</v>
      </c>
      <c r="H479" t="str">
        <f>_xlfn.CONCAT("https://tablet.otzar.org/",CHAR(35),"/book/141688/p/-1/t/1/fs/0/start/0/end/0/c")</f>
        <v>https://tablet.otzar.org/#/book/141688/p/-1/t/1/fs/0/start/0/end/0/c</v>
      </c>
    </row>
    <row r="480" spans="1:8" x14ac:dyDescent="0.25">
      <c r="A480">
        <v>26900</v>
      </c>
      <c r="B480" t="s">
        <v>928</v>
      </c>
      <c r="C480" t="s">
        <v>59</v>
      </c>
      <c r="D480" t="s">
        <v>10</v>
      </c>
      <c r="E480" t="s">
        <v>79</v>
      </c>
      <c r="G480" t="str">
        <f>HYPERLINK(_xlfn.CONCAT("https://tablet.otzar.org/",CHAR(35),"/exKotar/26900"),"היום יום - 4 כרכים")</f>
        <v>היום יום - 4 כרכים</v>
      </c>
      <c r="H480" t="str">
        <f>_xlfn.CONCAT("https://tablet.otzar.org/",CHAR(35),"/exKotar/26900")</f>
        <v>https://tablet.otzar.org/#/exKotar/26900</v>
      </c>
    </row>
    <row r="481" spans="1:8" x14ac:dyDescent="0.25">
      <c r="A481">
        <v>635125</v>
      </c>
      <c r="B481" t="s">
        <v>929</v>
      </c>
      <c r="C481" t="s">
        <v>59</v>
      </c>
      <c r="D481" t="s">
        <v>10</v>
      </c>
      <c r="E481" t="s">
        <v>185</v>
      </c>
      <c r="F481" t="s">
        <v>12</v>
      </c>
      <c r="G481" t="str">
        <f>HYPERLINK(_xlfn.CONCAT("https://tablet.otzar.org/",CHAR(35),"/book/635125/p/-1/t/1/fs/0/start/0/end/0/c"),"היום יום (באנגלית)")</f>
        <v>היום יום (באנגלית)</v>
      </c>
      <c r="H481" t="str">
        <f>_xlfn.CONCAT("https://tablet.otzar.org/",CHAR(35),"/book/635125/p/-1/t/1/fs/0/start/0/end/0/c")</f>
        <v>https://tablet.otzar.org/#/book/635125/p/-1/t/1/fs/0/start/0/end/0/c</v>
      </c>
    </row>
    <row r="482" spans="1:8" x14ac:dyDescent="0.25">
      <c r="A482">
        <v>607780</v>
      </c>
      <c r="B482" t="s">
        <v>930</v>
      </c>
      <c r="C482" t="s">
        <v>59</v>
      </c>
      <c r="D482" t="s">
        <v>197</v>
      </c>
      <c r="E482" t="s">
        <v>404</v>
      </c>
      <c r="F482" t="s">
        <v>12</v>
      </c>
      <c r="G482" t="str">
        <f>HYPERLINK(_xlfn.CONCAT("https://tablet.otzar.org/",CHAR(35),"/book/607780/p/-1/t/1/fs/0/start/0/end/0/c"),"היום יום (בעברית)")</f>
        <v>היום יום (בעברית)</v>
      </c>
      <c r="H482" t="str">
        <f>_xlfn.CONCAT("https://tablet.otzar.org/",CHAR(35),"/book/607780/p/-1/t/1/fs/0/start/0/end/0/c")</f>
        <v>https://tablet.otzar.org/#/book/607780/p/-1/t/1/fs/0/start/0/end/0/c</v>
      </c>
    </row>
    <row r="483" spans="1:8" x14ac:dyDescent="0.25">
      <c r="A483">
        <v>147747</v>
      </c>
      <c r="B483" t="s">
        <v>931</v>
      </c>
      <c r="C483" t="s">
        <v>59</v>
      </c>
      <c r="D483" t="s">
        <v>10</v>
      </c>
      <c r="E483" t="s">
        <v>33</v>
      </c>
      <c r="G483" t="str">
        <f>HYPERLINK(_xlfn.CONCAT("https://tablet.otzar.org/",CHAR(35),"/book/147747/p/-1/t/1/fs/0/start/0/end/0/c"),"היום יום (מנוקד ומתורגם ללשה""""ק)")</f>
        <v>היום יום (מנוקד ומתורגם ללשה""ק)</v>
      </c>
      <c r="H483" t="str">
        <f>_xlfn.CONCAT("https://tablet.otzar.org/",CHAR(35),"/book/147747/p/-1/t/1/fs/0/start/0/end/0/c")</f>
        <v>https://tablet.otzar.org/#/book/147747/p/-1/t/1/fs/0/start/0/end/0/c</v>
      </c>
    </row>
    <row r="484" spans="1:8" x14ac:dyDescent="0.25">
      <c r="A484">
        <v>150684</v>
      </c>
      <c r="B484" t="s">
        <v>932</v>
      </c>
      <c r="C484" t="s">
        <v>59</v>
      </c>
      <c r="D484" t="s">
        <v>10</v>
      </c>
      <c r="E484" t="s">
        <v>29</v>
      </c>
      <c r="G484" t="str">
        <f>HYPERLINK(_xlfn.CONCAT("https://tablet.otzar.org/",CHAR(35),"/book/150684/p/-1/t/1/fs/0/start/0/end/0/c"),"היום יום (מנוקד)")</f>
        <v>היום יום (מנוקד)</v>
      </c>
      <c r="H484" t="str">
        <f>_xlfn.CONCAT("https://tablet.otzar.org/",CHAR(35),"/book/150684/p/-1/t/1/fs/0/start/0/end/0/c")</f>
        <v>https://tablet.otzar.org/#/book/150684/p/-1/t/1/fs/0/start/0/end/0/c</v>
      </c>
    </row>
    <row r="485" spans="1:8" x14ac:dyDescent="0.25">
      <c r="A485">
        <v>189065</v>
      </c>
      <c r="B485" t="s">
        <v>933</v>
      </c>
      <c r="C485" t="s">
        <v>59</v>
      </c>
      <c r="D485" t="s">
        <v>15</v>
      </c>
      <c r="E485" t="s">
        <v>62</v>
      </c>
      <c r="F485" t="s">
        <v>12</v>
      </c>
      <c r="G485" t="str">
        <f>HYPERLINK(_xlfn.CONCAT("https://tablet.otzar.org/",CHAR(35),"/book/189065/p/-1/t/1/fs/0/start/0/end/0/c"),"היום יום (משולב מקור ותרגום)")</f>
        <v>היום יום (משולב מקור ותרגום)</v>
      </c>
      <c r="H485" t="str">
        <f>_xlfn.CONCAT("https://tablet.otzar.org/",CHAR(35),"/book/189065/p/-1/t/1/fs/0/start/0/end/0/c")</f>
        <v>https://tablet.otzar.org/#/book/189065/p/-1/t/1/fs/0/start/0/end/0/c</v>
      </c>
    </row>
    <row r="486" spans="1:8" x14ac:dyDescent="0.25">
      <c r="A486">
        <v>27405</v>
      </c>
      <c r="B486" t="s">
        <v>934</v>
      </c>
      <c r="C486" t="s">
        <v>59</v>
      </c>
      <c r="D486" t="s">
        <v>10</v>
      </c>
      <c r="E486" t="s">
        <v>192</v>
      </c>
      <c r="F486" t="s">
        <v>12</v>
      </c>
      <c r="G486" t="str">
        <f>HYPERLINK(_xlfn.CONCAT("https://tablet.otzar.org/",CHAR(35),"/book/27405/p/-1/t/1/fs/0/start/0/end/0/c"),"היום יום (עם תרגום אנגלי)")</f>
        <v>היום יום (עם תרגום אנגלי)</v>
      </c>
      <c r="H486" t="str">
        <f>_xlfn.CONCAT("https://tablet.otzar.org/",CHAR(35),"/book/27405/p/-1/t/1/fs/0/start/0/end/0/c")</f>
        <v>https://tablet.otzar.org/#/book/27405/p/-1/t/1/fs/0/start/0/end/0/c</v>
      </c>
    </row>
    <row r="487" spans="1:8" x14ac:dyDescent="0.25">
      <c r="A487">
        <v>607940</v>
      </c>
      <c r="B487" t="s">
        <v>935</v>
      </c>
      <c r="C487" t="s">
        <v>45</v>
      </c>
      <c r="D487" t="s">
        <v>10</v>
      </c>
      <c r="E487" t="s">
        <v>99</v>
      </c>
      <c r="F487" t="s">
        <v>12</v>
      </c>
      <c r="G487" t="str">
        <f>HYPERLINK(_xlfn.CONCAT("https://tablet.otzar.org/",CHAR(35),"/book/607940/p/-1/t/1/fs/0/start/0/end/0/c"),"היום יום המבואר")</f>
        <v>היום יום המבואר</v>
      </c>
      <c r="H487" t="str">
        <f>_xlfn.CONCAT("https://tablet.otzar.org/",CHAR(35),"/book/607940/p/-1/t/1/fs/0/start/0/end/0/c")</f>
        <v>https://tablet.otzar.org/#/book/607940/p/-1/t/1/fs/0/start/0/end/0/c</v>
      </c>
    </row>
    <row r="488" spans="1:8" x14ac:dyDescent="0.25">
      <c r="A488">
        <v>181530</v>
      </c>
      <c r="B488" t="s">
        <v>936</v>
      </c>
      <c r="C488" t="s">
        <v>122</v>
      </c>
      <c r="D488" t="s">
        <v>28</v>
      </c>
      <c r="E488" t="s">
        <v>62</v>
      </c>
      <c r="F488" t="s">
        <v>12</v>
      </c>
      <c r="G488" t="str">
        <f>HYPERLINK(_xlfn.CONCAT("https://tablet.otzar.org/",CHAR(35),"/book/181530/p/-1/t/1/fs/0/start/0/end/0/c"),"היונה והאריה")</f>
        <v>היונה והאריה</v>
      </c>
      <c r="H488" t="str">
        <f>_xlfn.CONCAT("https://tablet.otzar.org/",CHAR(35),"/book/181530/p/-1/t/1/fs/0/start/0/end/0/c")</f>
        <v>https://tablet.otzar.org/#/book/181530/p/-1/t/1/fs/0/start/0/end/0/c</v>
      </c>
    </row>
    <row r="489" spans="1:8" x14ac:dyDescent="0.25">
      <c r="A489">
        <v>27323</v>
      </c>
      <c r="B489" t="s">
        <v>937</v>
      </c>
      <c r="C489" t="s">
        <v>125</v>
      </c>
      <c r="D489" t="s">
        <v>10</v>
      </c>
      <c r="E489" t="s">
        <v>69</v>
      </c>
      <c r="F489" t="s">
        <v>251</v>
      </c>
      <c r="G489" t="str">
        <f>HYPERLINK(_xlfn.CONCAT("https://tablet.otzar.org/",CHAR(35),"/book/27323/p/-1/t/1/fs/0/start/0/end/0/c"),"היכל המלך")</f>
        <v>היכל המלך</v>
      </c>
      <c r="H489" t="str">
        <f>_xlfn.CONCAT("https://tablet.otzar.org/",CHAR(35),"/book/27323/p/-1/t/1/fs/0/start/0/end/0/c")</f>
        <v>https://tablet.otzar.org/#/book/27323/p/-1/t/1/fs/0/start/0/end/0/c</v>
      </c>
    </row>
    <row r="490" spans="1:8" x14ac:dyDescent="0.25">
      <c r="A490">
        <v>53171</v>
      </c>
      <c r="B490" t="s">
        <v>938</v>
      </c>
      <c r="C490" t="s">
        <v>45</v>
      </c>
      <c r="D490" t="s">
        <v>37</v>
      </c>
      <c r="E490" t="s">
        <v>60</v>
      </c>
      <c r="F490" t="s">
        <v>12</v>
      </c>
      <c r="G490" t="str">
        <f>HYPERLINK(_xlfn.CONCAT("https://tablet.otzar.org/",CHAR(35),"/book/53171/p/-1/t/1/fs/0/start/0/end/0/c"),"היכל הנגינה")</f>
        <v>היכל הנגינה</v>
      </c>
      <c r="H490" t="str">
        <f>_xlfn.CONCAT("https://tablet.otzar.org/",CHAR(35),"/book/53171/p/-1/t/1/fs/0/start/0/end/0/c")</f>
        <v>https://tablet.otzar.org/#/book/53171/p/-1/t/1/fs/0/start/0/end/0/c</v>
      </c>
    </row>
    <row r="491" spans="1:8" x14ac:dyDescent="0.25">
      <c r="A491">
        <v>143314</v>
      </c>
      <c r="B491" t="s">
        <v>939</v>
      </c>
      <c r="C491" t="s">
        <v>45</v>
      </c>
      <c r="D491" t="s">
        <v>37</v>
      </c>
      <c r="E491" t="s">
        <v>134</v>
      </c>
      <c r="F491" t="s">
        <v>12</v>
      </c>
      <c r="G491" t="str">
        <f>HYPERLINK(_xlfn.CONCAT("https://tablet.otzar.org/",CHAR(35),"/exKotar/143314"),"היכל מנחם - 3 כרכים")</f>
        <v>היכל מנחם - 3 כרכים</v>
      </c>
      <c r="H491" t="str">
        <f>_xlfn.CONCAT("https://tablet.otzar.org/",CHAR(35),"/exKotar/143314")</f>
        <v>https://tablet.otzar.org/#/exKotar/143314</v>
      </c>
    </row>
    <row r="492" spans="1:8" x14ac:dyDescent="0.25">
      <c r="A492">
        <v>28766</v>
      </c>
      <c r="B492" t="s">
        <v>940</v>
      </c>
      <c r="C492" t="s">
        <v>125</v>
      </c>
      <c r="D492" t="s">
        <v>374</v>
      </c>
      <c r="E492" t="s">
        <v>174</v>
      </c>
      <c r="F492" t="s">
        <v>12</v>
      </c>
      <c r="G492" t="str">
        <f>HYPERLINK(_xlfn.CONCAT("https://tablet.otzar.org/",CHAR(35),"/book/28766/p/-1/t/1/fs/0/start/0/end/0/c"),"הילולא דרבי")</f>
        <v>הילולא דרבי</v>
      </c>
      <c r="H492" t="str">
        <f>_xlfn.CONCAT("https://tablet.otzar.org/",CHAR(35),"/book/28766/p/-1/t/1/fs/0/start/0/end/0/c")</f>
        <v>https://tablet.otzar.org/#/book/28766/p/-1/t/1/fs/0/start/0/end/0/c</v>
      </c>
    </row>
    <row r="493" spans="1:8" x14ac:dyDescent="0.25">
      <c r="A493">
        <v>140939</v>
      </c>
      <c r="B493" t="s">
        <v>941</v>
      </c>
      <c r="C493" t="s">
        <v>45</v>
      </c>
      <c r="D493" t="s">
        <v>15</v>
      </c>
      <c r="E493" t="s">
        <v>129</v>
      </c>
      <c r="F493" t="s">
        <v>12</v>
      </c>
      <c r="G493" t="str">
        <f>HYPERLINK(_xlfn.CONCAT("https://tablet.otzar.org/",CHAR(35),"/book/140939/p/-1/t/1/fs/0/start/0/end/0/c"),"היסודות הרוחניים של כפר חב""""ד ונחלת הר חב""""ד")</f>
        <v>היסודות הרוחניים של כפר חב""ד ונחלת הר חב""ד</v>
      </c>
      <c r="H493" t="str">
        <f>_xlfn.CONCAT("https://tablet.otzar.org/",CHAR(35),"/book/140939/p/-1/t/1/fs/0/start/0/end/0/c")</f>
        <v>https://tablet.otzar.org/#/book/140939/p/-1/t/1/fs/0/start/0/end/0/c</v>
      </c>
    </row>
    <row r="494" spans="1:8" x14ac:dyDescent="0.25">
      <c r="A494">
        <v>646627</v>
      </c>
      <c r="B494" t="s">
        <v>942</v>
      </c>
      <c r="C494" t="s">
        <v>943</v>
      </c>
      <c r="F494" t="s">
        <v>12</v>
      </c>
      <c r="G494" t="str">
        <f>HYPERLINK(_xlfn.CONCAT("https://tablet.otzar.org/",CHAR(35),"/book/646627/p/-1/t/1/fs/0/start/0/end/0/c"),"היציאה מרוסיה")</f>
        <v>היציאה מרוסיה</v>
      </c>
      <c r="H494" t="str">
        <f>_xlfn.CONCAT("https://tablet.otzar.org/",CHAR(35),"/book/646627/p/-1/t/1/fs/0/start/0/end/0/c")</f>
        <v>https://tablet.otzar.org/#/book/646627/p/-1/t/1/fs/0/start/0/end/0/c</v>
      </c>
    </row>
    <row r="495" spans="1:8" x14ac:dyDescent="0.25">
      <c r="A495">
        <v>627179</v>
      </c>
      <c r="B495" t="s">
        <v>944</v>
      </c>
      <c r="F495" t="s">
        <v>149</v>
      </c>
      <c r="G495" t="str">
        <f>HYPERLINK(_xlfn.CONCAT("https://tablet.otzar.org/",CHAR(35),"/book/627179/p/-1/t/1/fs/0/start/0/end/0/c"),"הישיבה בית היוצר")</f>
        <v>הישיבה בית היוצר</v>
      </c>
      <c r="H495" t="str">
        <f>_xlfn.CONCAT("https://tablet.otzar.org/",CHAR(35),"/book/627179/p/-1/t/1/fs/0/start/0/end/0/c")</f>
        <v>https://tablet.otzar.org/#/book/627179/p/-1/t/1/fs/0/start/0/end/0/c</v>
      </c>
    </row>
    <row r="496" spans="1:8" x14ac:dyDescent="0.25">
      <c r="A496">
        <v>169957</v>
      </c>
      <c r="B496" t="s">
        <v>945</v>
      </c>
      <c r="C496" t="s">
        <v>946</v>
      </c>
      <c r="D496" t="s">
        <v>15</v>
      </c>
      <c r="E496" t="s">
        <v>82</v>
      </c>
      <c r="F496" t="s">
        <v>12</v>
      </c>
      <c r="G496" t="str">
        <f>HYPERLINK(_xlfn.CONCAT("https://tablet.otzar.org/",CHAR(35),"/exKotar/169957"),"הכוח הנשי - 2 כרכים")</f>
        <v>הכוח הנשי - 2 כרכים</v>
      </c>
      <c r="H496" t="str">
        <f>_xlfn.CONCAT("https://tablet.otzar.org/",CHAR(35),"/exKotar/169957")</f>
        <v>https://tablet.otzar.org/#/exKotar/169957</v>
      </c>
    </row>
    <row r="497" spans="1:8" x14ac:dyDescent="0.25">
      <c r="A497">
        <v>27862</v>
      </c>
      <c r="B497" t="s">
        <v>947</v>
      </c>
      <c r="C497" t="s">
        <v>547</v>
      </c>
      <c r="D497" t="s">
        <v>28</v>
      </c>
      <c r="E497" t="s">
        <v>91</v>
      </c>
      <c r="F497" t="s">
        <v>12</v>
      </c>
      <c r="G497" t="str">
        <f>HYPERLINK(_xlfn.CONCAT("https://tablet.otzar.org/",CHAR(35),"/book/27862/p/-1/t/1/fs/0/start/0/end/0/c"),"הכל בהשגחה פרטית")</f>
        <v>הכל בהשגחה פרטית</v>
      </c>
      <c r="H497" t="str">
        <f>_xlfn.CONCAT("https://tablet.otzar.org/",CHAR(35),"/book/27862/p/-1/t/1/fs/0/start/0/end/0/c")</f>
        <v>https://tablet.otzar.org/#/book/27862/p/-1/t/1/fs/0/start/0/end/0/c</v>
      </c>
    </row>
    <row r="498" spans="1:8" x14ac:dyDescent="0.25">
      <c r="A498">
        <v>607998</v>
      </c>
      <c r="B498" t="s">
        <v>948</v>
      </c>
      <c r="C498" t="s">
        <v>45</v>
      </c>
      <c r="D498" t="s">
        <v>410</v>
      </c>
      <c r="E498" t="s">
        <v>91</v>
      </c>
      <c r="F498" t="s">
        <v>12</v>
      </c>
      <c r="G498" t="str">
        <f>HYPERLINK(_xlfn.CONCAT("https://tablet.otzar.org/",CHAR(35),"/book/607998/p/-1/t/1/fs/0/start/0/end/0/c"),"הכל בכתב עלי השכיל")</f>
        <v>הכל בכתב עלי השכיל</v>
      </c>
      <c r="H498" t="str">
        <f>_xlfn.CONCAT("https://tablet.otzar.org/",CHAR(35),"/book/607998/p/-1/t/1/fs/0/start/0/end/0/c")</f>
        <v>https://tablet.otzar.org/#/book/607998/p/-1/t/1/fs/0/start/0/end/0/c</v>
      </c>
    </row>
    <row r="499" spans="1:8" x14ac:dyDescent="0.25">
      <c r="A499">
        <v>27651</v>
      </c>
      <c r="B499" t="s">
        <v>949</v>
      </c>
      <c r="C499" t="s">
        <v>244</v>
      </c>
      <c r="D499" t="s">
        <v>10</v>
      </c>
      <c r="E499" t="s">
        <v>54</v>
      </c>
      <c r="F499" t="s">
        <v>12</v>
      </c>
      <c r="G499" t="str">
        <f>HYPERLINK(_xlfn.CONCAT("https://tablet.otzar.org/",CHAR(35),"/book/27651/p/-1/t/1/fs/0/start/0/end/0/c"),"הכנה רבה")</f>
        <v>הכנה רבה</v>
      </c>
      <c r="H499" t="str">
        <f>_xlfn.CONCAT("https://tablet.otzar.org/",CHAR(35),"/book/27651/p/-1/t/1/fs/0/start/0/end/0/c")</f>
        <v>https://tablet.otzar.org/#/book/27651/p/-1/t/1/fs/0/start/0/end/0/c</v>
      </c>
    </row>
    <row r="500" spans="1:8" x14ac:dyDescent="0.25">
      <c r="A500">
        <v>651095</v>
      </c>
      <c r="B500" t="s">
        <v>950</v>
      </c>
      <c r="C500" t="s">
        <v>951</v>
      </c>
      <c r="D500" t="s">
        <v>377</v>
      </c>
      <c r="E500" t="s">
        <v>404</v>
      </c>
      <c r="G500" t="str">
        <f>HYPERLINK(_xlfn.CONCAT("https://tablet.otzar.org/",CHAR(35),"/book/651095/p/-1/t/1/fs/0/start/0/end/0/c"),"הכנות לחתונה")</f>
        <v>הכנות לחתונה</v>
      </c>
      <c r="H500" t="str">
        <f>_xlfn.CONCAT("https://tablet.otzar.org/",CHAR(35),"/book/651095/p/-1/t/1/fs/0/start/0/end/0/c")</f>
        <v>https://tablet.otzar.org/#/book/651095/p/-1/t/1/fs/0/start/0/end/0/c</v>
      </c>
    </row>
    <row r="501" spans="1:8" x14ac:dyDescent="0.25">
      <c r="A501">
        <v>607850</v>
      </c>
      <c r="B501" t="s">
        <v>952</v>
      </c>
      <c r="C501" t="s">
        <v>953</v>
      </c>
      <c r="D501" t="s">
        <v>15</v>
      </c>
      <c r="E501" t="s">
        <v>404</v>
      </c>
      <c r="F501" t="s">
        <v>12</v>
      </c>
      <c r="G501" t="str">
        <f>HYPERLINK(_xlfn.CONCAT("https://tablet.otzar.org/",CHAR(35),"/book/607850/p/-1/t/1/fs/0/start/0/end/0/c"),"הכפר של הרבי")</f>
        <v>הכפר של הרבי</v>
      </c>
      <c r="H501" t="str">
        <f>_xlfn.CONCAT("https://tablet.otzar.org/",CHAR(35),"/book/607850/p/-1/t/1/fs/0/start/0/end/0/c")</f>
        <v>https://tablet.otzar.org/#/book/607850/p/-1/t/1/fs/0/start/0/end/0/c</v>
      </c>
    </row>
    <row r="502" spans="1:8" x14ac:dyDescent="0.25">
      <c r="A502">
        <v>657966</v>
      </c>
      <c r="B502" t="s">
        <v>954</v>
      </c>
      <c r="C502" t="s">
        <v>45</v>
      </c>
      <c r="D502" t="s">
        <v>28</v>
      </c>
      <c r="E502" t="s">
        <v>404</v>
      </c>
      <c r="F502" t="s">
        <v>12</v>
      </c>
      <c r="G502" t="str">
        <f>HYPERLINK(_xlfn.CONCAT("https://tablet.otzar.org/",CHAR(35),"/book/657966/p/-1/t/1/fs/0/start/0/end/0/c"),"הכתר היהודי")</f>
        <v>הכתר היהודי</v>
      </c>
      <c r="H502" t="str">
        <f>_xlfn.CONCAT("https://tablet.otzar.org/",CHAR(35),"/book/657966/p/-1/t/1/fs/0/start/0/end/0/c")</f>
        <v>https://tablet.otzar.org/#/book/657966/p/-1/t/1/fs/0/start/0/end/0/c</v>
      </c>
    </row>
    <row r="503" spans="1:8" x14ac:dyDescent="0.25">
      <c r="A503">
        <v>27216</v>
      </c>
      <c r="B503" t="s">
        <v>955</v>
      </c>
      <c r="C503" t="s">
        <v>956</v>
      </c>
      <c r="D503" t="s">
        <v>15</v>
      </c>
      <c r="E503" t="s">
        <v>192</v>
      </c>
      <c r="F503" t="s">
        <v>12</v>
      </c>
      <c r="G503" t="str">
        <f>HYPERLINK(_xlfn.CONCAT("https://tablet.otzar.org/",CHAR(35),"/book/27216/p/-1/t/1/fs/0/start/0/end/0/c"),"הלב של צפת")</f>
        <v>הלב של צפת</v>
      </c>
      <c r="H503" t="str">
        <f>_xlfn.CONCAT("https://tablet.otzar.org/",CHAR(35),"/book/27216/p/-1/t/1/fs/0/start/0/end/0/c")</f>
        <v>https://tablet.otzar.org/#/book/27216/p/-1/t/1/fs/0/start/0/end/0/c</v>
      </c>
    </row>
    <row r="504" spans="1:8" x14ac:dyDescent="0.25">
      <c r="A504">
        <v>605194</v>
      </c>
      <c r="B504" t="s">
        <v>957</v>
      </c>
      <c r="C504" t="s">
        <v>958</v>
      </c>
      <c r="D504" t="s">
        <v>37</v>
      </c>
      <c r="E504" t="s">
        <v>404</v>
      </c>
      <c r="F504" t="s">
        <v>959</v>
      </c>
      <c r="G504" t="str">
        <f>HYPERLINK(_xlfn.CONCAT("https://tablet.otzar.org/",CHAR(35),"/book/605194/p/-1/t/1/fs/0/start/0/end/0/c"),"הלולא רבא &lt;מהדורה חדשה&gt;")</f>
        <v>הלולא רבא &lt;מהדורה חדשה&gt;</v>
      </c>
      <c r="H504" t="str">
        <f>_xlfn.CONCAT("https://tablet.otzar.org/",CHAR(35),"/book/605194/p/-1/t/1/fs/0/start/0/end/0/c")</f>
        <v>https://tablet.otzar.org/#/book/605194/p/-1/t/1/fs/0/start/0/end/0/c</v>
      </c>
    </row>
    <row r="505" spans="1:8" x14ac:dyDescent="0.25">
      <c r="A505">
        <v>141351</v>
      </c>
      <c r="B505" t="s">
        <v>960</v>
      </c>
      <c r="C505" t="s">
        <v>961</v>
      </c>
      <c r="D505" t="s">
        <v>37</v>
      </c>
      <c r="E505" t="s">
        <v>192</v>
      </c>
      <c r="F505" t="s">
        <v>12</v>
      </c>
      <c r="G505" t="str">
        <f>HYPERLINK(_xlfn.CONCAT("https://tablet.otzar.org/",CHAR(35),"/book/141351/p/-1/t/1/fs/0/start/0/end/0/c"),"הלכה ברורה")</f>
        <v>הלכה ברורה</v>
      </c>
      <c r="H505" t="str">
        <f>_xlfn.CONCAT("https://tablet.otzar.org/",CHAR(35),"/book/141351/p/-1/t/1/fs/0/start/0/end/0/c")</f>
        <v>https://tablet.otzar.org/#/book/141351/p/-1/t/1/fs/0/start/0/end/0/c</v>
      </c>
    </row>
    <row r="506" spans="1:8" x14ac:dyDescent="0.25">
      <c r="A506">
        <v>600290</v>
      </c>
      <c r="B506" t="s">
        <v>962</v>
      </c>
      <c r="C506" t="s">
        <v>228</v>
      </c>
      <c r="D506" t="s">
        <v>15</v>
      </c>
      <c r="E506" t="s">
        <v>88</v>
      </c>
      <c r="F506" t="s">
        <v>161</v>
      </c>
      <c r="G506" t="str">
        <f>HYPERLINK(_xlfn.CONCAT("https://tablet.otzar.org/",CHAR(35),"/book/600290/p/-1/t/1/fs/0/start/0/end/0/c"),"הלכה יומית")</f>
        <v>הלכה יומית</v>
      </c>
      <c r="H506" t="str">
        <f>_xlfn.CONCAT("https://tablet.otzar.org/",CHAR(35),"/book/600290/p/-1/t/1/fs/0/start/0/end/0/c")</f>
        <v>https://tablet.otzar.org/#/book/600290/p/-1/t/1/fs/0/start/0/end/0/c</v>
      </c>
    </row>
    <row r="507" spans="1:8" x14ac:dyDescent="0.25">
      <c r="A507">
        <v>623835</v>
      </c>
      <c r="B507" t="s">
        <v>963</v>
      </c>
      <c r="C507" t="s">
        <v>964</v>
      </c>
      <c r="D507" t="s">
        <v>15</v>
      </c>
      <c r="E507" t="s">
        <v>115</v>
      </c>
      <c r="F507" t="s">
        <v>12</v>
      </c>
      <c r="G507" t="str">
        <f>HYPERLINK(_xlfn.CONCAT("https://tablet.otzar.org/",CHAR(35),"/book/623835/p/-1/t/1/fs/0/start/0/end/0/c"),"הלכה למעשה - א")</f>
        <v>הלכה למעשה - א</v>
      </c>
      <c r="H507" t="str">
        <f>_xlfn.CONCAT("https://tablet.otzar.org/",CHAR(35),"/book/623835/p/-1/t/1/fs/0/start/0/end/0/c")</f>
        <v>https://tablet.otzar.org/#/book/623835/p/-1/t/1/fs/0/start/0/end/0/c</v>
      </c>
    </row>
    <row r="508" spans="1:8" x14ac:dyDescent="0.25">
      <c r="A508">
        <v>643693</v>
      </c>
      <c r="B508" t="s">
        <v>965</v>
      </c>
      <c r="C508" t="s">
        <v>966</v>
      </c>
      <c r="D508" t="s">
        <v>28</v>
      </c>
      <c r="E508" t="s">
        <v>91</v>
      </c>
      <c r="F508" t="s">
        <v>12</v>
      </c>
      <c r="G508" t="str">
        <f>HYPERLINK(_xlfn.CONCAT("https://tablet.otzar.org/",CHAR(35),"/exKotar/643693"),"הלכה למעשה - 8 כרכים")</f>
        <v>הלכה למעשה - 8 כרכים</v>
      </c>
      <c r="H508" t="str">
        <f>_xlfn.CONCAT("https://tablet.otzar.org/",CHAR(35),"/exKotar/643693")</f>
        <v>https://tablet.otzar.org/#/exKotar/643693</v>
      </c>
    </row>
    <row r="509" spans="1:8" x14ac:dyDescent="0.25">
      <c r="A509">
        <v>140811</v>
      </c>
      <c r="B509" t="s">
        <v>967</v>
      </c>
      <c r="C509" t="s">
        <v>27</v>
      </c>
      <c r="D509" t="s">
        <v>10</v>
      </c>
      <c r="E509" t="s">
        <v>60</v>
      </c>
      <c r="F509" t="s">
        <v>12</v>
      </c>
      <c r="G509" t="str">
        <f>HYPERLINK(_xlfn.CONCAT("https://tablet.otzar.org/",CHAR(35),"/book/140811/p/-1/t/1/fs/0/start/0/end/0/c"),"הלכות אמירה לנכרי")</f>
        <v>הלכות אמירה לנכרי</v>
      </c>
      <c r="H509" t="str">
        <f>_xlfn.CONCAT("https://tablet.otzar.org/",CHAR(35),"/book/140811/p/-1/t/1/fs/0/start/0/end/0/c")</f>
        <v>https://tablet.otzar.org/#/book/140811/p/-1/t/1/fs/0/start/0/end/0/c</v>
      </c>
    </row>
    <row r="510" spans="1:8" x14ac:dyDescent="0.25">
      <c r="A510">
        <v>27229</v>
      </c>
      <c r="B510" t="s">
        <v>968</v>
      </c>
      <c r="C510" t="s">
        <v>45</v>
      </c>
      <c r="D510" t="s">
        <v>10</v>
      </c>
      <c r="E510" t="s">
        <v>54</v>
      </c>
      <c r="F510" t="s">
        <v>12</v>
      </c>
      <c r="G510" t="str">
        <f>HYPERLINK(_xlfn.CONCAT("https://tablet.otzar.org/",CHAR(35),"/book/27229/p/-1/t/1/fs/0/start/0/end/0/c"),"הלכות בית הבחירה להרמב""""ם עם חידושים וביאורים")</f>
        <v>הלכות בית הבחירה להרמב""ם עם חידושים וביאורים</v>
      </c>
      <c r="H510" t="str">
        <f>_xlfn.CONCAT("https://tablet.otzar.org/",CHAR(35),"/book/27229/p/-1/t/1/fs/0/start/0/end/0/c")</f>
        <v>https://tablet.otzar.org/#/book/27229/p/-1/t/1/fs/0/start/0/end/0/c</v>
      </c>
    </row>
    <row r="511" spans="1:8" x14ac:dyDescent="0.25">
      <c r="A511">
        <v>639914</v>
      </c>
      <c r="B511" t="s">
        <v>969</v>
      </c>
      <c r="C511" t="s">
        <v>970</v>
      </c>
      <c r="D511" t="s">
        <v>15</v>
      </c>
      <c r="E511" t="s">
        <v>99</v>
      </c>
      <c r="F511" t="s">
        <v>12</v>
      </c>
      <c r="G511" t="str">
        <f>HYPERLINK(_xlfn.CONCAT("https://tablet.otzar.org/",CHAR(35),"/book/639914/p/-1/t/1/fs/0/start/0/end/0/c"),"הלכות והליכות - ב")</f>
        <v>הלכות והליכות - ב</v>
      </c>
      <c r="H511" t="str">
        <f>_xlfn.CONCAT("https://tablet.otzar.org/",CHAR(35),"/book/639914/p/-1/t/1/fs/0/start/0/end/0/c")</f>
        <v>https://tablet.otzar.org/#/book/639914/p/-1/t/1/fs/0/start/0/end/0/c</v>
      </c>
    </row>
    <row r="512" spans="1:8" x14ac:dyDescent="0.25">
      <c r="A512">
        <v>140949</v>
      </c>
      <c r="B512" t="s">
        <v>971</v>
      </c>
      <c r="C512" t="s">
        <v>972</v>
      </c>
      <c r="D512" t="s">
        <v>15</v>
      </c>
      <c r="E512" t="s">
        <v>54</v>
      </c>
      <c r="F512" t="s">
        <v>12</v>
      </c>
      <c r="G512" t="str">
        <f>HYPERLINK(_xlfn.CONCAT("https://tablet.otzar.org/",CHAR(35),"/book/140949/p/-1/t/1/fs/0/start/0/end/0/c"),"הלכות והליכות ההנהגה בחיי היום יום")</f>
        <v>הלכות והליכות ההנהגה בחיי היום יום</v>
      </c>
      <c r="H512" t="str">
        <f>_xlfn.CONCAT("https://tablet.otzar.org/",CHAR(35),"/book/140949/p/-1/t/1/fs/0/start/0/end/0/c")</f>
        <v>https://tablet.otzar.org/#/book/140949/p/-1/t/1/fs/0/start/0/end/0/c</v>
      </c>
    </row>
    <row r="513" spans="1:8" x14ac:dyDescent="0.25">
      <c r="A513">
        <v>189066</v>
      </c>
      <c r="B513" t="s">
        <v>973</v>
      </c>
      <c r="C513" t="s">
        <v>974</v>
      </c>
      <c r="D513" t="s">
        <v>15</v>
      </c>
      <c r="E513" t="s">
        <v>19</v>
      </c>
      <c r="F513" t="s">
        <v>12</v>
      </c>
      <c r="G513" t="str">
        <f>HYPERLINK(_xlfn.CONCAT("https://tablet.otzar.org/",CHAR(35),"/book/189066/p/-1/t/1/fs/0/start/0/end/0/c"),"הלכות ומנהגי חב""""ד")</f>
        <v>הלכות ומנהגי חב""ד</v>
      </c>
      <c r="H513" t="str">
        <f>_xlfn.CONCAT("https://tablet.otzar.org/",CHAR(35),"/book/189066/p/-1/t/1/fs/0/start/0/end/0/c")</f>
        <v>https://tablet.otzar.org/#/book/189066/p/-1/t/1/fs/0/start/0/end/0/c</v>
      </c>
    </row>
    <row r="514" spans="1:8" x14ac:dyDescent="0.25">
      <c r="A514">
        <v>607668</v>
      </c>
      <c r="B514" t="s">
        <v>975</v>
      </c>
      <c r="C514" t="s">
        <v>27</v>
      </c>
      <c r="D514" t="s">
        <v>10</v>
      </c>
      <c r="E514" t="s">
        <v>19</v>
      </c>
      <c r="F514" t="s">
        <v>12</v>
      </c>
      <c r="G514" t="str">
        <f>HYPERLINK(_xlfn.CONCAT("https://tablet.otzar.org/",CHAR(35),"/book/607668/p/-1/t/1/fs/0/start/0/end/0/c"),"הלכות חג השבועות משו""""ע אדמוה""""ז")</f>
        <v>הלכות חג השבועות משו""ע אדמוה""ז</v>
      </c>
      <c r="H514" t="str">
        <f>_xlfn.CONCAT("https://tablet.otzar.org/",CHAR(35),"/book/607668/p/-1/t/1/fs/0/start/0/end/0/c")</f>
        <v>https://tablet.otzar.org/#/book/607668/p/-1/t/1/fs/0/start/0/end/0/c</v>
      </c>
    </row>
    <row r="515" spans="1:8" x14ac:dyDescent="0.25">
      <c r="A515">
        <v>651979</v>
      </c>
      <c r="B515" t="s">
        <v>976</v>
      </c>
      <c r="C515" t="s">
        <v>977</v>
      </c>
      <c r="E515" t="s">
        <v>24</v>
      </c>
      <c r="G515" t="str">
        <f>HYPERLINK(_xlfn.CONCAT("https://tablet.otzar.org/",CHAR(35),"/book/651979/p/-1/t/1/fs/0/start/0/end/0/c"),"הלכות חג השבועות תשפ""""א")</f>
        <v>הלכות חג השבועות תשפ""א</v>
      </c>
      <c r="H515" t="str">
        <f>_xlfn.CONCAT("https://tablet.otzar.org/",CHAR(35),"/book/651979/p/-1/t/1/fs/0/start/0/end/0/c")</f>
        <v>https://tablet.otzar.org/#/book/651979/p/-1/t/1/fs/0/start/0/end/0/c</v>
      </c>
    </row>
    <row r="516" spans="1:8" x14ac:dyDescent="0.25">
      <c r="A516">
        <v>613924</v>
      </c>
      <c r="B516" t="s">
        <v>978</v>
      </c>
      <c r="C516" t="s">
        <v>979</v>
      </c>
      <c r="D516" t="s">
        <v>15</v>
      </c>
      <c r="E516" t="s">
        <v>115</v>
      </c>
      <c r="F516" t="s">
        <v>201</v>
      </c>
      <c r="G516" t="str">
        <f>HYPERLINK(_xlfn.CONCAT("https://tablet.otzar.org/",CHAR(35),"/book/613924/p/-1/t/1/fs/0/start/0/end/0/c"),"הלכות חנוכה עם טעמים ועיונים")</f>
        <v>הלכות חנוכה עם טעמים ועיונים</v>
      </c>
      <c r="H516" t="str">
        <f>_xlfn.CONCAT("https://tablet.otzar.org/",CHAR(35),"/book/613924/p/-1/t/1/fs/0/start/0/end/0/c")</f>
        <v>https://tablet.otzar.org/#/book/613924/p/-1/t/1/fs/0/start/0/end/0/c</v>
      </c>
    </row>
    <row r="517" spans="1:8" x14ac:dyDescent="0.25">
      <c r="A517">
        <v>145649</v>
      </c>
      <c r="B517" t="s">
        <v>980</v>
      </c>
      <c r="C517" t="s">
        <v>981</v>
      </c>
      <c r="D517" t="s">
        <v>387</v>
      </c>
      <c r="E517" t="s">
        <v>79</v>
      </c>
      <c r="F517" t="s">
        <v>12</v>
      </c>
      <c r="G517" t="str">
        <f>HYPERLINK(_xlfn.CONCAT("https://tablet.otzar.org/",CHAR(35),"/book/145649/p/-1/t/1/fs/0/start/0/end/0/c"),"הלכות לשון הרע מתוך שלחן ערוך הרב")</f>
        <v>הלכות לשון הרע מתוך שלחן ערוך הרב</v>
      </c>
      <c r="H517" t="str">
        <f>_xlfn.CONCAT("https://tablet.otzar.org/",CHAR(35),"/book/145649/p/-1/t/1/fs/0/start/0/end/0/c")</f>
        <v>https://tablet.otzar.org/#/book/145649/p/-1/t/1/fs/0/start/0/end/0/c</v>
      </c>
    </row>
    <row r="518" spans="1:8" x14ac:dyDescent="0.25">
      <c r="A518">
        <v>607794</v>
      </c>
      <c r="B518" t="s">
        <v>982</v>
      </c>
      <c r="C518" t="s">
        <v>27</v>
      </c>
      <c r="D518" t="s">
        <v>10</v>
      </c>
      <c r="E518" t="s">
        <v>99</v>
      </c>
      <c r="F518" t="s">
        <v>161</v>
      </c>
      <c r="G518" t="str">
        <f>HYPERLINK(_xlfn.CONCAT("https://tablet.otzar.org/",CHAR(35),"/book/607794/p/-1/t/1/fs/0/start/0/end/0/c"),"הלכות ספירת העומר מש""""ע אדמוה""""ז")</f>
        <v>הלכות ספירת העומר מש""ע אדמוה""ז</v>
      </c>
      <c r="H518" t="str">
        <f>_xlfn.CONCAT("https://tablet.otzar.org/",CHAR(35),"/book/607794/p/-1/t/1/fs/0/start/0/end/0/c")</f>
        <v>https://tablet.otzar.org/#/book/607794/p/-1/t/1/fs/0/start/0/end/0/c</v>
      </c>
    </row>
    <row r="519" spans="1:8" x14ac:dyDescent="0.25">
      <c r="A519">
        <v>643267</v>
      </c>
      <c r="B519" t="s">
        <v>983</v>
      </c>
      <c r="C519" t="s">
        <v>977</v>
      </c>
      <c r="D519" t="s">
        <v>28</v>
      </c>
      <c r="E519" t="s">
        <v>24</v>
      </c>
      <c r="F519" t="s">
        <v>12</v>
      </c>
      <c r="G519" t="str">
        <f>HYPERLINK(_xlfn.CONCAT("https://tablet.otzar.org/",CHAR(35),"/book/643267/p/-1/t/1/fs/0/start/0/end/0/c"),"הלכות פסח")</f>
        <v>הלכות פסח</v>
      </c>
      <c r="H519" t="str">
        <f>_xlfn.CONCAT("https://tablet.otzar.org/",CHAR(35),"/book/643267/p/-1/t/1/fs/0/start/0/end/0/c")</f>
        <v>https://tablet.otzar.org/#/book/643267/p/-1/t/1/fs/0/start/0/end/0/c</v>
      </c>
    </row>
    <row r="520" spans="1:8" x14ac:dyDescent="0.25">
      <c r="A520">
        <v>615056</v>
      </c>
      <c r="B520" t="s">
        <v>984</v>
      </c>
      <c r="C520" t="s">
        <v>27</v>
      </c>
      <c r="D520" t="s">
        <v>10</v>
      </c>
      <c r="E520" t="s">
        <v>115</v>
      </c>
      <c r="F520" t="s">
        <v>12</v>
      </c>
      <c r="G520" t="str">
        <f>HYPERLINK(_xlfn.CONCAT("https://tablet.otzar.org/",CHAR(35),"/book/615056/p/-1/t/1/fs/0/start/0/end/0/c"),"הלכות פסח מש""""ע אדמוה""""ז")</f>
        <v>הלכות פסח מש""ע אדמוה""ז</v>
      </c>
      <c r="H520" t="str">
        <f>_xlfn.CONCAT("https://tablet.otzar.org/",CHAR(35),"/book/615056/p/-1/t/1/fs/0/start/0/end/0/c")</f>
        <v>https://tablet.otzar.org/#/book/615056/p/-1/t/1/fs/0/start/0/end/0/c</v>
      </c>
    </row>
    <row r="521" spans="1:8" x14ac:dyDescent="0.25">
      <c r="A521">
        <v>145769</v>
      </c>
      <c r="B521" t="s">
        <v>985</v>
      </c>
      <c r="C521" t="s">
        <v>986</v>
      </c>
      <c r="D521" t="s">
        <v>191</v>
      </c>
      <c r="E521" t="s">
        <v>33</v>
      </c>
      <c r="F521" t="s">
        <v>12</v>
      </c>
      <c r="G521" t="str">
        <f>HYPERLINK(_xlfn.CONCAT("https://tablet.otzar.org/",CHAR(35),"/book/145769/p/-1/t/1/fs/0/start/0/end/0/c"),"הלכות קריאת התורה")</f>
        <v>הלכות קריאת התורה</v>
      </c>
      <c r="H521" t="str">
        <f>_xlfn.CONCAT("https://tablet.otzar.org/",CHAR(35),"/book/145769/p/-1/t/1/fs/0/start/0/end/0/c")</f>
        <v>https://tablet.otzar.org/#/book/145769/p/-1/t/1/fs/0/start/0/end/0/c</v>
      </c>
    </row>
    <row r="522" spans="1:8" x14ac:dyDescent="0.25">
      <c r="A522">
        <v>27158</v>
      </c>
      <c r="B522" t="s">
        <v>987</v>
      </c>
      <c r="C522" t="s">
        <v>988</v>
      </c>
      <c r="D522" t="s">
        <v>10</v>
      </c>
      <c r="E522" t="s">
        <v>441</v>
      </c>
      <c r="F522" t="s">
        <v>12</v>
      </c>
      <c r="G522" t="str">
        <f>HYPERLINK(_xlfn.CONCAT("https://tablet.otzar.org/",CHAR(35),"/book/27158/p/-1/t/1/fs/0/start/0/end/0/c"),"הלכות שחיטה משו""""ע אדמו""""ר הזקן עם ביאורי הלכות")</f>
        <v>הלכות שחיטה משו""ע אדמו""ר הזקן עם ביאורי הלכות</v>
      </c>
      <c r="H522" t="str">
        <f>_xlfn.CONCAT("https://tablet.otzar.org/",CHAR(35),"/book/27158/p/-1/t/1/fs/0/start/0/end/0/c")</f>
        <v>https://tablet.otzar.org/#/book/27158/p/-1/t/1/fs/0/start/0/end/0/c</v>
      </c>
    </row>
    <row r="523" spans="1:8" x14ac:dyDescent="0.25">
      <c r="A523">
        <v>27035</v>
      </c>
      <c r="B523" t="s">
        <v>989</v>
      </c>
      <c r="C523" t="s">
        <v>990</v>
      </c>
      <c r="D523" t="s">
        <v>10</v>
      </c>
      <c r="E523" t="s">
        <v>382</v>
      </c>
      <c r="F523" t="s">
        <v>12</v>
      </c>
      <c r="G523" t="str">
        <f>HYPERLINK(_xlfn.CONCAT("https://tablet.otzar.org/",CHAR(35),"/exKotar/27035"),"הלכות תלמוד תורה משו""""ע אדמו""""ר הזקן - 6 כרכים")</f>
        <v>הלכות תלמוד תורה משו""ע אדמו""ר הזקן - 6 כרכים</v>
      </c>
      <c r="H523" t="str">
        <f>_xlfn.CONCAT("https://tablet.otzar.org/",CHAR(35),"/exKotar/27035")</f>
        <v>https://tablet.otzar.org/#/exKotar/27035</v>
      </c>
    </row>
    <row r="524" spans="1:8" x14ac:dyDescent="0.25">
      <c r="A524">
        <v>189071</v>
      </c>
      <c r="B524" t="s">
        <v>991</v>
      </c>
      <c r="C524" t="s">
        <v>45</v>
      </c>
      <c r="D524" t="s">
        <v>10</v>
      </c>
      <c r="E524" t="s">
        <v>19</v>
      </c>
      <c r="F524" t="s">
        <v>229</v>
      </c>
      <c r="G524" t="str">
        <f>HYPERLINK(_xlfn.CONCAT("https://tablet.otzar.org/",CHAR(35),"/book/189071/p/-1/t/1/fs/0/start/0/end/0/c"),"הלכות תשובה להרמב""""ם עם חידושים וביאורים")</f>
        <v>הלכות תשובה להרמב""ם עם חידושים וביאורים</v>
      </c>
      <c r="H524" t="str">
        <f>_xlfn.CONCAT("https://tablet.otzar.org/",CHAR(35),"/book/189071/p/-1/t/1/fs/0/start/0/end/0/c")</f>
        <v>https://tablet.otzar.org/#/book/189071/p/-1/t/1/fs/0/start/0/end/0/c</v>
      </c>
    </row>
    <row r="525" spans="1:8" x14ac:dyDescent="0.25">
      <c r="A525">
        <v>27105</v>
      </c>
      <c r="B525" t="s">
        <v>992</v>
      </c>
      <c r="C525" t="s">
        <v>993</v>
      </c>
      <c r="D525" t="s">
        <v>15</v>
      </c>
      <c r="E525" t="s">
        <v>174</v>
      </c>
      <c r="F525" t="s">
        <v>12</v>
      </c>
      <c r="G525" t="str">
        <f>HYPERLINK(_xlfn.CONCAT("https://tablet.otzar.org/",CHAR(35),"/book/27105/p/-1/t/1/fs/0/start/0/end/0/c"),"הלכתא כרב")</f>
        <v>הלכתא כרב</v>
      </c>
      <c r="H525" t="str">
        <f>_xlfn.CONCAT("https://tablet.otzar.org/",CHAR(35),"/book/27105/p/-1/t/1/fs/0/start/0/end/0/c")</f>
        <v>https://tablet.otzar.org/#/book/27105/p/-1/t/1/fs/0/start/0/end/0/c</v>
      </c>
    </row>
    <row r="526" spans="1:8" x14ac:dyDescent="0.25">
      <c r="A526">
        <v>197861</v>
      </c>
      <c r="B526" t="s">
        <v>992</v>
      </c>
      <c r="C526" t="s">
        <v>994</v>
      </c>
      <c r="E526" t="s">
        <v>91</v>
      </c>
      <c r="F526" t="s">
        <v>12</v>
      </c>
      <c r="G526" t="str">
        <f>HYPERLINK(_xlfn.CONCAT("https://tablet.otzar.org/",CHAR(35),"/book/197861/p/-1/t/1/fs/0/start/0/end/0/c"),"הלכתא כרב")</f>
        <v>הלכתא כרב</v>
      </c>
      <c r="H526" t="str">
        <f>_xlfn.CONCAT("https://tablet.otzar.org/",CHAR(35),"/book/197861/p/-1/t/1/fs/0/start/0/end/0/c")</f>
        <v>https://tablet.otzar.org/#/book/197861/p/-1/t/1/fs/0/start/0/end/0/c</v>
      </c>
    </row>
    <row r="527" spans="1:8" x14ac:dyDescent="0.25">
      <c r="A527">
        <v>141618</v>
      </c>
      <c r="B527" t="s">
        <v>995</v>
      </c>
      <c r="C527" t="s">
        <v>996</v>
      </c>
      <c r="D527" t="s">
        <v>10</v>
      </c>
      <c r="E527" t="s">
        <v>46</v>
      </c>
      <c r="F527" t="s">
        <v>12</v>
      </c>
      <c r="G527" t="str">
        <f>HYPERLINK(_xlfn.CONCAT("https://tablet.otzar.org/",CHAR(35),"/book/141618/p/-1/t/1/fs/0/start/0/end/0/c"),"הלכתא למשיחא")</f>
        <v>הלכתא למשיחא</v>
      </c>
      <c r="H527" t="str">
        <f>_xlfn.CONCAT("https://tablet.otzar.org/",CHAR(35),"/book/141618/p/-1/t/1/fs/0/start/0/end/0/c")</f>
        <v>https://tablet.otzar.org/#/book/141618/p/-1/t/1/fs/0/start/0/end/0/c</v>
      </c>
    </row>
    <row r="528" spans="1:8" x14ac:dyDescent="0.25">
      <c r="A528">
        <v>649250</v>
      </c>
      <c r="B528" t="s">
        <v>997</v>
      </c>
      <c r="C528" t="s">
        <v>998</v>
      </c>
      <c r="D528" t="s">
        <v>37</v>
      </c>
      <c r="E528" t="s">
        <v>166</v>
      </c>
      <c r="G528" t="str">
        <f>HYPERLINK(_xlfn.CONCAT("https://tablet.otzar.org/",CHAR(35),"/book/649250/p/-1/t/1/fs/0/start/0/end/0/c"),"הלל אומר - ז - ביאורים לתניא")</f>
        <v>הלל אומר - ז - ביאורים לתניא</v>
      </c>
      <c r="H528" t="str">
        <f>_xlfn.CONCAT("https://tablet.otzar.org/",CHAR(35),"/book/649250/p/-1/t/1/fs/0/start/0/end/0/c")</f>
        <v>https://tablet.otzar.org/#/book/649250/p/-1/t/1/fs/0/start/0/end/0/c</v>
      </c>
    </row>
    <row r="529" spans="1:8" x14ac:dyDescent="0.25">
      <c r="A529">
        <v>141356</v>
      </c>
      <c r="B529" t="s">
        <v>999</v>
      </c>
      <c r="C529" t="s">
        <v>1000</v>
      </c>
      <c r="D529" t="s">
        <v>15</v>
      </c>
      <c r="E529" t="s">
        <v>1001</v>
      </c>
      <c r="F529" t="s">
        <v>12</v>
      </c>
      <c r="G529" t="str">
        <f>HYPERLINK(_xlfn.CONCAT("https://tablet.otzar.org/",CHAR(35),"/exKotar/141356"),"הלקח והלבוב - 2 כרכים")</f>
        <v>הלקח והלבוב - 2 כרכים</v>
      </c>
      <c r="H529" t="str">
        <f>_xlfn.CONCAT("https://tablet.otzar.org/",CHAR(35),"/exKotar/141356")</f>
        <v>https://tablet.otzar.org/#/exKotar/141356</v>
      </c>
    </row>
    <row r="530" spans="1:8" x14ac:dyDescent="0.25">
      <c r="A530">
        <v>196252</v>
      </c>
      <c r="B530" t="s">
        <v>1002</v>
      </c>
      <c r="C530" t="s">
        <v>1000</v>
      </c>
      <c r="D530" t="s">
        <v>15</v>
      </c>
      <c r="E530" t="s">
        <v>99</v>
      </c>
      <c r="F530" t="s">
        <v>12</v>
      </c>
      <c r="G530" t="str">
        <f>HYPERLINK(_xlfn.CONCAT("https://tablet.otzar.org/",CHAR(35),"/exKotar/196252"),"הלקח והלבוב &lt;מהדורה חדשה&gt;  - 2 כרכים")</f>
        <v>הלקח והלבוב &lt;מהדורה חדשה&gt;  - 2 כרכים</v>
      </c>
      <c r="H530" t="str">
        <f>_xlfn.CONCAT("https://tablet.otzar.org/",CHAR(35),"/exKotar/196252")</f>
        <v>https://tablet.otzar.org/#/exKotar/196252</v>
      </c>
    </row>
    <row r="531" spans="1:8" x14ac:dyDescent="0.25">
      <c r="A531">
        <v>142724</v>
      </c>
      <c r="B531" t="s">
        <v>1003</v>
      </c>
      <c r="C531" t="s">
        <v>1004</v>
      </c>
      <c r="D531" t="s">
        <v>387</v>
      </c>
      <c r="E531" t="s">
        <v>33</v>
      </c>
      <c r="F531" t="s">
        <v>342</v>
      </c>
      <c r="G531" t="str">
        <f>HYPERLINK(_xlfn.CONCAT("https://tablet.otzar.org/",CHAR(35),"/book/142724/p/-1/t/1/fs/0/start/0/end/0/c"),"המאבק והנצחון")</f>
        <v>המאבק והנצחון</v>
      </c>
      <c r="H531" t="str">
        <f>_xlfn.CONCAT("https://tablet.otzar.org/",CHAR(35),"/book/142724/p/-1/t/1/fs/0/start/0/end/0/c")</f>
        <v>https://tablet.otzar.org/#/book/142724/p/-1/t/1/fs/0/start/0/end/0/c</v>
      </c>
    </row>
    <row r="532" spans="1:8" x14ac:dyDescent="0.25">
      <c r="A532">
        <v>173505</v>
      </c>
      <c r="B532" t="s">
        <v>1005</v>
      </c>
      <c r="C532" t="s">
        <v>45</v>
      </c>
      <c r="D532" t="s">
        <v>37</v>
      </c>
      <c r="E532" t="s">
        <v>62</v>
      </c>
      <c r="F532" t="s">
        <v>100</v>
      </c>
      <c r="G532" t="str">
        <f>HYPERLINK(_xlfn.CONCAT("https://tablet.otzar.org/",CHAR(35),"/exKotar/173505"),"המאור שבתורה - 5 כרכים")</f>
        <v>המאור שבתורה - 5 כרכים</v>
      </c>
      <c r="H532" t="str">
        <f>_xlfn.CONCAT("https://tablet.otzar.org/",CHAR(35),"/exKotar/173505")</f>
        <v>https://tablet.otzar.org/#/exKotar/173505</v>
      </c>
    </row>
    <row r="533" spans="1:8" x14ac:dyDescent="0.25">
      <c r="A533">
        <v>657638</v>
      </c>
      <c r="B533" t="s">
        <v>1006</v>
      </c>
      <c r="C533" t="s">
        <v>1007</v>
      </c>
      <c r="D533" t="s">
        <v>15</v>
      </c>
      <c r="E533" t="s">
        <v>166</v>
      </c>
      <c r="F533" t="s">
        <v>20</v>
      </c>
      <c r="G533" t="str">
        <f>HYPERLINK(_xlfn.CONCAT("https://tablet.otzar.org/",CHAR(35),"/book/657638/p/-1/t/1/fs/0/start/0/end/0/c"),"המאורות הגדולים - (תדפיס חלקי)")</f>
        <v>המאורות הגדולים - (תדפיס חלקי)</v>
      </c>
      <c r="H533" t="str">
        <f>_xlfn.CONCAT("https://tablet.otzar.org/",CHAR(35),"/book/657638/p/-1/t/1/fs/0/start/0/end/0/c")</f>
        <v>https://tablet.otzar.org/#/book/657638/p/-1/t/1/fs/0/start/0/end/0/c</v>
      </c>
    </row>
    <row r="534" spans="1:8" x14ac:dyDescent="0.25">
      <c r="A534">
        <v>27273</v>
      </c>
      <c r="B534" t="s">
        <v>1008</v>
      </c>
      <c r="C534" t="s">
        <v>125</v>
      </c>
      <c r="D534" t="s">
        <v>10</v>
      </c>
      <c r="E534" t="s">
        <v>134</v>
      </c>
      <c r="F534" t="s">
        <v>12</v>
      </c>
      <c r="G534" t="str">
        <f>HYPERLINK(_xlfn.CONCAT("https://tablet.otzar.org/",CHAR(35),"/book/27273/p/-1/t/1/fs/0/start/0/end/0/c"),"המאיר - א")</f>
        <v>המאיר - א</v>
      </c>
      <c r="H534" t="str">
        <f>_xlfn.CONCAT("https://tablet.otzar.org/",CHAR(35),"/book/27273/p/-1/t/1/fs/0/start/0/end/0/c")</f>
        <v>https://tablet.otzar.org/#/book/27273/p/-1/t/1/fs/0/start/0/end/0/c</v>
      </c>
    </row>
    <row r="535" spans="1:8" x14ac:dyDescent="0.25">
      <c r="A535">
        <v>150677</v>
      </c>
      <c r="B535" t="s">
        <v>1009</v>
      </c>
      <c r="C535" t="s">
        <v>1010</v>
      </c>
      <c r="D535" t="s">
        <v>15</v>
      </c>
      <c r="E535" t="s">
        <v>226</v>
      </c>
      <c r="F535" t="s">
        <v>12</v>
      </c>
      <c r="G535" t="str">
        <f>HYPERLINK(_xlfn.CONCAT("https://tablet.otzar.org/",CHAR(35),"/book/150677/p/-1/t/1/fs/0/start/0/end/0/c"),"המאירים לארץ")</f>
        <v>המאירים לארץ</v>
      </c>
      <c r="H535" t="str">
        <f>_xlfn.CONCAT("https://tablet.otzar.org/",CHAR(35),"/book/150677/p/-1/t/1/fs/0/start/0/end/0/c")</f>
        <v>https://tablet.otzar.org/#/book/150677/p/-1/t/1/fs/0/start/0/end/0/c</v>
      </c>
    </row>
    <row r="536" spans="1:8" x14ac:dyDescent="0.25">
      <c r="A536">
        <v>146217</v>
      </c>
      <c r="B536" t="s">
        <v>1011</v>
      </c>
      <c r="C536" t="s">
        <v>122</v>
      </c>
      <c r="D536" t="s">
        <v>28</v>
      </c>
      <c r="E536" t="s">
        <v>91</v>
      </c>
      <c r="F536" t="s">
        <v>12</v>
      </c>
      <c r="G536" t="str">
        <f>HYPERLINK(_xlfn.CONCAT("https://tablet.otzar.org/",CHAR(35),"/book/146217/p/-1/t/1/fs/0/start/0/end/0/c"),"המאסר והגאולה")</f>
        <v>המאסר והגאולה</v>
      </c>
      <c r="H536" t="str">
        <f>_xlfn.CONCAT("https://tablet.otzar.org/",CHAR(35),"/book/146217/p/-1/t/1/fs/0/start/0/end/0/c")</f>
        <v>https://tablet.otzar.org/#/book/146217/p/-1/t/1/fs/0/start/0/end/0/c</v>
      </c>
    </row>
    <row r="537" spans="1:8" x14ac:dyDescent="0.25">
      <c r="A537">
        <v>193135</v>
      </c>
      <c r="B537" t="s">
        <v>1012</v>
      </c>
      <c r="C537" t="s">
        <v>1013</v>
      </c>
      <c r="D537" t="s">
        <v>215</v>
      </c>
      <c r="E537" t="s">
        <v>88</v>
      </c>
      <c r="F537" t="s">
        <v>229</v>
      </c>
      <c r="G537" t="str">
        <f>HYPERLINK(_xlfn.CONCAT("https://tablet.otzar.org/",CHAR(35),"/book/193135/p/-1/t/1/fs/0/start/0/end/0/c"),"המבוא לספרי הרמב""""ם")</f>
        <v>המבוא לספרי הרמב""ם</v>
      </c>
      <c r="H537" t="str">
        <f>_xlfn.CONCAT("https://tablet.otzar.org/",CHAR(35),"/book/193135/p/-1/t/1/fs/0/start/0/end/0/c")</f>
        <v>https://tablet.otzar.org/#/book/193135/p/-1/t/1/fs/0/start/0/end/0/c</v>
      </c>
    </row>
    <row r="538" spans="1:8" x14ac:dyDescent="0.25">
      <c r="A538">
        <v>85017</v>
      </c>
      <c r="B538" t="s">
        <v>1014</v>
      </c>
      <c r="C538" t="s">
        <v>1015</v>
      </c>
      <c r="D538" t="s">
        <v>15</v>
      </c>
      <c r="E538" t="s">
        <v>226</v>
      </c>
      <c r="F538" t="s">
        <v>12</v>
      </c>
      <c r="G538" t="str">
        <f>HYPERLINK(_xlfn.CONCAT("https://tablet.otzar.org/",CHAR(35),"/book/85017/p/-1/t/1/fs/0/start/0/end/0/c"),"המבצעים כהלכתם - א")</f>
        <v>המבצעים כהלכתם - א</v>
      </c>
      <c r="H538" t="str">
        <f>_xlfn.CONCAT("https://tablet.otzar.org/",CHAR(35),"/book/85017/p/-1/t/1/fs/0/start/0/end/0/c")</f>
        <v>https://tablet.otzar.org/#/book/85017/p/-1/t/1/fs/0/start/0/end/0/c</v>
      </c>
    </row>
    <row r="539" spans="1:8" x14ac:dyDescent="0.25">
      <c r="A539">
        <v>652882</v>
      </c>
      <c r="B539" t="s">
        <v>1016</v>
      </c>
      <c r="C539" t="s">
        <v>1017</v>
      </c>
      <c r="E539" t="s">
        <v>166</v>
      </c>
      <c r="G539" t="str">
        <f>HYPERLINK(_xlfn.CONCAT("https://tablet.otzar.org/",CHAR(35),"/book/652882/p/-1/t/1/fs/0/start/0/end/0/c"),"המדריך ליום הכיפורים")</f>
        <v>המדריך ליום הכיפורים</v>
      </c>
      <c r="H539" t="str">
        <f>_xlfn.CONCAT("https://tablet.otzar.org/",CHAR(35),"/book/652882/p/-1/t/1/fs/0/start/0/end/0/c")</f>
        <v>https://tablet.otzar.org/#/book/652882/p/-1/t/1/fs/0/start/0/end/0/c</v>
      </c>
    </row>
    <row r="540" spans="1:8" x14ac:dyDescent="0.25">
      <c r="A540">
        <v>607966</v>
      </c>
      <c r="B540" t="s">
        <v>1018</v>
      </c>
      <c r="C540" t="s">
        <v>326</v>
      </c>
      <c r="E540" t="s">
        <v>99</v>
      </c>
      <c r="G540" t="str">
        <f>HYPERLINK(_xlfn.CONCAT("https://tablet.otzar.org/",CHAR(35),"/book/607966/p/-1/t/1/fs/0/start/0/end/0/c"),"המהפכה")</f>
        <v>המהפכה</v>
      </c>
      <c r="H540" t="str">
        <f>_xlfn.CONCAT("https://tablet.otzar.org/",CHAR(35),"/book/607966/p/-1/t/1/fs/0/start/0/end/0/c")</f>
        <v>https://tablet.otzar.org/#/book/607966/p/-1/t/1/fs/0/start/0/end/0/c</v>
      </c>
    </row>
    <row r="541" spans="1:8" x14ac:dyDescent="0.25">
      <c r="A541">
        <v>610038</v>
      </c>
      <c r="B541" t="s">
        <v>1019</v>
      </c>
      <c r="C541" t="s">
        <v>48</v>
      </c>
      <c r="D541" t="s">
        <v>438</v>
      </c>
      <c r="E541" t="s">
        <v>115</v>
      </c>
      <c r="G541" t="str">
        <f>HYPERLINK(_xlfn.CONCAT("https://tablet.otzar.org/",CHAR(35),"/book/610038/p/-1/t/1/fs/0/start/0/end/0/c"),"המהפכה הצרפתית בתשרי אצל הרבי")</f>
        <v>המהפכה הצרפתית בתשרי אצל הרבי</v>
      </c>
      <c r="H541" t="str">
        <f>_xlfn.CONCAT("https://tablet.otzar.org/",CHAR(35),"/book/610038/p/-1/t/1/fs/0/start/0/end/0/c")</f>
        <v>https://tablet.otzar.org/#/book/610038/p/-1/t/1/fs/0/start/0/end/0/c</v>
      </c>
    </row>
    <row r="542" spans="1:8" x14ac:dyDescent="0.25">
      <c r="A542">
        <v>636801</v>
      </c>
      <c r="B542" t="s">
        <v>1020</v>
      </c>
      <c r="C542" t="s">
        <v>1021</v>
      </c>
      <c r="D542" t="s">
        <v>28</v>
      </c>
      <c r="E542" t="s">
        <v>115</v>
      </c>
      <c r="G542" t="str">
        <f>HYPERLINK(_xlfn.CONCAT("https://tablet.otzar.org/",CHAR(35),"/book/636801/p/-1/t/1/fs/0/start/0/end/0/c"),"המודה אני של הרבי")</f>
        <v>המודה אני של הרבי</v>
      </c>
      <c r="H542" t="str">
        <f>_xlfn.CONCAT("https://tablet.otzar.org/",CHAR(35),"/book/636801/p/-1/t/1/fs/0/start/0/end/0/c")</f>
        <v>https://tablet.otzar.org/#/book/636801/p/-1/t/1/fs/0/start/0/end/0/c</v>
      </c>
    </row>
    <row r="543" spans="1:8" x14ac:dyDescent="0.25">
      <c r="A543">
        <v>173501</v>
      </c>
      <c r="B543" t="s">
        <v>1022</v>
      </c>
      <c r="C543" t="s">
        <v>90</v>
      </c>
      <c r="D543" t="s">
        <v>37</v>
      </c>
      <c r="E543" t="s">
        <v>62</v>
      </c>
      <c r="F543" t="s">
        <v>12</v>
      </c>
      <c r="G543" t="str">
        <f>HYPERLINK(_xlfn.CONCAT("https://tablet.otzar.org/",CHAR(35),"/book/173501/p/-1/t/1/fs/0/start/0/end/0/c"),"המועדים בחסידות")</f>
        <v>המועדים בחסידות</v>
      </c>
      <c r="H543" t="str">
        <f>_xlfn.CONCAT("https://tablet.otzar.org/",CHAR(35),"/book/173501/p/-1/t/1/fs/0/start/0/end/0/c")</f>
        <v>https://tablet.otzar.org/#/book/173501/p/-1/t/1/fs/0/start/0/end/0/c</v>
      </c>
    </row>
    <row r="544" spans="1:8" x14ac:dyDescent="0.25">
      <c r="A544">
        <v>142748</v>
      </c>
      <c r="B544" t="s">
        <v>1023</v>
      </c>
      <c r="C544" t="s">
        <v>1023</v>
      </c>
      <c r="D544" t="s">
        <v>15</v>
      </c>
      <c r="E544" t="s">
        <v>382</v>
      </c>
      <c r="F544" t="s">
        <v>76</v>
      </c>
      <c r="G544" t="str">
        <f>HYPERLINK(_xlfn.CONCAT("https://tablet.otzar.org/",CHAR(35),"/book/142748/p/-1/t/1/fs/0/start/0/end/0/c"),"המחנך והחינוך")</f>
        <v>המחנך והחינוך</v>
      </c>
      <c r="H544" t="str">
        <f>_xlfn.CONCAT("https://tablet.otzar.org/",CHAR(35),"/book/142748/p/-1/t/1/fs/0/start/0/end/0/c")</f>
        <v>https://tablet.otzar.org/#/book/142748/p/-1/t/1/fs/0/start/0/end/0/c</v>
      </c>
    </row>
    <row r="545" spans="1:8" x14ac:dyDescent="0.25">
      <c r="A545">
        <v>197863</v>
      </c>
      <c r="B545" t="s">
        <v>1024</v>
      </c>
      <c r="C545" t="s">
        <v>45</v>
      </c>
      <c r="D545" t="s">
        <v>28</v>
      </c>
      <c r="E545" t="s">
        <v>99</v>
      </c>
      <c r="F545" t="s">
        <v>12</v>
      </c>
      <c r="G545" t="str">
        <f>HYPERLINK(_xlfn.CONCAT("https://tablet.otzar.org/",CHAR(35),"/book/197863/p/-1/t/1/fs/0/start/0/end/0/c"),"המחשבה בהלכה")</f>
        <v>המחשבה בהלכה</v>
      </c>
      <c r="H545" t="str">
        <f>_xlfn.CONCAT("https://tablet.otzar.org/",CHAR(35),"/book/197863/p/-1/t/1/fs/0/start/0/end/0/c")</f>
        <v>https://tablet.otzar.org/#/book/197863/p/-1/t/1/fs/0/start/0/end/0/c</v>
      </c>
    </row>
    <row r="546" spans="1:8" x14ac:dyDescent="0.25">
      <c r="A546">
        <v>28803</v>
      </c>
      <c r="B546" t="s">
        <v>1025</v>
      </c>
      <c r="C546" t="s">
        <v>45</v>
      </c>
      <c r="D546" t="s">
        <v>15</v>
      </c>
      <c r="E546" t="s">
        <v>38</v>
      </c>
      <c r="F546" t="s">
        <v>12</v>
      </c>
      <c r="G546" t="str">
        <f>HYPERLINK(_xlfn.CONCAT("https://tablet.otzar.org/",CHAR(35),"/exKotar/28803"),"המלך במסיבו - 2 כרכים")</f>
        <v>המלך במסיבו - 2 כרכים</v>
      </c>
      <c r="H546" t="str">
        <f>_xlfn.CONCAT("https://tablet.otzar.org/",CHAR(35),"/exKotar/28803")</f>
        <v>https://tablet.otzar.org/#/exKotar/28803</v>
      </c>
    </row>
    <row r="547" spans="1:8" x14ac:dyDescent="0.25">
      <c r="A547">
        <v>27274</v>
      </c>
      <c r="B547" t="s">
        <v>1026</v>
      </c>
      <c r="C547" t="s">
        <v>125</v>
      </c>
      <c r="D547" t="s">
        <v>37</v>
      </c>
      <c r="E547" t="s">
        <v>69</v>
      </c>
      <c r="F547" t="s">
        <v>12</v>
      </c>
      <c r="G547" t="str">
        <f>HYPERLINK(_xlfn.CONCAT("https://tablet.otzar.org/",CHAR(35),"/book/27274/p/-1/t/1/fs/0/start/0/end/0/c"),"המלך ברמה")</f>
        <v>המלך ברמה</v>
      </c>
      <c r="H547" t="str">
        <f>_xlfn.CONCAT("https://tablet.otzar.org/",CHAR(35),"/book/27274/p/-1/t/1/fs/0/start/0/end/0/c")</f>
        <v>https://tablet.otzar.org/#/book/27274/p/-1/t/1/fs/0/start/0/end/0/c</v>
      </c>
    </row>
    <row r="548" spans="1:8" x14ac:dyDescent="0.25">
      <c r="A548">
        <v>643316</v>
      </c>
      <c r="B548" t="s">
        <v>1027</v>
      </c>
      <c r="C548" t="s">
        <v>1028</v>
      </c>
      <c r="D548" t="s">
        <v>159</v>
      </c>
      <c r="F548" t="s">
        <v>319</v>
      </c>
      <c r="G548" t="str">
        <f>HYPERLINK(_xlfn.CONCAT("https://tablet.otzar.org/",CHAR(35),"/book/643316/p/-1/t/1/fs/0/start/0/end/0/c"),"המסע אל השינוי עם הרבי הריי""""ץ")</f>
        <v>המסע אל השינוי עם הרבי הריי""ץ</v>
      </c>
      <c r="H548" t="str">
        <f>_xlfn.CONCAT("https://tablet.otzar.org/",CHAR(35),"/book/643316/p/-1/t/1/fs/0/start/0/end/0/c")</f>
        <v>https://tablet.otzar.org/#/book/643316/p/-1/t/1/fs/0/start/0/end/0/c</v>
      </c>
    </row>
    <row r="549" spans="1:8" x14ac:dyDescent="0.25">
      <c r="A549">
        <v>614764</v>
      </c>
      <c r="B549" t="s">
        <v>1029</v>
      </c>
      <c r="C549" t="s">
        <v>171</v>
      </c>
      <c r="D549" t="s">
        <v>15</v>
      </c>
      <c r="E549" t="s">
        <v>16</v>
      </c>
      <c r="G549" t="str">
        <f>HYPERLINK(_xlfn.CONCAT("https://tablet.otzar.org/",CHAR(35),"/book/614764/p/-1/t/1/fs/0/start/0/end/0/c"),"המסע האחרון")</f>
        <v>המסע האחרון</v>
      </c>
      <c r="H549" t="str">
        <f>_xlfn.CONCAT("https://tablet.otzar.org/",CHAR(35),"/book/614764/p/-1/t/1/fs/0/start/0/end/0/c")</f>
        <v>https://tablet.otzar.org/#/book/614764/p/-1/t/1/fs/0/start/0/end/0/c</v>
      </c>
    </row>
    <row r="550" spans="1:8" x14ac:dyDescent="0.25">
      <c r="A550">
        <v>607854</v>
      </c>
      <c r="B550" t="s">
        <v>1030</v>
      </c>
      <c r="C550" t="s">
        <v>547</v>
      </c>
      <c r="D550" t="s">
        <v>15</v>
      </c>
      <c r="E550" t="s">
        <v>404</v>
      </c>
      <c r="F550" t="s">
        <v>12</v>
      </c>
      <c r="G550" t="str">
        <f>HYPERLINK(_xlfn.CONCAT("https://tablet.otzar.org/",CHAR(35),"/book/607854/p/-1/t/1/fs/0/start/0/end/0/c"),"המסע להאדיטש")</f>
        <v>המסע להאדיטש</v>
      </c>
      <c r="H550" t="str">
        <f>_xlfn.CONCAT("https://tablet.otzar.org/",CHAR(35),"/book/607854/p/-1/t/1/fs/0/start/0/end/0/c")</f>
        <v>https://tablet.otzar.org/#/book/607854/p/-1/t/1/fs/0/start/0/end/0/c</v>
      </c>
    </row>
    <row r="551" spans="1:8" x14ac:dyDescent="0.25">
      <c r="A551">
        <v>181488</v>
      </c>
      <c r="B551" t="s">
        <v>1031</v>
      </c>
      <c r="C551" t="s">
        <v>72</v>
      </c>
      <c r="D551" t="s">
        <v>37</v>
      </c>
      <c r="E551" t="s">
        <v>88</v>
      </c>
      <c r="F551" t="s">
        <v>319</v>
      </c>
      <c r="G551" t="str">
        <f>HYPERLINK(_xlfn.CONCAT("https://tablet.otzar.org/",CHAR(35),"/book/181488/p/-1/t/1/fs/0/start/0/end/0/c"),"המעיינות - אדמו""""ר האמצעי")</f>
        <v>המעיינות - אדמו""ר האמצעי</v>
      </c>
      <c r="H551" t="str">
        <f>_xlfn.CONCAT("https://tablet.otzar.org/",CHAR(35),"/book/181488/p/-1/t/1/fs/0/start/0/end/0/c")</f>
        <v>https://tablet.otzar.org/#/book/181488/p/-1/t/1/fs/0/start/0/end/0/c</v>
      </c>
    </row>
    <row r="552" spans="1:8" x14ac:dyDescent="0.25">
      <c r="A552">
        <v>181489</v>
      </c>
      <c r="B552" t="s">
        <v>1032</v>
      </c>
      <c r="C552" t="s">
        <v>68</v>
      </c>
      <c r="D552" t="s">
        <v>37</v>
      </c>
      <c r="E552" t="s">
        <v>88</v>
      </c>
      <c r="F552" t="s">
        <v>319</v>
      </c>
      <c r="G552" t="str">
        <f>HYPERLINK(_xlfn.CONCAT("https://tablet.otzar.org/",CHAR(35),"/book/181489/p/-1/t/1/fs/0/start/0/end/0/c"),"המעיינות - אדמו""""ר הרש""""ב")</f>
        <v>המעיינות - אדמו""ר הרש""ב</v>
      </c>
      <c r="H552" t="str">
        <f>_xlfn.CONCAT("https://tablet.otzar.org/",CHAR(35),"/book/181489/p/-1/t/1/fs/0/start/0/end/0/c")</f>
        <v>https://tablet.otzar.org/#/book/181489/p/-1/t/1/fs/0/start/0/end/0/c</v>
      </c>
    </row>
    <row r="553" spans="1:8" x14ac:dyDescent="0.25">
      <c r="A553">
        <v>181496</v>
      </c>
      <c r="B553" t="s">
        <v>1033</v>
      </c>
      <c r="C553" t="s">
        <v>81</v>
      </c>
      <c r="D553" t="s">
        <v>37</v>
      </c>
      <c r="E553" t="s">
        <v>88</v>
      </c>
      <c r="F553" t="s">
        <v>319</v>
      </c>
      <c r="G553" t="str">
        <f>HYPERLINK(_xlfn.CONCAT("https://tablet.otzar.org/",CHAR(35),"/book/181496/p/-1/t/1/fs/0/start/0/end/0/c"),"המעיינות - אדמו""""ר הזקן")</f>
        <v>המעיינות - אדמו""ר הזקן</v>
      </c>
      <c r="H553" t="str">
        <f>_xlfn.CONCAT("https://tablet.otzar.org/",CHAR(35),"/book/181496/p/-1/t/1/fs/0/start/0/end/0/c")</f>
        <v>https://tablet.otzar.org/#/book/181496/p/-1/t/1/fs/0/start/0/end/0/c</v>
      </c>
    </row>
    <row r="554" spans="1:8" x14ac:dyDescent="0.25">
      <c r="A554">
        <v>198312</v>
      </c>
      <c r="B554" t="s">
        <v>1034</v>
      </c>
      <c r="C554" t="s">
        <v>1035</v>
      </c>
      <c r="D554" t="s">
        <v>10</v>
      </c>
      <c r="E554" t="s">
        <v>19</v>
      </c>
      <c r="F554" t="s">
        <v>12</v>
      </c>
      <c r="G554" t="str">
        <f>HYPERLINK(_xlfn.CONCAT("https://tablet.otzar.org/",CHAR(35),"/book/198312/p/-1/t/1/fs/0/start/0/end/0/c"),"המפתח לעולם החינוך - ב")</f>
        <v>המפתח לעולם החינוך - ב</v>
      </c>
      <c r="H554" t="str">
        <f>_xlfn.CONCAT("https://tablet.otzar.org/",CHAR(35),"/book/198312/p/-1/t/1/fs/0/start/0/end/0/c")</f>
        <v>https://tablet.otzar.org/#/book/198312/p/-1/t/1/fs/0/start/0/end/0/c</v>
      </c>
    </row>
    <row r="555" spans="1:8" x14ac:dyDescent="0.25">
      <c r="A555">
        <v>27107</v>
      </c>
      <c r="B555" t="s">
        <v>1036</v>
      </c>
      <c r="C555" t="s">
        <v>1037</v>
      </c>
      <c r="D555" t="s">
        <v>10</v>
      </c>
      <c r="E555" t="s">
        <v>38</v>
      </c>
      <c r="F555" t="s">
        <v>12</v>
      </c>
      <c r="G555" t="str">
        <f>HYPERLINK(_xlfn.CONCAT("https://tablet.otzar.org/",CHAR(35),"/book/27107/p/-1/t/1/fs/0/start/0/end/0/c"),"המשיח")</f>
        <v>המשיח</v>
      </c>
      <c r="H555" t="str">
        <f>_xlfn.CONCAT("https://tablet.otzar.org/",CHAR(35),"/book/27107/p/-1/t/1/fs/0/start/0/end/0/c")</f>
        <v>https://tablet.otzar.org/#/book/27107/p/-1/t/1/fs/0/start/0/end/0/c</v>
      </c>
    </row>
    <row r="556" spans="1:8" x14ac:dyDescent="0.25">
      <c r="A556">
        <v>143363</v>
      </c>
      <c r="B556" t="s">
        <v>1038</v>
      </c>
      <c r="C556" t="s">
        <v>637</v>
      </c>
      <c r="D556" t="s">
        <v>15</v>
      </c>
      <c r="E556" t="s">
        <v>91</v>
      </c>
      <c r="F556" t="s">
        <v>76</v>
      </c>
      <c r="G556" t="str">
        <f>HYPERLINK(_xlfn.CONCAT("https://tablet.otzar.org/",CHAR(35),"/book/143363/p/-1/t/1/fs/0/start/0/end/0/c"),"המשפט הגדול - ב")</f>
        <v>המשפט הגדול - ב</v>
      </c>
      <c r="H556" t="str">
        <f>_xlfn.CONCAT("https://tablet.otzar.org/",CHAR(35),"/book/143363/p/-1/t/1/fs/0/start/0/end/0/c")</f>
        <v>https://tablet.otzar.org/#/book/143363/p/-1/t/1/fs/0/start/0/end/0/c</v>
      </c>
    </row>
    <row r="557" spans="1:8" x14ac:dyDescent="0.25">
      <c r="A557">
        <v>27124</v>
      </c>
      <c r="B557" t="s">
        <v>1039</v>
      </c>
      <c r="C557" t="s">
        <v>318</v>
      </c>
      <c r="D557" t="s">
        <v>15</v>
      </c>
      <c r="E557" t="s">
        <v>217</v>
      </c>
      <c r="F557" t="s">
        <v>12</v>
      </c>
      <c r="G557" t="str">
        <f>HYPERLINK(_xlfn.CONCAT("https://tablet.otzar.org/",CHAR(35),"/book/27124/p/-1/t/1/fs/0/start/0/end/0/c"),"המשפיע")</f>
        <v>המשפיע</v>
      </c>
      <c r="H557" t="str">
        <f>_xlfn.CONCAT("https://tablet.otzar.org/",CHAR(35),"/book/27124/p/-1/t/1/fs/0/start/0/end/0/c")</f>
        <v>https://tablet.otzar.org/#/book/27124/p/-1/t/1/fs/0/start/0/end/0/c</v>
      </c>
    </row>
    <row r="558" spans="1:8" x14ac:dyDescent="0.25">
      <c r="A558">
        <v>175918</v>
      </c>
      <c r="B558" t="s">
        <v>1040</v>
      </c>
      <c r="C558" t="s">
        <v>427</v>
      </c>
      <c r="D558" t="s">
        <v>15</v>
      </c>
      <c r="E558" t="s">
        <v>62</v>
      </c>
      <c r="F558" t="s">
        <v>12</v>
      </c>
      <c r="G558" t="str">
        <f>HYPERLINK(_xlfn.CONCAT("https://tablet.otzar.org/",CHAR(35),"/exKotar/175918"),"המשפיע ר' שלמה חיים קסלמן - 2 כרכים")</f>
        <v>המשפיע ר' שלמה חיים קסלמן - 2 כרכים</v>
      </c>
      <c r="H558" t="str">
        <f>_xlfn.CONCAT("https://tablet.otzar.org/",CHAR(35),"/exKotar/175918")</f>
        <v>https://tablet.otzar.org/#/exKotar/175918</v>
      </c>
    </row>
    <row r="559" spans="1:8" x14ac:dyDescent="0.25">
      <c r="A559">
        <v>162751</v>
      </c>
      <c r="B559" t="s">
        <v>1041</v>
      </c>
      <c r="C559" t="s">
        <v>402</v>
      </c>
      <c r="D559" t="s">
        <v>10</v>
      </c>
      <c r="E559" t="s">
        <v>16</v>
      </c>
      <c r="F559" t="s">
        <v>20</v>
      </c>
      <c r="G559" t="str">
        <f>HYPERLINK(_xlfn.CONCAT("https://tablet.otzar.org/",CHAR(35),"/book/162751/p/-1/t/1/fs/0/start/0/end/0/c"),"המשפיע שלא חזר")</f>
        <v>המשפיע שלא חזר</v>
      </c>
      <c r="H559" t="str">
        <f>_xlfn.CONCAT("https://tablet.otzar.org/",CHAR(35),"/book/162751/p/-1/t/1/fs/0/start/0/end/0/c")</f>
        <v>https://tablet.otzar.org/#/book/162751/p/-1/t/1/fs/0/start/0/end/0/c</v>
      </c>
    </row>
    <row r="560" spans="1:8" x14ac:dyDescent="0.25">
      <c r="A560">
        <v>27109</v>
      </c>
      <c r="B560" t="s">
        <v>1042</v>
      </c>
      <c r="C560" t="s">
        <v>1043</v>
      </c>
      <c r="D560" t="s">
        <v>15</v>
      </c>
      <c r="E560" t="s">
        <v>103</v>
      </c>
      <c r="F560" t="s">
        <v>12</v>
      </c>
      <c r="G560" t="str">
        <f>HYPERLINK(_xlfn.CONCAT("https://tablet.otzar.org/",CHAR(35),"/exKotar/27109"),"הנה ימים באים - 2 כרכים")</f>
        <v>הנה ימים באים - 2 כרכים</v>
      </c>
      <c r="H560" t="str">
        <f>_xlfn.CONCAT("https://tablet.otzar.org/",CHAR(35),"/exKotar/27109")</f>
        <v>https://tablet.otzar.org/#/exKotar/27109</v>
      </c>
    </row>
    <row r="561" spans="1:8" x14ac:dyDescent="0.25">
      <c r="A561">
        <v>140920</v>
      </c>
      <c r="B561" t="s">
        <v>1044</v>
      </c>
      <c r="C561" t="s">
        <v>1045</v>
      </c>
      <c r="D561" t="s">
        <v>191</v>
      </c>
      <c r="E561" t="s">
        <v>29</v>
      </c>
      <c r="F561" t="s">
        <v>12</v>
      </c>
      <c r="G561" t="str">
        <f>HYPERLINK(_xlfn.CONCAT("https://tablet.otzar.org/",CHAR(35),"/book/140920/p/-1/t/1/fs/0/start/0/end/0/c"),"הנהגה חסידית")</f>
        <v>הנהגה חסידית</v>
      </c>
      <c r="H561" t="str">
        <f>_xlfn.CONCAT("https://tablet.otzar.org/",CHAR(35),"/book/140920/p/-1/t/1/fs/0/start/0/end/0/c")</f>
        <v>https://tablet.otzar.org/#/book/140920/p/-1/t/1/fs/0/start/0/end/0/c</v>
      </c>
    </row>
    <row r="562" spans="1:8" x14ac:dyDescent="0.25">
      <c r="A562">
        <v>27547</v>
      </c>
      <c r="B562" t="s">
        <v>1046</v>
      </c>
      <c r="C562" t="s">
        <v>1047</v>
      </c>
      <c r="D562" t="s">
        <v>15</v>
      </c>
      <c r="E562" t="s">
        <v>79</v>
      </c>
      <c r="F562" t="s">
        <v>12</v>
      </c>
      <c r="G562" t="str">
        <f>HYPERLINK(_xlfn.CONCAT("https://tablet.otzar.org/",CHAR(35),"/book/27547/p/-1/t/1/fs/0/start/0/end/0/c"),"הנהגות חסידיות")</f>
        <v>הנהגות חסידיות</v>
      </c>
      <c r="H562" t="str">
        <f>_xlfn.CONCAT("https://tablet.otzar.org/",CHAR(35),"/book/27547/p/-1/t/1/fs/0/start/0/end/0/c")</f>
        <v>https://tablet.otzar.org/#/book/27547/p/-1/t/1/fs/0/start/0/end/0/c</v>
      </c>
    </row>
    <row r="563" spans="1:8" x14ac:dyDescent="0.25">
      <c r="A563">
        <v>635043</v>
      </c>
      <c r="B563" t="s">
        <v>1048</v>
      </c>
      <c r="C563" t="s">
        <v>45</v>
      </c>
      <c r="D563" t="s">
        <v>37</v>
      </c>
      <c r="E563" t="s">
        <v>185</v>
      </c>
      <c r="F563" t="s">
        <v>12</v>
      </c>
      <c r="G563" t="str">
        <f>HYPERLINK(_xlfn.CONCAT("https://tablet.otzar.org/",CHAR(35),"/book/635043/p/-1/t/1/fs/0/start/0/end/0/c"),"הנהגות רבי - בנושא חתונה")</f>
        <v>הנהגות רבי - בנושא חתונה</v>
      </c>
      <c r="H563" t="str">
        <f>_xlfn.CONCAT("https://tablet.otzar.org/",CHAR(35),"/book/635043/p/-1/t/1/fs/0/start/0/end/0/c")</f>
        <v>https://tablet.otzar.org/#/book/635043/p/-1/t/1/fs/0/start/0/end/0/c</v>
      </c>
    </row>
    <row r="564" spans="1:8" x14ac:dyDescent="0.25">
      <c r="A564">
        <v>27089</v>
      </c>
      <c r="B564" t="s">
        <v>1049</v>
      </c>
      <c r="C564" t="s">
        <v>1050</v>
      </c>
      <c r="D564" t="s">
        <v>1051</v>
      </c>
      <c r="E564" t="s">
        <v>54</v>
      </c>
      <c r="F564" t="s">
        <v>12</v>
      </c>
      <c r="G564" t="str">
        <f>HYPERLINK(_xlfn.CONCAT("https://tablet.otzar.org/",CHAR(35),"/book/27089/p/-1/t/1/fs/0/start/0/end/0/c"),"הנישואין")</f>
        <v>הנישואין</v>
      </c>
      <c r="H564" t="str">
        <f>_xlfn.CONCAT("https://tablet.otzar.org/",CHAR(35),"/book/27089/p/-1/t/1/fs/0/start/0/end/0/c")</f>
        <v>https://tablet.otzar.org/#/book/27089/p/-1/t/1/fs/0/start/0/end/0/c</v>
      </c>
    </row>
    <row r="565" spans="1:8" x14ac:dyDescent="0.25">
      <c r="A565">
        <v>195706</v>
      </c>
      <c r="B565" t="s">
        <v>1052</v>
      </c>
      <c r="C565" t="s">
        <v>1053</v>
      </c>
      <c r="D565" t="s">
        <v>15</v>
      </c>
      <c r="E565" t="s">
        <v>99</v>
      </c>
      <c r="F565" t="s">
        <v>20</v>
      </c>
      <c r="G565" t="str">
        <f>HYPERLINK(_xlfn.CONCAT("https://tablet.otzar.org/",CHAR(35),"/book/195706/p/-1/t/1/fs/0/start/0/end/0/c"),"הנסיך - תולדות ר' מנחם מענדל")</f>
        <v>הנסיך - תולדות ר' מנחם מענדל</v>
      </c>
      <c r="H565" t="str">
        <f>_xlfn.CONCAT("https://tablet.otzar.org/",CHAR(35),"/book/195706/p/-1/t/1/fs/0/start/0/end/0/c")</f>
        <v>https://tablet.otzar.org/#/book/195706/p/-1/t/1/fs/0/start/0/end/0/c</v>
      </c>
    </row>
    <row r="566" spans="1:8" x14ac:dyDescent="0.25">
      <c r="A566">
        <v>85010</v>
      </c>
      <c r="B566" t="s">
        <v>1054</v>
      </c>
      <c r="C566" t="s">
        <v>391</v>
      </c>
      <c r="D566" t="s">
        <v>15</v>
      </c>
      <c r="E566" t="s">
        <v>226</v>
      </c>
      <c r="F566" t="s">
        <v>12</v>
      </c>
      <c r="G566" t="str">
        <f>HYPERLINK(_xlfn.CONCAT("https://tablet.otzar.org/",CHAR(35),"/book/85010/p/-1/t/1/fs/0/start/0/end/0/c"),"הנסיך השישי בממלכת ליובאוויטש")</f>
        <v>הנסיך השישי בממלכת ליובאוויטש</v>
      </c>
      <c r="H566" t="str">
        <f>_xlfn.CONCAT("https://tablet.otzar.org/",CHAR(35),"/book/85010/p/-1/t/1/fs/0/start/0/end/0/c")</f>
        <v>https://tablet.otzar.org/#/book/85010/p/-1/t/1/fs/0/start/0/end/0/c</v>
      </c>
    </row>
    <row r="567" spans="1:8" x14ac:dyDescent="0.25">
      <c r="A567">
        <v>613918</v>
      </c>
      <c r="B567" t="s">
        <v>1055</v>
      </c>
      <c r="C567" t="s">
        <v>1056</v>
      </c>
      <c r="D567" t="s">
        <v>363</v>
      </c>
      <c r="E567" t="s">
        <v>115</v>
      </c>
      <c r="F567" t="s">
        <v>12</v>
      </c>
      <c r="G567" t="str">
        <f>HYPERLINK(_xlfn.CONCAT("https://tablet.otzar.org/",CHAR(35),"/book/613918/p/-1/t/1/fs/0/start/0/end/0/c"),"הנפש כמשל")</f>
        <v>הנפש כמשל</v>
      </c>
      <c r="H567" t="str">
        <f>_xlfn.CONCAT("https://tablet.otzar.org/",CHAR(35),"/book/613918/p/-1/t/1/fs/0/start/0/end/0/c")</f>
        <v>https://tablet.otzar.org/#/book/613918/p/-1/t/1/fs/0/start/0/end/0/c</v>
      </c>
    </row>
    <row r="568" spans="1:8" x14ac:dyDescent="0.25">
      <c r="A568">
        <v>141429</v>
      </c>
      <c r="B568" t="s">
        <v>1057</v>
      </c>
      <c r="C568" t="s">
        <v>125</v>
      </c>
      <c r="D568" t="s">
        <v>28</v>
      </c>
      <c r="E568" t="s">
        <v>382</v>
      </c>
      <c r="F568" t="s">
        <v>12</v>
      </c>
      <c r="G568" t="str">
        <f>HYPERLINK(_xlfn.CONCAT("https://tablet.otzar.org/",CHAR(35),"/exKotar/141429"),"הנקודה החב""""דית - 2 כרכים")</f>
        <v>הנקודה החב""דית - 2 כרכים</v>
      </c>
      <c r="H568" t="str">
        <f>_xlfn.CONCAT("https://tablet.otzar.org/",CHAR(35),"/exKotar/141429")</f>
        <v>https://tablet.otzar.org/#/exKotar/141429</v>
      </c>
    </row>
    <row r="569" spans="1:8" x14ac:dyDescent="0.25">
      <c r="A569">
        <v>657969</v>
      </c>
      <c r="B569" t="s">
        <v>1058</v>
      </c>
      <c r="C569" t="s">
        <v>360</v>
      </c>
      <c r="D569" t="s">
        <v>15</v>
      </c>
      <c r="E569" t="s">
        <v>185</v>
      </c>
      <c r="F569" t="s">
        <v>12</v>
      </c>
      <c r="G569" t="str">
        <f>HYPERLINK(_xlfn.CONCAT("https://tablet.otzar.org/",CHAR(35),"/book/657969/p/-1/t/1/fs/0/start/0/end/0/c"),"הנשיא הוא הכל")</f>
        <v>הנשיא הוא הכל</v>
      </c>
      <c r="H569" t="str">
        <f>_xlfn.CONCAT("https://tablet.otzar.org/",CHAR(35),"/book/657969/p/-1/t/1/fs/0/start/0/end/0/c")</f>
        <v>https://tablet.otzar.org/#/book/657969/p/-1/t/1/fs/0/start/0/end/0/c</v>
      </c>
    </row>
    <row r="570" spans="1:8" x14ac:dyDescent="0.25">
      <c r="A570">
        <v>164350</v>
      </c>
      <c r="B570" t="s">
        <v>1059</v>
      </c>
      <c r="C570" t="s">
        <v>1060</v>
      </c>
      <c r="D570" t="s">
        <v>15</v>
      </c>
      <c r="E570" t="s">
        <v>16</v>
      </c>
      <c r="F570" t="s">
        <v>12</v>
      </c>
      <c r="G570" t="str">
        <f>HYPERLINK(_xlfn.CONCAT("https://tablet.otzar.org/",CHAR(35),"/book/164350/p/-1/t/1/fs/0/start/0/end/0/c"),"הנשמה האלוקית")</f>
        <v>הנשמה האלוקית</v>
      </c>
      <c r="H570" t="str">
        <f>_xlfn.CONCAT("https://tablet.otzar.org/",CHAR(35),"/book/164350/p/-1/t/1/fs/0/start/0/end/0/c")</f>
        <v>https://tablet.otzar.org/#/book/164350/p/-1/t/1/fs/0/start/0/end/0/c</v>
      </c>
    </row>
    <row r="571" spans="1:8" x14ac:dyDescent="0.25">
      <c r="A571">
        <v>141577</v>
      </c>
      <c r="B571" t="s">
        <v>1061</v>
      </c>
      <c r="C571" t="s">
        <v>337</v>
      </c>
      <c r="D571" t="s">
        <v>28</v>
      </c>
      <c r="E571" t="s">
        <v>91</v>
      </c>
      <c r="F571" t="s">
        <v>12</v>
      </c>
      <c r="G571" t="str">
        <f>HYPERLINK(_xlfn.CONCAT("https://tablet.otzar.org/",CHAR(35),"/book/141577/p/-1/t/1/fs/0/start/0/end/0/c"),"הנשר הגדול")</f>
        <v>הנשר הגדול</v>
      </c>
      <c r="H571" t="str">
        <f>_xlfn.CONCAT("https://tablet.otzar.org/",CHAR(35),"/book/141577/p/-1/t/1/fs/0/start/0/end/0/c")</f>
        <v>https://tablet.otzar.org/#/book/141577/p/-1/t/1/fs/0/start/0/end/0/c</v>
      </c>
    </row>
    <row r="572" spans="1:8" x14ac:dyDescent="0.25">
      <c r="A572">
        <v>608418</v>
      </c>
      <c r="B572" t="s">
        <v>1062</v>
      </c>
      <c r="C572" t="s">
        <v>1063</v>
      </c>
      <c r="D572" t="s">
        <v>15</v>
      </c>
      <c r="E572" t="s">
        <v>404</v>
      </c>
      <c r="F572" t="s">
        <v>20</v>
      </c>
      <c r="G572" t="str">
        <f>HYPERLINK(_xlfn.CONCAT("https://tablet.otzar.org/",CHAR(35),"/book/608418/p/-1/t/1/fs/0/start/0/end/0/c"),"הסבא - הרב אפרים צבי הכהן לרר ע""""ה")</f>
        <v>הסבא - הרב אפרים צבי הכהן לרר ע""ה</v>
      </c>
      <c r="H572" t="str">
        <f>_xlfn.CONCAT("https://tablet.otzar.org/",CHAR(35),"/book/608418/p/-1/t/1/fs/0/start/0/end/0/c")</f>
        <v>https://tablet.otzar.org/#/book/608418/p/-1/t/1/fs/0/start/0/end/0/c</v>
      </c>
    </row>
    <row r="573" spans="1:8" x14ac:dyDescent="0.25">
      <c r="A573">
        <v>143357</v>
      </c>
      <c r="B573" t="s">
        <v>1064</v>
      </c>
      <c r="C573" t="s">
        <v>1065</v>
      </c>
      <c r="D573" t="s">
        <v>28</v>
      </c>
      <c r="E573" t="s">
        <v>91</v>
      </c>
      <c r="F573" t="s">
        <v>12</v>
      </c>
      <c r="G573" t="str">
        <f>HYPERLINK(_xlfn.CONCAT("https://tablet.otzar.org/",CHAR(35),"/book/143357/p/-1/t/1/fs/0/start/0/end/0/c"),"הסבא רבי דוד ע""""ה צלקשוילי")</f>
        <v>הסבא רבי דוד ע""ה צלקשוילי</v>
      </c>
      <c r="H573" t="str">
        <f>_xlfn.CONCAT("https://tablet.otzar.org/",CHAR(35),"/book/143357/p/-1/t/1/fs/0/start/0/end/0/c")</f>
        <v>https://tablet.otzar.org/#/book/143357/p/-1/t/1/fs/0/start/0/end/0/c</v>
      </c>
    </row>
    <row r="574" spans="1:8" x14ac:dyDescent="0.25">
      <c r="A574">
        <v>173494</v>
      </c>
      <c r="B574" t="s">
        <v>1066</v>
      </c>
      <c r="C574" t="s">
        <v>1067</v>
      </c>
      <c r="D574" t="s">
        <v>15</v>
      </c>
      <c r="E574" t="s">
        <v>62</v>
      </c>
      <c r="F574" t="s">
        <v>12</v>
      </c>
      <c r="G574" t="str">
        <f>HYPERLINK(_xlfn.CONCAT("https://tablet.otzar.org/",CHAR(35),"/book/173494/p/-1/t/1/fs/0/start/0/end/0/c"),"הספסל מספר - א")</f>
        <v>הספסל מספר - א</v>
      </c>
      <c r="H574" t="str">
        <f>_xlfn.CONCAT("https://tablet.otzar.org/",CHAR(35),"/book/173494/p/-1/t/1/fs/0/start/0/end/0/c")</f>
        <v>https://tablet.otzar.org/#/book/173494/p/-1/t/1/fs/0/start/0/end/0/c</v>
      </c>
    </row>
    <row r="575" spans="1:8" x14ac:dyDescent="0.25">
      <c r="A575">
        <v>638316</v>
      </c>
      <c r="B575" t="s">
        <v>1068</v>
      </c>
      <c r="C575" t="s">
        <v>1068</v>
      </c>
      <c r="F575" t="s">
        <v>12</v>
      </c>
      <c r="G575" t="str">
        <f>HYPERLINK(_xlfn.CONCAT("https://tablet.otzar.org/",CHAR(35),"/book/638316/p/-1/t/1/fs/0/start/0/end/0/c"),"העובדות שמאחורי ה'סאטעלייט'")</f>
        <v>העובדות שמאחורי ה'סאטעלייט'</v>
      </c>
      <c r="H575" t="str">
        <f>_xlfn.CONCAT("https://tablet.otzar.org/",CHAR(35),"/book/638316/p/-1/t/1/fs/0/start/0/end/0/c")</f>
        <v>https://tablet.otzar.org/#/book/638316/p/-1/t/1/fs/0/start/0/end/0/c</v>
      </c>
    </row>
    <row r="576" spans="1:8" x14ac:dyDescent="0.25">
      <c r="A576">
        <v>627075</v>
      </c>
      <c r="B576" t="s">
        <v>1069</v>
      </c>
      <c r="C576" t="s">
        <v>1069</v>
      </c>
      <c r="D576" t="s">
        <v>10</v>
      </c>
      <c r="E576" t="s">
        <v>88</v>
      </c>
      <c r="F576" t="s">
        <v>12</v>
      </c>
      <c r="G576" t="str">
        <f>HYPERLINK(_xlfn.CONCAT("https://tablet.otzar.org/",CHAR(35),"/book/627075/p/-1/t/1/fs/0/start/0/end/0/c"),"העילוי דיום ז""""ך")</f>
        <v>העילוי דיום ז""ך</v>
      </c>
      <c r="H576" t="str">
        <f>_xlfn.CONCAT("https://tablet.otzar.org/",CHAR(35),"/book/627075/p/-1/t/1/fs/0/start/0/end/0/c")</f>
        <v>https://tablet.otzar.org/#/book/627075/p/-1/t/1/fs/0/start/0/end/0/c</v>
      </c>
    </row>
    <row r="577" spans="1:8" x14ac:dyDescent="0.25">
      <c r="A577">
        <v>145959</v>
      </c>
      <c r="B577" t="s">
        <v>1070</v>
      </c>
      <c r="C577" t="s">
        <v>1071</v>
      </c>
      <c r="D577" t="s">
        <v>37</v>
      </c>
      <c r="E577" t="s">
        <v>515</v>
      </c>
      <c r="F577" t="s">
        <v>319</v>
      </c>
      <c r="G577" t="str">
        <f>HYPERLINK(_xlfn.CONCAT("https://tablet.otzar.org/",CHAR(35),"/book/145959/p/-1/t/1/fs/0/start/0/end/0/c"),"הערות בשלחן ערוך אדמו""""ר הזקן")</f>
        <v>הערות בשלחן ערוך אדמו""ר הזקן</v>
      </c>
      <c r="H577" t="str">
        <f>_xlfn.CONCAT("https://tablet.otzar.org/",CHAR(35),"/book/145959/p/-1/t/1/fs/0/start/0/end/0/c")</f>
        <v>https://tablet.otzar.org/#/book/145959/p/-1/t/1/fs/0/start/0/end/0/c</v>
      </c>
    </row>
    <row r="578" spans="1:8" x14ac:dyDescent="0.25">
      <c r="A578">
        <v>181098</v>
      </c>
      <c r="B578" t="s">
        <v>1072</v>
      </c>
      <c r="C578" t="s">
        <v>125</v>
      </c>
      <c r="D578" t="s">
        <v>159</v>
      </c>
      <c r="E578" t="s">
        <v>88</v>
      </c>
      <c r="F578" t="s">
        <v>12</v>
      </c>
      <c r="G578" t="str">
        <f>HYPERLINK(_xlfn.CONCAT("https://tablet.otzar.org/",CHAR(35),"/book/181098/p/-1/t/1/fs/0/start/0/end/0/c"),"הערות התמימים (אלעד) - ו")</f>
        <v>הערות התמימים (אלעד) - ו</v>
      </c>
      <c r="H578" t="str">
        <f>_xlfn.CONCAT("https://tablet.otzar.org/",CHAR(35),"/book/181098/p/-1/t/1/fs/0/start/0/end/0/c")</f>
        <v>https://tablet.otzar.org/#/book/181098/p/-1/t/1/fs/0/start/0/end/0/c</v>
      </c>
    </row>
    <row r="579" spans="1:8" x14ac:dyDescent="0.25">
      <c r="A579">
        <v>189051</v>
      </c>
      <c r="B579" t="s">
        <v>1073</v>
      </c>
      <c r="C579" t="s">
        <v>125</v>
      </c>
      <c r="D579" t="s">
        <v>738</v>
      </c>
      <c r="E579" t="s">
        <v>19</v>
      </c>
      <c r="F579" t="s">
        <v>12</v>
      </c>
      <c r="G579" t="str">
        <f>HYPERLINK(_xlfn.CONCAT("https://tablet.otzar.org/",CHAR(35),"/exKotar/189051"),"הערות התמימים (טורונטו) - 3 כרכים")</f>
        <v>הערות התמימים (טורונטו) - 3 כרכים</v>
      </c>
      <c r="H579" t="str">
        <f>_xlfn.CONCAT("https://tablet.otzar.org/",CHAR(35),"/exKotar/189051")</f>
        <v>https://tablet.otzar.org/#/exKotar/189051</v>
      </c>
    </row>
    <row r="580" spans="1:8" x14ac:dyDescent="0.25">
      <c r="A580">
        <v>157302</v>
      </c>
      <c r="B580" t="s">
        <v>1074</v>
      </c>
      <c r="C580" t="s">
        <v>125</v>
      </c>
      <c r="D580" t="s">
        <v>10</v>
      </c>
      <c r="E580" t="s">
        <v>49</v>
      </c>
      <c r="F580" t="s">
        <v>12</v>
      </c>
      <c r="G580" t="str">
        <f>HYPERLINK(_xlfn.CONCAT("https://tablet.otzar.org/",CHAR(35),"/book/157302/p/-1/t/1/fs/0/start/0/end/0/c"),"הערות התמימים (סטעטן איילנד)")</f>
        <v>הערות התמימים (סטעטן איילנד)</v>
      </c>
      <c r="H580" t="str">
        <f>_xlfn.CONCAT("https://tablet.otzar.org/",CHAR(35),"/book/157302/p/-1/t/1/fs/0/start/0/end/0/c")</f>
        <v>https://tablet.otzar.org/#/book/157302/p/-1/t/1/fs/0/start/0/end/0/c</v>
      </c>
    </row>
    <row r="581" spans="1:8" x14ac:dyDescent="0.25">
      <c r="A581">
        <v>154674</v>
      </c>
      <c r="B581" t="s">
        <v>1075</v>
      </c>
      <c r="C581" t="s">
        <v>125</v>
      </c>
      <c r="D581" t="s">
        <v>10</v>
      </c>
      <c r="E581" t="s">
        <v>51</v>
      </c>
      <c r="F581" t="s">
        <v>12</v>
      </c>
      <c r="G581" t="str">
        <f>HYPERLINK(_xlfn.CONCAT("https://tablet.otzar.org/",CHAR(35),"/exKotar/154674"),"הערות התמימים ואנ""""ש - 557 כרכים")</f>
        <v>הערות התמימים ואנ""ש - 557 כרכים</v>
      </c>
      <c r="H581" t="str">
        <f>_xlfn.CONCAT("https://tablet.otzar.org/",CHAR(35),"/exKotar/154674")</f>
        <v>https://tablet.otzar.org/#/exKotar/154674</v>
      </c>
    </row>
    <row r="582" spans="1:8" x14ac:dyDescent="0.25">
      <c r="A582">
        <v>161353</v>
      </c>
      <c r="B582" t="s">
        <v>1076</v>
      </c>
      <c r="C582" t="s">
        <v>1077</v>
      </c>
      <c r="D582" t="s">
        <v>10</v>
      </c>
      <c r="E582" t="s">
        <v>49</v>
      </c>
      <c r="F582" t="s">
        <v>12</v>
      </c>
      <c r="G582" t="str">
        <f>HYPERLINK(_xlfn.CONCAT("https://tablet.otzar.org/",CHAR(35),"/book/161353/p/-1/t/1/fs/0/start/0/end/0/c"),"הערות וביאורים - ספר היובל")</f>
        <v>הערות וביאורים - ספר היובל</v>
      </c>
      <c r="H582" t="str">
        <f>_xlfn.CONCAT("https://tablet.otzar.org/",CHAR(35),"/book/161353/p/-1/t/1/fs/0/start/0/end/0/c")</f>
        <v>https://tablet.otzar.org/#/book/161353/p/-1/t/1/fs/0/start/0/end/0/c</v>
      </c>
    </row>
    <row r="583" spans="1:8" x14ac:dyDescent="0.25">
      <c r="A583">
        <v>141257</v>
      </c>
      <c r="B583" t="s">
        <v>1078</v>
      </c>
      <c r="C583" t="s">
        <v>1079</v>
      </c>
      <c r="D583" t="s">
        <v>37</v>
      </c>
      <c r="E583" t="s">
        <v>38</v>
      </c>
      <c r="F583" t="s">
        <v>12</v>
      </c>
      <c r="G583" t="str">
        <f>HYPERLINK(_xlfn.CONCAT("https://tablet.otzar.org/",CHAR(35),"/exKotar/141257"),"הערות וביאורים - 4 כרכים")</f>
        <v>הערות וביאורים - 4 כרכים</v>
      </c>
      <c r="H583" t="str">
        <f>_xlfn.CONCAT("https://tablet.otzar.org/",CHAR(35),"/exKotar/141257")</f>
        <v>https://tablet.otzar.org/#/exKotar/141257</v>
      </c>
    </row>
    <row r="584" spans="1:8" x14ac:dyDescent="0.25">
      <c r="A584">
        <v>143896</v>
      </c>
      <c r="B584" t="s">
        <v>1080</v>
      </c>
      <c r="C584" t="s">
        <v>125</v>
      </c>
      <c r="D584" t="s">
        <v>10</v>
      </c>
      <c r="E584" t="s">
        <v>75</v>
      </c>
      <c r="F584" t="s">
        <v>251</v>
      </c>
      <c r="G584" t="str">
        <f>HYPERLINK(_xlfn.CONCAT("https://tablet.otzar.org/",CHAR(35),"/book/143896/p/-1/t/1/fs/0/start/0/end/0/c"),"הערות וביאורים בלקו""""ש בנגלה ובחסידות - קיץ תשמ""""ד")</f>
        <v>הערות וביאורים בלקו""ש בנגלה ובחסידות - קיץ תשמ""ד</v>
      </c>
      <c r="H584" t="str">
        <f>_xlfn.CONCAT("https://tablet.otzar.org/",CHAR(35),"/book/143896/p/-1/t/1/fs/0/start/0/end/0/c")</f>
        <v>https://tablet.otzar.org/#/book/143896/p/-1/t/1/fs/0/start/0/end/0/c</v>
      </c>
    </row>
    <row r="585" spans="1:8" x14ac:dyDescent="0.25">
      <c r="A585">
        <v>27590</v>
      </c>
      <c r="B585" t="s">
        <v>1081</v>
      </c>
      <c r="C585" t="s">
        <v>1082</v>
      </c>
      <c r="D585" t="s">
        <v>843</v>
      </c>
      <c r="E585" t="s">
        <v>145</v>
      </c>
      <c r="F585" t="s">
        <v>12</v>
      </c>
      <c r="G585" t="str">
        <f>HYPERLINK(_xlfn.CONCAT("https://tablet.otzar.org/",CHAR(35),"/book/27590/p/-1/t/1/fs/0/start/0/end/0/c"),"הערות וביאורים בקונטרס אחרון לשו""""ע רבינו הזקן")</f>
        <v>הערות וביאורים בקונטרס אחרון לשו""ע רבינו הזקן</v>
      </c>
      <c r="H585" t="str">
        <f>_xlfn.CONCAT("https://tablet.otzar.org/",CHAR(35),"/book/27590/p/-1/t/1/fs/0/start/0/end/0/c")</f>
        <v>https://tablet.otzar.org/#/book/27590/p/-1/t/1/fs/0/start/0/end/0/c</v>
      </c>
    </row>
    <row r="586" spans="1:8" x14ac:dyDescent="0.25">
      <c r="A586">
        <v>146046</v>
      </c>
      <c r="B586" t="s">
        <v>1083</v>
      </c>
      <c r="C586" t="s">
        <v>125</v>
      </c>
      <c r="D586" t="s">
        <v>1084</v>
      </c>
      <c r="E586" t="s">
        <v>129</v>
      </c>
      <c r="F586" t="s">
        <v>201</v>
      </c>
      <c r="G586" t="str">
        <f>HYPERLINK(_xlfn.CONCAT("https://tablet.otzar.org/",CHAR(35),"/book/146046/p/-1/t/1/fs/0/start/0/end/0/c"),"הערות וביאורים ברשימות - ג-ה")</f>
        <v>הערות וביאורים ברשימות - ג-ה</v>
      </c>
      <c r="H586" t="str">
        <f>_xlfn.CONCAT("https://tablet.otzar.org/",CHAR(35),"/book/146046/p/-1/t/1/fs/0/start/0/end/0/c")</f>
        <v>https://tablet.otzar.org/#/book/146046/p/-1/t/1/fs/0/start/0/end/0/c</v>
      </c>
    </row>
    <row r="587" spans="1:8" x14ac:dyDescent="0.25">
      <c r="A587">
        <v>144969</v>
      </c>
      <c r="B587" t="s">
        <v>1085</v>
      </c>
      <c r="C587" t="s">
        <v>1086</v>
      </c>
      <c r="D587" t="s">
        <v>37</v>
      </c>
      <c r="E587" t="s">
        <v>33</v>
      </c>
      <c r="F587" t="s">
        <v>319</v>
      </c>
      <c r="G587" t="str">
        <f>HYPERLINK(_xlfn.CONCAT("https://tablet.otzar.org/",CHAR(35),"/book/144969/p/-1/t/1/fs/0/start/0/end/0/c"),"הערות וביאורים בשו""""ע אדמו""""ר הזקן - הלכות הטמנה")</f>
        <v>הערות וביאורים בשו""ע אדמו""ר הזקן - הלכות הטמנה</v>
      </c>
      <c r="H587" t="str">
        <f>_xlfn.CONCAT("https://tablet.otzar.org/",CHAR(35),"/book/144969/p/-1/t/1/fs/0/start/0/end/0/c")</f>
        <v>https://tablet.otzar.org/#/book/144969/p/-1/t/1/fs/0/start/0/end/0/c</v>
      </c>
    </row>
    <row r="588" spans="1:8" x14ac:dyDescent="0.25">
      <c r="A588">
        <v>142738</v>
      </c>
      <c r="B588" t="s">
        <v>1087</v>
      </c>
      <c r="C588" t="s">
        <v>125</v>
      </c>
      <c r="D588" t="s">
        <v>1088</v>
      </c>
      <c r="E588" t="s">
        <v>33</v>
      </c>
      <c r="F588" t="s">
        <v>12</v>
      </c>
      <c r="G588" t="str">
        <f>HYPERLINK(_xlfn.CONCAT("https://tablet.otzar.org/",CHAR(35),"/book/142738/p/-1/t/1/fs/0/start/0/end/0/c"),"הערות וביאורים תמימים ואנ""""ש")</f>
        <v>הערות וביאורים תמימים ואנ""ש</v>
      </c>
      <c r="H588" t="str">
        <f>_xlfn.CONCAT("https://tablet.otzar.org/",CHAR(35),"/book/142738/p/-1/t/1/fs/0/start/0/end/0/c")</f>
        <v>https://tablet.otzar.org/#/book/142738/p/-1/t/1/fs/0/start/0/end/0/c</v>
      </c>
    </row>
    <row r="589" spans="1:8" x14ac:dyDescent="0.25">
      <c r="A589">
        <v>146560</v>
      </c>
      <c r="B589" t="s">
        <v>1089</v>
      </c>
      <c r="C589" t="s">
        <v>125</v>
      </c>
      <c r="D589" t="s">
        <v>10</v>
      </c>
      <c r="E589" t="s">
        <v>69</v>
      </c>
      <c r="F589" t="s">
        <v>12</v>
      </c>
      <c r="G589" t="str">
        <f>HYPERLINK(_xlfn.CONCAT("https://tablet.otzar.org/",CHAR(35),"/book/146560/p/-1/t/1/fs/0/start/0/end/0/c"),"הערות ועיונים")</f>
        <v>הערות ועיונים</v>
      </c>
      <c r="H589" t="str">
        <f>_xlfn.CONCAT("https://tablet.otzar.org/",CHAR(35),"/book/146560/p/-1/t/1/fs/0/start/0/end/0/c")</f>
        <v>https://tablet.otzar.org/#/book/146560/p/-1/t/1/fs/0/start/0/end/0/c</v>
      </c>
    </row>
    <row r="590" spans="1:8" x14ac:dyDescent="0.25">
      <c r="A590">
        <v>155473</v>
      </c>
      <c r="B590" t="s">
        <v>1090</v>
      </c>
      <c r="C590" t="s">
        <v>125</v>
      </c>
      <c r="D590" t="s">
        <v>197</v>
      </c>
      <c r="E590" t="s">
        <v>49</v>
      </c>
      <c r="F590" t="s">
        <v>12</v>
      </c>
      <c r="G590" t="str">
        <f>HYPERLINK(_xlfn.CONCAT("https://tablet.otzar.org/",CHAR(35),"/exKotar/155473"),"הערות ועיונים &lt;תות""""ל קרית גת&gt;  - 2 כרכים")</f>
        <v>הערות ועיונים &lt;תות""ל קרית גת&gt;  - 2 כרכים</v>
      </c>
      <c r="H590" t="str">
        <f>_xlfn.CONCAT("https://tablet.otzar.org/",CHAR(35),"/exKotar/155473")</f>
        <v>https://tablet.otzar.org/#/exKotar/155473</v>
      </c>
    </row>
    <row r="591" spans="1:8" x14ac:dyDescent="0.25">
      <c r="A591">
        <v>143274</v>
      </c>
      <c r="B591" t="s">
        <v>1091</v>
      </c>
      <c r="C591" t="s">
        <v>1092</v>
      </c>
      <c r="D591" t="s">
        <v>10</v>
      </c>
      <c r="E591" t="s">
        <v>142</v>
      </c>
      <c r="F591" t="s">
        <v>1093</v>
      </c>
      <c r="G591" t="str">
        <f>HYPERLINK(_xlfn.CONCAT("https://tablet.otzar.org/",CHAR(35),"/book/143274/p/-1/t/1/fs/0/start/0/end/0/c"),"הערות לשו""""ע אדמו""""ר הזקן הלכות פסח")</f>
        <v>הערות לשו""ע אדמו""ר הזקן הלכות פסח</v>
      </c>
      <c r="H591" t="str">
        <f>_xlfn.CONCAT("https://tablet.otzar.org/",CHAR(35),"/book/143274/p/-1/t/1/fs/0/start/0/end/0/c")</f>
        <v>https://tablet.otzar.org/#/book/143274/p/-1/t/1/fs/0/start/0/end/0/c</v>
      </c>
    </row>
    <row r="592" spans="1:8" x14ac:dyDescent="0.25">
      <c r="A592">
        <v>189075</v>
      </c>
      <c r="B592" t="s">
        <v>1094</v>
      </c>
      <c r="C592" t="s">
        <v>1095</v>
      </c>
      <c r="D592" t="s">
        <v>15</v>
      </c>
      <c r="E592" t="s">
        <v>19</v>
      </c>
      <c r="F592" t="s">
        <v>12</v>
      </c>
      <c r="G592" t="str">
        <f>HYPERLINK(_xlfn.CONCAT("https://tablet.otzar.org/",CHAR(35),"/book/189075/p/-1/t/1/fs/0/start/0/end/0/c"),"העתיד כאן")</f>
        <v>העתיד כאן</v>
      </c>
      <c r="H592" t="str">
        <f>_xlfn.CONCAT("https://tablet.otzar.org/",CHAR(35),"/book/189075/p/-1/t/1/fs/0/start/0/end/0/c")</f>
        <v>https://tablet.otzar.org/#/book/189075/p/-1/t/1/fs/0/start/0/end/0/c</v>
      </c>
    </row>
    <row r="593" spans="1:8" x14ac:dyDescent="0.25">
      <c r="A593">
        <v>146420</v>
      </c>
      <c r="B593" t="s">
        <v>1096</v>
      </c>
      <c r="C593" t="s">
        <v>1097</v>
      </c>
      <c r="D593" t="s">
        <v>15</v>
      </c>
      <c r="E593" t="s">
        <v>1098</v>
      </c>
      <c r="F593" t="s">
        <v>12</v>
      </c>
      <c r="G593" t="str">
        <f>HYPERLINK(_xlfn.CONCAT("https://tablet.otzar.org/",CHAR(35),"/book/146420/p/-1/t/1/fs/0/start/0/end/0/c"),"הפנסאי - א")</f>
        <v>הפנסאי - א</v>
      </c>
      <c r="H593" t="str">
        <f>_xlfn.CONCAT("https://tablet.otzar.org/",CHAR(35),"/book/146420/p/-1/t/1/fs/0/start/0/end/0/c")</f>
        <v>https://tablet.otzar.org/#/book/146420/p/-1/t/1/fs/0/start/0/end/0/c</v>
      </c>
    </row>
    <row r="594" spans="1:8" x14ac:dyDescent="0.25">
      <c r="A594">
        <v>142721</v>
      </c>
      <c r="B594" t="s">
        <v>1099</v>
      </c>
      <c r="C594" t="s">
        <v>45</v>
      </c>
      <c r="D594" t="s">
        <v>15</v>
      </c>
      <c r="E594" t="s">
        <v>33</v>
      </c>
      <c r="F594" t="s">
        <v>12</v>
      </c>
      <c r="G594" t="str">
        <f>HYPERLINK(_xlfn.CONCAT("https://tablet.otzar.org/",CHAR(35),"/book/142721/p/-1/t/1/fs/0/start/0/end/0/c"),"הפצת היהדות")</f>
        <v>הפצת היהדות</v>
      </c>
      <c r="H594" t="str">
        <f>_xlfn.CONCAT("https://tablet.otzar.org/",CHAR(35),"/book/142721/p/-1/t/1/fs/0/start/0/end/0/c")</f>
        <v>https://tablet.otzar.org/#/book/142721/p/-1/t/1/fs/0/start/0/end/0/c</v>
      </c>
    </row>
    <row r="595" spans="1:8" x14ac:dyDescent="0.25">
      <c r="A595">
        <v>27856</v>
      </c>
      <c r="B595" t="s">
        <v>1100</v>
      </c>
      <c r="C595" t="s">
        <v>402</v>
      </c>
      <c r="D595" t="s">
        <v>15</v>
      </c>
      <c r="E595" t="s">
        <v>192</v>
      </c>
      <c r="F595" t="s">
        <v>12</v>
      </c>
      <c r="G595" t="str">
        <f>HYPERLINK(_xlfn.CONCAT("https://tablet.otzar.org/",CHAR(35),"/book/27856/p/-1/t/1/fs/0/start/0/end/0/c"),"הפרטיזן")</f>
        <v>הפרטיזן</v>
      </c>
      <c r="H595" t="str">
        <f>_xlfn.CONCAT("https://tablet.otzar.org/",CHAR(35),"/book/27856/p/-1/t/1/fs/0/start/0/end/0/c")</f>
        <v>https://tablet.otzar.org/#/book/27856/p/-1/t/1/fs/0/start/0/end/0/c</v>
      </c>
    </row>
    <row r="596" spans="1:8" x14ac:dyDescent="0.25">
      <c r="A596">
        <v>29326</v>
      </c>
      <c r="B596" t="s">
        <v>1101</v>
      </c>
      <c r="C596" t="s">
        <v>1102</v>
      </c>
      <c r="D596" t="s">
        <v>28</v>
      </c>
      <c r="E596" t="s">
        <v>91</v>
      </c>
      <c r="F596" t="s">
        <v>12</v>
      </c>
      <c r="G596" t="str">
        <f>HYPERLINK(_xlfn.CONCAT("https://tablet.otzar.org/",CHAR(35),"/book/29326/p/-1/t/1/fs/0/start/0/end/0/c"),"הפרטיזן שחיכו לו חיים אחרים")</f>
        <v>הפרטיזן שחיכו לו חיים אחרים</v>
      </c>
      <c r="H596" t="str">
        <f>_xlfn.CONCAT("https://tablet.otzar.org/",CHAR(35),"/book/29326/p/-1/t/1/fs/0/start/0/end/0/c")</f>
        <v>https://tablet.otzar.org/#/book/29326/p/-1/t/1/fs/0/start/0/end/0/c</v>
      </c>
    </row>
    <row r="597" spans="1:8" x14ac:dyDescent="0.25">
      <c r="A597">
        <v>173498</v>
      </c>
      <c r="B597" t="s">
        <v>1103</v>
      </c>
      <c r="C597" t="s">
        <v>1104</v>
      </c>
      <c r="D597" t="s">
        <v>15</v>
      </c>
      <c r="E597" t="s">
        <v>62</v>
      </c>
      <c r="F597" t="s">
        <v>12</v>
      </c>
      <c r="G597" t="str">
        <f>HYPERLINK(_xlfn.CONCAT("https://tablet.otzar.org/",CHAR(35),"/book/173498/p/-1/t/1/fs/0/start/0/end/0/c"),"הפרשה בגובה העינים")</f>
        <v>הפרשה בגובה העינים</v>
      </c>
      <c r="H597" t="str">
        <f>_xlfn.CONCAT("https://tablet.otzar.org/",CHAR(35),"/book/173498/p/-1/t/1/fs/0/start/0/end/0/c")</f>
        <v>https://tablet.otzar.org/#/book/173498/p/-1/t/1/fs/0/start/0/end/0/c</v>
      </c>
    </row>
    <row r="598" spans="1:8" x14ac:dyDescent="0.25">
      <c r="A598">
        <v>164332</v>
      </c>
      <c r="B598" t="s">
        <v>1105</v>
      </c>
      <c r="C598" t="s">
        <v>1106</v>
      </c>
      <c r="D598" t="s">
        <v>15</v>
      </c>
      <c r="E598" t="s">
        <v>16</v>
      </c>
      <c r="F598" t="s">
        <v>12</v>
      </c>
      <c r="G598" t="str">
        <f>HYPERLINK(_xlfn.CONCAT("https://tablet.otzar.org/",CHAR(35),"/book/164332/p/-1/t/1/fs/0/start/0/end/0/c"),"הפרשה והחיים")</f>
        <v>הפרשה והחיים</v>
      </c>
      <c r="H598" t="str">
        <f>_xlfn.CONCAT("https://tablet.otzar.org/",CHAR(35),"/book/164332/p/-1/t/1/fs/0/start/0/end/0/c")</f>
        <v>https://tablet.otzar.org/#/book/164332/p/-1/t/1/fs/0/start/0/end/0/c</v>
      </c>
    </row>
    <row r="599" spans="1:8" x14ac:dyDescent="0.25">
      <c r="A599">
        <v>189091</v>
      </c>
      <c r="B599" t="s">
        <v>1107</v>
      </c>
      <c r="C599" t="s">
        <v>763</v>
      </c>
      <c r="D599" t="s">
        <v>15</v>
      </c>
      <c r="E599" t="s">
        <v>19</v>
      </c>
      <c r="F599" t="s">
        <v>12</v>
      </c>
      <c r="G599" t="str">
        <f>HYPERLINK(_xlfn.CONCAT("https://tablet.otzar.org/",CHAR(35),"/book/189091/p/-1/t/1/fs/0/start/0/end/0/c"),"הפרשה שלי - א")</f>
        <v>הפרשה שלי - א</v>
      </c>
      <c r="H599" t="str">
        <f>_xlfn.CONCAT("https://tablet.otzar.org/",CHAR(35),"/book/189091/p/-1/t/1/fs/0/start/0/end/0/c")</f>
        <v>https://tablet.otzar.org/#/book/189091/p/-1/t/1/fs/0/start/0/end/0/c</v>
      </c>
    </row>
    <row r="600" spans="1:8" x14ac:dyDescent="0.25">
      <c r="A600">
        <v>199159</v>
      </c>
      <c r="B600" t="s">
        <v>1108</v>
      </c>
      <c r="C600" t="s">
        <v>1109</v>
      </c>
      <c r="D600" t="s">
        <v>28</v>
      </c>
      <c r="E600" t="s">
        <v>91</v>
      </c>
      <c r="G600" t="str">
        <f>HYPERLINK(_xlfn.CONCAT("https://tablet.otzar.org/",CHAR(35),"/book/199159/p/-1/t/1/fs/0/start/0/end/0/c"),"הצדיקים וספר התניא")</f>
        <v>הצדיקים וספר התניא</v>
      </c>
      <c r="H600" t="str">
        <f>_xlfn.CONCAT("https://tablet.otzar.org/",CHAR(35),"/book/199159/p/-1/t/1/fs/0/start/0/end/0/c")</f>
        <v>https://tablet.otzar.org/#/book/199159/p/-1/t/1/fs/0/start/0/end/0/c</v>
      </c>
    </row>
    <row r="601" spans="1:8" x14ac:dyDescent="0.25">
      <c r="A601">
        <v>143268</v>
      </c>
      <c r="B601" t="s">
        <v>1110</v>
      </c>
      <c r="C601" t="s">
        <v>1111</v>
      </c>
      <c r="D601" t="s">
        <v>15</v>
      </c>
      <c r="E601" t="s">
        <v>91</v>
      </c>
      <c r="F601" t="s">
        <v>12</v>
      </c>
      <c r="G601" t="str">
        <f>HYPERLINK(_xlfn.CONCAT("https://tablet.otzar.org/",CHAR(35),"/book/143268/p/-1/t/1/fs/0/start/0/end/0/c"),"הצופן הסודי")</f>
        <v>הצופן הסודי</v>
      </c>
      <c r="H601" t="str">
        <f>_xlfn.CONCAT("https://tablet.otzar.org/",CHAR(35),"/book/143268/p/-1/t/1/fs/0/start/0/end/0/c")</f>
        <v>https://tablet.otzar.org/#/book/143268/p/-1/t/1/fs/0/start/0/end/0/c</v>
      </c>
    </row>
    <row r="602" spans="1:8" x14ac:dyDescent="0.25">
      <c r="A602">
        <v>658962</v>
      </c>
      <c r="B602" t="s">
        <v>1112</v>
      </c>
      <c r="C602" t="s">
        <v>1113</v>
      </c>
      <c r="D602" t="s">
        <v>37</v>
      </c>
      <c r="E602" t="s">
        <v>856</v>
      </c>
      <c r="F602" t="s">
        <v>229</v>
      </c>
      <c r="G602" t="str">
        <f>HYPERLINK(_xlfn.CONCAT("https://tablet.otzar.org/",CHAR(35),"/book/658962/p/-1/t/1/fs/0/start/0/end/0/c"),"הצנע לכת")</f>
        <v>הצנע לכת</v>
      </c>
      <c r="H602" t="str">
        <f>_xlfn.CONCAT("https://tablet.otzar.org/",CHAR(35),"/book/658962/p/-1/t/1/fs/0/start/0/end/0/c")</f>
        <v>https://tablet.otzar.org/#/book/658962/p/-1/t/1/fs/0/start/0/end/0/c</v>
      </c>
    </row>
    <row r="603" spans="1:8" x14ac:dyDescent="0.25">
      <c r="A603">
        <v>27611</v>
      </c>
      <c r="B603" t="s">
        <v>1114</v>
      </c>
      <c r="C603" t="s">
        <v>45</v>
      </c>
      <c r="D603" t="s">
        <v>37</v>
      </c>
      <c r="E603" t="s">
        <v>79</v>
      </c>
      <c r="F603" t="s">
        <v>12</v>
      </c>
      <c r="G603" t="str">
        <f>HYPERLINK(_xlfn.CONCAT("https://tablet.otzar.org/",CHAR(35),"/book/27611/p/-1/t/1/fs/0/start/0/end/0/c"),"הצפנת פענח במשנת הרבי")</f>
        <v>הצפנת פענח במשנת הרבי</v>
      </c>
      <c r="H603" t="str">
        <f>_xlfn.CONCAT("https://tablet.otzar.org/",CHAR(35),"/book/27611/p/-1/t/1/fs/0/start/0/end/0/c")</f>
        <v>https://tablet.otzar.org/#/book/27611/p/-1/t/1/fs/0/start/0/end/0/c</v>
      </c>
    </row>
    <row r="604" spans="1:8" x14ac:dyDescent="0.25">
      <c r="A604">
        <v>141456</v>
      </c>
      <c r="B604" t="s">
        <v>1115</v>
      </c>
      <c r="C604" t="s">
        <v>639</v>
      </c>
      <c r="D604" t="s">
        <v>37</v>
      </c>
      <c r="E604" t="s">
        <v>145</v>
      </c>
      <c r="F604" t="s">
        <v>12</v>
      </c>
      <c r="G604" t="str">
        <f>HYPERLINK(_xlfn.CONCAT("https://tablet.otzar.org/",CHAR(35),"/book/141456/p/-1/t/1/fs/0/start/0/end/0/c"),"הקדמת דרך חיים")</f>
        <v>הקדמת דרך חיים</v>
      </c>
      <c r="H604" t="str">
        <f>_xlfn.CONCAT("https://tablet.otzar.org/",CHAR(35),"/book/141456/p/-1/t/1/fs/0/start/0/end/0/c")</f>
        <v>https://tablet.otzar.org/#/book/141456/p/-1/t/1/fs/0/start/0/end/0/c</v>
      </c>
    </row>
    <row r="605" spans="1:8" x14ac:dyDescent="0.25">
      <c r="A605">
        <v>627068</v>
      </c>
      <c r="B605" t="s">
        <v>1116</v>
      </c>
      <c r="C605" t="s">
        <v>1117</v>
      </c>
      <c r="D605" t="s">
        <v>15</v>
      </c>
      <c r="E605" t="s">
        <v>57</v>
      </c>
      <c r="F605" t="s">
        <v>12</v>
      </c>
      <c r="G605" t="str">
        <f>HYPERLINK(_xlfn.CONCAT("https://tablet.otzar.org/",CHAR(35),"/book/627068/p/-1/t/1/fs/0/start/0/end/0/c"),"הקהל")</f>
        <v>הקהל</v>
      </c>
      <c r="H605" t="str">
        <f>_xlfn.CONCAT("https://tablet.otzar.org/",CHAR(35),"/book/627068/p/-1/t/1/fs/0/start/0/end/0/c")</f>
        <v>https://tablet.otzar.org/#/book/627068/p/-1/t/1/fs/0/start/0/end/0/c</v>
      </c>
    </row>
    <row r="606" spans="1:8" x14ac:dyDescent="0.25">
      <c r="A606">
        <v>160620</v>
      </c>
      <c r="B606" t="s">
        <v>1118</v>
      </c>
      <c r="C606" t="s">
        <v>1119</v>
      </c>
      <c r="D606" t="s">
        <v>15</v>
      </c>
      <c r="E606" t="s">
        <v>75</v>
      </c>
      <c r="F606" t="s">
        <v>12</v>
      </c>
      <c r="G606" t="str">
        <f>HYPERLINK(_xlfn.CONCAT("https://tablet.otzar.org/",CHAR(35),"/exKotar/160620"),"הקהל - 3 כרכים")</f>
        <v>הקהל - 3 כרכים</v>
      </c>
      <c r="H606" t="str">
        <f>_xlfn.CONCAT("https://tablet.otzar.org/",CHAR(35),"/exKotar/160620")</f>
        <v>https://tablet.otzar.org/#/exKotar/160620</v>
      </c>
    </row>
    <row r="607" spans="1:8" x14ac:dyDescent="0.25">
      <c r="A607">
        <v>27585</v>
      </c>
      <c r="B607" t="s">
        <v>1120</v>
      </c>
      <c r="C607" t="s">
        <v>1121</v>
      </c>
      <c r="D607" t="s">
        <v>10</v>
      </c>
      <c r="E607" t="s">
        <v>29</v>
      </c>
      <c r="F607" t="s">
        <v>12</v>
      </c>
      <c r="G607" t="str">
        <f>HYPERLINK(_xlfn.CONCAT("https://tablet.otzar.org/",CHAR(35),"/book/27585/p/-1/t/1/fs/0/start/0/end/0/c"),"הקץ")</f>
        <v>הקץ</v>
      </c>
      <c r="H607" t="str">
        <f>_xlfn.CONCAT("https://tablet.otzar.org/",CHAR(35),"/book/27585/p/-1/t/1/fs/0/start/0/end/0/c")</f>
        <v>https://tablet.otzar.org/#/book/27585/p/-1/t/1/fs/0/start/0/end/0/c</v>
      </c>
    </row>
    <row r="608" spans="1:8" x14ac:dyDescent="0.25">
      <c r="A608">
        <v>167721</v>
      </c>
      <c r="B608" t="s">
        <v>1122</v>
      </c>
      <c r="C608" t="s">
        <v>1123</v>
      </c>
      <c r="D608" t="s">
        <v>15</v>
      </c>
      <c r="E608" t="s">
        <v>82</v>
      </c>
      <c r="F608" t="s">
        <v>12</v>
      </c>
      <c r="G608" t="str">
        <f>HYPERLINK(_xlfn.CONCAT("https://tablet.otzar.org/",CHAR(35),"/exKotar/167721"),"הקצרים - 4 כרכים")</f>
        <v>הקצרים - 4 כרכים</v>
      </c>
      <c r="H608" t="str">
        <f>_xlfn.CONCAT("https://tablet.otzar.org/",CHAR(35),"/exKotar/167721")</f>
        <v>https://tablet.otzar.org/#/exKotar/167721</v>
      </c>
    </row>
    <row r="609" spans="1:8" x14ac:dyDescent="0.25">
      <c r="A609">
        <v>607710</v>
      </c>
      <c r="B609" t="s">
        <v>1124</v>
      </c>
      <c r="C609" t="s">
        <v>823</v>
      </c>
      <c r="E609" t="s">
        <v>404</v>
      </c>
      <c r="F609" t="s">
        <v>12</v>
      </c>
      <c r="G609" t="str">
        <f>HYPERLINK(_xlfn.CONCAT("https://tablet.otzar.org/",CHAR(35),"/exKotar/607710"),"הקצרים - 2 כרכים")</f>
        <v>הקצרים - 2 כרכים</v>
      </c>
      <c r="H609" t="str">
        <f>_xlfn.CONCAT("https://tablet.otzar.org/",CHAR(35),"/exKotar/607710")</f>
        <v>https://tablet.otzar.org/#/exKotar/607710</v>
      </c>
    </row>
    <row r="610" spans="1:8" x14ac:dyDescent="0.25">
      <c r="A610">
        <v>619483</v>
      </c>
      <c r="B610" t="s">
        <v>1125</v>
      </c>
      <c r="C610" t="s">
        <v>1126</v>
      </c>
      <c r="D610" t="s">
        <v>23</v>
      </c>
      <c r="E610" t="s">
        <v>152</v>
      </c>
      <c r="F610" t="s">
        <v>12</v>
      </c>
      <c r="G610" t="str">
        <f>HYPERLINK(_xlfn.CONCAT("https://tablet.otzar.org/",CHAR(35),"/exKotar/619483"),"הקריאה והקדושה - 5 כרכים")</f>
        <v>הקריאה והקדושה - 5 כרכים</v>
      </c>
      <c r="H610" t="str">
        <f>_xlfn.CONCAT("https://tablet.otzar.org/",CHAR(35),"/exKotar/619483")</f>
        <v>https://tablet.otzar.org/#/exKotar/619483</v>
      </c>
    </row>
    <row r="611" spans="1:8" x14ac:dyDescent="0.25">
      <c r="A611">
        <v>27259</v>
      </c>
      <c r="B611" t="s">
        <v>1127</v>
      </c>
      <c r="C611" t="s">
        <v>1128</v>
      </c>
      <c r="D611" t="s">
        <v>15</v>
      </c>
      <c r="E611" t="s">
        <v>69</v>
      </c>
      <c r="F611" t="s">
        <v>12</v>
      </c>
      <c r="G611" t="str">
        <f>HYPERLINK(_xlfn.CONCAT("https://tablet.otzar.org/",CHAR(35),"/exKotar/27259"),"הר המלך - 8 כרכים")</f>
        <v>הר המלך - 8 כרכים</v>
      </c>
      <c r="H611" t="str">
        <f>_xlfn.CONCAT("https://tablet.otzar.org/",CHAR(35),"/exKotar/27259")</f>
        <v>https://tablet.otzar.org/#/exKotar/27259</v>
      </c>
    </row>
    <row r="612" spans="1:8" x14ac:dyDescent="0.25">
      <c r="A612">
        <v>153352</v>
      </c>
      <c r="B612" t="s">
        <v>1129</v>
      </c>
      <c r="C612" t="s">
        <v>1130</v>
      </c>
      <c r="D612" t="s">
        <v>10</v>
      </c>
      <c r="E612" t="s">
        <v>49</v>
      </c>
      <c r="F612" t="s">
        <v>12</v>
      </c>
      <c r="G612" t="str">
        <f>HYPERLINK(_xlfn.CONCAT("https://tablet.otzar.org/",CHAR(35),"/book/153352/p/-1/t/1/fs/0/start/0/end/0/c"),"הראש")</f>
        <v>הראש</v>
      </c>
      <c r="H612" t="str">
        <f>_xlfn.CONCAT("https://tablet.otzar.org/",CHAR(35),"/book/153352/p/-1/t/1/fs/0/start/0/end/0/c")</f>
        <v>https://tablet.otzar.org/#/book/153352/p/-1/t/1/fs/0/start/0/end/0/c</v>
      </c>
    </row>
    <row r="613" spans="1:8" x14ac:dyDescent="0.25">
      <c r="A613">
        <v>173845</v>
      </c>
      <c r="B613" t="s">
        <v>1131</v>
      </c>
      <c r="C613" t="s">
        <v>48</v>
      </c>
      <c r="D613" t="s">
        <v>15</v>
      </c>
      <c r="E613" t="s">
        <v>62</v>
      </c>
      <c r="F613" t="s">
        <v>12</v>
      </c>
      <c r="G613" t="str">
        <f>HYPERLINK(_xlfn.CONCAT("https://tablet.otzar.org/",CHAR(35),"/book/173845/p/-1/t/1/fs/0/start/0/end/0/c"),"הראש והממשלה")</f>
        <v>הראש והממשלה</v>
      </c>
      <c r="H613" t="str">
        <f>_xlfn.CONCAT("https://tablet.otzar.org/",CHAR(35),"/book/173845/p/-1/t/1/fs/0/start/0/end/0/c")</f>
        <v>https://tablet.otzar.org/#/book/173845/p/-1/t/1/fs/0/start/0/end/0/c</v>
      </c>
    </row>
    <row r="614" spans="1:8" x14ac:dyDescent="0.25">
      <c r="A614">
        <v>181128</v>
      </c>
      <c r="B614" t="s">
        <v>1132</v>
      </c>
      <c r="C614" t="s">
        <v>1133</v>
      </c>
      <c r="D614" t="s">
        <v>37</v>
      </c>
      <c r="E614" t="s">
        <v>88</v>
      </c>
      <c r="F614" t="s">
        <v>12</v>
      </c>
      <c r="G614" t="str">
        <f>HYPERLINK(_xlfn.CONCAT("https://tablet.otzar.org/",CHAR(35),"/book/181128/p/-1/t/1/fs/0/start/0/end/0/c"),"הראשון - אדמו""""ר הזקן")</f>
        <v>הראשון - אדמו""ר הזקן</v>
      </c>
      <c r="H614" t="str">
        <f>_xlfn.CONCAT("https://tablet.otzar.org/",CHAR(35),"/book/181128/p/-1/t/1/fs/0/start/0/end/0/c")</f>
        <v>https://tablet.otzar.org/#/book/181128/p/-1/t/1/fs/0/start/0/end/0/c</v>
      </c>
    </row>
    <row r="615" spans="1:8" x14ac:dyDescent="0.25">
      <c r="A615">
        <v>646077</v>
      </c>
      <c r="B615" t="s">
        <v>1134</v>
      </c>
      <c r="C615" t="s">
        <v>402</v>
      </c>
      <c r="D615" t="s">
        <v>28</v>
      </c>
      <c r="E615" t="s">
        <v>24</v>
      </c>
      <c r="F615" t="s">
        <v>12</v>
      </c>
      <c r="G615" t="str">
        <f>HYPERLINK(_xlfn.CONCAT("https://tablet.otzar.org/",CHAR(35),"/book/646077/p/-1/t/1/fs/0/start/0/end/0/c"),"הרב יואל כהן - מסמכים")</f>
        <v>הרב יואל כהן - מסמכים</v>
      </c>
      <c r="H615" t="str">
        <f>_xlfn.CONCAT("https://tablet.otzar.org/",CHAR(35),"/book/646077/p/-1/t/1/fs/0/start/0/end/0/c")</f>
        <v>https://tablet.otzar.org/#/book/646077/p/-1/t/1/fs/0/start/0/end/0/c</v>
      </c>
    </row>
    <row r="616" spans="1:8" x14ac:dyDescent="0.25">
      <c r="A616">
        <v>17685</v>
      </c>
      <c r="B616" t="s">
        <v>1135</v>
      </c>
      <c r="C616" t="s">
        <v>1136</v>
      </c>
      <c r="D616" t="s">
        <v>1137</v>
      </c>
      <c r="E616" t="s">
        <v>1138</v>
      </c>
      <c r="G616" t="str">
        <f>HYPERLINK(_xlfn.CONCAT("https://tablet.otzar.org/",CHAR(35),"/exKotar/17685"),"הרב מלאדי ומפלגת חב""""ד - 2 כרכים")</f>
        <v>הרב מלאדי ומפלגת חב""ד - 2 כרכים</v>
      </c>
      <c r="H616" t="str">
        <f>_xlfn.CONCAT("https://tablet.otzar.org/",CHAR(35),"/exKotar/17685")</f>
        <v>https://tablet.otzar.org/#/exKotar/17685</v>
      </c>
    </row>
    <row r="617" spans="1:8" x14ac:dyDescent="0.25">
      <c r="A617">
        <v>145652</v>
      </c>
      <c r="B617" t="s">
        <v>1139</v>
      </c>
      <c r="C617" t="s">
        <v>639</v>
      </c>
      <c r="D617" t="s">
        <v>10</v>
      </c>
      <c r="E617" t="s">
        <v>1140</v>
      </c>
      <c r="F617" t="s">
        <v>1141</v>
      </c>
      <c r="G617" t="str">
        <f>HYPERLINK(_xlfn.CONCAT("https://tablet.otzar.org/",CHAR(35),"/book/145652/p/-1/t/1/fs/0/start/0/end/0/c"),"הרב רבי הילל מפאריטש")</f>
        <v>הרב רבי הילל מפאריטש</v>
      </c>
      <c r="H617" t="str">
        <f>_xlfn.CONCAT("https://tablet.otzar.org/",CHAR(35),"/book/145652/p/-1/t/1/fs/0/start/0/end/0/c")</f>
        <v>https://tablet.otzar.org/#/book/145652/p/-1/t/1/fs/0/start/0/end/0/c</v>
      </c>
    </row>
    <row r="618" spans="1:8" x14ac:dyDescent="0.25">
      <c r="A618">
        <v>141418</v>
      </c>
      <c r="B618" t="s">
        <v>1142</v>
      </c>
      <c r="C618" t="s">
        <v>1143</v>
      </c>
      <c r="D618" t="s">
        <v>15</v>
      </c>
      <c r="E618" t="s">
        <v>91</v>
      </c>
      <c r="F618" t="s">
        <v>12</v>
      </c>
      <c r="G618" t="str">
        <f>HYPERLINK(_xlfn.CONCAT("https://tablet.otzar.org/",CHAR(35),"/book/141418/p/-1/t/1/fs/0/start/0/end/0/c"),"הרבי")</f>
        <v>הרבי</v>
      </c>
      <c r="H618" t="str">
        <f>_xlfn.CONCAT("https://tablet.otzar.org/",CHAR(35),"/book/141418/p/-1/t/1/fs/0/start/0/end/0/c")</f>
        <v>https://tablet.otzar.org/#/book/141418/p/-1/t/1/fs/0/start/0/end/0/c</v>
      </c>
    </row>
    <row r="619" spans="1:8" x14ac:dyDescent="0.25">
      <c r="A619">
        <v>607663</v>
      </c>
      <c r="B619" t="s">
        <v>1144</v>
      </c>
      <c r="C619" t="s">
        <v>122</v>
      </c>
      <c r="D619" t="s">
        <v>28</v>
      </c>
      <c r="E619" t="s">
        <v>91</v>
      </c>
      <c r="F619" t="s">
        <v>12</v>
      </c>
      <c r="G619" t="str">
        <f>HYPERLINK(_xlfn.CONCAT("https://tablet.otzar.org/",CHAR(35),"/book/607663/p/-1/t/1/fs/0/start/0/end/0/c"),"הרבי - מבט אישי")</f>
        <v>הרבי - מבט אישי</v>
      </c>
      <c r="H619" t="str">
        <f>_xlfn.CONCAT("https://tablet.otzar.org/",CHAR(35),"/book/607663/p/-1/t/1/fs/0/start/0/end/0/c")</f>
        <v>https://tablet.otzar.org/#/book/607663/p/-1/t/1/fs/0/start/0/end/0/c</v>
      </c>
    </row>
    <row r="620" spans="1:8" x14ac:dyDescent="0.25">
      <c r="A620">
        <v>614940</v>
      </c>
      <c r="B620" t="s">
        <v>1142</v>
      </c>
      <c r="C620" t="s">
        <v>1145</v>
      </c>
      <c r="D620" t="s">
        <v>15</v>
      </c>
      <c r="E620" t="s">
        <v>91</v>
      </c>
      <c r="F620" t="s">
        <v>12</v>
      </c>
      <c r="G620" t="str">
        <f>HYPERLINK(_xlfn.CONCAT("https://tablet.otzar.org/",CHAR(35),"/book/614940/p/-1/t/1/fs/0/start/0/end/0/c"),"הרבי")</f>
        <v>הרבי</v>
      </c>
      <c r="H620" t="str">
        <f>_xlfn.CONCAT("https://tablet.otzar.org/",CHAR(35),"/book/614940/p/-1/t/1/fs/0/start/0/end/0/c")</f>
        <v>https://tablet.otzar.org/#/book/614940/p/-1/t/1/fs/0/start/0/end/0/c</v>
      </c>
    </row>
    <row r="621" spans="1:8" x14ac:dyDescent="0.25">
      <c r="A621">
        <v>189063</v>
      </c>
      <c r="B621" t="s">
        <v>1146</v>
      </c>
      <c r="C621" t="s">
        <v>1147</v>
      </c>
      <c r="D621" t="s">
        <v>15</v>
      </c>
      <c r="E621" t="s">
        <v>19</v>
      </c>
      <c r="F621" t="s">
        <v>12</v>
      </c>
      <c r="G621" t="str">
        <f>HYPERLINK(_xlfn.CONCAT("https://tablet.otzar.org/",CHAR(35),"/book/189063/p/-1/t/1/fs/0/start/0/end/0/c"),"הרבי בפאריז")</f>
        <v>הרבי בפאריז</v>
      </c>
      <c r="H621" t="str">
        <f>_xlfn.CONCAT("https://tablet.otzar.org/",CHAR(35),"/book/189063/p/-1/t/1/fs/0/start/0/end/0/c")</f>
        <v>https://tablet.otzar.org/#/book/189063/p/-1/t/1/fs/0/start/0/end/0/c</v>
      </c>
    </row>
    <row r="622" spans="1:8" x14ac:dyDescent="0.25">
      <c r="A622">
        <v>27199</v>
      </c>
      <c r="B622" t="s">
        <v>1148</v>
      </c>
      <c r="C622" t="s">
        <v>1148</v>
      </c>
      <c r="D622" t="s">
        <v>28</v>
      </c>
      <c r="E622" t="s">
        <v>174</v>
      </c>
      <c r="F622" t="s">
        <v>12</v>
      </c>
      <c r="G622" t="str">
        <f>HYPERLINK(_xlfn.CONCAT("https://tablet.otzar.org/",CHAR(35),"/book/27199/p/-1/t/1/fs/0/start/0/end/0/c"),"הרבי והמונקאטשער")</f>
        <v>הרבי והמונקאטשער</v>
      </c>
      <c r="H622" t="str">
        <f>_xlfn.CONCAT("https://tablet.otzar.org/",CHAR(35),"/book/27199/p/-1/t/1/fs/0/start/0/end/0/c")</f>
        <v>https://tablet.otzar.org/#/book/27199/p/-1/t/1/fs/0/start/0/end/0/c</v>
      </c>
    </row>
    <row r="623" spans="1:8" x14ac:dyDescent="0.25">
      <c r="A623">
        <v>142758</v>
      </c>
      <c r="B623" t="s">
        <v>1149</v>
      </c>
      <c r="C623" t="s">
        <v>1150</v>
      </c>
      <c r="D623" t="s">
        <v>412</v>
      </c>
      <c r="E623" t="s">
        <v>33</v>
      </c>
      <c r="F623" t="s">
        <v>76</v>
      </c>
      <c r="G623" t="str">
        <f>HYPERLINK(_xlfn.CONCAT("https://tablet.otzar.org/",CHAR(35),"/exKotar/142758"),"הרבי ויהדות ספרד - 2 כרכים")</f>
        <v>הרבי ויהדות ספרד - 2 כרכים</v>
      </c>
      <c r="H623" t="str">
        <f>_xlfn.CONCAT("https://tablet.otzar.org/",CHAR(35),"/exKotar/142758")</f>
        <v>https://tablet.otzar.org/#/exKotar/142758</v>
      </c>
    </row>
    <row r="624" spans="1:8" x14ac:dyDescent="0.25">
      <c r="A624">
        <v>141554</v>
      </c>
      <c r="B624" t="s">
        <v>1151</v>
      </c>
      <c r="C624" t="s">
        <v>1151</v>
      </c>
      <c r="D624" t="s">
        <v>15</v>
      </c>
      <c r="E624" t="s">
        <v>46</v>
      </c>
      <c r="F624" t="s">
        <v>12</v>
      </c>
      <c r="G624" t="str">
        <f>HYPERLINK(_xlfn.CONCAT("https://tablet.otzar.org/",CHAR(35),"/book/141554/p/-1/t/1/fs/0/start/0/end/0/c"),"הרבי ופעלו")</f>
        <v>הרבי ופעלו</v>
      </c>
      <c r="H624" t="str">
        <f>_xlfn.CONCAT("https://tablet.otzar.org/",CHAR(35),"/book/141554/p/-1/t/1/fs/0/start/0/end/0/c")</f>
        <v>https://tablet.otzar.org/#/book/141554/p/-1/t/1/fs/0/start/0/end/0/c</v>
      </c>
    </row>
    <row r="625" spans="1:8" x14ac:dyDescent="0.25">
      <c r="A625">
        <v>607664</v>
      </c>
      <c r="B625" t="s">
        <v>1152</v>
      </c>
      <c r="C625" t="s">
        <v>1153</v>
      </c>
      <c r="D625" t="s">
        <v>15</v>
      </c>
      <c r="E625" t="s">
        <v>19</v>
      </c>
      <c r="F625" t="s">
        <v>12</v>
      </c>
      <c r="G625" t="str">
        <f>HYPERLINK(_xlfn.CONCAT("https://tablet.otzar.org/",CHAR(35),"/book/607664/p/-1/t/1/fs/0/start/0/end/0/c"),"הרבי וראשי הממשלה")</f>
        <v>הרבי וראשי הממשלה</v>
      </c>
      <c r="H625" t="str">
        <f>_xlfn.CONCAT("https://tablet.otzar.org/",CHAR(35),"/book/607664/p/-1/t/1/fs/0/start/0/end/0/c")</f>
        <v>https://tablet.otzar.org/#/book/607664/p/-1/t/1/fs/0/start/0/end/0/c</v>
      </c>
    </row>
    <row r="626" spans="1:8" x14ac:dyDescent="0.25">
      <c r="A626">
        <v>140868</v>
      </c>
      <c r="B626" t="s">
        <v>1154</v>
      </c>
      <c r="C626" t="s">
        <v>1155</v>
      </c>
      <c r="D626" t="s">
        <v>15</v>
      </c>
      <c r="E626" t="s">
        <v>29</v>
      </c>
      <c r="F626" t="s">
        <v>12</v>
      </c>
      <c r="G626" t="str">
        <f>HYPERLINK(_xlfn.CONCAT("https://tablet.otzar.org/",CHAR(35),"/exKotar/140868"),"הרבי חמישים שנות נשיאות - 3 כרכים")</f>
        <v>הרבי חמישים שנות נשיאות - 3 כרכים</v>
      </c>
      <c r="H626" t="str">
        <f>_xlfn.CONCAT("https://tablet.otzar.org/",CHAR(35),"/exKotar/140868")</f>
        <v>https://tablet.otzar.org/#/exKotar/140868</v>
      </c>
    </row>
    <row r="627" spans="1:8" x14ac:dyDescent="0.25">
      <c r="A627">
        <v>141284</v>
      </c>
      <c r="B627" t="s">
        <v>1156</v>
      </c>
      <c r="C627" t="s">
        <v>45</v>
      </c>
      <c r="D627" t="s">
        <v>15</v>
      </c>
      <c r="E627" t="s">
        <v>148</v>
      </c>
      <c r="F627" t="s">
        <v>12</v>
      </c>
      <c r="G627" t="str">
        <f>HYPERLINK(_xlfn.CONCAT("https://tablet.otzar.org/",CHAR(35),"/book/141284/p/-1/t/1/fs/0/start/0/end/0/c"),"הרבי מדבר לילדי ישראל")</f>
        <v>הרבי מדבר לילדי ישראל</v>
      </c>
      <c r="H627" t="str">
        <f>_xlfn.CONCAT("https://tablet.otzar.org/",CHAR(35),"/book/141284/p/-1/t/1/fs/0/start/0/end/0/c")</f>
        <v>https://tablet.otzar.org/#/book/141284/p/-1/t/1/fs/0/start/0/end/0/c</v>
      </c>
    </row>
    <row r="628" spans="1:8" x14ac:dyDescent="0.25">
      <c r="A628">
        <v>28703</v>
      </c>
      <c r="B628" t="s">
        <v>1157</v>
      </c>
      <c r="C628" t="s">
        <v>190</v>
      </c>
      <c r="D628" t="s">
        <v>15</v>
      </c>
      <c r="E628" t="s">
        <v>91</v>
      </c>
      <c r="F628" t="s">
        <v>12</v>
      </c>
      <c r="G628" t="str">
        <f>HYPERLINK(_xlfn.CONCAT("https://tablet.otzar.org/",CHAR(35),"/book/28703/p/-1/t/1/fs/0/start/0/end/0/c"),"הרבי מליובאוויטש")</f>
        <v>הרבי מליובאוויטש</v>
      </c>
      <c r="H628" t="str">
        <f>_xlfn.CONCAT("https://tablet.otzar.org/",CHAR(35),"/book/28703/p/-1/t/1/fs/0/start/0/end/0/c")</f>
        <v>https://tablet.otzar.org/#/book/28703/p/-1/t/1/fs/0/start/0/end/0/c</v>
      </c>
    </row>
    <row r="629" spans="1:8" x14ac:dyDescent="0.25">
      <c r="A629">
        <v>607938</v>
      </c>
      <c r="B629" t="s">
        <v>1157</v>
      </c>
      <c r="C629" t="s">
        <v>595</v>
      </c>
      <c r="D629" t="s">
        <v>15</v>
      </c>
      <c r="E629" t="s">
        <v>99</v>
      </c>
      <c r="F629" t="s">
        <v>12</v>
      </c>
      <c r="G629" t="str">
        <f>HYPERLINK(_xlfn.CONCAT("https://tablet.otzar.org/",CHAR(35),"/book/607938/p/-1/t/1/fs/0/start/0/end/0/c"),"הרבי מליובאוויטש")</f>
        <v>הרבי מליובאוויטש</v>
      </c>
      <c r="H629" t="str">
        <f>_xlfn.CONCAT("https://tablet.otzar.org/",CHAR(35),"/book/607938/p/-1/t/1/fs/0/start/0/end/0/c")</f>
        <v>https://tablet.otzar.org/#/book/607938/p/-1/t/1/fs/0/start/0/end/0/c</v>
      </c>
    </row>
    <row r="630" spans="1:8" x14ac:dyDescent="0.25">
      <c r="A630">
        <v>627074</v>
      </c>
      <c r="B630" t="s">
        <v>1157</v>
      </c>
      <c r="C630" t="s">
        <v>1158</v>
      </c>
      <c r="D630" t="s">
        <v>15</v>
      </c>
      <c r="E630" t="s">
        <v>46</v>
      </c>
      <c r="F630" t="s">
        <v>12</v>
      </c>
      <c r="G630" t="str">
        <f>HYPERLINK(_xlfn.CONCAT("https://tablet.otzar.org/",CHAR(35),"/book/627074/p/-1/t/1/fs/0/start/0/end/0/c"),"הרבי מליובאוויטש")</f>
        <v>הרבי מליובאוויטש</v>
      </c>
      <c r="H630" t="str">
        <f>_xlfn.CONCAT("https://tablet.otzar.org/",CHAR(35),"/book/627074/p/-1/t/1/fs/0/start/0/end/0/c")</f>
        <v>https://tablet.otzar.org/#/book/627074/p/-1/t/1/fs/0/start/0/end/0/c</v>
      </c>
    </row>
    <row r="631" spans="1:8" x14ac:dyDescent="0.25">
      <c r="A631">
        <v>146372</v>
      </c>
      <c r="B631" t="s">
        <v>1159</v>
      </c>
      <c r="C631" t="s">
        <v>122</v>
      </c>
      <c r="D631" t="s">
        <v>28</v>
      </c>
      <c r="E631" t="s">
        <v>91</v>
      </c>
      <c r="F631" t="s">
        <v>12</v>
      </c>
      <c r="G631" t="str">
        <f>HYPERLINK(_xlfn.CONCAT("https://tablet.otzar.org/",CHAR(35),"/book/146372/p/-1/t/1/fs/0/start/0/end/0/c"),"הרבי מליובאוויטש נ""""ע")</f>
        <v>הרבי מליובאוויטש נ""ע</v>
      </c>
      <c r="H631" t="str">
        <f>_xlfn.CONCAT("https://tablet.otzar.org/",CHAR(35),"/book/146372/p/-1/t/1/fs/0/start/0/end/0/c")</f>
        <v>https://tablet.otzar.org/#/book/146372/p/-1/t/1/fs/0/start/0/end/0/c</v>
      </c>
    </row>
    <row r="632" spans="1:8" x14ac:dyDescent="0.25">
      <c r="A632">
        <v>196293</v>
      </c>
      <c r="B632" t="s">
        <v>1160</v>
      </c>
      <c r="C632" t="s">
        <v>1161</v>
      </c>
      <c r="D632" t="s">
        <v>37</v>
      </c>
      <c r="E632" t="s">
        <v>99</v>
      </c>
      <c r="F632" t="s">
        <v>12</v>
      </c>
      <c r="G632" t="str">
        <f>HYPERLINK(_xlfn.CONCAT("https://tablet.otzar.org/",CHAR(35),"/book/196293/p/-1/t/1/fs/0/start/0/end/0/c"),"הרבי שלי")</f>
        <v>הרבי שלי</v>
      </c>
      <c r="H632" t="str">
        <f>_xlfn.CONCAT("https://tablet.otzar.org/",CHAR(35),"/book/196293/p/-1/t/1/fs/0/start/0/end/0/c")</f>
        <v>https://tablet.otzar.org/#/book/196293/p/-1/t/1/fs/0/start/0/end/0/c</v>
      </c>
    </row>
    <row r="633" spans="1:8" x14ac:dyDescent="0.25">
      <c r="A633">
        <v>141658</v>
      </c>
      <c r="B633" t="s">
        <v>1162</v>
      </c>
      <c r="C633" t="s">
        <v>1163</v>
      </c>
      <c r="D633" t="s">
        <v>37</v>
      </c>
      <c r="E633" t="s">
        <v>145</v>
      </c>
      <c r="F633" t="s">
        <v>12</v>
      </c>
      <c r="G633" t="str">
        <f>HYPERLINK(_xlfn.CONCAT("https://tablet.otzar.org/",CHAR(35),"/exKotar/141658"),"הרבי שלשים שנות נשיאות - 2 כרכים")</f>
        <v>הרבי שלשים שנות נשיאות - 2 כרכים</v>
      </c>
      <c r="H633" t="str">
        <f>_xlfn.CONCAT("https://tablet.otzar.org/",CHAR(35),"/exKotar/141658")</f>
        <v>https://tablet.otzar.org/#/exKotar/141658</v>
      </c>
    </row>
    <row r="634" spans="1:8" x14ac:dyDescent="0.25">
      <c r="A634">
        <v>141467</v>
      </c>
      <c r="B634" t="s">
        <v>1164</v>
      </c>
      <c r="C634" t="s">
        <v>1165</v>
      </c>
      <c r="D634" t="s">
        <v>15</v>
      </c>
      <c r="E634" t="s">
        <v>91</v>
      </c>
      <c r="F634" t="s">
        <v>12</v>
      </c>
      <c r="G634" t="str">
        <f>HYPERLINK(_xlfn.CONCAT("https://tablet.otzar.org/",CHAR(35),"/book/141467/p/-1/t/1/fs/0/start/0/end/0/c"),"הרבי שנאשם בבגידה ומרידה במלכות")</f>
        <v>הרבי שנאשם בבגידה ומרידה במלכות</v>
      </c>
      <c r="H634" t="str">
        <f>_xlfn.CONCAT("https://tablet.otzar.org/",CHAR(35),"/book/141467/p/-1/t/1/fs/0/start/0/end/0/c")</f>
        <v>https://tablet.otzar.org/#/book/141467/p/-1/t/1/fs/0/start/0/end/0/c</v>
      </c>
    </row>
    <row r="635" spans="1:8" x14ac:dyDescent="0.25">
      <c r="A635">
        <v>189057</v>
      </c>
      <c r="B635" t="s">
        <v>1166</v>
      </c>
      <c r="C635" t="s">
        <v>1167</v>
      </c>
      <c r="D635" t="s">
        <v>15</v>
      </c>
      <c r="E635" t="s">
        <v>260</v>
      </c>
      <c r="F635" t="s">
        <v>12</v>
      </c>
      <c r="G635" t="str">
        <f>HYPERLINK(_xlfn.CONCAT("https://tablet.otzar.org/",CHAR(35),"/book/189057/p/-1/t/1/fs/0/start/0/end/0/c"),"הרבניות")</f>
        <v>הרבניות</v>
      </c>
      <c r="H635" t="str">
        <f>_xlfn.CONCAT("https://tablet.otzar.org/",CHAR(35),"/book/189057/p/-1/t/1/fs/0/start/0/end/0/c")</f>
        <v>https://tablet.otzar.org/#/book/189057/p/-1/t/1/fs/0/start/0/end/0/c</v>
      </c>
    </row>
    <row r="636" spans="1:8" x14ac:dyDescent="0.25">
      <c r="A636">
        <v>189094</v>
      </c>
      <c r="B636" t="s">
        <v>1168</v>
      </c>
      <c r="C636" t="s">
        <v>1067</v>
      </c>
      <c r="D636" t="s">
        <v>15</v>
      </c>
      <c r="E636" t="s">
        <v>88</v>
      </c>
      <c r="F636" t="s">
        <v>12</v>
      </c>
      <c r="G636" t="str">
        <f>HYPERLINK(_xlfn.CONCAT("https://tablet.otzar.org/",CHAR(35),"/exKotar/189094"),"הרבניות - 6 כרכים")</f>
        <v>הרבניות - 6 כרכים</v>
      </c>
      <c r="H636" t="str">
        <f>_xlfn.CONCAT("https://tablet.otzar.org/",CHAR(35),"/exKotar/189094")</f>
        <v>https://tablet.otzar.org/#/exKotar/189094</v>
      </c>
    </row>
    <row r="637" spans="1:8" x14ac:dyDescent="0.25">
      <c r="A637">
        <v>29309</v>
      </c>
      <c r="B637" t="s">
        <v>1169</v>
      </c>
      <c r="C637" t="s">
        <v>1170</v>
      </c>
      <c r="D637" t="s">
        <v>10</v>
      </c>
      <c r="E637" t="s">
        <v>79</v>
      </c>
      <c r="F637" t="s">
        <v>12</v>
      </c>
      <c r="G637" t="str">
        <f>HYPERLINK(_xlfn.CONCAT("https://tablet.otzar.org/",CHAR(35),"/exKotar/29309"),"הרבנית - 3 כרכים")</f>
        <v>הרבנית - 3 כרכים</v>
      </c>
      <c r="H637" t="str">
        <f>_xlfn.CONCAT("https://tablet.otzar.org/",CHAR(35),"/exKotar/29309")</f>
        <v>https://tablet.otzar.org/#/exKotar/29309</v>
      </c>
    </row>
    <row r="638" spans="1:8" x14ac:dyDescent="0.25">
      <c r="A638">
        <v>146296</v>
      </c>
      <c r="B638" t="s">
        <v>1171</v>
      </c>
      <c r="C638" t="s">
        <v>724</v>
      </c>
      <c r="D638" t="s">
        <v>10</v>
      </c>
      <c r="E638" t="s">
        <v>129</v>
      </c>
      <c r="F638" t="s">
        <v>12</v>
      </c>
      <c r="G638" t="str">
        <f>HYPERLINK(_xlfn.CONCAT("https://tablet.otzar.org/",CHAR(35),"/book/146296/p/-1/t/1/fs/0/start/0/end/0/c"),"הרבנית הצדקנית מנוחה רחל ע""""ה אם חב""""ד בחברון")</f>
        <v>הרבנית הצדקנית מנוחה רחל ע""ה אם חב""ד בחברון</v>
      </c>
      <c r="H638" t="str">
        <f>_xlfn.CONCAT("https://tablet.otzar.org/",CHAR(35),"/book/146296/p/-1/t/1/fs/0/start/0/end/0/c")</f>
        <v>https://tablet.otzar.org/#/book/146296/p/-1/t/1/fs/0/start/0/end/0/c</v>
      </c>
    </row>
    <row r="639" spans="1:8" x14ac:dyDescent="0.25">
      <c r="A639">
        <v>189105</v>
      </c>
      <c r="B639" t="s">
        <v>1172</v>
      </c>
      <c r="C639" t="s">
        <v>1167</v>
      </c>
      <c r="D639" t="s">
        <v>15</v>
      </c>
      <c r="E639" t="s">
        <v>16</v>
      </c>
      <c r="F639" t="s">
        <v>12</v>
      </c>
      <c r="G639" t="str">
        <f>HYPERLINK(_xlfn.CONCAT("https://tablet.otzar.org/",CHAR(35),"/book/189105/p/-1/t/1/fs/0/start/0/end/0/c"),"הרבנית חיה מושקא")</f>
        <v>הרבנית חיה מושקא</v>
      </c>
      <c r="H639" t="str">
        <f>_xlfn.CONCAT("https://tablet.otzar.org/",CHAR(35),"/book/189105/p/-1/t/1/fs/0/start/0/end/0/c")</f>
        <v>https://tablet.otzar.org/#/book/189105/p/-1/t/1/fs/0/start/0/end/0/c</v>
      </c>
    </row>
    <row r="640" spans="1:8" x14ac:dyDescent="0.25">
      <c r="A640">
        <v>189058</v>
      </c>
      <c r="B640" t="s">
        <v>1173</v>
      </c>
      <c r="C640" t="s">
        <v>1167</v>
      </c>
      <c r="D640" t="s">
        <v>15</v>
      </c>
      <c r="E640" t="s">
        <v>260</v>
      </c>
      <c r="F640" t="s">
        <v>12</v>
      </c>
      <c r="G640" t="str">
        <f>HYPERLINK(_xlfn.CONCAT("https://tablet.otzar.org/",CHAR(35),"/book/189058/p/-1/t/1/fs/0/start/0/end/0/c"),"הרבנית חנה")</f>
        <v>הרבנית חנה</v>
      </c>
      <c r="H640" t="str">
        <f>_xlfn.CONCAT("https://tablet.otzar.org/",CHAR(35),"/book/189058/p/-1/t/1/fs/0/start/0/end/0/c")</f>
        <v>https://tablet.otzar.org/#/book/189058/p/-1/t/1/fs/0/start/0/end/0/c</v>
      </c>
    </row>
    <row r="641" spans="1:8" x14ac:dyDescent="0.25">
      <c r="A641">
        <v>195656</v>
      </c>
      <c r="B641" t="s">
        <v>1173</v>
      </c>
      <c r="C641" t="s">
        <v>1123</v>
      </c>
      <c r="D641" t="s">
        <v>15</v>
      </c>
      <c r="E641" t="s">
        <v>19</v>
      </c>
      <c r="F641" t="s">
        <v>12</v>
      </c>
      <c r="G641" t="str">
        <f>HYPERLINK(_xlfn.CONCAT("https://tablet.otzar.org/",CHAR(35),"/book/195656/p/-1/t/1/fs/0/start/0/end/0/c"),"הרבנית חנה")</f>
        <v>הרבנית חנה</v>
      </c>
      <c r="H641" t="str">
        <f>_xlfn.CONCAT("https://tablet.otzar.org/",CHAR(35),"/book/195656/p/-1/t/1/fs/0/start/0/end/0/c")</f>
        <v>https://tablet.otzar.org/#/book/195656/p/-1/t/1/fs/0/start/0/end/0/c</v>
      </c>
    </row>
    <row r="642" spans="1:8" x14ac:dyDescent="0.25">
      <c r="A642">
        <v>639875</v>
      </c>
      <c r="B642" t="s">
        <v>1174</v>
      </c>
      <c r="C642" t="s">
        <v>1175</v>
      </c>
      <c r="E642" t="s">
        <v>24</v>
      </c>
      <c r="F642" t="s">
        <v>12</v>
      </c>
      <c r="G642" t="str">
        <f>HYPERLINK(_xlfn.CONCAT("https://tablet.otzar.org/",CHAR(35),"/book/639875/p/-1/t/1/fs/0/start/0/end/0/c"),"הרועה")</f>
        <v>הרועה</v>
      </c>
      <c r="H642" t="str">
        <f>_xlfn.CONCAT("https://tablet.otzar.org/",CHAR(35),"/book/639875/p/-1/t/1/fs/0/start/0/end/0/c")</f>
        <v>https://tablet.otzar.org/#/book/639875/p/-1/t/1/fs/0/start/0/end/0/c</v>
      </c>
    </row>
    <row r="643" spans="1:8" x14ac:dyDescent="0.25">
      <c r="A643">
        <v>617490</v>
      </c>
      <c r="B643" t="s">
        <v>1176</v>
      </c>
      <c r="C643" t="s">
        <v>1177</v>
      </c>
      <c r="D643" t="s">
        <v>23</v>
      </c>
      <c r="E643" t="s">
        <v>115</v>
      </c>
      <c r="F643" t="s">
        <v>12</v>
      </c>
      <c r="G643" t="str">
        <f>HYPERLINK(_xlfn.CONCAT("https://tablet.otzar.org/",CHAR(35),"/book/617490/p/-1/t/1/fs/0/start/0/end/0/c"),"הרי""""ף - מכתבים ותולדות חייו של ר' יחזקאל פייגין")</f>
        <v>הרי""ף - מכתבים ותולדות חייו של ר' יחזקאל פייגין</v>
      </c>
      <c r="H643" t="str">
        <f>_xlfn.CONCAT("https://tablet.otzar.org/",CHAR(35),"/book/617490/p/-1/t/1/fs/0/start/0/end/0/c")</f>
        <v>https://tablet.otzar.org/#/book/617490/p/-1/t/1/fs/0/start/0/end/0/c</v>
      </c>
    </row>
    <row r="644" spans="1:8" x14ac:dyDescent="0.25">
      <c r="A644">
        <v>27494</v>
      </c>
      <c r="B644" t="s">
        <v>1178</v>
      </c>
      <c r="C644" t="s">
        <v>125</v>
      </c>
      <c r="D644" t="s">
        <v>10</v>
      </c>
      <c r="E644" t="s">
        <v>103</v>
      </c>
      <c r="F644" t="s">
        <v>12</v>
      </c>
      <c r="G644" t="str">
        <f>HYPERLINK(_xlfn.CONCAT("https://tablet.otzar.org/",CHAR(35),"/book/27494/p/-1/t/1/fs/0/start/0/end/0/c"),"הריעו לפני המלך")</f>
        <v>הריעו לפני המלך</v>
      </c>
      <c r="H644" t="str">
        <f>_xlfn.CONCAT("https://tablet.otzar.org/",CHAR(35),"/book/27494/p/-1/t/1/fs/0/start/0/end/0/c")</f>
        <v>https://tablet.otzar.org/#/book/27494/p/-1/t/1/fs/0/start/0/end/0/c</v>
      </c>
    </row>
    <row r="645" spans="1:8" x14ac:dyDescent="0.25">
      <c r="A645">
        <v>26934</v>
      </c>
      <c r="B645" t="s">
        <v>1179</v>
      </c>
      <c r="C645" t="s">
        <v>1180</v>
      </c>
      <c r="D645" t="s">
        <v>10</v>
      </c>
      <c r="E645" t="s">
        <v>260</v>
      </c>
      <c r="F645" t="s">
        <v>12</v>
      </c>
      <c r="G645" t="str">
        <f>HYPERLINK(_xlfn.CONCAT("https://tablet.otzar.org/",CHAR(35),"/book/26934/p/-1/t/1/fs/0/start/0/end/0/c"),"הרמב""""ם ושלחן ערוך אדמו""""ר הזקן")</f>
        <v>הרמב""ם ושלחן ערוך אדמו""ר הזקן</v>
      </c>
      <c r="H645" t="str">
        <f>_xlfn.CONCAT("https://tablet.otzar.org/",CHAR(35),"/book/26934/p/-1/t/1/fs/0/start/0/end/0/c")</f>
        <v>https://tablet.otzar.org/#/book/26934/p/-1/t/1/fs/0/start/0/end/0/c</v>
      </c>
    </row>
    <row r="646" spans="1:8" x14ac:dyDescent="0.25">
      <c r="A646">
        <v>181126</v>
      </c>
      <c r="B646" t="s">
        <v>1181</v>
      </c>
      <c r="C646" t="s">
        <v>1182</v>
      </c>
      <c r="D646" t="s">
        <v>15</v>
      </c>
      <c r="E646" t="s">
        <v>88</v>
      </c>
      <c r="F646" t="s">
        <v>12</v>
      </c>
      <c r="G646" t="str">
        <f>HYPERLINK(_xlfn.CONCAT("https://tablet.otzar.org/",CHAR(35),"/book/181126/p/-1/t/1/fs/0/start/0/end/0/c"),"השביעי - הרבי מליובאוויטש")</f>
        <v>השביעי - הרבי מליובאוויטש</v>
      </c>
      <c r="H646" t="str">
        <f>_xlfn.CONCAT("https://tablet.otzar.org/",CHAR(35),"/book/181126/p/-1/t/1/fs/0/start/0/end/0/c")</f>
        <v>https://tablet.otzar.org/#/book/181126/p/-1/t/1/fs/0/start/0/end/0/c</v>
      </c>
    </row>
    <row r="647" spans="1:8" x14ac:dyDescent="0.25">
      <c r="A647">
        <v>27219</v>
      </c>
      <c r="B647" t="s">
        <v>1183</v>
      </c>
      <c r="C647" t="s">
        <v>600</v>
      </c>
      <c r="D647" t="s">
        <v>15</v>
      </c>
      <c r="E647" t="s">
        <v>192</v>
      </c>
      <c r="F647" t="s">
        <v>12</v>
      </c>
      <c r="G647" t="str">
        <f>HYPERLINK(_xlfn.CONCAT("https://tablet.otzar.org/",CHAR(35),"/exKotar/27219"),"השבת בקבלה ובחסידות - 2 כרכים")</f>
        <v>השבת בקבלה ובחסידות - 2 כרכים</v>
      </c>
      <c r="H647" t="str">
        <f>_xlfn.CONCAT("https://tablet.otzar.org/",CHAR(35),"/exKotar/27219")</f>
        <v>https://tablet.otzar.org/#/exKotar/27219</v>
      </c>
    </row>
    <row r="648" spans="1:8" x14ac:dyDescent="0.25">
      <c r="A648">
        <v>146245</v>
      </c>
      <c r="B648" t="s">
        <v>1184</v>
      </c>
      <c r="C648" t="s">
        <v>1185</v>
      </c>
      <c r="D648" t="s">
        <v>28</v>
      </c>
      <c r="E648" t="s">
        <v>38</v>
      </c>
      <c r="F648" t="s">
        <v>76</v>
      </c>
      <c r="G648" t="str">
        <f>HYPERLINK(_xlfn.CONCAT("https://tablet.otzar.org/",CHAR(35),"/book/146245/p/-1/t/1/fs/0/start/0/end/0/c"),"השיר הוא קולמוס הנפש")</f>
        <v>השיר הוא קולמוס הנפש</v>
      </c>
      <c r="H648" t="str">
        <f>_xlfn.CONCAT("https://tablet.otzar.org/",CHAR(35),"/book/146245/p/-1/t/1/fs/0/start/0/end/0/c")</f>
        <v>https://tablet.otzar.org/#/book/146245/p/-1/t/1/fs/0/start/0/end/0/c</v>
      </c>
    </row>
    <row r="649" spans="1:8" x14ac:dyDescent="0.25">
      <c r="A649">
        <v>28835</v>
      </c>
      <c r="B649" t="s">
        <v>1186</v>
      </c>
      <c r="C649" t="s">
        <v>45</v>
      </c>
      <c r="D649" t="s">
        <v>1187</v>
      </c>
      <c r="E649" t="s">
        <v>217</v>
      </c>
      <c r="F649" t="s">
        <v>12</v>
      </c>
      <c r="G649" t="str">
        <f>HYPERLINK(_xlfn.CONCAT("https://tablet.otzar.org/",CHAR(35),"/book/28835/p/-1/t/1/fs/0/start/0/end/0/c"),"השליחות החינוכית באגרות הרבי")</f>
        <v>השליחות החינוכית באגרות הרבי</v>
      </c>
      <c r="H649" t="str">
        <f>_xlfn.CONCAT("https://tablet.otzar.org/",CHAR(35),"/book/28835/p/-1/t/1/fs/0/start/0/end/0/c")</f>
        <v>https://tablet.otzar.org/#/book/28835/p/-1/t/1/fs/0/start/0/end/0/c</v>
      </c>
    </row>
    <row r="650" spans="1:8" x14ac:dyDescent="0.25">
      <c r="A650">
        <v>162755</v>
      </c>
      <c r="B650" t="s">
        <v>1188</v>
      </c>
      <c r="C650" t="s">
        <v>348</v>
      </c>
      <c r="D650" t="s">
        <v>15</v>
      </c>
      <c r="E650" t="s">
        <v>29</v>
      </c>
      <c r="F650" t="s">
        <v>12</v>
      </c>
      <c r="G650" t="str">
        <f>HYPERLINK(_xlfn.CONCAT("https://tablet.otzar.org/",CHAR(35),"/book/162755/p/-1/t/1/fs/0/start/0/end/0/c"),"השליחות לארץ הקודש &lt;הוצאה חדשה ומורחבת&gt;")</f>
        <v>השליחות לארץ הקודש &lt;הוצאה חדשה ומורחבת&gt;</v>
      </c>
      <c r="H650" t="str">
        <f>_xlfn.CONCAT("https://tablet.otzar.org/",CHAR(35),"/book/162755/p/-1/t/1/fs/0/start/0/end/0/c")</f>
        <v>https://tablet.otzar.org/#/book/162755/p/-1/t/1/fs/0/start/0/end/0/c</v>
      </c>
    </row>
    <row r="651" spans="1:8" x14ac:dyDescent="0.25">
      <c r="A651">
        <v>27616</v>
      </c>
      <c r="B651" t="s">
        <v>1189</v>
      </c>
      <c r="C651" t="s">
        <v>1113</v>
      </c>
      <c r="D651" t="s">
        <v>15</v>
      </c>
      <c r="E651" t="s">
        <v>192</v>
      </c>
      <c r="F651" t="s">
        <v>12</v>
      </c>
      <c r="G651" t="str">
        <f>HYPERLINK(_xlfn.CONCAT("https://tablet.otzar.org/",CHAR(35),"/exKotar/27616"),"השליחות לארץ הקודש - 10 כרכים")</f>
        <v>השליחות לארץ הקודש - 10 כרכים</v>
      </c>
      <c r="H651" t="str">
        <f>_xlfn.CONCAT("https://tablet.otzar.org/",CHAR(35),"/exKotar/27616")</f>
        <v>https://tablet.otzar.org/#/exKotar/27616</v>
      </c>
    </row>
    <row r="652" spans="1:8" x14ac:dyDescent="0.25">
      <c r="A652">
        <v>657649</v>
      </c>
      <c r="B652" t="s">
        <v>1190</v>
      </c>
      <c r="C652" t="s">
        <v>964</v>
      </c>
      <c r="D652" t="s">
        <v>15</v>
      </c>
      <c r="E652" t="s">
        <v>24</v>
      </c>
      <c r="G652" t="str">
        <f>HYPERLINK(_xlfn.CONCAT("https://tablet.otzar.org/",CHAR(35),"/book/657649/p/-1/t/1/fs/0/start/0/end/0/c"),"השמיטה")</f>
        <v>השמיטה</v>
      </c>
      <c r="H652" t="str">
        <f>_xlfn.CONCAT("https://tablet.otzar.org/",CHAR(35),"/book/657649/p/-1/t/1/fs/0/start/0/end/0/c")</f>
        <v>https://tablet.otzar.org/#/book/657649/p/-1/t/1/fs/0/start/0/end/0/c</v>
      </c>
    </row>
    <row r="653" spans="1:8" x14ac:dyDescent="0.25">
      <c r="A653">
        <v>160691</v>
      </c>
      <c r="B653" t="s">
        <v>1191</v>
      </c>
      <c r="C653" t="s">
        <v>1192</v>
      </c>
      <c r="D653" t="s">
        <v>10</v>
      </c>
      <c r="E653" t="s">
        <v>217</v>
      </c>
      <c r="F653" t="s">
        <v>12</v>
      </c>
      <c r="G653" t="str">
        <f>HYPERLINK(_xlfn.CONCAT("https://tablet.otzar.org/",CHAR(35),"/book/160691/p/-1/t/1/fs/0/start/0/end/0/c"),"התהלוכה (תשס""""א)")</f>
        <v>התהלוכה (תשס""א)</v>
      </c>
      <c r="H653" t="str">
        <f>_xlfn.CONCAT("https://tablet.otzar.org/",CHAR(35),"/book/160691/p/-1/t/1/fs/0/start/0/end/0/c")</f>
        <v>https://tablet.otzar.org/#/book/160691/p/-1/t/1/fs/0/start/0/end/0/c</v>
      </c>
    </row>
    <row r="654" spans="1:8" x14ac:dyDescent="0.25">
      <c r="A654">
        <v>614933</v>
      </c>
      <c r="B654" t="s">
        <v>1193</v>
      </c>
      <c r="C654" t="s">
        <v>1192</v>
      </c>
      <c r="D654" t="s">
        <v>10</v>
      </c>
      <c r="E654" t="s">
        <v>88</v>
      </c>
      <c r="F654" t="s">
        <v>12</v>
      </c>
      <c r="G654" t="str">
        <f>HYPERLINK(_xlfn.CONCAT("https://tablet.otzar.org/",CHAR(35),"/book/614933/p/-1/t/1/fs/0/start/0/end/0/c"),"התהלוכה (תשע""""ד)")</f>
        <v>התהלוכה (תשע""ד)</v>
      </c>
      <c r="H654" t="str">
        <f>_xlfn.CONCAT("https://tablet.otzar.org/",CHAR(35),"/book/614933/p/-1/t/1/fs/0/start/0/end/0/c")</f>
        <v>https://tablet.otzar.org/#/book/614933/p/-1/t/1/fs/0/start/0/end/0/c</v>
      </c>
    </row>
    <row r="655" spans="1:8" x14ac:dyDescent="0.25">
      <c r="A655">
        <v>611999</v>
      </c>
      <c r="B655" t="s">
        <v>1194</v>
      </c>
      <c r="C655" t="s">
        <v>1195</v>
      </c>
      <c r="D655" t="s">
        <v>37</v>
      </c>
      <c r="E655" t="s">
        <v>115</v>
      </c>
      <c r="F655" t="s">
        <v>12</v>
      </c>
      <c r="G655" t="str">
        <f>HYPERLINK(_xlfn.CONCAT("https://tablet.otzar.org/",CHAR(35),"/book/611999/p/-1/t/1/fs/0/start/0/end/0/c"),"התוועדות")</f>
        <v>התוועדות</v>
      </c>
      <c r="H655" t="str">
        <f>_xlfn.CONCAT("https://tablet.otzar.org/",CHAR(35),"/book/611999/p/-1/t/1/fs/0/start/0/end/0/c")</f>
        <v>https://tablet.otzar.org/#/book/611999/p/-1/t/1/fs/0/start/0/end/0/c</v>
      </c>
    </row>
    <row r="656" spans="1:8" x14ac:dyDescent="0.25">
      <c r="A656">
        <v>622504</v>
      </c>
      <c r="B656" t="s">
        <v>1194</v>
      </c>
      <c r="C656" t="s">
        <v>279</v>
      </c>
      <c r="D656" t="s">
        <v>37</v>
      </c>
      <c r="E656" t="s">
        <v>11</v>
      </c>
      <c r="F656" t="s">
        <v>12</v>
      </c>
      <c r="G656" t="str">
        <f>HYPERLINK(_xlfn.CONCAT("https://tablet.otzar.org/",CHAR(35),"/book/622504/p/-1/t/1/fs/0/start/0/end/0/c"),"התוועדות")</f>
        <v>התוועדות</v>
      </c>
      <c r="H656" t="str">
        <f>_xlfn.CONCAT("https://tablet.otzar.org/",CHAR(35),"/book/622504/p/-1/t/1/fs/0/start/0/end/0/c")</f>
        <v>https://tablet.otzar.org/#/book/622504/p/-1/t/1/fs/0/start/0/end/0/c</v>
      </c>
    </row>
    <row r="657" spans="1:8" x14ac:dyDescent="0.25">
      <c r="A657">
        <v>630322</v>
      </c>
      <c r="B657" t="s">
        <v>1196</v>
      </c>
      <c r="C657" t="s">
        <v>1197</v>
      </c>
      <c r="D657" t="s">
        <v>28</v>
      </c>
      <c r="E657" t="s">
        <v>11</v>
      </c>
      <c r="F657" t="s">
        <v>12</v>
      </c>
      <c r="G657" t="str">
        <f>HYPERLINK(_xlfn.CONCAT("https://tablet.otzar.org/",CHAR(35),"/book/630322/p/-1/t/1/fs/0/start/0/end/0/c"),"התוועדות יב - יג תמוז תשע""""ט")</f>
        <v>התוועדות יב - יג תמוז תשע""ט</v>
      </c>
      <c r="H657" t="str">
        <f>_xlfn.CONCAT("https://tablet.otzar.org/",CHAR(35),"/book/630322/p/-1/t/1/fs/0/start/0/end/0/c")</f>
        <v>https://tablet.otzar.org/#/book/630322/p/-1/t/1/fs/0/start/0/end/0/c</v>
      </c>
    </row>
    <row r="658" spans="1:8" x14ac:dyDescent="0.25">
      <c r="A658">
        <v>142179</v>
      </c>
      <c r="B658" t="s">
        <v>1198</v>
      </c>
      <c r="C658" t="s">
        <v>1199</v>
      </c>
      <c r="D658" t="s">
        <v>28</v>
      </c>
      <c r="E658" t="s">
        <v>60</v>
      </c>
      <c r="F658" t="s">
        <v>12</v>
      </c>
      <c r="G658" t="str">
        <f>HYPERLINK(_xlfn.CONCAT("https://tablet.otzar.org/",CHAR(35),"/book/142179/p/-1/t/1/fs/0/start/0/end/0/c"),"התוועדות מעולם אחר")</f>
        <v>התוועדות מעולם אחר</v>
      </c>
      <c r="H658" t="str">
        <f>_xlfn.CONCAT("https://tablet.otzar.org/",CHAR(35),"/book/142179/p/-1/t/1/fs/0/start/0/end/0/c")</f>
        <v>https://tablet.otzar.org/#/book/142179/p/-1/t/1/fs/0/start/0/end/0/c</v>
      </c>
    </row>
    <row r="659" spans="1:8" x14ac:dyDescent="0.25">
      <c r="A659">
        <v>146519</v>
      </c>
      <c r="B659" t="s">
        <v>1200</v>
      </c>
      <c r="C659" t="s">
        <v>595</v>
      </c>
      <c r="E659" t="s">
        <v>206</v>
      </c>
      <c r="F659" t="s">
        <v>12</v>
      </c>
      <c r="G659" t="str">
        <f>HYPERLINK(_xlfn.CONCAT("https://tablet.otzar.org/",CHAR(35),"/book/146519/p/-1/t/1/fs/0/start/0/end/0/c"),"התועדות ארצית")</f>
        <v>התועדות ארצית</v>
      </c>
      <c r="H659" t="str">
        <f>_xlfn.CONCAT("https://tablet.otzar.org/",CHAR(35),"/book/146519/p/-1/t/1/fs/0/start/0/end/0/c")</f>
        <v>https://tablet.otzar.org/#/book/146519/p/-1/t/1/fs/0/start/0/end/0/c</v>
      </c>
    </row>
    <row r="660" spans="1:8" x14ac:dyDescent="0.25">
      <c r="A660">
        <v>146332</v>
      </c>
      <c r="B660" t="s">
        <v>1201</v>
      </c>
      <c r="C660" t="s">
        <v>59</v>
      </c>
      <c r="D660" t="s">
        <v>28</v>
      </c>
      <c r="E660" t="s">
        <v>91</v>
      </c>
      <c r="G660" t="str">
        <f>HYPERLINK(_xlfn.CONCAT("https://tablet.otzar.org/",CHAR(35),"/book/146332/p/-1/t/1/fs/0/start/0/end/0/c"),"התועדות מהי")</f>
        <v>התועדות מהי</v>
      </c>
      <c r="H660" t="str">
        <f>_xlfn.CONCAT("https://tablet.otzar.org/",CHAR(35),"/book/146332/p/-1/t/1/fs/0/start/0/end/0/c")</f>
        <v>https://tablet.otzar.org/#/book/146332/p/-1/t/1/fs/0/start/0/end/0/c</v>
      </c>
    </row>
    <row r="661" spans="1:8" x14ac:dyDescent="0.25">
      <c r="A661">
        <v>146005</v>
      </c>
      <c r="B661" t="s">
        <v>1202</v>
      </c>
      <c r="C661" t="s">
        <v>1203</v>
      </c>
      <c r="D661" t="s">
        <v>15</v>
      </c>
      <c r="E661" t="s">
        <v>236</v>
      </c>
      <c r="F661" t="s">
        <v>76</v>
      </c>
      <c r="G661" t="str">
        <f>HYPERLINK(_xlfn.CONCAT("https://tablet.otzar.org/",CHAR(35),"/book/146005/p/-1/t/1/fs/0/start/0/end/0/c"),"התורה בהישג יד")</f>
        <v>התורה בהישג יד</v>
      </c>
      <c r="H661" t="str">
        <f>_xlfn.CONCAT("https://tablet.otzar.org/",CHAR(35),"/book/146005/p/-1/t/1/fs/0/start/0/end/0/c")</f>
        <v>https://tablet.otzar.org/#/book/146005/p/-1/t/1/fs/0/start/0/end/0/c</v>
      </c>
    </row>
    <row r="662" spans="1:8" x14ac:dyDescent="0.25">
      <c r="A662">
        <v>607758</v>
      </c>
      <c r="B662" t="s">
        <v>1204</v>
      </c>
      <c r="C662" t="s">
        <v>1205</v>
      </c>
      <c r="D662" t="s">
        <v>15</v>
      </c>
      <c r="E662" t="s">
        <v>404</v>
      </c>
      <c r="F662" t="s">
        <v>12</v>
      </c>
      <c r="G662" t="str">
        <f>HYPERLINK(_xlfn.CONCAT("https://tablet.otzar.org/",CHAR(35),"/book/607758/p/-1/t/1/fs/0/start/0/end/0/c"),"התורה שלי - ב (שמות)")</f>
        <v>התורה שלי - ב (שמות)</v>
      </c>
      <c r="H662" t="str">
        <f>_xlfn.CONCAT("https://tablet.otzar.org/",CHAR(35),"/book/607758/p/-1/t/1/fs/0/start/0/end/0/c")</f>
        <v>https://tablet.otzar.org/#/book/607758/p/-1/t/1/fs/0/start/0/end/0/c</v>
      </c>
    </row>
    <row r="663" spans="1:8" x14ac:dyDescent="0.25">
      <c r="A663">
        <v>146268</v>
      </c>
      <c r="B663" t="s">
        <v>1206</v>
      </c>
      <c r="C663" t="s">
        <v>45</v>
      </c>
      <c r="D663" t="s">
        <v>10</v>
      </c>
      <c r="E663" t="s">
        <v>174</v>
      </c>
      <c r="F663" t="s">
        <v>94</v>
      </c>
      <c r="G663" t="str">
        <f>HYPERLINK(_xlfn.CONCAT("https://tablet.otzar.org/",CHAR(35),"/book/146268/p/-1/t/1/fs/0/start/0/end/0/c"),"התחלת פרק מ""""א בתניא")</f>
        <v>התחלת פרק מ""א בתניא</v>
      </c>
      <c r="H663" t="str">
        <f>_xlfn.CONCAT("https://tablet.otzar.org/",CHAR(35),"/book/146268/p/-1/t/1/fs/0/start/0/end/0/c")</f>
        <v>https://tablet.otzar.org/#/book/146268/p/-1/t/1/fs/0/start/0/end/0/c</v>
      </c>
    </row>
    <row r="664" spans="1:8" x14ac:dyDescent="0.25">
      <c r="A664">
        <v>140870</v>
      </c>
      <c r="B664" t="s">
        <v>1207</v>
      </c>
      <c r="C664" t="s">
        <v>1207</v>
      </c>
      <c r="D664" t="s">
        <v>10</v>
      </c>
      <c r="E664" t="s">
        <v>382</v>
      </c>
      <c r="F664" t="s">
        <v>12</v>
      </c>
      <c r="G664" t="str">
        <f>HYPERLINK(_xlfn.CONCAT("https://tablet.otzar.org/",CHAR(35),"/book/140870/p/-1/t/1/fs/0/start/0/end/0/c"),"התלמידים השלוחים")</f>
        <v>התלמידים השלוחים</v>
      </c>
      <c r="H664" t="str">
        <f>_xlfn.CONCAT("https://tablet.otzar.org/",CHAR(35),"/book/140870/p/-1/t/1/fs/0/start/0/end/0/c")</f>
        <v>https://tablet.otzar.org/#/book/140870/p/-1/t/1/fs/0/start/0/end/0/c</v>
      </c>
    </row>
    <row r="665" spans="1:8" x14ac:dyDescent="0.25">
      <c r="A665">
        <v>611272</v>
      </c>
      <c r="B665" t="s">
        <v>1208</v>
      </c>
      <c r="C665" t="s">
        <v>1209</v>
      </c>
      <c r="D665" t="s">
        <v>15</v>
      </c>
      <c r="E665" t="s">
        <v>217</v>
      </c>
      <c r="F665" t="s">
        <v>12</v>
      </c>
      <c r="G665" t="str">
        <f>HYPERLINK(_xlfn.CONCAT("https://tablet.otzar.org/",CHAR(35),"/exKotar/611272"),"התמים מוסף בית משיח - 47 כרכים")</f>
        <v>התמים מוסף בית משיח - 47 כרכים</v>
      </c>
      <c r="H665" t="str">
        <f>_xlfn.CONCAT("https://tablet.otzar.org/",CHAR(35),"/exKotar/611272")</f>
        <v>https://tablet.otzar.org/#/exKotar/611272</v>
      </c>
    </row>
    <row r="666" spans="1:8" x14ac:dyDescent="0.25">
      <c r="A666">
        <v>162896</v>
      </c>
      <c r="B666" t="s">
        <v>1210</v>
      </c>
      <c r="C666" t="s">
        <v>348</v>
      </c>
      <c r="D666" t="s">
        <v>15</v>
      </c>
      <c r="E666" t="s">
        <v>33</v>
      </c>
      <c r="F666" t="s">
        <v>12</v>
      </c>
      <c r="G666" t="str">
        <f>HYPERLINK(_xlfn.CONCAT("https://tablet.otzar.org/",CHAR(35),"/book/162896/p/-1/t/1/fs/0/start/0/end/0/c"),"התניא נחלת העם")</f>
        <v>התניא נחלת העם</v>
      </c>
      <c r="H666" t="str">
        <f>_xlfn.CONCAT("https://tablet.otzar.org/",CHAR(35),"/book/162896/p/-1/t/1/fs/0/start/0/end/0/c")</f>
        <v>https://tablet.otzar.org/#/book/162896/p/-1/t/1/fs/0/start/0/end/0/c</v>
      </c>
    </row>
    <row r="667" spans="1:8" x14ac:dyDescent="0.25">
      <c r="A667">
        <v>168952</v>
      </c>
      <c r="B667" t="s">
        <v>1211</v>
      </c>
      <c r="C667" t="s">
        <v>348</v>
      </c>
      <c r="D667" t="s">
        <v>15</v>
      </c>
      <c r="E667" t="s">
        <v>16</v>
      </c>
      <c r="F667" t="s">
        <v>12</v>
      </c>
      <c r="G667" t="str">
        <f>HYPERLINK(_xlfn.CONCAT("https://tablet.otzar.org/",CHAR(35),"/book/168952/p/-1/t/1/fs/0/start/0/end/0/c"),"התניא נחלת העם (הוצאה שניה מורחבת)")</f>
        <v>התניא נחלת העם (הוצאה שניה מורחבת)</v>
      </c>
      <c r="H667" t="str">
        <f>_xlfn.CONCAT("https://tablet.otzar.org/",CHAR(35),"/book/168952/p/-1/t/1/fs/0/start/0/end/0/c")</f>
        <v>https://tablet.otzar.org/#/book/168952/p/-1/t/1/fs/0/start/0/end/0/c</v>
      </c>
    </row>
    <row r="668" spans="1:8" x14ac:dyDescent="0.25">
      <c r="A668">
        <v>167733</v>
      </c>
      <c r="B668" t="s">
        <v>1212</v>
      </c>
      <c r="C668" t="s">
        <v>1213</v>
      </c>
      <c r="D668" t="s">
        <v>191</v>
      </c>
      <c r="E668" t="s">
        <v>382</v>
      </c>
      <c r="F668" t="s">
        <v>12</v>
      </c>
      <c r="G668" t="str">
        <f>HYPERLINK(_xlfn.CONCAT("https://tablet.otzar.org/",CHAR(35),"/book/167733/p/-1/t/1/fs/0/start/0/end/0/c"),"התניא קדישא וכחו האלקי")</f>
        <v>התניא קדישא וכחו האלקי</v>
      </c>
      <c r="H668" t="str">
        <f>_xlfn.CONCAT("https://tablet.otzar.org/",CHAR(35),"/book/167733/p/-1/t/1/fs/0/start/0/end/0/c")</f>
        <v>https://tablet.otzar.org/#/book/167733/p/-1/t/1/fs/0/start/0/end/0/c</v>
      </c>
    </row>
    <row r="669" spans="1:8" x14ac:dyDescent="0.25">
      <c r="A669">
        <v>141470</v>
      </c>
      <c r="B669" t="s">
        <v>1214</v>
      </c>
      <c r="C669" t="s">
        <v>1215</v>
      </c>
      <c r="D669" t="s">
        <v>28</v>
      </c>
      <c r="E669" t="s">
        <v>91</v>
      </c>
      <c r="F669" t="s">
        <v>12</v>
      </c>
      <c r="G669" t="str">
        <f>HYPERLINK(_xlfn.CONCAT("https://tablet.otzar.org/",CHAR(35),"/book/141470/p/-1/t/1/fs/0/start/0/end/0/c"),"התפילה")</f>
        <v>התפילה</v>
      </c>
      <c r="H669" t="str">
        <f>_xlfn.CONCAT("https://tablet.otzar.org/",CHAR(35),"/book/141470/p/-1/t/1/fs/0/start/0/end/0/c")</f>
        <v>https://tablet.otzar.org/#/book/141470/p/-1/t/1/fs/0/start/0/end/0/c</v>
      </c>
    </row>
    <row r="670" spans="1:8" x14ac:dyDescent="0.25">
      <c r="A670">
        <v>28782</v>
      </c>
      <c r="B670" t="s">
        <v>1216</v>
      </c>
      <c r="C670" t="s">
        <v>1217</v>
      </c>
      <c r="D670" t="s">
        <v>10</v>
      </c>
      <c r="E670" t="s">
        <v>103</v>
      </c>
      <c r="F670" t="s">
        <v>12</v>
      </c>
      <c r="G670" t="str">
        <f>HYPERLINK(_xlfn.CONCAT("https://tablet.otzar.org/",CHAR(35),"/book/28782/p/-1/t/1/fs/0/start/0/end/0/c"),"התקופה והגאולה")</f>
        <v>התקופה והגאולה</v>
      </c>
      <c r="H670" t="str">
        <f>_xlfn.CONCAT("https://tablet.otzar.org/",CHAR(35),"/book/28782/p/-1/t/1/fs/0/start/0/end/0/c")</f>
        <v>https://tablet.otzar.org/#/book/28782/p/-1/t/1/fs/0/start/0/end/0/c</v>
      </c>
    </row>
    <row r="671" spans="1:8" x14ac:dyDescent="0.25">
      <c r="A671">
        <v>618914</v>
      </c>
      <c r="B671" t="s">
        <v>1218</v>
      </c>
      <c r="C671" t="s">
        <v>1219</v>
      </c>
      <c r="D671" t="s">
        <v>15</v>
      </c>
      <c r="E671" t="s">
        <v>1220</v>
      </c>
      <c r="F671" t="s">
        <v>12</v>
      </c>
      <c r="G671" t="str">
        <f>HYPERLINK(_xlfn.CONCAT("https://tablet.otzar.org/",CHAR(35),"/exKotar/618914"),"התקשרות - 57 כרכים")</f>
        <v>התקשרות - 57 כרכים</v>
      </c>
      <c r="H671" t="str">
        <f>_xlfn.CONCAT("https://tablet.otzar.org/",CHAR(35),"/exKotar/618914")</f>
        <v>https://tablet.otzar.org/#/exKotar/618914</v>
      </c>
    </row>
    <row r="672" spans="1:8" x14ac:dyDescent="0.25">
      <c r="A672">
        <v>141489</v>
      </c>
      <c r="B672" t="s">
        <v>1221</v>
      </c>
      <c r="C672" t="s">
        <v>190</v>
      </c>
      <c r="D672" t="s">
        <v>15</v>
      </c>
      <c r="E672" t="s">
        <v>91</v>
      </c>
      <c r="F672" t="s">
        <v>12</v>
      </c>
      <c r="G672" t="str">
        <f>HYPERLINK(_xlfn.CONCAT("https://tablet.otzar.org/",CHAR(35),"/book/141489/p/-1/t/1/fs/0/start/0/end/0/c"),"ואהבת לרעך כמוך")</f>
        <v>ואהבת לרעך כמוך</v>
      </c>
      <c r="H672" t="str">
        <f>_xlfn.CONCAT("https://tablet.otzar.org/",CHAR(35),"/book/141489/p/-1/t/1/fs/0/start/0/end/0/c")</f>
        <v>https://tablet.otzar.org/#/book/141489/p/-1/t/1/fs/0/start/0/end/0/c</v>
      </c>
    </row>
    <row r="673" spans="1:8" x14ac:dyDescent="0.25">
      <c r="A673">
        <v>146241</v>
      </c>
      <c r="B673" t="s">
        <v>1222</v>
      </c>
      <c r="C673" t="s">
        <v>1223</v>
      </c>
      <c r="E673" t="s">
        <v>91</v>
      </c>
      <c r="F673" t="s">
        <v>12</v>
      </c>
      <c r="G673" t="str">
        <f>HYPERLINK(_xlfn.CONCAT("https://tablet.otzar.org/",CHAR(35),"/book/146241/p/-1/t/1/fs/0/start/0/end/0/c"),"ואני תפילתי")</f>
        <v>ואני תפילתי</v>
      </c>
      <c r="H673" t="str">
        <f>_xlfn.CONCAT("https://tablet.otzar.org/",CHAR(35),"/book/146241/p/-1/t/1/fs/0/start/0/end/0/c")</f>
        <v>https://tablet.otzar.org/#/book/146241/p/-1/t/1/fs/0/start/0/end/0/c</v>
      </c>
    </row>
    <row r="674" spans="1:8" x14ac:dyDescent="0.25">
      <c r="A674">
        <v>635548</v>
      </c>
      <c r="B674" t="s">
        <v>1222</v>
      </c>
      <c r="C674" t="s">
        <v>778</v>
      </c>
      <c r="D674" t="s">
        <v>10</v>
      </c>
      <c r="E674" t="s">
        <v>236</v>
      </c>
      <c r="F674" t="s">
        <v>12</v>
      </c>
      <c r="G674" t="str">
        <f>HYPERLINK(_xlfn.CONCAT("https://tablet.otzar.org/",CHAR(35),"/book/635548/p/-1/t/1/fs/0/start/0/end/0/c"),"ואני תפילתי")</f>
        <v>ואני תפילתי</v>
      </c>
      <c r="H674" t="str">
        <f>_xlfn.CONCAT("https://tablet.otzar.org/",CHAR(35),"/book/635548/p/-1/t/1/fs/0/start/0/end/0/c")</f>
        <v>https://tablet.otzar.org/#/book/635548/p/-1/t/1/fs/0/start/0/end/0/c</v>
      </c>
    </row>
    <row r="675" spans="1:8" x14ac:dyDescent="0.25">
      <c r="A675">
        <v>27100</v>
      </c>
      <c r="B675" t="s">
        <v>1224</v>
      </c>
      <c r="C675" t="s">
        <v>778</v>
      </c>
      <c r="D675" t="s">
        <v>15</v>
      </c>
      <c r="E675" t="s">
        <v>236</v>
      </c>
      <c r="F675" t="s">
        <v>12</v>
      </c>
      <c r="G675" t="str">
        <f>HYPERLINK(_xlfn.CONCAT("https://tablet.otzar.org/",CHAR(35),"/exKotar/27100"),"ואני תפלתי - 2 כרכים")</f>
        <v>ואני תפלתי - 2 כרכים</v>
      </c>
      <c r="H675" t="str">
        <f>_xlfn.CONCAT("https://tablet.otzar.org/",CHAR(35),"/exKotar/27100")</f>
        <v>https://tablet.otzar.org/#/exKotar/27100</v>
      </c>
    </row>
    <row r="676" spans="1:8" x14ac:dyDescent="0.25">
      <c r="A676">
        <v>141541</v>
      </c>
      <c r="B676" t="s">
        <v>1225</v>
      </c>
      <c r="C676" t="s">
        <v>1226</v>
      </c>
      <c r="D676" t="s">
        <v>15</v>
      </c>
      <c r="E676" t="s">
        <v>382</v>
      </c>
      <c r="F676" t="s">
        <v>12</v>
      </c>
      <c r="G676" t="str">
        <f>HYPERLINK(_xlfn.CONCAT("https://tablet.otzar.org/",CHAR(35),"/exKotar/141541"),"ובחודש השביעי - 2 כרכים")</f>
        <v>ובחודש השביעי - 2 כרכים</v>
      </c>
      <c r="H676" t="str">
        <f>_xlfn.CONCAT("https://tablet.otzar.org/",CHAR(35),"/exKotar/141541")</f>
        <v>https://tablet.otzar.org/#/exKotar/141541</v>
      </c>
    </row>
    <row r="677" spans="1:8" x14ac:dyDescent="0.25">
      <c r="A677">
        <v>161298</v>
      </c>
      <c r="B677" t="s">
        <v>1227</v>
      </c>
      <c r="C677" t="s">
        <v>125</v>
      </c>
      <c r="D677" t="s">
        <v>15</v>
      </c>
      <c r="E677" t="s">
        <v>49</v>
      </c>
      <c r="F677" t="s">
        <v>12</v>
      </c>
      <c r="G677" t="str">
        <f>HYPERLINK(_xlfn.CONCAT("https://tablet.otzar.org/",CHAR(35),"/book/161298/p/-1/t/1/fs/0/start/0/end/0/c"),"ובתוך רבים אהללנו")</f>
        <v>ובתוך רבים אהללנו</v>
      </c>
      <c r="H677" t="str">
        <f>_xlfn.CONCAT("https://tablet.otzar.org/",CHAR(35),"/book/161298/p/-1/t/1/fs/0/start/0/end/0/c")</f>
        <v>https://tablet.otzar.org/#/book/161298/p/-1/t/1/fs/0/start/0/end/0/c</v>
      </c>
    </row>
    <row r="678" spans="1:8" x14ac:dyDescent="0.25">
      <c r="A678">
        <v>26519</v>
      </c>
      <c r="B678" t="s">
        <v>1228</v>
      </c>
      <c r="C678" t="s">
        <v>45</v>
      </c>
      <c r="D678" t="s">
        <v>1229</v>
      </c>
      <c r="E678" t="s">
        <v>192</v>
      </c>
      <c r="G678" t="str">
        <f>HYPERLINK(_xlfn.CONCAT("https://tablet.otzar.org/",CHAR(35),"/book/26519/p/-1/t/1/fs/0/start/0/end/0/c"),"והאר עינינו בתורתיך")</f>
        <v>והאר עינינו בתורתיך</v>
      </c>
      <c r="H678" t="str">
        <f>_xlfn.CONCAT("https://tablet.otzar.org/",CHAR(35),"/book/26519/p/-1/t/1/fs/0/start/0/end/0/c")</f>
        <v>https://tablet.otzar.org/#/book/26519/p/-1/t/1/fs/0/start/0/end/0/c</v>
      </c>
    </row>
    <row r="679" spans="1:8" x14ac:dyDescent="0.25">
      <c r="A679">
        <v>141494</v>
      </c>
      <c r="B679" t="s">
        <v>1230</v>
      </c>
      <c r="C679" t="s">
        <v>45</v>
      </c>
      <c r="D679" t="s">
        <v>28</v>
      </c>
      <c r="E679" t="s">
        <v>60</v>
      </c>
      <c r="F679" t="s">
        <v>12</v>
      </c>
      <c r="G679" t="str">
        <f>HYPERLINK(_xlfn.CONCAT("https://tablet.otzar.org/",CHAR(35),"/exKotar/141494"),"והחי יתן אל לבו - 2 כרכים")</f>
        <v>והחי יתן אל לבו - 2 כרכים</v>
      </c>
      <c r="H679" t="str">
        <f>_xlfn.CONCAT("https://tablet.otzar.org/",CHAR(35),"/exKotar/141494")</f>
        <v>https://tablet.otzar.org/#/exKotar/141494</v>
      </c>
    </row>
    <row r="680" spans="1:8" x14ac:dyDescent="0.25">
      <c r="A680">
        <v>142676</v>
      </c>
      <c r="B680" t="s">
        <v>1231</v>
      </c>
      <c r="C680" t="s">
        <v>1231</v>
      </c>
      <c r="D680" t="s">
        <v>10</v>
      </c>
      <c r="E680" t="s">
        <v>382</v>
      </c>
      <c r="F680" t="s">
        <v>12</v>
      </c>
      <c r="G680" t="str">
        <f>HYPERLINK(_xlfn.CONCAT("https://tablet.otzar.org/",CHAR(35),"/book/142676/p/-1/t/1/fs/0/start/0/end/0/c"),"והלכת בדרכיו")</f>
        <v>והלכת בדרכיו</v>
      </c>
      <c r="H680" t="str">
        <f>_xlfn.CONCAT("https://tablet.otzar.org/",CHAR(35),"/book/142676/p/-1/t/1/fs/0/start/0/end/0/c")</f>
        <v>https://tablet.otzar.org/#/book/142676/p/-1/t/1/fs/0/start/0/end/0/c</v>
      </c>
    </row>
    <row r="681" spans="1:8" x14ac:dyDescent="0.25">
      <c r="A681">
        <v>607869</v>
      </c>
      <c r="B681" t="s">
        <v>1232</v>
      </c>
      <c r="C681" t="s">
        <v>1233</v>
      </c>
      <c r="D681" t="s">
        <v>28</v>
      </c>
      <c r="E681" t="s">
        <v>99</v>
      </c>
      <c r="F681" t="s">
        <v>163</v>
      </c>
      <c r="G681" t="str">
        <f>HYPERLINK(_xlfn.CONCAT("https://tablet.otzar.org/",CHAR(35),"/book/607869/p/-1/t/1/fs/0/start/0/end/0/c"),"והם יבוננוהו")</f>
        <v>והם יבוננוהו</v>
      </c>
      <c r="H681" t="str">
        <f>_xlfn.CONCAT("https://tablet.otzar.org/",CHAR(35),"/book/607869/p/-1/t/1/fs/0/start/0/end/0/c")</f>
        <v>https://tablet.otzar.org/#/book/607869/p/-1/t/1/fs/0/start/0/end/0/c</v>
      </c>
    </row>
    <row r="682" spans="1:8" x14ac:dyDescent="0.25">
      <c r="A682">
        <v>635092</v>
      </c>
      <c r="B682" t="s">
        <v>1234</v>
      </c>
      <c r="C682" t="s">
        <v>48</v>
      </c>
      <c r="D682" t="s">
        <v>882</v>
      </c>
      <c r="E682" t="s">
        <v>185</v>
      </c>
      <c r="F682" t="s">
        <v>12</v>
      </c>
      <c r="G682" t="str">
        <f>HYPERLINK(_xlfn.CONCAT("https://tablet.otzar.org/",CHAR(35),"/book/635092/p/-1/t/1/fs/0/start/0/end/0/c"),"והנה ה' נצב עליו")</f>
        <v>והנה ה' נצב עליו</v>
      </c>
      <c r="H682" t="str">
        <f>_xlfn.CONCAT("https://tablet.otzar.org/",CHAR(35),"/book/635092/p/-1/t/1/fs/0/start/0/end/0/c")</f>
        <v>https://tablet.otzar.org/#/book/635092/p/-1/t/1/fs/0/start/0/end/0/c</v>
      </c>
    </row>
    <row r="683" spans="1:8" x14ac:dyDescent="0.25">
      <c r="A683">
        <v>27411</v>
      </c>
      <c r="B683" t="s">
        <v>1235</v>
      </c>
      <c r="C683" t="s">
        <v>1236</v>
      </c>
      <c r="D683" t="s">
        <v>15</v>
      </c>
      <c r="E683" t="s">
        <v>382</v>
      </c>
      <c r="F683" t="s">
        <v>12</v>
      </c>
      <c r="G683" t="str">
        <f>HYPERLINK(_xlfn.CONCAT("https://tablet.otzar.org/",CHAR(35),"/book/27411/p/-1/t/1/fs/0/start/0/end/0/c"),"וואס געדיינקסטו")</f>
        <v>וואס געדיינקסטו</v>
      </c>
      <c r="H683" t="str">
        <f>_xlfn.CONCAT("https://tablet.otzar.org/",CHAR(35),"/book/27411/p/-1/t/1/fs/0/start/0/end/0/c")</f>
        <v>https://tablet.otzar.org/#/book/27411/p/-1/t/1/fs/0/start/0/end/0/c</v>
      </c>
    </row>
    <row r="684" spans="1:8" x14ac:dyDescent="0.25">
      <c r="A684">
        <v>635080</v>
      </c>
      <c r="B684" t="s">
        <v>1237</v>
      </c>
      <c r="C684" t="s">
        <v>48</v>
      </c>
      <c r="E684" t="s">
        <v>185</v>
      </c>
      <c r="F684" t="s">
        <v>12</v>
      </c>
      <c r="G684" t="str">
        <f>HYPERLINK(_xlfn.CONCAT("https://tablet.otzar.org/",CHAR(35),"/book/635080/p/-1/t/1/fs/0/start/0/end/0/c"),"וזבחת כאשר צויתך")</f>
        <v>וזבחת כאשר צויתך</v>
      </c>
      <c r="H684" t="str">
        <f>_xlfn.CONCAT("https://tablet.otzar.org/",CHAR(35),"/book/635080/p/-1/t/1/fs/0/start/0/end/0/c")</f>
        <v>https://tablet.otzar.org/#/book/635080/p/-1/t/1/fs/0/start/0/end/0/c</v>
      </c>
    </row>
    <row r="685" spans="1:8" x14ac:dyDescent="0.25">
      <c r="A685">
        <v>196263</v>
      </c>
      <c r="B685" t="s">
        <v>1238</v>
      </c>
      <c r="C685" t="s">
        <v>279</v>
      </c>
      <c r="D685" t="s">
        <v>10</v>
      </c>
      <c r="E685" t="s">
        <v>99</v>
      </c>
      <c r="F685" t="s">
        <v>12</v>
      </c>
      <c r="G685" t="str">
        <f>HYPERLINK(_xlfn.CONCAT("https://tablet.otzar.org/",CHAR(35),"/book/196263/p/-1/t/1/fs/0/start/0/end/0/c"),"וידעת היום")</f>
        <v>וידעת היום</v>
      </c>
      <c r="H685" t="str">
        <f>_xlfn.CONCAT("https://tablet.otzar.org/",CHAR(35),"/book/196263/p/-1/t/1/fs/0/start/0/end/0/c")</f>
        <v>https://tablet.otzar.org/#/book/196263/p/-1/t/1/fs/0/start/0/end/0/c</v>
      </c>
    </row>
    <row r="686" spans="1:8" x14ac:dyDescent="0.25">
      <c r="A686">
        <v>196300</v>
      </c>
      <c r="B686" t="s">
        <v>1239</v>
      </c>
      <c r="C686" t="s">
        <v>1240</v>
      </c>
      <c r="D686" t="s">
        <v>10</v>
      </c>
      <c r="E686" t="s">
        <v>99</v>
      </c>
      <c r="F686" t="s">
        <v>25</v>
      </c>
      <c r="G686" t="str">
        <f>HYPERLINK(_xlfn.CONCAT("https://tablet.otzar.org/",CHAR(35),"/book/196300/p/-1/t/1/fs/0/start/0/end/0/c"),"ויהי איש מצליח")</f>
        <v>ויהי איש מצליח</v>
      </c>
      <c r="H686" t="str">
        <f>_xlfn.CONCAT("https://tablet.otzar.org/",CHAR(35),"/book/196300/p/-1/t/1/fs/0/start/0/end/0/c")</f>
        <v>https://tablet.otzar.org/#/book/196300/p/-1/t/1/fs/0/start/0/end/0/c</v>
      </c>
    </row>
    <row r="687" spans="1:8" x14ac:dyDescent="0.25">
      <c r="A687">
        <v>140941</v>
      </c>
      <c r="B687" t="s">
        <v>1241</v>
      </c>
      <c r="C687" t="s">
        <v>45</v>
      </c>
      <c r="D687" t="s">
        <v>10</v>
      </c>
      <c r="E687" t="s">
        <v>441</v>
      </c>
      <c r="F687" t="s">
        <v>12</v>
      </c>
      <c r="G687" t="str">
        <f>HYPERLINK(_xlfn.CONCAT("https://tablet.otzar.org/",CHAR(35),"/exKotar/140941"),"ויהי בארבעים שנה - 2 כרכים")</f>
        <v>ויהי בארבעים שנה - 2 כרכים</v>
      </c>
      <c r="H687" t="str">
        <f>_xlfn.CONCAT("https://tablet.otzar.org/",CHAR(35),"/exKotar/140941")</f>
        <v>https://tablet.otzar.org/#/exKotar/140941</v>
      </c>
    </row>
    <row r="688" spans="1:8" x14ac:dyDescent="0.25">
      <c r="A688">
        <v>27391</v>
      </c>
      <c r="B688" t="s">
        <v>1242</v>
      </c>
      <c r="C688" t="s">
        <v>125</v>
      </c>
      <c r="D688" t="s">
        <v>438</v>
      </c>
      <c r="E688" t="s">
        <v>66</v>
      </c>
      <c r="F688" t="s">
        <v>12</v>
      </c>
      <c r="G688" t="str">
        <f>HYPERLINK(_xlfn.CONCAT("https://tablet.otzar.org/",CHAR(35),"/book/27391/p/-1/t/1/fs/0/start/0/end/0/c"),"ויהי בישורון מלך")</f>
        <v>ויהי בישורון מלך</v>
      </c>
      <c r="H688" t="str">
        <f>_xlfn.CONCAT("https://tablet.otzar.org/",CHAR(35),"/book/27391/p/-1/t/1/fs/0/start/0/end/0/c")</f>
        <v>https://tablet.otzar.org/#/book/27391/p/-1/t/1/fs/0/start/0/end/0/c</v>
      </c>
    </row>
    <row r="689" spans="1:8" x14ac:dyDescent="0.25">
      <c r="A689">
        <v>630118</v>
      </c>
      <c r="B689" t="s">
        <v>1243</v>
      </c>
      <c r="C689" t="s">
        <v>1244</v>
      </c>
      <c r="D689" t="s">
        <v>10</v>
      </c>
      <c r="E689" t="s">
        <v>185</v>
      </c>
      <c r="F689" t="s">
        <v>12</v>
      </c>
      <c r="G689" t="str">
        <f>HYPERLINK(_xlfn.CONCAT("https://tablet.otzar.org/",CHAR(35),"/book/630118/p/-1/t/1/fs/0/start/0/end/0/c"),"ויהי בשבעים שנה")</f>
        <v>ויהי בשבעים שנה</v>
      </c>
      <c r="H689" t="str">
        <f>_xlfn.CONCAT("https://tablet.otzar.org/",CHAR(35),"/book/630118/p/-1/t/1/fs/0/start/0/end/0/c")</f>
        <v>https://tablet.otzar.org/#/book/630118/p/-1/t/1/fs/0/start/0/end/0/c</v>
      </c>
    </row>
    <row r="690" spans="1:8" x14ac:dyDescent="0.25">
      <c r="A690">
        <v>189067</v>
      </c>
      <c r="B690" t="s">
        <v>1245</v>
      </c>
      <c r="C690" t="s">
        <v>1246</v>
      </c>
      <c r="D690" t="s">
        <v>191</v>
      </c>
      <c r="E690" t="s">
        <v>88</v>
      </c>
      <c r="F690" t="s">
        <v>163</v>
      </c>
      <c r="G690" t="str">
        <f>HYPERLINK(_xlfn.CONCAT("https://tablet.otzar.org/",CHAR(35),"/book/189067/p/-1/t/1/fs/0/start/0/end/0/c"),"ויכוחא רבה &lt;מהדורה חדשה&gt;")</f>
        <v>ויכוחא רבה &lt;מהדורה חדשה&gt;</v>
      </c>
      <c r="H690" t="str">
        <f>_xlfn.CONCAT("https://tablet.otzar.org/",CHAR(35),"/book/189067/p/-1/t/1/fs/0/start/0/end/0/c")</f>
        <v>https://tablet.otzar.org/#/book/189067/p/-1/t/1/fs/0/start/0/end/0/c</v>
      </c>
    </row>
    <row r="691" spans="1:8" x14ac:dyDescent="0.25">
      <c r="A691">
        <v>659054</v>
      </c>
      <c r="B691" t="s">
        <v>1247</v>
      </c>
      <c r="C691" t="s">
        <v>1246</v>
      </c>
      <c r="D691" t="s">
        <v>118</v>
      </c>
      <c r="E691" t="s">
        <v>593</v>
      </c>
      <c r="F691" t="s">
        <v>163</v>
      </c>
      <c r="G691" t="str">
        <f>HYPERLINK(_xlfn.CONCAT("https://tablet.otzar.org/",CHAR(35),"/book/659054/p/-1/t/1/fs/0/start/0/end/0/c"),"ויכוחא רבה")</f>
        <v>ויכוחא רבה</v>
      </c>
      <c r="H691" t="str">
        <f>_xlfn.CONCAT("https://tablet.otzar.org/",CHAR(35),"/book/659054/p/-1/t/1/fs/0/start/0/end/0/c")</f>
        <v>https://tablet.otzar.org/#/book/659054/p/-1/t/1/fs/0/start/0/end/0/c</v>
      </c>
    </row>
    <row r="692" spans="1:8" x14ac:dyDescent="0.25">
      <c r="A692">
        <v>608408</v>
      </c>
      <c r="B692" t="s">
        <v>1248</v>
      </c>
      <c r="C692" t="s">
        <v>1249</v>
      </c>
      <c r="D692" t="s">
        <v>10</v>
      </c>
      <c r="E692" t="s">
        <v>91</v>
      </c>
      <c r="F692" t="s">
        <v>12</v>
      </c>
      <c r="G692" t="str">
        <f>HYPERLINK(_xlfn.CONCAT("https://tablet.otzar.org/",CHAR(35),"/book/608408/p/-1/t/1/fs/0/start/0/end/0/c"),"וינחם לבטח")</f>
        <v>וינחם לבטח</v>
      </c>
      <c r="H692" t="str">
        <f>_xlfn.CONCAT("https://tablet.otzar.org/",CHAR(35),"/book/608408/p/-1/t/1/fs/0/start/0/end/0/c")</f>
        <v>https://tablet.otzar.org/#/book/608408/p/-1/t/1/fs/0/start/0/end/0/c</v>
      </c>
    </row>
    <row r="693" spans="1:8" x14ac:dyDescent="0.25">
      <c r="A693">
        <v>612410</v>
      </c>
      <c r="B693" t="s">
        <v>1250</v>
      </c>
      <c r="C693" t="s">
        <v>45</v>
      </c>
      <c r="D693" t="s">
        <v>629</v>
      </c>
      <c r="E693" t="s">
        <v>174</v>
      </c>
      <c r="F693" t="s">
        <v>12</v>
      </c>
      <c r="G693" t="str">
        <f>HYPERLINK(_xlfn.CONCAT("https://tablet.otzar.org/",CHAR(35),"/book/612410/p/-1/t/1/fs/0/start/0/end/0/c"),"ויקרב משיחה")</f>
        <v>ויקרב משיחה</v>
      </c>
      <c r="H693" t="str">
        <f>_xlfn.CONCAT("https://tablet.otzar.org/",CHAR(35),"/book/612410/p/-1/t/1/fs/0/start/0/end/0/c")</f>
        <v>https://tablet.otzar.org/#/book/612410/p/-1/t/1/fs/0/start/0/end/0/c</v>
      </c>
    </row>
    <row r="694" spans="1:8" x14ac:dyDescent="0.25">
      <c r="A694">
        <v>181659</v>
      </c>
      <c r="B694" t="s">
        <v>1251</v>
      </c>
      <c r="C694" t="s">
        <v>125</v>
      </c>
      <c r="D694" t="s">
        <v>15</v>
      </c>
      <c r="E694" t="s">
        <v>88</v>
      </c>
      <c r="F694" t="s">
        <v>12</v>
      </c>
      <c r="G694" t="str">
        <f>HYPERLINK(_xlfn.CONCAT("https://tablet.otzar.org/",CHAR(35),"/exKotar/181659"),"וירא העם וינועו - 2 כרכים")</f>
        <v>וירא העם וינועו - 2 כרכים</v>
      </c>
      <c r="H694" t="str">
        <f>_xlfn.CONCAT("https://tablet.otzar.org/",CHAR(35),"/exKotar/181659")</f>
        <v>https://tablet.otzar.org/#/exKotar/181659</v>
      </c>
    </row>
    <row r="695" spans="1:8" x14ac:dyDescent="0.25">
      <c r="A695">
        <v>626909</v>
      </c>
      <c r="B695" t="s">
        <v>1252</v>
      </c>
      <c r="C695" t="s">
        <v>102</v>
      </c>
      <c r="D695" t="s">
        <v>15</v>
      </c>
      <c r="E695" t="s">
        <v>33</v>
      </c>
      <c r="F695" t="s">
        <v>1253</v>
      </c>
      <c r="G695" t="str">
        <f>HYPERLINK(_xlfn.CONCAT("https://tablet.otzar.org/",CHAR(35),"/exKotar/626909"),"וכמטמונים תחפשנה - 2 כרכים")</f>
        <v>וכמטמונים תחפשנה - 2 כרכים</v>
      </c>
      <c r="H695" t="str">
        <f>_xlfn.CONCAT("https://tablet.otzar.org/",CHAR(35),"/exKotar/626909")</f>
        <v>https://tablet.otzar.org/#/exKotar/626909</v>
      </c>
    </row>
    <row r="696" spans="1:8" x14ac:dyDescent="0.25">
      <c r="A696">
        <v>27285</v>
      </c>
      <c r="B696" t="s">
        <v>1254</v>
      </c>
      <c r="C696" t="s">
        <v>1255</v>
      </c>
      <c r="D696" t="s">
        <v>412</v>
      </c>
      <c r="E696" t="s">
        <v>64</v>
      </c>
      <c r="F696" t="s">
        <v>12</v>
      </c>
      <c r="G696" t="str">
        <f>HYPERLINK(_xlfn.CONCAT("https://tablet.otzar.org/",CHAR(35),"/book/27285/p/-1/t/1/fs/0/start/0/end/0/c"),"וכפר אדמתו עמו")</f>
        <v>וכפר אדמתו עמו</v>
      </c>
      <c r="H696" t="str">
        <f>_xlfn.CONCAT("https://tablet.otzar.org/",CHAR(35),"/book/27285/p/-1/t/1/fs/0/start/0/end/0/c")</f>
        <v>https://tablet.otzar.org/#/book/27285/p/-1/t/1/fs/0/start/0/end/0/c</v>
      </c>
    </row>
    <row r="697" spans="1:8" x14ac:dyDescent="0.25">
      <c r="A697">
        <v>27844</v>
      </c>
      <c r="B697" t="s">
        <v>1256</v>
      </c>
      <c r="C697" t="s">
        <v>391</v>
      </c>
      <c r="D697" t="s">
        <v>15</v>
      </c>
      <c r="E697" t="s">
        <v>103</v>
      </c>
      <c r="F697" t="s">
        <v>12</v>
      </c>
      <c r="G697" t="str">
        <f>HYPERLINK(_xlfn.CONCAT("https://tablet.otzar.org/",CHAR(35),"/book/27844/p/-1/t/1/fs/0/start/0/end/0/c"),"ומביא גואל")</f>
        <v>ומביא גואל</v>
      </c>
      <c r="H697" t="str">
        <f>_xlfn.CONCAT("https://tablet.otzar.org/",CHAR(35),"/book/27844/p/-1/t/1/fs/0/start/0/end/0/c")</f>
        <v>https://tablet.otzar.org/#/book/27844/p/-1/t/1/fs/0/start/0/end/0/c</v>
      </c>
    </row>
    <row r="698" spans="1:8" x14ac:dyDescent="0.25">
      <c r="A698">
        <v>635095</v>
      </c>
      <c r="B698" t="s">
        <v>1257</v>
      </c>
      <c r="C698" t="s">
        <v>1258</v>
      </c>
      <c r="D698" t="s">
        <v>15</v>
      </c>
      <c r="E698" t="s">
        <v>185</v>
      </c>
      <c r="G698" t="str">
        <f>HYPERLINK(_xlfn.CONCAT("https://tablet.otzar.org/",CHAR(35),"/exKotar/635095"),"ומדייק במאמר - 2 כרכים")</f>
        <v>ומדייק במאמר - 2 כרכים</v>
      </c>
      <c r="H698" t="str">
        <f>_xlfn.CONCAT("https://tablet.otzar.org/",CHAR(35),"/exKotar/635095")</f>
        <v>https://tablet.otzar.org/#/exKotar/635095</v>
      </c>
    </row>
    <row r="699" spans="1:8" x14ac:dyDescent="0.25">
      <c r="A699">
        <v>628548</v>
      </c>
      <c r="B699" t="s">
        <v>1259</v>
      </c>
      <c r="C699" t="s">
        <v>102</v>
      </c>
      <c r="D699" t="s">
        <v>15</v>
      </c>
      <c r="E699" t="s">
        <v>174</v>
      </c>
      <c r="F699" t="s">
        <v>379</v>
      </c>
      <c r="G699" t="str">
        <f>HYPERLINK(_xlfn.CONCAT("https://tablet.otzar.org/",CHAR(35),"/book/628548/p/-1/t/1/fs/0/start/0/end/0/c"),"וממנה יוושע")</f>
        <v>וממנה יוושע</v>
      </c>
      <c r="H699" t="str">
        <f>_xlfn.CONCAT("https://tablet.otzar.org/",CHAR(35),"/book/628548/p/-1/t/1/fs/0/start/0/end/0/c")</f>
        <v>https://tablet.otzar.org/#/book/628548/p/-1/t/1/fs/0/start/0/end/0/c</v>
      </c>
    </row>
    <row r="700" spans="1:8" x14ac:dyDescent="0.25">
      <c r="A700">
        <v>27014</v>
      </c>
      <c r="B700" t="s">
        <v>1260</v>
      </c>
      <c r="C700" t="s">
        <v>68</v>
      </c>
      <c r="D700" t="s">
        <v>15</v>
      </c>
      <c r="E700" t="s">
        <v>38</v>
      </c>
      <c r="G700" t="str">
        <f>HYPERLINK(_xlfn.CONCAT("https://tablet.otzar.org/",CHAR(35),"/book/27014/p/-1/t/1/fs/0/start/0/end/0/c"),"ומעין מבית ד'")</f>
        <v>ומעין מבית ד'</v>
      </c>
      <c r="H700" t="str">
        <f>_xlfn.CONCAT("https://tablet.otzar.org/",CHAR(35),"/book/27014/p/-1/t/1/fs/0/start/0/end/0/c")</f>
        <v>https://tablet.otzar.org/#/book/27014/p/-1/t/1/fs/0/start/0/end/0/c</v>
      </c>
    </row>
    <row r="701" spans="1:8" x14ac:dyDescent="0.25">
      <c r="A701">
        <v>635121</v>
      </c>
      <c r="B701" t="s">
        <v>1261</v>
      </c>
      <c r="C701" t="s">
        <v>1262</v>
      </c>
      <c r="D701" t="s">
        <v>28</v>
      </c>
      <c r="E701" t="s">
        <v>185</v>
      </c>
      <c r="G701" t="str">
        <f>HYPERLINK(_xlfn.CONCAT("https://tablet.otzar.org/",CHAR(35),"/book/635121/p/-1/t/1/fs/0/start/0/end/0/c"),"ונפשו קשורה בנפשו")</f>
        <v>ונפשו קשורה בנפשו</v>
      </c>
      <c r="H701" t="str">
        <f>_xlfn.CONCAT("https://tablet.otzar.org/",CHAR(35),"/book/635121/p/-1/t/1/fs/0/start/0/end/0/c")</f>
        <v>https://tablet.otzar.org/#/book/635121/p/-1/t/1/fs/0/start/0/end/0/c</v>
      </c>
    </row>
    <row r="702" spans="1:8" x14ac:dyDescent="0.25">
      <c r="A702">
        <v>162860</v>
      </c>
      <c r="B702" t="s">
        <v>1263</v>
      </c>
      <c r="C702" t="s">
        <v>48</v>
      </c>
      <c r="D702" t="s">
        <v>37</v>
      </c>
      <c r="E702" t="s">
        <v>16</v>
      </c>
      <c r="F702" t="s">
        <v>1264</v>
      </c>
      <c r="G702" t="str">
        <f>HYPERLINK(_xlfn.CONCAT("https://tablet.otzar.org/",CHAR(35),"/book/162860/p/-1/t/1/fs/0/start/0/end/0/c"),"ונשמע פתגם המלך")</f>
        <v>ונשמע פתגם המלך</v>
      </c>
      <c r="H702" t="str">
        <f>_xlfn.CONCAT("https://tablet.otzar.org/",CHAR(35),"/book/162860/p/-1/t/1/fs/0/start/0/end/0/c")</f>
        <v>https://tablet.otzar.org/#/book/162860/p/-1/t/1/fs/0/start/0/end/0/c</v>
      </c>
    </row>
    <row r="703" spans="1:8" x14ac:dyDescent="0.25">
      <c r="A703">
        <v>607857</v>
      </c>
      <c r="B703" t="s">
        <v>1263</v>
      </c>
      <c r="C703" t="s">
        <v>1265</v>
      </c>
      <c r="D703" t="s">
        <v>363</v>
      </c>
      <c r="E703" t="s">
        <v>404</v>
      </c>
      <c r="F703" t="s">
        <v>12</v>
      </c>
      <c r="G703" t="str">
        <f>HYPERLINK(_xlfn.CONCAT("https://tablet.otzar.org/",CHAR(35),"/book/607857/p/-1/t/1/fs/0/start/0/end/0/c"),"ונשמע פתגם המלך")</f>
        <v>ונשמע פתגם המלך</v>
      </c>
      <c r="H703" t="str">
        <f>_xlfn.CONCAT("https://tablet.otzar.org/",CHAR(35),"/book/607857/p/-1/t/1/fs/0/start/0/end/0/c")</f>
        <v>https://tablet.otzar.org/#/book/607857/p/-1/t/1/fs/0/start/0/end/0/c</v>
      </c>
    </row>
    <row r="704" spans="1:8" x14ac:dyDescent="0.25">
      <c r="A704">
        <v>146294</v>
      </c>
      <c r="B704" t="s">
        <v>1266</v>
      </c>
      <c r="C704" t="s">
        <v>489</v>
      </c>
      <c r="D704" t="s">
        <v>128</v>
      </c>
      <c r="E704" t="s">
        <v>1267</v>
      </c>
      <c r="F704" t="s">
        <v>251</v>
      </c>
      <c r="G704" t="str">
        <f>HYPERLINK(_xlfn.CONCAT("https://tablet.otzar.org/",CHAR(35),"/book/146294/p/-1/t/1/fs/0/start/0/end/0/c"),"ופרצת - 1-6")</f>
        <v>ופרצת - 1-6</v>
      </c>
      <c r="H704" t="str">
        <f>_xlfn.CONCAT("https://tablet.otzar.org/",CHAR(35),"/book/146294/p/-1/t/1/fs/0/start/0/end/0/c")</f>
        <v>https://tablet.otzar.org/#/book/146294/p/-1/t/1/fs/0/start/0/end/0/c</v>
      </c>
    </row>
    <row r="705" spans="1:8" x14ac:dyDescent="0.25">
      <c r="A705">
        <v>145932</v>
      </c>
      <c r="B705" t="s">
        <v>1268</v>
      </c>
      <c r="C705" t="s">
        <v>102</v>
      </c>
      <c r="D705" t="s">
        <v>37</v>
      </c>
      <c r="E705" t="s">
        <v>91</v>
      </c>
      <c r="F705" t="s">
        <v>12</v>
      </c>
      <c r="G705" t="str">
        <f>HYPERLINK(_xlfn.CONCAT("https://tablet.otzar.org/",CHAR(35),"/book/145932/p/-1/t/1/fs/0/start/0/end/0/c"),"וצדיק יסוד עולם")</f>
        <v>וצדיק יסוד עולם</v>
      </c>
      <c r="H705" t="str">
        <f>_xlfn.CONCAT("https://tablet.otzar.org/",CHAR(35),"/book/145932/p/-1/t/1/fs/0/start/0/end/0/c")</f>
        <v>https://tablet.otzar.org/#/book/145932/p/-1/t/1/fs/0/start/0/end/0/c</v>
      </c>
    </row>
    <row r="706" spans="1:8" x14ac:dyDescent="0.25">
      <c r="A706">
        <v>607750</v>
      </c>
      <c r="B706" t="s">
        <v>1269</v>
      </c>
      <c r="C706" t="s">
        <v>1270</v>
      </c>
      <c r="D706" t="s">
        <v>15</v>
      </c>
      <c r="E706" t="s">
        <v>103</v>
      </c>
      <c r="F706" t="s">
        <v>12</v>
      </c>
      <c r="G706" t="str">
        <f>HYPERLINK(_xlfn.CONCAT("https://tablet.otzar.org/",CHAR(35),"/exKotar/607750"),"ורבים השיב מעוון - 2 כרכים")</f>
        <v>ורבים השיב מעוון - 2 כרכים</v>
      </c>
      <c r="H706" t="str">
        <f>_xlfn.CONCAT("https://tablet.otzar.org/",CHAR(35),"/exKotar/607750")</f>
        <v>https://tablet.otzar.org/#/exKotar/607750</v>
      </c>
    </row>
    <row r="707" spans="1:8" x14ac:dyDescent="0.25">
      <c r="A707">
        <v>607627</v>
      </c>
      <c r="B707" t="s">
        <v>1271</v>
      </c>
      <c r="C707" t="s">
        <v>814</v>
      </c>
      <c r="D707" t="s">
        <v>28</v>
      </c>
      <c r="E707" t="s">
        <v>91</v>
      </c>
      <c r="F707" t="s">
        <v>12</v>
      </c>
      <c r="G707" t="str">
        <f>HYPERLINK(_xlfn.CONCAT("https://tablet.otzar.org/",CHAR(35),"/book/607627/p/-1/t/1/fs/0/start/0/end/0/c"),"ושמו מרדכי")</f>
        <v>ושמו מרדכי</v>
      </c>
      <c r="H707" t="str">
        <f>_xlfn.CONCAT("https://tablet.otzar.org/",CHAR(35),"/book/607627/p/-1/t/1/fs/0/start/0/end/0/c")</f>
        <v>https://tablet.otzar.org/#/book/607627/p/-1/t/1/fs/0/start/0/end/0/c</v>
      </c>
    </row>
    <row r="708" spans="1:8" x14ac:dyDescent="0.25">
      <c r="A708">
        <v>627069</v>
      </c>
      <c r="B708" t="s">
        <v>1272</v>
      </c>
      <c r="C708" t="s">
        <v>9</v>
      </c>
      <c r="D708" t="s">
        <v>10</v>
      </c>
      <c r="E708" t="s">
        <v>404</v>
      </c>
      <c r="F708" t="s">
        <v>12</v>
      </c>
      <c r="G708" t="str">
        <f>HYPERLINK(_xlfn.CONCAT("https://tablet.otzar.org/",CHAR(35),"/book/627069/p/-1/t/1/fs/0/start/0/end/0/c"),"ושמחת בחגך - חג הסוכות ה")</f>
        <v>ושמחת בחגך - חג הסוכות ה</v>
      </c>
      <c r="H708" t="str">
        <f>_xlfn.CONCAT("https://tablet.otzar.org/",CHAR(35),"/book/627069/p/-1/t/1/fs/0/start/0/end/0/c")</f>
        <v>https://tablet.otzar.org/#/book/627069/p/-1/t/1/fs/0/start/0/end/0/c</v>
      </c>
    </row>
    <row r="709" spans="1:8" x14ac:dyDescent="0.25">
      <c r="A709">
        <v>162768</v>
      </c>
      <c r="B709" t="s">
        <v>1273</v>
      </c>
      <c r="C709" t="s">
        <v>1021</v>
      </c>
      <c r="D709" t="s">
        <v>1274</v>
      </c>
      <c r="E709" t="s">
        <v>16</v>
      </c>
      <c r="F709" t="s">
        <v>1275</v>
      </c>
      <c r="G709" t="str">
        <f>HYPERLINK(_xlfn.CONCAT("https://tablet.otzar.org/",CHAR(35),"/book/162768/p/-1/t/1/fs/0/start/0/end/0/c"),"ושמרתם את המצות")</f>
        <v>ושמרתם את המצות</v>
      </c>
      <c r="H709" t="str">
        <f>_xlfn.CONCAT("https://tablet.otzar.org/",CHAR(35),"/book/162768/p/-1/t/1/fs/0/start/0/end/0/c")</f>
        <v>https://tablet.otzar.org/#/book/162768/p/-1/t/1/fs/0/start/0/end/0/c</v>
      </c>
    </row>
    <row r="710" spans="1:8" x14ac:dyDescent="0.25">
      <c r="A710">
        <v>639285</v>
      </c>
      <c r="B710" t="s">
        <v>1276</v>
      </c>
      <c r="C710" t="s">
        <v>492</v>
      </c>
      <c r="D710" t="s">
        <v>197</v>
      </c>
      <c r="E710" t="s">
        <v>54</v>
      </c>
      <c r="F710" t="s">
        <v>12</v>
      </c>
      <c r="G710" t="str">
        <f>HYPERLINK(_xlfn.CONCAT("https://tablet.otzar.org/",CHAR(35),"/book/639285/p/-1/t/1/fs/0/start/0/end/0/c"),"ותורה יבקשו מפיהו")</f>
        <v>ותורה יבקשו מפיהו</v>
      </c>
      <c r="H710" t="str">
        <f>_xlfn.CONCAT("https://tablet.otzar.org/",CHAR(35),"/book/639285/p/-1/t/1/fs/0/start/0/end/0/c")</f>
        <v>https://tablet.otzar.org/#/book/639285/p/-1/t/1/fs/0/start/0/end/0/c</v>
      </c>
    </row>
    <row r="711" spans="1:8" x14ac:dyDescent="0.25">
      <c r="A711">
        <v>27648</v>
      </c>
      <c r="B711" t="s">
        <v>1277</v>
      </c>
      <c r="C711" t="s">
        <v>45</v>
      </c>
      <c r="D711" t="s">
        <v>10</v>
      </c>
      <c r="E711" t="s">
        <v>38</v>
      </c>
      <c r="F711" t="s">
        <v>12</v>
      </c>
      <c r="G711" t="str">
        <f>HYPERLINK(_xlfn.CONCAT("https://tablet.otzar.org/",CHAR(35),"/book/27648/p/-1/t/1/fs/0/start/0/end/0/c"),"זורע צדקות מצמיח ישועות")</f>
        <v>זורע צדקות מצמיח ישועות</v>
      </c>
      <c r="H711" t="str">
        <f>_xlfn.CONCAT("https://tablet.otzar.org/",CHAR(35),"/book/27648/p/-1/t/1/fs/0/start/0/end/0/c")</f>
        <v>https://tablet.otzar.org/#/book/27648/p/-1/t/1/fs/0/start/0/end/0/c</v>
      </c>
    </row>
    <row r="712" spans="1:8" x14ac:dyDescent="0.25">
      <c r="A712">
        <v>27847</v>
      </c>
      <c r="B712" t="s">
        <v>1278</v>
      </c>
      <c r="C712" t="s">
        <v>1279</v>
      </c>
      <c r="D712" t="s">
        <v>15</v>
      </c>
      <c r="F712" t="s">
        <v>12</v>
      </c>
      <c r="G712" t="str">
        <f>HYPERLINK(_xlfn.CONCAT("https://tablet.otzar.org/",CHAR(35),"/book/27847/p/-1/t/1/fs/0/start/0/end/0/c"),"זושא הפרטיזן")</f>
        <v>זושא הפרטיזן</v>
      </c>
      <c r="H712" t="str">
        <f>_xlfn.CONCAT("https://tablet.otzar.org/",CHAR(35),"/book/27847/p/-1/t/1/fs/0/start/0/end/0/c")</f>
        <v>https://tablet.otzar.org/#/book/27847/p/-1/t/1/fs/0/start/0/end/0/c</v>
      </c>
    </row>
    <row r="713" spans="1:8" x14ac:dyDescent="0.25">
      <c r="A713">
        <v>614751</v>
      </c>
      <c r="B713" t="s">
        <v>1280</v>
      </c>
      <c r="C713" t="s">
        <v>953</v>
      </c>
      <c r="D713" t="s">
        <v>15</v>
      </c>
      <c r="E713" t="s">
        <v>82</v>
      </c>
      <c r="F713" t="s">
        <v>12</v>
      </c>
      <c r="G713" t="str">
        <f>HYPERLINK(_xlfn.CONCAT("https://tablet.otzar.org/",CHAR(35),"/book/614751/p/-1/t/1/fs/0/start/0/end/0/c"),"זושא של כולנו")</f>
        <v>זושא של כולנו</v>
      </c>
      <c r="H713" t="str">
        <f>_xlfn.CONCAT("https://tablet.otzar.org/",CHAR(35),"/book/614751/p/-1/t/1/fs/0/start/0/end/0/c")</f>
        <v>https://tablet.otzar.org/#/book/614751/p/-1/t/1/fs/0/start/0/end/0/c</v>
      </c>
    </row>
    <row r="714" spans="1:8" x14ac:dyDescent="0.25">
      <c r="A714">
        <v>27289</v>
      </c>
      <c r="B714" t="s">
        <v>1281</v>
      </c>
      <c r="C714" t="s">
        <v>1282</v>
      </c>
      <c r="D714" t="s">
        <v>10</v>
      </c>
      <c r="E714" t="s">
        <v>181</v>
      </c>
      <c r="F714" t="s">
        <v>12</v>
      </c>
      <c r="G714" t="str">
        <f>HYPERLINK(_xlfn.CONCAT("https://tablet.otzar.org/",CHAR(35),"/exKotar/27289"),"זיו השמות - 2 כרכים")</f>
        <v>זיו השמות - 2 כרכים</v>
      </c>
      <c r="H714" t="str">
        <f>_xlfn.CONCAT("https://tablet.otzar.org/",CHAR(35),"/exKotar/27289")</f>
        <v>https://tablet.otzar.org/#/exKotar/27289</v>
      </c>
    </row>
    <row r="715" spans="1:8" x14ac:dyDescent="0.25">
      <c r="A715">
        <v>26487</v>
      </c>
      <c r="B715" t="s">
        <v>1283</v>
      </c>
      <c r="C715" t="s">
        <v>569</v>
      </c>
      <c r="D715" t="s">
        <v>37</v>
      </c>
      <c r="E715" t="s">
        <v>250</v>
      </c>
      <c r="F715" t="s">
        <v>12</v>
      </c>
      <c r="G715" t="str">
        <f>HYPERLINK(_xlfn.CONCAT("https://tablet.otzar.org/",CHAR(35),"/book/26487/p/-1/t/1/fs/0/start/0/end/0/c"),"זכור לאברהם")</f>
        <v>זכור לאברהם</v>
      </c>
      <c r="H715" t="str">
        <f>_xlfn.CONCAT("https://tablet.otzar.org/",CHAR(35),"/book/26487/p/-1/t/1/fs/0/start/0/end/0/c")</f>
        <v>https://tablet.otzar.org/#/book/26487/p/-1/t/1/fs/0/start/0/end/0/c</v>
      </c>
    </row>
    <row r="716" spans="1:8" x14ac:dyDescent="0.25">
      <c r="A716">
        <v>157266</v>
      </c>
      <c r="B716" t="s">
        <v>1284</v>
      </c>
      <c r="C716" t="s">
        <v>1285</v>
      </c>
      <c r="D716" t="s">
        <v>10</v>
      </c>
      <c r="E716" t="s">
        <v>49</v>
      </c>
      <c r="F716" t="s">
        <v>12</v>
      </c>
      <c r="G716" t="str">
        <f>HYPERLINK(_xlfn.CONCAT("https://tablet.otzar.org/",CHAR(35),"/book/157266/p/-1/t/1/fs/0/start/0/end/0/c"),"זכרון הרז""""ש דווארקין")</f>
        <v>זכרון הרז""ש דווארקין</v>
      </c>
      <c r="H716" t="str">
        <f>_xlfn.CONCAT("https://tablet.otzar.org/",CHAR(35),"/book/157266/p/-1/t/1/fs/0/start/0/end/0/c")</f>
        <v>https://tablet.otzar.org/#/book/157266/p/-1/t/1/fs/0/start/0/end/0/c</v>
      </c>
    </row>
    <row r="717" spans="1:8" x14ac:dyDescent="0.25">
      <c r="A717">
        <v>27626</v>
      </c>
      <c r="B717" t="s">
        <v>1286</v>
      </c>
      <c r="C717" t="s">
        <v>1287</v>
      </c>
      <c r="D717" t="s">
        <v>10</v>
      </c>
      <c r="E717" t="s">
        <v>382</v>
      </c>
      <c r="F717" t="s">
        <v>12</v>
      </c>
      <c r="G717" t="str">
        <f>HYPERLINK(_xlfn.CONCAT("https://tablet.otzar.org/",CHAR(35),"/book/27626/p/-1/t/1/fs/0/start/0/end/0/c"),"זכרון הרש""""ז גורארי'")</f>
        <v>זכרון הרש""ז גורארי'</v>
      </c>
      <c r="H717" t="str">
        <f>_xlfn.CONCAT("https://tablet.otzar.org/",CHAR(35),"/book/27626/p/-1/t/1/fs/0/start/0/end/0/c")</f>
        <v>https://tablet.otzar.org/#/book/27626/p/-1/t/1/fs/0/start/0/end/0/c</v>
      </c>
    </row>
    <row r="718" spans="1:8" x14ac:dyDescent="0.25">
      <c r="A718">
        <v>141532</v>
      </c>
      <c r="B718" t="s">
        <v>1288</v>
      </c>
      <c r="C718" t="s">
        <v>1289</v>
      </c>
      <c r="D718" t="s">
        <v>15</v>
      </c>
      <c r="E718" t="s">
        <v>346</v>
      </c>
      <c r="F718" t="s">
        <v>12</v>
      </c>
      <c r="G718" t="str">
        <f>HYPERLINK(_xlfn.CONCAT("https://tablet.otzar.org/",CHAR(35),"/book/141532/p/-1/t/1/fs/0/start/0/end/0/c"),"זכרון יוסף יצחק")</f>
        <v>זכרון יוסף יצחק</v>
      </c>
      <c r="H718" t="str">
        <f>_xlfn.CONCAT("https://tablet.otzar.org/",CHAR(35),"/book/141532/p/-1/t/1/fs/0/start/0/end/0/c")</f>
        <v>https://tablet.otzar.org/#/book/141532/p/-1/t/1/fs/0/start/0/end/0/c</v>
      </c>
    </row>
    <row r="719" spans="1:8" x14ac:dyDescent="0.25">
      <c r="A719">
        <v>27659</v>
      </c>
      <c r="B719" t="s">
        <v>1290</v>
      </c>
      <c r="C719" t="s">
        <v>1291</v>
      </c>
      <c r="D719" t="s">
        <v>10</v>
      </c>
      <c r="E719" t="s">
        <v>250</v>
      </c>
      <c r="F719" t="s">
        <v>12</v>
      </c>
      <c r="G719" t="str">
        <f>HYPERLINK(_xlfn.CONCAT("https://tablet.otzar.org/",CHAR(35),"/book/27659/p/-1/t/1/fs/0/start/0/end/0/c"),"זכרון יעקב")</f>
        <v>זכרון יעקב</v>
      </c>
      <c r="H719" t="str">
        <f>_xlfn.CONCAT("https://tablet.otzar.org/",CHAR(35),"/book/27659/p/-1/t/1/fs/0/start/0/end/0/c")</f>
        <v>https://tablet.otzar.org/#/book/27659/p/-1/t/1/fs/0/start/0/end/0/c</v>
      </c>
    </row>
    <row r="720" spans="1:8" x14ac:dyDescent="0.25">
      <c r="A720">
        <v>27266</v>
      </c>
      <c r="B720" t="s">
        <v>1292</v>
      </c>
      <c r="C720" t="s">
        <v>1293</v>
      </c>
      <c r="D720" t="s">
        <v>444</v>
      </c>
      <c r="E720" t="s">
        <v>181</v>
      </c>
      <c r="F720" t="s">
        <v>12</v>
      </c>
      <c r="G720" t="str">
        <f>HYPERLINK(_xlfn.CONCAT("https://tablet.otzar.org/",CHAR(35),"/book/27266/p/-1/t/1/fs/0/start/0/end/0/c"),"זכרון יעקב קאפל ז""""ל")</f>
        <v>זכרון יעקב קאפל ז""ל</v>
      </c>
      <c r="H720" t="str">
        <f>_xlfn.CONCAT("https://tablet.otzar.org/",CHAR(35),"/book/27266/p/-1/t/1/fs/0/start/0/end/0/c")</f>
        <v>https://tablet.otzar.org/#/book/27266/p/-1/t/1/fs/0/start/0/end/0/c</v>
      </c>
    </row>
    <row r="721" spans="1:8" x14ac:dyDescent="0.25">
      <c r="A721">
        <v>607837</v>
      </c>
      <c r="B721" t="s">
        <v>1294</v>
      </c>
      <c r="C721" t="s">
        <v>1295</v>
      </c>
      <c r="D721" t="s">
        <v>363</v>
      </c>
      <c r="E721" t="s">
        <v>404</v>
      </c>
      <c r="F721" t="s">
        <v>1296</v>
      </c>
      <c r="G721" t="str">
        <f>HYPERLINK(_xlfn.CONCAT("https://tablet.otzar.org/",CHAR(35),"/book/607837/p/-1/t/1/fs/0/start/0/end/0/c"),"זכרון יצחק משה")</f>
        <v>זכרון יצחק משה</v>
      </c>
      <c r="H721" t="str">
        <f>_xlfn.CONCAT("https://tablet.otzar.org/",CHAR(35),"/book/607837/p/-1/t/1/fs/0/start/0/end/0/c")</f>
        <v>https://tablet.otzar.org/#/book/607837/p/-1/t/1/fs/0/start/0/end/0/c</v>
      </c>
    </row>
    <row r="722" spans="1:8" x14ac:dyDescent="0.25">
      <c r="A722">
        <v>651748</v>
      </c>
      <c r="B722" t="s">
        <v>1297</v>
      </c>
      <c r="C722" t="s">
        <v>1298</v>
      </c>
      <c r="D722" t="s">
        <v>28</v>
      </c>
      <c r="E722" t="s">
        <v>166</v>
      </c>
      <c r="G722" t="str">
        <f>HYPERLINK(_xlfn.CONCAT("https://tablet.otzar.org/",CHAR(35),"/book/651748/p/-1/t/1/fs/0/start/0/end/0/c"),"זכרון ישעיה זושא")</f>
        <v>זכרון ישעיה זושא</v>
      </c>
      <c r="H722" t="str">
        <f>_xlfn.CONCAT("https://tablet.otzar.org/",CHAR(35),"/book/651748/p/-1/t/1/fs/0/start/0/end/0/c")</f>
        <v>https://tablet.otzar.org/#/book/651748/p/-1/t/1/fs/0/start/0/end/0/c</v>
      </c>
    </row>
    <row r="723" spans="1:8" x14ac:dyDescent="0.25">
      <c r="A723">
        <v>27824</v>
      </c>
      <c r="B723" t="s">
        <v>1299</v>
      </c>
      <c r="C723" t="s">
        <v>1300</v>
      </c>
      <c r="D723" t="s">
        <v>10</v>
      </c>
      <c r="E723" t="s">
        <v>148</v>
      </c>
      <c r="F723" t="s">
        <v>12</v>
      </c>
      <c r="G723" t="str">
        <f>HYPERLINK(_xlfn.CONCAT("https://tablet.otzar.org/",CHAR(35),"/book/27824/p/-1/t/1/fs/0/start/0/end/0/c"),"זכרון לבני ישראל")</f>
        <v>זכרון לבני ישראל</v>
      </c>
      <c r="H723" t="str">
        <f>_xlfn.CONCAT("https://tablet.otzar.org/",CHAR(35),"/book/27824/p/-1/t/1/fs/0/start/0/end/0/c")</f>
        <v>https://tablet.otzar.org/#/book/27824/p/-1/t/1/fs/0/start/0/end/0/c</v>
      </c>
    </row>
    <row r="724" spans="1:8" x14ac:dyDescent="0.25">
      <c r="A724">
        <v>614706</v>
      </c>
      <c r="B724" t="s">
        <v>1301</v>
      </c>
      <c r="C724" t="s">
        <v>1302</v>
      </c>
      <c r="D724" t="s">
        <v>28</v>
      </c>
      <c r="E724" t="s">
        <v>404</v>
      </c>
      <c r="F724" t="s">
        <v>12</v>
      </c>
      <c r="G724" t="str">
        <f>HYPERLINK(_xlfn.CONCAT("https://tablet.otzar.org/",CHAR(35),"/book/614706/p/-1/t/1/fs/0/start/0/end/0/c"),"זכרון מנחם מאיר (א)")</f>
        <v>זכרון מנחם מאיר (א)</v>
      </c>
      <c r="H724" t="str">
        <f>_xlfn.CONCAT("https://tablet.otzar.org/",CHAR(35),"/book/614706/p/-1/t/1/fs/0/start/0/end/0/c")</f>
        <v>https://tablet.otzar.org/#/book/614706/p/-1/t/1/fs/0/start/0/end/0/c</v>
      </c>
    </row>
    <row r="725" spans="1:8" x14ac:dyDescent="0.25">
      <c r="A725">
        <v>620713</v>
      </c>
      <c r="B725" t="s">
        <v>1303</v>
      </c>
      <c r="C725" t="s">
        <v>1302</v>
      </c>
      <c r="E725" t="s">
        <v>19</v>
      </c>
      <c r="F725" t="s">
        <v>12</v>
      </c>
      <c r="G725" t="str">
        <f>HYPERLINK(_xlfn.CONCAT("https://tablet.otzar.org/",CHAR(35),"/book/620713/p/-1/t/1/fs/0/start/0/end/0/c"),"זכרון מנחם מאיר (ב)")</f>
        <v>זכרון מנחם מאיר (ב)</v>
      </c>
      <c r="H725" t="str">
        <f>_xlfn.CONCAT("https://tablet.otzar.org/",CHAR(35),"/book/620713/p/-1/t/1/fs/0/start/0/end/0/c")</f>
        <v>https://tablet.otzar.org/#/book/620713/p/-1/t/1/fs/0/start/0/end/0/c</v>
      </c>
    </row>
    <row r="726" spans="1:8" x14ac:dyDescent="0.25">
      <c r="A726">
        <v>27609</v>
      </c>
      <c r="B726" t="s">
        <v>1304</v>
      </c>
      <c r="C726" t="s">
        <v>1305</v>
      </c>
      <c r="D726" t="s">
        <v>10</v>
      </c>
      <c r="E726" t="s">
        <v>250</v>
      </c>
      <c r="F726" t="s">
        <v>12</v>
      </c>
      <c r="G726" t="str">
        <f>HYPERLINK(_xlfn.CONCAT("https://tablet.otzar.org/",CHAR(35),"/book/27609/p/-1/t/1/fs/0/start/0/end/0/c"),"זכרון רפאל משה")</f>
        <v>זכרון רפאל משה</v>
      </c>
      <c r="H726" t="str">
        <f>_xlfn.CONCAT("https://tablet.otzar.org/",CHAR(35),"/book/27609/p/-1/t/1/fs/0/start/0/end/0/c")</f>
        <v>https://tablet.otzar.org/#/book/27609/p/-1/t/1/fs/0/start/0/end/0/c</v>
      </c>
    </row>
    <row r="727" spans="1:8" x14ac:dyDescent="0.25">
      <c r="A727">
        <v>146552</v>
      </c>
      <c r="B727" t="s">
        <v>1306</v>
      </c>
      <c r="C727" t="s">
        <v>1307</v>
      </c>
      <c r="D727" t="s">
        <v>10</v>
      </c>
      <c r="E727" t="s">
        <v>139</v>
      </c>
      <c r="F727" t="s">
        <v>342</v>
      </c>
      <c r="G727" t="str">
        <f>HYPERLINK(_xlfn.CONCAT("https://tablet.otzar.org/",CHAR(35),"/book/146552/p/-1/t/1/fs/0/start/0/end/0/c"),"זכרון שמואל")</f>
        <v>זכרון שמואל</v>
      </c>
      <c r="H727" t="str">
        <f>_xlfn.CONCAT("https://tablet.otzar.org/",CHAR(35),"/book/146552/p/-1/t/1/fs/0/start/0/end/0/c")</f>
        <v>https://tablet.otzar.org/#/book/146552/p/-1/t/1/fs/0/start/0/end/0/c</v>
      </c>
    </row>
    <row r="728" spans="1:8" x14ac:dyDescent="0.25">
      <c r="A728">
        <v>27418</v>
      </c>
      <c r="B728" t="s">
        <v>1308</v>
      </c>
      <c r="C728" t="s">
        <v>1309</v>
      </c>
      <c r="D728" t="s">
        <v>910</v>
      </c>
      <c r="E728" t="s">
        <v>192</v>
      </c>
      <c r="F728" t="s">
        <v>12</v>
      </c>
      <c r="G728" t="str">
        <f>HYPERLINK(_xlfn.CONCAT("https://tablet.otzar.org/",CHAR(35),"/exKotar/27418"),"זכרונות אהרן - 2 כרכים")</f>
        <v>זכרונות אהרן - 2 כרכים</v>
      </c>
      <c r="H728" t="str">
        <f>_xlfn.CONCAT("https://tablet.otzar.org/",CHAR(35),"/exKotar/27418")</f>
        <v>https://tablet.otzar.org/#/exKotar/27418</v>
      </c>
    </row>
    <row r="729" spans="1:8" x14ac:dyDescent="0.25">
      <c r="A729">
        <v>142685</v>
      </c>
      <c r="B729" t="s">
        <v>1310</v>
      </c>
      <c r="C729" t="s">
        <v>1311</v>
      </c>
      <c r="D729" t="s">
        <v>377</v>
      </c>
      <c r="E729" t="s">
        <v>60</v>
      </c>
      <c r="F729" t="s">
        <v>12</v>
      </c>
      <c r="G729" t="str">
        <f>HYPERLINK(_xlfn.CONCAT("https://tablet.otzar.org/",CHAR(35),"/book/142685/p/-1/t/1/fs/0/start/0/end/0/c"),"זכרונות הרב יהודה חיטריק")</f>
        <v>זכרונות הרב יהודה חיטריק</v>
      </c>
      <c r="H729" t="str">
        <f>_xlfn.CONCAT("https://tablet.otzar.org/",CHAR(35),"/book/142685/p/-1/t/1/fs/0/start/0/end/0/c")</f>
        <v>https://tablet.otzar.org/#/book/142685/p/-1/t/1/fs/0/start/0/end/0/c</v>
      </c>
    </row>
    <row r="730" spans="1:8" x14ac:dyDescent="0.25">
      <c r="A730">
        <v>26481</v>
      </c>
      <c r="B730" t="s">
        <v>1312</v>
      </c>
      <c r="C730" t="s">
        <v>1313</v>
      </c>
      <c r="E730" t="s">
        <v>129</v>
      </c>
      <c r="F730" t="s">
        <v>12</v>
      </c>
      <c r="G730" t="str">
        <f>HYPERLINK(_xlfn.CONCAT("https://tablet.otzar.org/",CHAR(35),"/book/26481/p/-1/t/1/fs/0/start/0/end/0/c"),"זכרונות וסיפורים")</f>
        <v>זכרונות וסיפורים</v>
      </c>
      <c r="H730" t="str">
        <f>_xlfn.CONCAT("https://tablet.otzar.org/",CHAR(35),"/book/26481/p/-1/t/1/fs/0/start/0/end/0/c")</f>
        <v>https://tablet.otzar.org/#/book/26481/p/-1/t/1/fs/0/start/0/end/0/c</v>
      </c>
    </row>
    <row r="731" spans="1:8" x14ac:dyDescent="0.25">
      <c r="A731">
        <v>26518</v>
      </c>
      <c r="B731" t="s">
        <v>1314</v>
      </c>
      <c r="C731" t="s">
        <v>1315</v>
      </c>
      <c r="D731" t="s">
        <v>10</v>
      </c>
      <c r="E731" t="s">
        <v>192</v>
      </c>
      <c r="F731" t="s">
        <v>12</v>
      </c>
      <c r="G731" t="str">
        <f>HYPERLINK(_xlfn.CONCAT("https://tablet.otzar.org/",CHAR(35),"/book/26518/p/-1/t/1/fs/0/start/0/end/0/c"),"זכרונות פון גולאג")</f>
        <v>זכרונות פון גולאג</v>
      </c>
      <c r="H731" t="str">
        <f>_xlfn.CONCAT("https://tablet.otzar.org/",CHAR(35),"/book/26518/p/-1/t/1/fs/0/start/0/end/0/c")</f>
        <v>https://tablet.otzar.org/#/book/26518/p/-1/t/1/fs/0/start/0/end/0/c</v>
      </c>
    </row>
    <row r="732" spans="1:8" x14ac:dyDescent="0.25">
      <c r="A732">
        <v>627083</v>
      </c>
      <c r="B732" t="s">
        <v>1316</v>
      </c>
      <c r="C732" t="s">
        <v>558</v>
      </c>
      <c r="F732" t="s">
        <v>12</v>
      </c>
      <c r="G732" t="str">
        <f>HYPERLINK(_xlfn.CONCAT("https://tablet.otzar.org/",CHAR(35),"/book/627083/p/-1/t/1/fs/0/start/0/end/0/c"),"זכרונות רבי יצחק מנחם מנדל ליס")</f>
        <v>זכרונות רבי יצחק מנחם מנדל ליס</v>
      </c>
      <c r="H732" t="str">
        <f>_xlfn.CONCAT("https://tablet.otzar.org/",CHAR(35),"/book/627083/p/-1/t/1/fs/0/start/0/end/0/c")</f>
        <v>https://tablet.otzar.org/#/book/627083/p/-1/t/1/fs/0/start/0/end/0/c</v>
      </c>
    </row>
    <row r="733" spans="1:8" x14ac:dyDescent="0.25">
      <c r="A733">
        <v>171726</v>
      </c>
      <c r="B733" t="s">
        <v>1317</v>
      </c>
      <c r="C733" t="s">
        <v>1318</v>
      </c>
      <c r="D733" t="s">
        <v>15</v>
      </c>
      <c r="E733" t="s">
        <v>134</v>
      </c>
      <c r="F733" t="s">
        <v>342</v>
      </c>
      <c r="G733" t="str">
        <f>HYPERLINK(_xlfn.CONCAT("https://tablet.otzar.org/",CHAR(35),"/book/171726/p/-1/t/1/fs/0/start/0/end/0/c"),"זכרונותי")</f>
        <v>זכרונותי</v>
      </c>
      <c r="H733" t="str">
        <f>_xlfn.CONCAT("https://tablet.otzar.org/",CHAR(35),"/book/171726/p/-1/t/1/fs/0/start/0/end/0/c")</f>
        <v>https://tablet.otzar.org/#/book/171726/p/-1/t/1/fs/0/start/0/end/0/c</v>
      </c>
    </row>
    <row r="734" spans="1:8" x14ac:dyDescent="0.25">
      <c r="A734">
        <v>173562</v>
      </c>
      <c r="B734" t="s">
        <v>1317</v>
      </c>
      <c r="C734" t="s">
        <v>728</v>
      </c>
      <c r="D734" t="s">
        <v>37</v>
      </c>
      <c r="E734" t="s">
        <v>62</v>
      </c>
      <c r="F734" t="s">
        <v>12</v>
      </c>
      <c r="G734" t="str">
        <f>HYPERLINK(_xlfn.CONCAT("https://tablet.otzar.org/",CHAR(35),"/book/173562/p/-1/t/1/fs/0/start/0/end/0/c"),"זכרונותי")</f>
        <v>זכרונותי</v>
      </c>
      <c r="H734" t="str">
        <f>_xlfn.CONCAT("https://tablet.otzar.org/",CHAR(35),"/book/173562/p/-1/t/1/fs/0/start/0/end/0/c")</f>
        <v>https://tablet.otzar.org/#/book/173562/p/-1/t/1/fs/0/start/0/end/0/c</v>
      </c>
    </row>
    <row r="735" spans="1:8" x14ac:dyDescent="0.25">
      <c r="A735">
        <v>166465</v>
      </c>
      <c r="B735" t="s">
        <v>1319</v>
      </c>
      <c r="C735" t="s">
        <v>199</v>
      </c>
      <c r="D735" t="s">
        <v>10</v>
      </c>
      <c r="E735" t="s">
        <v>16</v>
      </c>
      <c r="F735" t="s">
        <v>12</v>
      </c>
      <c r="G735" t="str">
        <f>HYPERLINK(_xlfn.CONCAT("https://tablet.otzar.org/",CHAR(35),"/book/166465/p/-1/t/1/fs/0/start/0/end/0/c"),"זמן חרותינו")</f>
        <v>זמן חרותינו</v>
      </c>
      <c r="H735" t="str">
        <f>_xlfn.CONCAT("https://tablet.otzar.org/",CHAR(35),"/book/166465/p/-1/t/1/fs/0/start/0/end/0/c")</f>
        <v>https://tablet.otzar.org/#/book/166465/p/-1/t/1/fs/0/start/0/end/0/c</v>
      </c>
    </row>
    <row r="736" spans="1:8" x14ac:dyDescent="0.25">
      <c r="A736">
        <v>28707</v>
      </c>
      <c r="B736" t="s">
        <v>1320</v>
      </c>
      <c r="C736" t="s">
        <v>904</v>
      </c>
      <c r="D736" t="s">
        <v>10</v>
      </c>
      <c r="E736" t="s">
        <v>174</v>
      </c>
      <c r="F736" t="s">
        <v>12</v>
      </c>
      <c r="G736" t="str">
        <f>HYPERLINK(_xlfn.CONCAT("https://tablet.otzar.org/",CHAR(35),"/book/28707/p/-1/t/1/fs/0/start/0/end/0/c"),"זמן חרותנו")</f>
        <v>זמן חרותנו</v>
      </c>
      <c r="H736" t="str">
        <f>_xlfn.CONCAT("https://tablet.otzar.org/",CHAR(35),"/book/28707/p/-1/t/1/fs/0/start/0/end/0/c")</f>
        <v>https://tablet.otzar.org/#/book/28707/p/-1/t/1/fs/0/start/0/end/0/c</v>
      </c>
    </row>
    <row r="737" spans="1:8" x14ac:dyDescent="0.25">
      <c r="A737">
        <v>611990</v>
      </c>
      <c r="B737" t="s">
        <v>1321</v>
      </c>
      <c r="C737" t="s">
        <v>1322</v>
      </c>
      <c r="D737" t="s">
        <v>15</v>
      </c>
      <c r="E737" t="s">
        <v>115</v>
      </c>
      <c r="F737" t="s">
        <v>12</v>
      </c>
      <c r="G737" t="str">
        <f>HYPERLINK(_xlfn.CONCAT("https://tablet.otzar.org/",CHAR(35),"/book/611990/p/-1/t/1/fs/0/start/0/end/0/c"),"זמן שמחתנו")</f>
        <v>זמן שמחתנו</v>
      </c>
      <c r="H737" t="str">
        <f>_xlfn.CONCAT("https://tablet.otzar.org/",CHAR(35),"/book/611990/p/-1/t/1/fs/0/start/0/end/0/c")</f>
        <v>https://tablet.otzar.org/#/book/611990/p/-1/t/1/fs/0/start/0/end/0/c</v>
      </c>
    </row>
    <row r="738" spans="1:8" x14ac:dyDescent="0.25">
      <c r="A738">
        <v>636514</v>
      </c>
      <c r="B738" t="s">
        <v>1323</v>
      </c>
      <c r="C738" t="s">
        <v>9</v>
      </c>
      <c r="E738" t="s">
        <v>24</v>
      </c>
      <c r="F738" t="s">
        <v>12</v>
      </c>
      <c r="G738" t="str">
        <f>HYPERLINK(_xlfn.CONCAT("https://tablet.otzar.org/",CHAR(35),"/book/636514/p/-1/t/1/fs/0/start/0/end/0/c"),"זמן שמחתנו - ג")</f>
        <v>זמן שמחתנו - ג</v>
      </c>
      <c r="H738" t="str">
        <f>_xlfn.CONCAT("https://tablet.otzar.org/",CHAR(35),"/book/636514/p/-1/t/1/fs/0/start/0/end/0/c")</f>
        <v>https://tablet.otzar.org/#/book/636514/p/-1/t/1/fs/0/start/0/end/0/c</v>
      </c>
    </row>
    <row r="739" spans="1:8" x14ac:dyDescent="0.25">
      <c r="A739">
        <v>146338</v>
      </c>
      <c r="B739" t="s">
        <v>1324</v>
      </c>
      <c r="C739" t="s">
        <v>45</v>
      </c>
      <c r="D739" t="s">
        <v>10</v>
      </c>
      <c r="E739" t="s">
        <v>145</v>
      </c>
      <c r="F739" t="s">
        <v>76</v>
      </c>
      <c r="G739" t="str">
        <f>HYPERLINK(_xlfn.CONCAT("https://tablet.otzar.org/",CHAR(35),"/book/146338/p/-1/t/1/fs/0/start/0/end/0/c"),"ח""""י אלול ה'תש""""ג")</f>
        <v>ח""י אלול ה'תש""ג</v>
      </c>
      <c r="H739" t="str">
        <f>_xlfn.CONCAT("https://tablet.otzar.org/",CHAR(35),"/book/146338/p/-1/t/1/fs/0/start/0/end/0/c")</f>
        <v>https://tablet.otzar.org/#/book/146338/p/-1/t/1/fs/0/start/0/end/0/c</v>
      </c>
    </row>
    <row r="740" spans="1:8" x14ac:dyDescent="0.25">
      <c r="A740">
        <v>640944</v>
      </c>
      <c r="B740" t="s">
        <v>1325</v>
      </c>
      <c r="C740" t="s">
        <v>348</v>
      </c>
      <c r="D740" t="s">
        <v>15</v>
      </c>
      <c r="E740" t="s">
        <v>115</v>
      </c>
      <c r="F740" t="s">
        <v>12</v>
      </c>
      <c r="G740" t="str">
        <f>HYPERLINK(_xlfn.CONCAT("https://tablet.otzar.org/",CHAR(35),"/book/640944/p/-1/t/1/fs/0/start/0/end/0/c"),"חב""""ד בלתי מפלגתית")</f>
        <v>חב""ד בלתי מפלגתית</v>
      </c>
      <c r="H740" t="str">
        <f>_xlfn.CONCAT("https://tablet.otzar.org/",CHAR(35),"/book/640944/p/-1/t/1/fs/0/start/0/end/0/c")</f>
        <v>https://tablet.otzar.org/#/book/640944/p/-1/t/1/fs/0/start/0/end/0/c</v>
      </c>
    </row>
    <row r="741" spans="1:8" x14ac:dyDescent="0.25">
      <c r="A741">
        <v>145789</v>
      </c>
      <c r="B741" t="s">
        <v>1326</v>
      </c>
      <c r="C741" t="s">
        <v>1021</v>
      </c>
      <c r="D741" t="s">
        <v>10</v>
      </c>
      <c r="E741" t="s">
        <v>1327</v>
      </c>
      <c r="F741" t="s">
        <v>12</v>
      </c>
      <c r="G741" t="str">
        <f>HYPERLINK(_xlfn.CONCAT("https://tablet.otzar.org/",CHAR(35),"/book/145789/p/-1/t/1/fs/0/start/0/end/0/c"),"חב""""ד ליובאוויטש - עסקנות ציבורית")</f>
        <v>חב""ד ליובאוויטש - עסקנות ציבורית</v>
      </c>
      <c r="H741" t="str">
        <f>_xlfn.CONCAT("https://tablet.otzar.org/",CHAR(35),"/book/145789/p/-1/t/1/fs/0/start/0/end/0/c")</f>
        <v>https://tablet.otzar.org/#/book/145789/p/-1/t/1/fs/0/start/0/end/0/c</v>
      </c>
    </row>
    <row r="742" spans="1:8" x14ac:dyDescent="0.25">
      <c r="A742">
        <v>173847</v>
      </c>
      <c r="B742" t="s">
        <v>1328</v>
      </c>
      <c r="C742" t="s">
        <v>48</v>
      </c>
      <c r="D742" t="s">
        <v>128</v>
      </c>
      <c r="E742" t="s">
        <v>62</v>
      </c>
      <c r="F742" t="s">
        <v>12</v>
      </c>
      <c r="G742" t="str">
        <f>HYPERLINK(_xlfn.CONCAT("https://tablet.otzar.org/",CHAR(35),"/book/173847/p/-1/t/1/fs/0/start/0/end/0/c"),"חב""""ד קריות ל""""ה שנים")</f>
        <v>חב""ד קריות ל""ה שנים</v>
      </c>
      <c r="H742" t="str">
        <f>_xlfn.CONCAT("https://tablet.otzar.org/",CHAR(35),"/book/173847/p/-1/t/1/fs/0/start/0/end/0/c")</f>
        <v>https://tablet.otzar.org/#/book/173847/p/-1/t/1/fs/0/start/0/end/0/c</v>
      </c>
    </row>
    <row r="743" spans="1:8" x14ac:dyDescent="0.25">
      <c r="A743">
        <v>26911</v>
      </c>
      <c r="B743" t="s">
        <v>1329</v>
      </c>
      <c r="C743" t="s">
        <v>348</v>
      </c>
      <c r="D743" t="s">
        <v>15</v>
      </c>
      <c r="E743" t="s">
        <v>103</v>
      </c>
      <c r="F743" t="s">
        <v>12</v>
      </c>
      <c r="G743" t="str">
        <f>HYPERLINK(_xlfn.CONCAT("https://tablet.otzar.org/",CHAR(35),"/book/26911/p/-1/t/1/fs/0/start/0/end/0/c"),"חברון עיר הקודש")</f>
        <v>חברון עיר הקודש</v>
      </c>
      <c r="H743" t="str">
        <f>_xlfn.CONCAT("https://tablet.otzar.org/",CHAR(35),"/book/26911/p/-1/t/1/fs/0/start/0/end/0/c")</f>
        <v>https://tablet.otzar.org/#/book/26911/p/-1/t/1/fs/0/start/0/end/0/c</v>
      </c>
    </row>
    <row r="744" spans="1:8" x14ac:dyDescent="0.25">
      <c r="A744">
        <v>614958</v>
      </c>
      <c r="B744" t="s">
        <v>1330</v>
      </c>
      <c r="C744" t="s">
        <v>9</v>
      </c>
      <c r="D744" t="s">
        <v>10</v>
      </c>
      <c r="E744" t="s">
        <v>88</v>
      </c>
      <c r="F744" t="s">
        <v>12</v>
      </c>
      <c r="G744" t="str">
        <f>HYPERLINK(_xlfn.CONCAT("https://tablet.otzar.org/",CHAR(35),"/book/614958/p/-1/t/1/fs/0/start/0/end/0/c"),"חג האסיף")</f>
        <v>חג האסיף</v>
      </c>
      <c r="H744" t="str">
        <f>_xlfn.CONCAT("https://tablet.otzar.org/",CHAR(35),"/book/614958/p/-1/t/1/fs/0/start/0/end/0/c")</f>
        <v>https://tablet.otzar.org/#/book/614958/p/-1/t/1/fs/0/start/0/end/0/c</v>
      </c>
    </row>
    <row r="745" spans="1:8" x14ac:dyDescent="0.25">
      <c r="A745">
        <v>27205</v>
      </c>
      <c r="B745" t="s">
        <v>1331</v>
      </c>
      <c r="C745" t="s">
        <v>1332</v>
      </c>
      <c r="D745" t="s">
        <v>10</v>
      </c>
      <c r="E745" t="s">
        <v>75</v>
      </c>
      <c r="F745" t="s">
        <v>12</v>
      </c>
      <c r="G745" t="str">
        <f>HYPERLINK(_xlfn.CONCAT("https://tablet.otzar.org/",CHAR(35),"/exKotar/27205"),"חגי ישראל ומועדיו - 2 כרכים")</f>
        <v>חגי ישראל ומועדיו - 2 כרכים</v>
      </c>
      <c r="H745" t="str">
        <f>_xlfn.CONCAT("https://tablet.otzar.org/",CHAR(35),"/exKotar/27205")</f>
        <v>https://tablet.otzar.org/#/exKotar/27205</v>
      </c>
    </row>
    <row r="746" spans="1:8" x14ac:dyDescent="0.25">
      <c r="A746">
        <v>607656</v>
      </c>
      <c r="B746" t="s">
        <v>1333</v>
      </c>
      <c r="C746" t="s">
        <v>1334</v>
      </c>
      <c r="D746" t="s">
        <v>10</v>
      </c>
      <c r="E746" t="s">
        <v>99</v>
      </c>
      <c r="F746" t="s">
        <v>12</v>
      </c>
      <c r="G746" t="str">
        <f>HYPERLINK(_xlfn.CONCAT("https://tablet.otzar.org/",CHAR(35),"/book/607656/p/-1/t/1/fs/0/start/0/end/0/c"),"חגים")</f>
        <v>חגים</v>
      </c>
      <c r="H746" t="str">
        <f>_xlfn.CONCAT("https://tablet.otzar.org/",CHAR(35),"/book/607656/p/-1/t/1/fs/0/start/0/end/0/c")</f>
        <v>https://tablet.otzar.org/#/book/607656/p/-1/t/1/fs/0/start/0/end/0/c</v>
      </c>
    </row>
    <row r="747" spans="1:8" x14ac:dyDescent="0.25">
      <c r="A747">
        <v>140840</v>
      </c>
      <c r="B747" t="s">
        <v>1335</v>
      </c>
      <c r="C747" t="s">
        <v>1336</v>
      </c>
      <c r="D747" t="s">
        <v>15</v>
      </c>
      <c r="E747" t="s">
        <v>60</v>
      </c>
      <c r="F747" t="s">
        <v>12</v>
      </c>
      <c r="G747" t="str">
        <f>HYPERLINK(_xlfn.CONCAT("https://tablet.otzar.org/",CHAR(35),"/book/140840/p/-1/t/1/fs/0/start/0/end/0/c"),"חגים וזמנים - חודש כסלו")</f>
        <v>חגים וזמנים - חודש כסלו</v>
      </c>
      <c r="H747" t="str">
        <f>_xlfn.CONCAT("https://tablet.otzar.org/",CHAR(35),"/book/140840/p/-1/t/1/fs/0/start/0/end/0/c")</f>
        <v>https://tablet.otzar.org/#/book/140840/p/-1/t/1/fs/0/start/0/end/0/c</v>
      </c>
    </row>
    <row r="748" spans="1:8" x14ac:dyDescent="0.25">
      <c r="A748">
        <v>196221</v>
      </c>
      <c r="B748" t="s">
        <v>1337</v>
      </c>
      <c r="C748" t="s">
        <v>1338</v>
      </c>
      <c r="D748" t="s">
        <v>15</v>
      </c>
      <c r="E748" t="s">
        <v>99</v>
      </c>
      <c r="F748" t="s">
        <v>12</v>
      </c>
      <c r="G748" t="str">
        <f>HYPERLINK(_xlfn.CONCAT("https://tablet.otzar.org/",CHAR(35),"/book/196221/p/-1/t/1/fs/0/start/0/end/0/c"),"חגים וזמנים")</f>
        <v>חגים וזמנים</v>
      </c>
      <c r="H748" t="str">
        <f>_xlfn.CONCAT("https://tablet.otzar.org/",CHAR(35),"/book/196221/p/-1/t/1/fs/0/start/0/end/0/c")</f>
        <v>https://tablet.otzar.org/#/book/196221/p/-1/t/1/fs/0/start/0/end/0/c</v>
      </c>
    </row>
    <row r="749" spans="1:8" x14ac:dyDescent="0.25">
      <c r="A749">
        <v>145950</v>
      </c>
      <c r="B749" t="s">
        <v>1339</v>
      </c>
      <c r="C749" t="s">
        <v>337</v>
      </c>
      <c r="E749" t="s">
        <v>91</v>
      </c>
      <c r="F749" t="s">
        <v>12</v>
      </c>
      <c r="G749" t="str">
        <f>HYPERLINK(_xlfn.CONCAT("https://tablet.otzar.org/",CHAR(35),"/book/145950/p/-1/t/1/fs/0/start/0/end/0/c"),"חדש הגאולה - חנוכה")</f>
        <v>חדש הגאולה - חנוכה</v>
      </c>
      <c r="H749" t="str">
        <f>_xlfn.CONCAT("https://tablet.otzar.org/",CHAR(35),"/book/145950/p/-1/t/1/fs/0/start/0/end/0/c")</f>
        <v>https://tablet.otzar.org/#/book/145950/p/-1/t/1/fs/0/start/0/end/0/c</v>
      </c>
    </row>
    <row r="750" spans="1:8" x14ac:dyDescent="0.25">
      <c r="A750">
        <v>644806</v>
      </c>
      <c r="B750" t="s">
        <v>1340</v>
      </c>
      <c r="C750" t="s">
        <v>102</v>
      </c>
      <c r="D750" t="s">
        <v>28</v>
      </c>
      <c r="E750" t="s">
        <v>1341</v>
      </c>
      <c r="F750" t="s">
        <v>1342</v>
      </c>
      <c r="G750" t="str">
        <f>HYPERLINK(_xlfn.CONCAT("https://tablet.otzar.org/",CHAR(35),"/book/644806/p/-1/t/1/fs/0/start/0/end/0/c"),"חדשי השנה - סיון")</f>
        <v>חדשי השנה - סיון</v>
      </c>
      <c r="H750" t="str">
        <f>_xlfn.CONCAT("https://tablet.otzar.org/",CHAR(35),"/book/644806/p/-1/t/1/fs/0/start/0/end/0/c")</f>
        <v>https://tablet.otzar.org/#/book/644806/p/-1/t/1/fs/0/start/0/end/0/c</v>
      </c>
    </row>
    <row r="751" spans="1:8" x14ac:dyDescent="0.25">
      <c r="A751">
        <v>27556</v>
      </c>
      <c r="B751" t="s">
        <v>1343</v>
      </c>
      <c r="C751" t="s">
        <v>1343</v>
      </c>
      <c r="D751" t="s">
        <v>15</v>
      </c>
      <c r="E751" t="s">
        <v>129</v>
      </c>
      <c r="F751" t="s">
        <v>12</v>
      </c>
      <c r="G751" t="str">
        <f>HYPERLINK(_xlfn.CONCAT("https://tablet.otzar.org/",CHAR(35),"/book/27556/p/-1/t/1/fs/0/start/0/end/0/c"),"חוברת גן ישראל")</f>
        <v>חוברת גן ישראל</v>
      </c>
      <c r="H751" t="str">
        <f>_xlfn.CONCAT("https://tablet.otzar.org/",CHAR(35),"/book/27556/p/-1/t/1/fs/0/start/0/end/0/c")</f>
        <v>https://tablet.otzar.org/#/book/27556/p/-1/t/1/fs/0/start/0/end/0/c</v>
      </c>
    </row>
    <row r="752" spans="1:8" x14ac:dyDescent="0.25">
      <c r="A752">
        <v>27588</v>
      </c>
      <c r="B752" t="s">
        <v>1344</v>
      </c>
      <c r="C752" t="s">
        <v>1345</v>
      </c>
      <c r="D752" t="s">
        <v>191</v>
      </c>
      <c r="E752" t="s">
        <v>19</v>
      </c>
      <c r="F752" t="s">
        <v>12</v>
      </c>
      <c r="G752" t="str">
        <f>HYPERLINK(_xlfn.CONCAT("https://tablet.otzar.org/",CHAR(35),"/book/27588/p/-1/t/1/fs/0/start/0/end/0/c"),"חוברת לימודים")</f>
        <v>חוברת לימודים</v>
      </c>
      <c r="H752" t="str">
        <f>_xlfn.CONCAT("https://tablet.otzar.org/",CHAR(35),"/book/27588/p/-1/t/1/fs/0/start/0/end/0/c")</f>
        <v>https://tablet.otzar.org/#/book/27588/p/-1/t/1/fs/0/start/0/end/0/c</v>
      </c>
    </row>
    <row r="753" spans="1:8" x14ac:dyDescent="0.25">
      <c r="A753">
        <v>146512</v>
      </c>
      <c r="B753" t="s">
        <v>1346</v>
      </c>
      <c r="C753" t="s">
        <v>125</v>
      </c>
      <c r="D753" t="s">
        <v>10</v>
      </c>
      <c r="E753" t="s">
        <v>250</v>
      </c>
      <c r="F753" t="s">
        <v>251</v>
      </c>
      <c r="G753" t="str">
        <f>HYPERLINK(_xlfn.CONCAT("https://tablet.otzar.org/",CHAR(35),"/book/146512/p/-1/t/1/fs/0/start/0/end/0/c"),"חוברת תפארת בנים")</f>
        <v>חוברת תפארת בנים</v>
      </c>
      <c r="H753" t="str">
        <f>_xlfn.CONCAT("https://tablet.otzar.org/",CHAR(35),"/book/146512/p/-1/t/1/fs/0/start/0/end/0/c")</f>
        <v>https://tablet.otzar.org/#/book/146512/p/-1/t/1/fs/0/start/0/end/0/c</v>
      </c>
    </row>
    <row r="754" spans="1:8" x14ac:dyDescent="0.25">
      <c r="A754">
        <v>181102</v>
      </c>
      <c r="B754" t="s">
        <v>1347</v>
      </c>
      <c r="C754" t="s">
        <v>45</v>
      </c>
      <c r="D754" t="s">
        <v>363</v>
      </c>
      <c r="E754" t="s">
        <v>88</v>
      </c>
      <c r="F754" t="s">
        <v>12</v>
      </c>
      <c r="G754" t="str">
        <f>HYPERLINK(_xlfn.CONCAT("https://tablet.otzar.org/",CHAR(35),"/book/181102/p/-1/t/1/fs/0/start/0/end/0/c"),"חובת המחאה")</f>
        <v>חובת המחאה</v>
      </c>
      <c r="H754" t="str">
        <f>_xlfn.CONCAT("https://tablet.otzar.org/",CHAR(35),"/book/181102/p/-1/t/1/fs/0/start/0/end/0/c")</f>
        <v>https://tablet.otzar.org/#/book/181102/p/-1/t/1/fs/0/start/0/end/0/c</v>
      </c>
    </row>
    <row r="755" spans="1:8" x14ac:dyDescent="0.25">
      <c r="A755">
        <v>164360</v>
      </c>
      <c r="B755" t="s">
        <v>1348</v>
      </c>
      <c r="C755" t="s">
        <v>48</v>
      </c>
      <c r="D755" t="s">
        <v>28</v>
      </c>
      <c r="E755" t="s">
        <v>16</v>
      </c>
      <c r="F755" t="s">
        <v>12</v>
      </c>
      <c r="G755" t="str">
        <f>HYPERLINK(_xlfn.CONCAT("https://tablet.otzar.org/",CHAR(35),"/book/164360/p/-1/t/1/fs/0/start/0/end/0/c"),"חודש תשרי בבית חיינו")</f>
        <v>חודש תשרי בבית חיינו</v>
      </c>
      <c r="H755" t="str">
        <f>_xlfn.CONCAT("https://tablet.otzar.org/",CHAR(35),"/book/164360/p/-1/t/1/fs/0/start/0/end/0/c")</f>
        <v>https://tablet.otzar.org/#/book/164360/p/-1/t/1/fs/0/start/0/end/0/c</v>
      </c>
    </row>
    <row r="756" spans="1:8" x14ac:dyDescent="0.25">
      <c r="A756">
        <v>631190</v>
      </c>
      <c r="B756" t="s">
        <v>1349</v>
      </c>
      <c r="C756" t="s">
        <v>1350</v>
      </c>
      <c r="D756" t="s">
        <v>159</v>
      </c>
      <c r="E756" t="s">
        <v>185</v>
      </c>
      <c r="F756" t="s">
        <v>319</v>
      </c>
      <c r="G756" t="str">
        <f>HYPERLINK(_xlfn.CONCAT("https://tablet.otzar.org/",CHAR(35),"/book/631190/p/-1/t/1/fs/0/start/0/end/0/c"),"חוויות בעבודת ה' בספר התניא")</f>
        <v>חוויות בעבודת ה' בספר התניא</v>
      </c>
      <c r="H756" t="str">
        <f>_xlfn.CONCAT("https://tablet.otzar.org/",CHAR(35),"/book/631190/p/-1/t/1/fs/0/start/0/end/0/c")</f>
        <v>https://tablet.otzar.org/#/book/631190/p/-1/t/1/fs/0/start/0/end/0/c</v>
      </c>
    </row>
    <row r="757" spans="1:8" x14ac:dyDescent="0.25">
      <c r="A757">
        <v>27867</v>
      </c>
      <c r="B757" t="s">
        <v>1351</v>
      </c>
      <c r="C757" t="s">
        <v>45</v>
      </c>
      <c r="D757" t="s">
        <v>10</v>
      </c>
      <c r="E757" t="s">
        <v>382</v>
      </c>
      <c r="F757" t="s">
        <v>12</v>
      </c>
      <c r="G757" t="str">
        <f>HYPERLINK(_xlfn.CONCAT("https://tablet.otzar.org/",CHAR(35),"/exKotar/27867"),"חומש - 2 כרכים")</f>
        <v>חומש - 2 כרכים</v>
      </c>
      <c r="H757" t="str">
        <f>_xlfn.CONCAT("https://tablet.otzar.org/",CHAR(35),"/exKotar/27867")</f>
        <v>https://tablet.otzar.org/#/exKotar/27867</v>
      </c>
    </row>
    <row r="758" spans="1:8" x14ac:dyDescent="0.25">
      <c r="A758">
        <v>191902</v>
      </c>
      <c r="B758" t="s">
        <v>1352</v>
      </c>
      <c r="C758" t="s">
        <v>1353</v>
      </c>
      <c r="D758" t="s">
        <v>10</v>
      </c>
      <c r="E758" t="s">
        <v>82</v>
      </c>
      <c r="F758" t="s">
        <v>12</v>
      </c>
      <c r="G758" t="str">
        <f>HYPERLINK(_xlfn.CONCAT("https://tablet.otzar.org/",CHAR(35),"/book/191902/p/-1/t/1/fs/0/start/0/end/0/c"),"חותמו של מלך")</f>
        <v>חותמו של מלך</v>
      </c>
      <c r="H758" t="str">
        <f>_xlfn.CONCAT("https://tablet.otzar.org/",CHAR(35),"/book/191902/p/-1/t/1/fs/0/start/0/end/0/c")</f>
        <v>https://tablet.otzar.org/#/book/191902/p/-1/t/1/fs/0/start/0/end/0/c</v>
      </c>
    </row>
    <row r="759" spans="1:8" x14ac:dyDescent="0.25">
      <c r="A759">
        <v>607865</v>
      </c>
      <c r="B759" t="s">
        <v>1354</v>
      </c>
      <c r="C759" t="s">
        <v>14</v>
      </c>
      <c r="D759" t="s">
        <v>37</v>
      </c>
      <c r="E759" t="s">
        <v>99</v>
      </c>
      <c r="F759" t="s">
        <v>163</v>
      </c>
      <c r="G759" t="str">
        <f>HYPERLINK(_xlfn.CONCAT("https://tablet.otzar.org/",CHAR(35),"/book/607865/p/-1/t/1/fs/0/start/0/end/0/c"),"חזון למועד")</f>
        <v>חזון למועד</v>
      </c>
      <c r="H759" t="str">
        <f>_xlfn.CONCAT("https://tablet.otzar.org/",CHAR(35),"/book/607865/p/-1/t/1/fs/0/start/0/end/0/c")</f>
        <v>https://tablet.otzar.org/#/book/607865/p/-1/t/1/fs/0/start/0/end/0/c</v>
      </c>
    </row>
    <row r="760" spans="1:8" x14ac:dyDescent="0.25">
      <c r="A760">
        <v>635054</v>
      </c>
      <c r="B760" t="s">
        <v>1355</v>
      </c>
      <c r="C760" t="s">
        <v>45</v>
      </c>
      <c r="D760" t="s">
        <v>15</v>
      </c>
      <c r="E760" t="s">
        <v>185</v>
      </c>
      <c r="F760" t="s">
        <v>12</v>
      </c>
      <c r="G760" t="str">
        <f>HYPERLINK(_xlfn.CONCAT("https://tablet.otzar.org/",CHAR(35),"/book/635054/p/-1/t/1/fs/0/start/0/end/0/c"),"חידושה של תורה החסידות")</f>
        <v>חידושה של תורה החסידות</v>
      </c>
      <c r="H760" t="str">
        <f>_xlfn.CONCAT("https://tablet.otzar.org/",CHAR(35),"/book/635054/p/-1/t/1/fs/0/start/0/end/0/c")</f>
        <v>https://tablet.otzar.org/#/book/635054/p/-1/t/1/fs/0/start/0/end/0/c</v>
      </c>
    </row>
    <row r="761" spans="1:8" x14ac:dyDescent="0.25">
      <c r="A761">
        <v>639915</v>
      </c>
      <c r="B761" t="s">
        <v>1356</v>
      </c>
      <c r="C761" t="s">
        <v>61</v>
      </c>
      <c r="D761" t="s">
        <v>15</v>
      </c>
      <c r="E761" t="s">
        <v>185</v>
      </c>
      <c r="F761" t="s">
        <v>12</v>
      </c>
      <c r="G761" t="str">
        <f>HYPERLINK(_xlfn.CONCAT("https://tablet.otzar.org/",CHAR(35),"/book/639915/p/-1/t/1/fs/0/start/0/end/0/c"),"חידושי צמח צדק על הש""""ס - ליקוט סוגיות")</f>
        <v>חידושי צמח צדק על הש""ס - ליקוט סוגיות</v>
      </c>
      <c r="H761" t="str">
        <f>_xlfn.CONCAT("https://tablet.otzar.org/",CHAR(35),"/book/639915/p/-1/t/1/fs/0/start/0/end/0/c")</f>
        <v>https://tablet.otzar.org/#/book/639915/p/-1/t/1/fs/0/start/0/end/0/c</v>
      </c>
    </row>
    <row r="762" spans="1:8" x14ac:dyDescent="0.25">
      <c r="A762">
        <v>143279</v>
      </c>
      <c r="B762" t="s">
        <v>1357</v>
      </c>
      <c r="C762" t="s">
        <v>45</v>
      </c>
      <c r="D762" t="s">
        <v>10</v>
      </c>
      <c r="E762" t="s">
        <v>260</v>
      </c>
      <c r="F762" t="s">
        <v>883</v>
      </c>
      <c r="G762" t="str">
        <f>HYPERLINK(_xlfn.CONCAT("https://tablet.otzar.org/",CHAR(35),"/exKotar/143279"),"חידושים וביאורים במסכת גיטין - 3 כרכים")</f>
        <v>חידושים וביאורים במסכת גיטין - 3 כרכים</v>
      </c>
      <c r="H762" t="str">
        <f>_xlfn.CONCAT("https://tablet.otzar.org/",CHAR(35),"/exKotar/143279")</f>
        <v>https://tablet.otzar.org/#/exKotar/143279</v>
      </c>
    </row>
    <row r="763" spans="1:8" x14ac:dyDescent="0.25">
      <c r="A763">
        <v>143328</v>
      </c>
      <c r="B763" t="s">
        <v>1358</v>
      </c>
      <c r="C763" t="s">
        <v>45</v>
      </c>
      <c r="D763" t="s">
        <v>10</v>
      </c>
      <c r="E763" t="s">
        <v>66</v>
      </c>
      <c r="F763" t="s">
        <v>883</v>
      </c>
      <c r="G763" t="str">
        <f>HYPERLINK(_xlfn.CONCAT("https://tablet.otzar.org/",CHAR(35),"/book/143328/p/-1/t/1/fs/0/start/0/end/0/c"),"חידושים וביאורים במסכת שבת")</f>
        <v>חידושים וביאורים במסכת שבת</v>
      </c>
      <c r="H763" t="str">
        <f>_xlfn.CONCAT("https://tablet.otzar.org/",CHAR(35),"/book/143328/p/-1/t/1/fs/0/start/0/end/0/c")</f>
        <v>https://tablet.otzar.org/#/book/143328/p/-1/t/1/fs/0/start/0/end/0/c</v>
      </c>
    </row>
    <row r="764" spans="1:8" x14ac:dyDescent="0.25">
      <c r="A764">
        <v>141524</v>
      </c>
      <c r="B764" t="s">
        <v>1359</v>
      </c>
      <c r="C764" t="s">
        <v>45</v>
      </c>
      <c r="D764" t="s">
        <v>28</v>
      </c>
      <c r="E764" t="s">
        <v>250</v>
      </c>
      <c r="F764" t="s">
        <v>12</v>
      </c>
      <c r="G764" t="str">
        <f>HYPERLINK(_xlfn.CONCAT("https://tablet.otzar.org/",CHAR(35),"/book/141524/p/-1/t/1/fs/0/start/0/end/0/c"),"חידושים וביאורים בעניני קידושין ונישואין")</f>
        <v>חידושים וביאורים בעניני קידושין ונישואין</v>
      </c>
      <c r="H764" t="str">
        <f>_xlfn.CONCAT("https://tablet.otzar.org/",CHAR(35),"/book/141524/p/-1/t/1/fs/0/start/0/end/0/c")</f>
        <v>https://tablet.otzar.org/#/book/141524/p/-1/t/1/fs/0/start/0/end/0/c</v>
      </c>
    </row>
    <row r="765" spans="1:8" x14ac:dyDescent="0.25">
      <c r="A765">
        <v>28797</v>
      </c>
      <c r="B765" t="s">
        <v>1360</v>
      </c>
      <c r="C765" t="s">
        <v>45</v>
      </c>
      <c r="D765" t="s">
        <v>10</v>
      </c>
      <c r="E765" t="s">
        <v>107</v>
      </c>
      <c r="F765" t="s">
        <v>12</v>
      </c>
      <c r="G765" t="str">
        <f>HYPERLINK(_xlfn.CONCAT("https://tablet.otzar.org/",CHAR(35),"/exKotar/28797"),"חידושים וביאורים בש""""ס ובדברי הרמב""""ם - 3 כרכים")</f>
        <v>חידושים וביאורים בש""ס ובדברי הרמב""ם - 3 כרכים</v>
      </c>
      <c r="H765" t="str">
        <f>_xlfn.CONCAT("https://tablet.otzar.org/",CHAR(35),"/exKotar/28797")</f>
        <v>https://tablet.otzar.org/#/exKotar/28797</v>
      </c>
    </row>
    <row r="766" spans="1:8" x14ac:dyDescent="0.25">
      <c r="A766">
        <v>145937</v>
      </c>
      <c r="B766" t="s">
        <v>1361</v>
      </c>
      <c r="C766" t="s">
        <v>45</v>
      </c>
      <c r="D766" t="s">
        <v>10</v>
      </c>
      <c r="E766" t="s">
        <v>346</v>
      </c>
      <c r="F766" t="s">
        <v>201</v>
      </c>
      <c r="G766" t="str">
        <f>HYPERLINK(_xlfn.CONCAT("https://tablet.otzar.org/",CHAR(35),"/exKotar/145937"),"חידושים וביאורים על התורה - 4 כרכים")</f>
        <v>חידושים וביאורים על התורה - 4 כרכים</v>
      </c>
      <c r="H766" t="str">
        <f>_xlfn.CONCAT("https://tablet.otzar.org/",CHAR(35),"/exKotar/145937")</f>
        <v>https://tablet.otzar.org/#/exKotar/145937</v>
      </c>
    </row>
    <row r="767" spans="1:8" x14ac:dyDescent="0.25">
      <c r="A767">
        <v>142740</v>
      </c>
      <c r="B767" t="s">
        <v>1362</v>
      </c>
      <c r="C767" t="s">
        <v>1363</v>
      </c>
      <c r="D767" t="s">
        <v>1364</v>
      </c>
      <c r="E767" t="s">
        <v>181</v>
      </c>
      <c r="F767" t="s">
        <v>12</v>
      </c>
      <c r="G767" t="str">
        <f>HYPERLINK(_xlfn.CONCAT("https://tablet.otzar.org/",CHAR(35),"/book/142740/p/-1/t/1/fs/0/start/0/end/0/c"),"חידושים והערות בנגלה ובחסידות - ה")</f>
        <v>חידושים והערות בנגלה ובחסידות - ה</v>
      </c>
      <c r="H767" t="str">
        <f>_xlfn.CONCAT("https://tablet.otzar.org/",CHAR(35),"/book/142740/p/-1/t/1/fs/0/start/0/end/0/c")</f>
        <v>https://tablet.otzar.org/#/book/142740/p/-1/t/1/fs/0/start/0/end/0/c</v>
      </c>
    </row>
    <row r="768" spans="1:8" x14ac:dyDescent="0.25">
      <c r="A768">
        <v>160643</v>
      </c>
      <c r="B768" t="s">
        <v>1365</v>
      </c>
      <c r="C768" t="s">
        <v>1366</v>
      </c>
      <c r="D768" t="s">
        <v>738</v>
      </c>
      <c r="E768" t="s">
        <v>382</v>
      </c>
      <c r="F768" t="s">
        <v>12</v>
      </c>
      <c r="G768" t="str">
        <f>HYPERLINK(_xlfn.CONCAT("https://tablet.otzar.org/",CHAR(35),"/exKotar/160643"),"חידושים והערות בנגלה ובחסידות - 2 כרכים")</f>
        <v>חידושים והערות בנגלה ובחסידות - 2 כרכים</v>
      </c>
      <c r="H768" t="str">
        <f>_xlfn.CONCAT("https://tablet.otzar.org/",CHAR(35),"/exKotar/160643")</f>
        <v>https://tablet.otzar.org/#/exKotar/160643</v>
      </c>
    </row>
    <row r="769" spans="1:8" x14ac:dyDescent="0.25">
      <c r="A769">
        <v>145795</v>
      </c>
      <c r="B769" t="s">
        <v>1367</v>
      </c>
      <c r="C769" t="s">
        <v>1368</v>
      </c>
      <c r="D769" t="s">
        <v>37</v>
      </c>
      <c r="E769" t="s">
        <v>107</v>
      </c>
      <c r="F769" t="s">
        <v>251</v>
      </c>
      <c r="G769" t="str">
        <f>HYPERLINK(_xlfn.CONCAT("https://tablet.otzar.org/",CHAR(35),"/exKotar/145795"),"חידושים והערות בנגלה ובחסידות - 7 כרכים")</f>
        <v>חידושים והערות בנגלה ובחסידות - 7 כרכים</v>
      </c>
      <c r="H769" t="str">
        <f>_xlfn.CONCAT("https://tablet.otzar.org/",CHAR(35),"/exKotar/145795")</f>
        <v>https://tablet.otzar.org/#/exKotar/145795</v>
      </c>
    </row>
    <row r="770" spans="1:8" x14ac:dyDescent="0.25">
      <c r="A770">
        <v>27581</v>
      </c>
      <c r="B770" t="s">
        <v>1369</v>
      </c>
      <c r="C770" t="s">
        <v>45</v>
      </c>
      <c r="D770" t="s">
        <v>10</v>
      </c>
      <c r="E770" t="s">
        <v>217</v>
      </c>
      <c r="F770" t="s">
        <v>12</v>
      </c>
      <c r="G770" t="str">
        <f>HYPERLINK(_xlfn.CONCAT("https://tablet.otzar.org/",CHAR(35),"/book/27581/p/-1/t/1/fs/0/start/0/end/0/c"),"חידושים והערות על מסכת כתובות")</f>
        <v>חידושים והערות על מסכת כתובות</v>
      </c>
      <c r="H770" t="str">
        <f>_xlfn.CONCAT("https://tablet.otzar.org/",CHAR(35),"/book/27581/p/-1/t/1/fs/0/start/0/end/0/c")</f>
        <v>https://tablet.otzar.org/#/book/27581/p/-1/t/1/fs/0/start/0/end/0/c</v>
      </c>
    </row>
    <row r="771" spans="1:8" x14ac:dyDescent="0.25">
      <c r="A771">
        <v>141340</v>
      </c>
      <c r="B771" t="s">
        <v>1370</v>
      </c>
      <c r="C771" t="s">
        <v>1371</v>
      </c>
      <c r="D771" t="s">
        <v>28</v>
      </c>
      <c r="E771" t="s">
        <v>382</v>
      </c>
      <c r="F771" t="s">
        <v>12</v>
      </c>
      <c r="G771" t="str">
        <f>HYPERLINK(_xlfn.CONCAT("https://tablet.otzar.org/",CHAR(35),"/book/141340/p/-1/t/1/fs/0/start/0/end/0/c"),"חידושים ורעיונות")</f>
        <v>חידושים ורעיונות</v>
      </c>
      <c r="H771" t="str">
        <f>_xlfn.CONCAT("https://tablet.otzar.org/",CHAR(35),"/book/141340/p/-1/t/1/fs/0/start/0/end/0/c")</f>
        <v>https://tablet.otzar.org/#/book/141340/p/-1/t/1/fs/0/start/0/end/0/c</v>
      </c>
    </row>
    <row r="772" spans="1:8" x14ac:dyDescent="0.25">
      <c r="A772">
        <v>146336</v>
      </c>
      <c r="B772" t="s">
        <v>1372</v>
      </c>
      <c r="C772" t="s">
        <v>45</v>
      </c>
      <c r="D772" t="s">
        <v>10</v>
      </c>
      <c r="E772" t="s">
        <v>217</v>
      </c>
      <c r="F772" t="s">
        <v>12</v>
      </c>
      <c r="G772" t="str">
        <f>HYPERLINK(_xlfn.CONCAT("https://tablet.otzar.org/",CHAR(35),"/book/146336/p/-1/t/1/fs/0/start/0/end/0/c"),"חיי הצדיק במשנת החסידות")</f>
        <v>חיי הצדיק במשנת החסידות</v>
      </c>
      <c r="H772" t="str">
        <f>_xlfn.CONCAT("https://tablet.otzar.org/",CHAR(35),"/book/146336/p/-1/t/1/fs/0/start/0/end/0/c")</f>
        <v>https://tablet.otzar.org/#/book/146336/p/-1/t/1/fs/0/start/0/end/0/c</v>
      </c>
    </row>
    <row r="773" spans="1:8" x14ac:dyDescent="0.25">
      <c r="A773">
        <v>28768</v>
      </c>
      <c r="B773" t="s">
        <v>1373</v>
      </c>
      <c r="C773" t="s">
        <v>1374</v>
      </c>
      <c r="D773" t="s">
        <v>10</v>
      </c>
      <c r="E773" t="s">
        <v>29</v>
      </c>
      <c r="F773" t="s">
        <v>12</v>
      </c>
      <c r="G773" t="str">
        <f>HYPERLINK(_xlfn.CONCAT("https://tablet.otzar.org/",CHAR(35),"/book/28768/p/-1/t/1/fs/0/start/0/end/0/c"),"חייל בשרות הרבי")</f>
        <v>חייל בשרות הרבי</v>
      </c>
      <c r="H773" t="str">
        <f>_xlfn.CONCAT("https://tablet.otzar.org/",CHAR(35),"/book/28768/p/-1/t/1/fs/0/start/0/end/0/c")</f>
        <v>https://tablet.otzar.org/#/book/28768/p/-1/t/1/fs/0/start/0/end/0/c</v>
      </c>
    </row>
    <row r="774" spans="1:8" x14ac:dyDescent="0.25">
      <c r="A774">
        <v>27348</v>
      </c>
      <c r="B774" t="s">
        <v>1375</v>
      </c>
      <c r="C774" t="s">
        <v>125</v>
      </c>
      <c r="D774" t="s">
        <v>882</v>
      </c>
      <c r="E774" t="s">
        <v>181</v>
      </c>
      <c r="F774" t="s">
        <v>12</v>
      </c>
      <c r="G774" t="str">
        <f>HYPERLINK(_xlfn.CONCAT("https://tablet.otzar.org/",CHAR(35),"/book/27348/p/-1/t/1/fs/0/start/0/end/0/c"),"חיילי המלך")</f>
        <v>חיילי המלך</v>
      </c>
      <c r="H774" t="str">
        <f>_xlfn.CONCAT("https://tablet.otzar.org/",CHAR(35),"/book/27348/p/-1/t/1/fs/0/start/0/end/0/c")</f>
        <v>https://tablet.otzar.org/#/book/27348/p/-1/t/1/fs/0/start/0/end/0/c</v>
      </c>
    </row>
    <row r="775" spans="1:8" x14ac:dyDescent="0.25">
      <c r="A775">
        <v>635050</v>
      </c>
      <c r="B775" t="s">
        <v>1376</v>
      </c>
      <c r="C775" t="s">
        <v>1377</v>
      </c>
      <c r="D775" t="s">
        <v>15</v>
      </c>
      <c r="E775" t="s">
        <v>185</v>
      </c>
      <c r="F775" t="s">
        <v>25</v>
      </c>
      <c r="G775" t="str">
        <f>HYPERLINK(_xlfn.CONCAT("https://tablet.otzar.org/",CHAR(35),"/book/635050/p/-1/t/1/fs/0/start/0/end/0/c"),"חיים שאל")</f>
        <v>חיים שאל</v>
      </c>
      <c r="H775" t="str">
        <f>_xlfn.CONCAT("https://tablet.otzar.org/",CHAR(35),"/book/635050/p/-1/t/1/fs/0/start/0/end/0/c")</f>
        <v>https://tablet.otzar.org/#/book/635050/p/-1/t/1/fs/0/start/0/end/0/c</v>
      </c>
    </row>
    <row r="776" spans="1:8" x14ac:dyDescent="0.25">
      <c r="A776">
        <v>614913</v>
      </c>
      <c r="B776" t="s">
        <v>1378</v>
      </c>
      <c r="C776" t="s">
        <v>1289</v>
      </c>
      <c r="D776" t="s">
        <v>15</v>
      </c>
      <c r="E776" t="s">
        <v>49</v>
      </c>
      <c r="G776" t="str">
        <f>HYPERLINK(_xlfn.CONCAT("https://tablet.otzar.org/",CHAR(35),"/book/614913/p/-1/t/1/fs/0/start/0/end/0/c"),"חיים של חסד")</f>
        <v>חיים של חסד</v>
      </c>
      <c r="H776" t="str">
        <f>_xlfn.CONCAT("https://tablet.otzar.org/",CHAR(35),"/book/614913/p/-1/t/1/fs/0/start/0/end/0/c")</f>
        <v>https://tablet.otzar.org/#/book/614913/p/-1/t/1/fs/0/start/0/end/0/c</v>
      </c>
    </row>
    <row r="777" spans="1:8" x14ac:dyDescent="0.25">
      <c r="A777">
        <v>27555</v>
      </c>
      <c r="B777" t="s">
        <v>1379</v>
      </c>
      <c r="C777" t="s">
        <v>1380</v>
      </c>
      <c r="D777" t="s">
        <v>10</v>
      </c>
      <c r="E777" t="s">
        <v>29</v>
      </c>
      <c r="F777" t="s">
        <v>12</v>
      </c>
      <c r="G777" t="str">
        <f>HYPERLINK(_xlfn.CONCAT("https://tablet.otzar.org/",CHAR(35),"/book/27555/p/-1/t/1/fs/0/start/0/end/0/c"),"חינוך למעשה")</f>
        <v>חינוך למעשה</v>
      </c>
      <c r="H777" t="str">
        <f>_xlfn.CONCAT("https://tablet.otzar.org/",CHAR(35),"/book/27555/p/-1/t/1/fs/0/start/0/end/0/c")</f>
        <v>https://tablet.otzar.org/#/book/27555/p/-1/t/1/fs/0/start/0/end/0/c</v>
      </c>
    </row>
    <row r="778" spans="1:8" x14ac:dyDescent="0.25">
      <c r="A778">
        <v>140839</v>
      </c>
      <c r="B778" t="s">
        <v>1381</v>
      </c>
      <c r="C778" t="s">
        <v>465</v>
      </c>
      <c r="D778" t="s">
        <v>191</v>
      </c>
      <c r="E778" t="s">
        <v>69</v>
      </c>
      <c r="F778" t="s">
        <v>12</v>
      </c>
      <c r="G778" t="str">
        <f>HYPERLINK(_xlfn.CONCAT("https://tablet.otzar.org/",CHAR(35),"/book/140839/p/-1/t/1/fs/0/start/0/end/0/c"),"חכם שמואל")</f>
        <v>חכם שמואל</v>
      </c>
      <c r="H778" t="str">
        <f>_xlfn.CONCAT("https://tablet.otzar.org/",CHAR(35),"/book/140839/p/-1/t/1/fs/0/start/0/end/0/c")</f>
        <v>https://tablet.otzar.org/#/book/140839/p/-1/t/1/fs/0/start/0/end/0/c</v>
      </c>
    </row>
    <row r="779" spans="1:8" x14ac:dyDescent="0.25">
      <c r="A779">
        <v>643289</v>
      </c>
      <c r="B779" t="s">
        <v>1382</v>
      </c>
      <c r="C779" t="s">
        <v>1383</v>
      </c>
      <c r="D779" t="s">
        <v>23</v>
      </c>
      <c r="E779" t="s">
        <v>24</v>
      </c>
      <c r="F779" t="s">
        <v>12</v>
      </c>
      <c r="G779" t="str">
        <f>HYPERLINK(_xlfn.CONCAT("https://tablet.otzar.org/",CHAR(35),"/book/643289/p/-1/t/1/fs/0/start/0/end/0/c"),"חכמה יומית ב")</f>
        <v>חכמה יומית ב</v>
      </c>
      <c r="H779" t="str">
        <f>_xlfn.CONCAT("https://tablet.otzar.org/",CHAR(35),"/book/643289/p/-1/t/1/fs/0/start/0/end/0/c")</f>
        <v>https://tablet.otzar.org/#/book/643289/p/-1/t/1/fs/0/start/0/end/0/c</v>
      </c>
    </row>
    <row r="780" spans="1:8" x14ac:dyDescent="0.25">
      <c r="A780">
        <v>26967</v>
      </c>
      <c r="B780" t="s">
        <v>1384</v>
      </c>
      <c r="C780" t="s">
        <v>1385</v>
      </c>
      <c r="D780" t="s">
        <v>37</v>
      </c>
      <c r="E780" t="s">
        <v>129</v>
      </c>
      <c r="F780" t="s">
        <v>12</v>
      </c>
      <c r="G780" t="str">
        <f>HYPERLINK(_xlfn.CONCAT("https://tablet.otzar.org/",CHAR(35),"/book/26967/p/-1/t/1/fs/0/start/0/end/0/c"),"חכמת הטהרה")</f>
        <v>חכמת הטהרה</v>
      </c>
      <c r="H780" t="str">
        <f>_xlfn.CONCAT("https://tablet.otzar.org/",CHAR(35),"/book/26967/p/-1/t/1/fs/0/start/0/end/0/c")</f>
        <v>https://tablet.otzar.org/#/book/26967/p/-1/t/1/fs/0/start/0/end/0/c</v>
      </c>
    </row>
    <row r="781" spans="1:8" x14ac:dyDescent="0.25">
      <c r="A781">
        <v>27039</v>
      </c>
      <c r="B781" t="s">
        <v>1386</v>
      </c>
      <c r="C781" t="s">
        <v>1387</v>
      </c>
      <c r="D781" t="s">
        <v>37</v>
      </c>
      <c r="E781" t="s">
        <v>29</v>
      </c>
      <c r="F781" t="s">
        <v>12</v>
      </c>
      <c r="G781" t="str">
        <f>HYPERLINK(_xlfn.CONCAT("https://tablet.otzar.org/",CHAR(35),"/book/27039/p/-1/t/1/fs/0/start/0/end/0/c"),"חכמת לבה של נחמה גרייזמאן")</f>
        <v>חכמת לבה של נחמה גרייזמאן</v>
      </c>
      <c r="H781" t="str">
        <f>_xlfn.CONCAT("https://tablet.otzar.org/",CHAR(35),"/book/27039/p/-1/t/1/fs/0/start/0/end/0/c")</f>
        <v>https://tablet.otzar.org/#/book/27039/p/-1/t/1/fs/0/start/0/end/0/c</v>
      </c>
    </row>
    <row r="782" spans="1:8" x14ac:dyDescent="0.25">
      <c r="A782">
        <v>27554</v>
      </c>
      <c r="B782" t="s">
        <v>1388</v>
      </c>
      <c r="C782" t="s">
        <v>1047</v>
      </c>
      <c r="D782" t="s">
        <v>28</v>
      </c>
      <c r="E782" t="s">
        <v>91</v>
      </c>
      <c r="F782" t="s">
        <v>12</v>
      </c>
      <c r="G782" t="str">
        <f>HYPERLINK(_xlfn.CONCAT("https://tablet.otzar.org/",CHAR(35),"/book/27554/p/-1/t/1/fs/0/start/0/end/0/c"),"חכמת נשים בנתה ביתה")</f>
        <v>חכמת נשים בנתה ביתה</v>
      </c>
      <c r="H782" t="str">
        <f>_xlfn.CONCAT("https://tablet.otzar.org/",CHAR(35),"/book/27554/p/-1/t/1/fs/0/start/0/end/0/c")</f>
        <v>https://tablet.otzar.org/#/book/27554/p/-1/t/1/fs/0/start/0/end/0/c</v>
      </c>
    </row>
    <row r="783" spans="1:8" x14ac:dyDescent="0.25">
      <c r="A783">
        <v>613916</v>
      </c>
      <c r="B783" t="s">
        <v>1389</v>
      </c>
      <c r="C783" t="s">
        <v>1390</v>
      </c>
      <c r="D783" t="s">
        <v>28</v>
      </c>
      <c r="E783" t="s">
        <v>115</v>
      </c>
      <c r="F783" t="s">
        <v>12</v>
      </c>
      <c r="G783" t="str">
        <f>HYPERLINK(_xlfn.CONCAT("https://tablet.otzar.org/",CHAR(35),"/book/613916/p/-1/t/1/fs/0/start/0/end/0/c"),"חלקי ה' אמרה נפשי")</f>
        <v>חלקי ה' אמרה נפשי</v>
      </c>
      <c r="H783" t="str">
        <f>_xlfn.CONCAT("https://tablet.otzar.org/",CHAR(35),"/book/613916/p/-1/t/1/fs/0/start/0/end/0/c")</f>
        <v>https://tablet.otzar.org/#/book/613916/p/-1/t/1/fs/0/start/0/end/0/c</v>
      </c>
    </row>
    <row r="784" spans="1:8" x14ac:dyDescent="0.25">
      <c r="A784">
        <v>146159</v>
      </c>
      <c r="B784" t="s">
        <v>1391</v>
      </c>
      <c r="C784" t="s">
        <v>125</v>
      </c>
      <c r="D784" t="s">
        <v>859</v>
      </c>
      <c r="E784" t="s">
        <v>217</v>
      </c>
      <c r="F784" t="s">
        <v>12</v>
      </c>
      <c r="G784" t="str">
        <f>HYPERLINK(_xlfn.CONCAT("https://tablet.otzar.org/",CHAR(35),"/book/146159/p/-1/t/1/fs/0/start/0/end/0/c"),"חמישים לחמישים")</f>
        <v>חמישים לחמישים</v>
      </c>
      <c r="H784" t="str">
        <f>_xlfn.CONCAT("https://tablet.otzar.org/",CHAR(35),"/book/146159/p/-1/t/1/fs/0/start/0/end/0/c")</f>
        <v>https://tablet.otzar.org/#/book/146159/p/-1/t/1/fs/0/start/0/end/0/c</v>
      </c>
    </row>
    <row r="785" spans="1:8" x14ac:dyDescent="0.25">
      <c r="A785">
        <v>28819</v>
      </c>
      <c r="B785" t="s">
        <v>1392</v>
      </c>
      <c r="C785" t="s">
        <v>45</v>
      </c>
      <c r="D785" t="s">
        <v>10</v>
      </c>
      <c r="E785" t="s">
        <v>192</v>
      </c>
      <c r="F785" t="s">
        <v>12</v>
      </c>
      <c r="G785" t="str">
        <f>HYPERLINK(_xlfn.CONCAT("https://tablet.otzar.org/",CHAR(35),"/book/28819/p/-1/t/1/fs/0/start/0/end/0/c"),"חמשה חומשי תורה - חבד")</f>
        <v>חמשה חומשי תורה - חבד</v>
      </c>
      <c r="H785" t="str">
        <f>_xlfn.CONCAT("https://tablet.otzar.org/",CHAR(35),"/book/28819/p/-1/t/1/fs/0/start/0/end/0/c")</f>
        <v>https://tablet.otzar.org/#/book/28819/p/-1/t/1/fs/0/start/0/end/0/c</v>
      </c>
    </row>
    <row r="786" spans="1:8" x14ac:dyDescent="0.25">
      <c r="A786">
        <v>607774</v>
      </c>
      <c r="B786" t="s">
        <v>1393</v>
      </c>
      <c r="C786" t="s">
        <v>1394</v>
      </c>
      <c r="D786" t="s">
        <v>10</v>
      </c>
      <c r="E786" t="s">
        <v>19</v>
      </c>
      <c r="F786" t="s">
        <v>208</v>
      </c>
      <c r="G786" t="str">
        <f>HYPERLINK(_xlfn.CONCAT("https://tablet.otzar.org/",CHAR(35),"/book/607774/p/-1/t/1/fs/0/start/0/end/0/c"),"חמשה חומשי תורה (תרגום ופירוש באנגלית)")</f>
        <v>חמשה חומשי תורה (תרגום ופירוש באנגלית)</v>
      </c>
      <c r="H786" t="str">
        <f>_xlfn.CONCAT("https://tablet.otzar.org/",CHAR(35),"/book/607774/p/-1/t/1/fs/0/start/0/end/0/c")</f>
        <v>https://tablet.otzar.org/#/book/607774/p/-1/t/1/fs/0/start/0/end/0/c</v>
      </c>
    </row>
    <row r="787" spans="1:8" x14ac:dyDescent="0.25">
      <c r="A787">
        <v>29327</v>
      </c>
      <c r="B787" t="s">
        <v>1395</v>
      </c>
      <c r="C787" t="s">
        <v>45</v>
      </c>
      <c r="D787" t="s">
        <v>10</v>
      </c>
      <c r="E787" t="s">
        <v>174</v>
      </c>
      <c r="F787" t="s">
        <v>12</v>
      </c>
      <c r="G787" t="str">
        <f>HYPERLINK(_xlfn.CONCAT("https://tablet.otzar.org/",CHAR(35),"/exKotar/29327"),"חמשה חומשי תורה ע""""פ אור מנחם - 2 כרכים")</f>
        <v>חמשה חומשי תורה ע""פ אור מנחם - 2 כרכים</v>
      </c>
      <c r="H787" t="str">
        <f>_xlfn.CONCAT("https://tablet.otzar.org/",CHAR(35),"/exKotar/29327")</f>
        <v>https://tablet.otzar.org/#/exKotar/29327</v>
      </c>
    </row>
    <row r="788" spans="1:8" x14ac:dyDescent="0.25">
      <c r="A788">
        <v>28825</v>
      </c>
      <c r="B788" t="s">
        <v>1396</v>
      </c>
      <c r="C788" t="s">
        <v>45</v>
      </c>
      <c r="D788" t="s">
        <v>10</v>
      </c>
      <c r="E788" t="s">
        <v>382</v>
      </c>
      <c r="F788" t="s">
        <v>12</v>
      </c>
      <c r="G788" t="str">
        <f>HYPERLINK(_xlfn.CONCAT("https://tablet.otzar.org/",CHAR(35),"/exKotar/28825"),"חמשה חומשי תורה עם פירוש אנגלי - 5 כרכים")</f>
        <v>חמשה חומשי תורה עם פירוש אנגלי - 5 כרכים</v>
      </c>
      <c r="H788" t="str">
        <f>_xlfn.CONCAT("https://tablet.otzar.org/",CHAR(35),"/exKotar/28825")</f>
        <v>https://tablet.otzar.org/#/exKotar/28825</v>
      </c>
    </row>
    <row r="789" spans="1:8" x14ac:dyDescent="0.25">
      <c r="A789">
        <v>142717</v>
      </c>
      <c r="B789" t="s">
        <v>1397</v>
      </c>
      <c r="C789" t="s">
        <v>1398</v>
      </c>
      <c r="D789" t="s">
        <v>37</v>
      </c>
      <c r="E789" t="s">
        <v>60</v>
      </c>
      <c r="F789" t="s">
        <v>12</v>
      </c>
      <c r="G789" t="str">
        <f>HYPERLINK(_xlfn.CONCAT("https://tablet.otzar.org/",CHAR(35),"/book/142717/p/-1/t/1/fs/0/start/0/end/0/c"),"חמשה חומשי תורה עם תורת מנחם - א")</f>
        <v>חמשה חומשי תורה עם תורת מנחם - א</v>
      </c>
      <c r="H789" t="str">
        <f>_xlfn.CONCAT("https://tablet.otzar.org/",CHAR(35),"/book/142717/p/-1/t/1/fs/0/start/0/end/0/c")</f>
        <v>https://tablet.otzar.org/#/book/142717/p/-1/t/1/fs/0/start/0/end/0/c</v>
      </c>
    </row>
    <row r="790" spans="1:8" x14ac:dyDescent="0.25">
      <c r="A790">
        <v>27017</v>
      </c>
      <c r="B790" t="s">
        <v>1399</v>
      </c>
      <c r="C790" t="s">
        <v>68</v>
      </c>
      <c r="D790" t="s">
        <v>15</v>
      </c>
      <c r="E790" t="s">
        <v>260</v>
      </c>
      <c r="F790" t="s">
        <v>12</v>
      </c>
      <c r="G790" t="str">
        <f>HYPERLINK(_xlfn.CONCAT("https://tablet.otzar.org/",CHAR(35),"/book/27017/p/-1/t/1/fs/0/start/0/end/0/c"),"חנוך לנער")</f>
        <v>חנוך לנער</v>
      </c>
      <c r="H790" t="str">
        <f>_xlfn.CONCAT("https://tablet.otzar.org/",CHAR(35),"/book/27017/p/-1/t/1/fs/0/start/0/end/0/c")</f>
        <v>https://tablet.otzar.org/#/book/27017/p/-1/t/1/fs/0/start/0/end/0/c</v>
      </c>
    </row>
    <row r="791" spans="1:8" x14ac:dyDescent="0.25">
      <c r="A791">
        <v>626849</v>
      </c>
      <c r="B791" t="s">
        <v>1400</v>
      </c>
      <c r="C791" t="s">
        <v>102</v>
      </c>
      <c r="D791" t="s">
        <v>15</v>
      </c>
      <c r="E791" t="s">
        <v>1401</v>
      </c>
      <c r="F791" t="s">
        <v>1402</v>
      </c>
      <c r="G791" t="str">
        <f>HYPERLINK(_xlfn.CONCAT("https://tablet.otzar.org/",CHAR(35),"/exKotar/626849"),"חסדי דוד הנאמנים - 12 כרכים")</f>
        <v>חסדי דוד הנאמנים - 12 כרכים</v>
      </c>
      <c r="H791" t="str">
        <f>_xlfn.CONCAT("https://tablet.otzar.org/",CHAR(35),"/exKotar/626849")</f>
        <v>https://tablet.otzar.org/#/exKotar/626849</v>
      </c>
    </row>
    <row r="792" spans="1:8" x14ac:dyDescent="0.25">
      <c r="A792">
        <v>181506</v>
      </c>
      <c r="B792" t="s">
        <v>1403</v>
      </c>
      <c r="C792" t="s">
        <v>402</v>
      </c>
      <c r="D792" t="s">
        <v>37</v>
      </c>
      <c r="E792" t="s">
        <v>88</v>
      </c>
      <c r="F792" t="s">
        <v>20</v>
      </c>
      <c r="G792" t="str">
        <f>HYPERLINK(_xlfn.CONCAT("https://tablet.otzar.org/",CHAR(35),"/book/181506/p/-1/t/1/fs/0/start/0/end/0/c"),"חסיד במעשיו - ר' זלמן יואל לבנהרץ")</f>
        <v>חסיד במעשיו - ר' זלמן יואל לבנהרץ</v>
      </c>
      <c r="H792" t="str">
        <f>_xlfn.CONCAT("https://tablet.otzar.org/",CHAR(35),"/book/181506/p/-1/t/1/fs/0/start/0/end/0/c")</f>
        <v>https://tablet.otzar.org/#/book/181506/p/-1/t/1/fs/0/start/0/end/0/c</v>
      </c>
    </row>
    <row r="793" spans="1:8" x14ac:dyDescent="0.25">
      <c r="A793">
        <v>143247</v>
      </c>
      <c r="B793" t="s">
        <v>1404</v>
      </c>
      <c r="C793" t="s">
        <v>402</v>
      </c>
      <c r="D793" t="s">
        <v>15</v>
      </c>
      <c r="E793" t="s">
        <v>33</v>
      </c>
      <c r="F793" t="s">
        <v>12</v>
      </c>
      <c r="G793" t="str">
        <f>HYPERLINK(_xlfn.CONCAT("https://tablet.otzar.org/",CHAR(35),"/book/143247/p/-1/t/1/fs/0/start/0/end/0/c"),"חסיד נאמן")</f>
        <v>חסיד נאמן</v>
      </c>
      <c r="H793" t="str">
        <f>_xlfn.CONCAT("https://tablet.otzar.org/",CHAR(35),"/book/143247/p/-1/t/1/fs/0/start/0/end/0/c")</f>
        <v>https://tablet.otzar.org/#/book/143247/p/-1/t/1/fs/0/start/0/end/0/c</v>
      </c>
    </row>
    <row r="794" spans="1:8" x14ac:dyDescent="0.25">
      <c r="A794">
        <v>145469</v>
      </c>
      <c r="B794" t="s">
        <v>1405</v>
      </c>
      <c r="C794" t="s">
        <v>1406</v>
      </c>
      <c r="D794" t="s">
        <v>28</v>
      </c>
      <c r="E794" t="s">
        <v>66</v>
      </c>
      <c r="F794" t="s">
        <v>12</v>
      </c>
      <c r="G794" t="str">
        <f>HYPERLINK(_xlfn.CONCAT("https://tablet.otzar.org/",CHAR(35),"/book/145469/p/-1/t/1/fs/0/start/0/end/0/c"),"חסידות אין סוף")</f>
        <v>חסידות אין סוף</v>
      </c>
      <c r="H794" t="str">
        <f>_xlfn.CONCAT("https://tablet.otzar.org/",CHAR(35),"/book/145469/p/-1/t/1/fs/0/start/0/end/0/c")</f>
        <v>https://tablet.otzar.org/#/book/145469/p/-1/t/1/fs/0/start/0/end/0/c</v>
      </c>
    </row>
    <row r="795" spans="1:8" x14ac:dyDescent="0.25">
      <c r="A795">
        <v>143313</v>
      </c>
      <c r="B795" t="s">
        <v>1407</v>
      </c>
      <c r="C795" t="s">
        <v>1408</v>
      </c>
      <c r="E795" t="s">
        <v>260</v>
      </c>
      <c r="F795" t="s">
        <v>342</v>
      </c>
      <c r="G795" t="str">
        <f>HYPERLINK(_xlfn.CONCAT("https://tablet.otzar.org/",CHAR(35),"/book/143313/p/-1/t/1/fs/0/start/0/end/0/c"),"חסידות חב""""ד בחברון")</f>
        <v>חסידות חב""ד בחברון</v>
      </c>
      <c r="H795" t="str">
        <f>_xlfn.CONCAT("https://tablet.otzar.org/",CHAR(35),"/book/143313/p/-1/t/1/fs/0/start/0/end/0/c")</f>
        <v>https://tablet.otzar.org/#/book/143313/p/-1/t/1/fs/0/start/0/end/0/c</v>
      </c>
    </row>
    <row r="796" spans="1:8" x14ac:dyDescent="0.25">
      <c r="A796">
        <v>146260</v>
      </c>
      <c r="B796" t="s">
        <v>1409</v>
      </c>
      <c r="C796" t="s">
        <v>1410</v>
      </c>
      <c r="D796" t="s">
        <v>10</v>
      </c>
      <c r="E796" t="s">
        <v>192</v>
      </c>
      <c r="F796" t="s">
        <v>12</v>
      </c>
      <c r="G796" t="str">
        <f>HYPERLINK(_xlfn.CONCAT("https://tablet.otzar.org/",CHAR(35),"/book/146260/p/-1/t/1/fs/0/start/0/end/0/c"),"חסידות מבוארת - מאמר כיצד מרקדין ומאמר והדרת פני זקן")</f>
        <v>חסידות מבוארת - מאמר כיצד מרקדין ומאמר והדרת פני זקן</v>
      </c>
      <c r="H796" t="str">
        <f>_xlfn.CONCAT("https://tablet.otzar.org/",CHAR(35),"/book/146260/p/-1/t/1/fs/0/start/0/end/0/c")</f>
        <v>https://tablet.otzar.org/#/book/146260/p/-1/t/1/fs/0/start/0/end/0/c</v>
      </c>
    </row>
    <row r="797" spans="1:8" x14ac:dyDescent="0.25">
      <c r="A797">
        <v>650274</v>
      </c>
      <c r="B797" t="s">
        <v>1411</v>
      </c>
      <c r="C797" t="s">
        <v>1412</v>
      </c>
      <c r="E797" t="s">
        <v>166</v>
      </c>
      <c r="F797" t="s">
        <v>1413</v>
      </c>
      <c r="G797" t="str">
        <f>HYPERLINK(_xlfn.CONCAT("https://tablet.otzar.org/",CHAR(35),"/book/650274/p/-1/t/1/fs/0/start/0/end/0/c"),"חסידות על הדף - ברכות, מועד")</f>
        <v>חסידות על הדף - ברכות, מועד</v>
      </c>
      <c r="H797" t="str">
        <f>_xlfn.CONCAT("https://tablet.otzar.org/",CHAR(35),"/book/650274/p/-1/t/1/fs/0/start/0/end/0/c")</f>
        <v>https://tablet.otzar.org/#/book/650274/p/-1/t/1/fs/0/start/0/end/0/c</v>
      </c>
    </row>
    <row r="798" spans="1:8" x14ac:dyDescent="0.25">
      <c r="A798">
        <v>181097</v>
      </c>
      <c r="B798" t="s">
        <v>1414</v>
      </c>
      <c r="C798" t="s">
        <v>59</v>
      </c>
      <c r="D798" t="s">
        <v>10</v>
      </c>
      <c r="E798" t="s">
        <v>88</v>
      </c>
      <c r="F798" t="s">
        <v>12</v>
      </c>
      <c r="G798" t="str">
        <f>HYPERLINK(_xlfn.CONCAT("https://tablet.otzar.org/",CHAR(35),"/book/181097/p/-1/t/1/fs/0/start/0/end/0/c"),"חסידי הבעש""""ט בראשית דרכם")</f>
        <v>חסידי הבעש""ט בראשית דרכם</v>
      </c>
      <c r="H798" t="str">
        <f>_xlfn.CONCAT("https://tablet.otzar.org/",CHAR(35),"/book/181097/p/-1/t/1/fs/0/start/0/end/0/c")</f>
        <v>https://tablet.otzar.org/#/book/181097/p/-1/t/1/fs/0/start/0/end/0/c</v>
      </c>
    </row>
    <row r="799" spans="1:8" x14ac:dyDescent="0.25">
      <c r="A799">
        <v>28787</v>
      </c>
      <c r="B799" t="s">
        <v>1415</v>
      </c>
      <c r="C799" t="s">
        <v>1416</v>
      </c>
      <c r="D799" t="s">
        <v>10</v>
      </c>
      <c r="E799" t="s">
        <v>148</v>
      </c>
      <c r="F799" t="s">
        <v>12</v>
      </c>
      <c r="G799" t="str">
        <f>HYPERLINK(_xlfn.CONCAT("https://tablet.otzar.org/",CHAR(35),"/exKotar/28787"),"חסידים איין משפחה - 4 כרכים")</f>
        <v>חסידים איין משפחה - 4 כרכים</v>
      </c>
      <c r="H799" t="str">
        <f>_xlfn.CONCAT("https://tablet.otzar.org/",CHAR(35),"/exKotar/28787")</f>
        <v>https://tablet.otzar.org/#/exKotar/28787</v>
      </c>
    </row>
    <row r="800" spans="1:8" x14ac:dyDescent="0.25">
      <c r="A800">
        <v>27170</v>
      </c>
      <c r="B800" t="s">
        <v>1417</v>
      </c>
      <c r="C800" t="s">
        <v>427</v>
      </c>
      <c r="D800" t="s">
        <v>15</v>
      </c>
      <c r="E800" t="s">
        <v>192</v>
      </c>
      <c r="F800" t="s">
        <v>12</v>
      </c>
      <c r="G800" t="str">
        <f>HYPERLINK(_xlfn.CONCAT("https://tablet.otzar.org/",CHAR(35),"/exKotar/27170"),"חסידים הראשונים - 2 כרכים")</f>
        <v>חסידים הראשונים - 2 כרכים</v>
      </c>
      <c r="H800" t="str">
        <f>_xlfn.CONCAT("https://tablet.otzar.org/",CHAR(35),"/exKotar/27170")</f>
        <v>https://tablet.otzar.org/#/exKotar/27170</v>
      </c>
    </row>
    <row r="801" spans="1:8" x14ac:dyDescent="0.25">
      <c r="A801">
        <v>27832</v>
      </c>
      <c r="B801" t="s">
        <v>1418</v>
      </c>
      <c r="C801" t="s">
        <v>391</v>
      </c>
      <c r="D801" t="s">
        <v>15</v>
      </c>
      <c r="E801" t="s">
        <v>192</v>
      </c>
      <c r="F801" t="s">
        <v>12</v>
      </c>
      <c r="G801" t="str">
        <f>HYPERLINK(_xlfn.CONCAT("https://tablet.otzar.org/",CHAR(35),"/book/27832/p/-1/t/1/fs/0/start/0/end/0/c"),"חסידים ואנשי אמת")</f>
        <v>חסידים ואנשי אמת</v>
      </c>
      <c r="H801" t="str">
        <f>_xlfn.CONCAT("https://tablet.otzar.org/",CHAR(35),"/book/27832/p/-1/t/1/fs/0/start/0/end/0/c")</f>
        <v>https://tablet.otzar.org/#/book/27832/p/-1/t/1/fs/0/start/0/end/0/c</v>
      </c>
    </row>
    <row r="802" spans="1:8" x14ac:dyDescent="0.25">
      <c r="A802">
        <v>28748</v>
      </c>
      <c r="B802" t="s">
        <v>1419</v>
      </c>
      <c r="C802" t="s">
        <v>136</v>
      </c>
      <c r="D802" t="s">
        <v>15</v>
      </c>
      <c r="E802" t="s">
        <v>103</v>
      </c>
      <c r="F802" t="s">
        <v>12</v>
      </c>
      <c r="G802" t="str">
        <f>HYPERLINK(_xlfn.CONCAT("https://tablet.otzar.org/",CHAR(35),"/exKotar/28748"),"חקרי מנהגים - 9 כרכים")</f>
        <v>חקרי מנהגים - 9 כרכים</v>
      </c>
      <c r="H802" t="str">
        <f>_xlfn.CONCAT("https://tablet.otzar.org/",CHAR(35),"/exKotar/28748")</f>
        <v>https://tablet.otzar.org/#/exKotar/28748</v>
      </c>
    </row>
    <row r="803" spans="1:8" x14ac:dyDescent="0.25">
      <c r="A803">
        <v>635078</v>
      </c>
      <c r="B803" t="s">
        <v>1420</v>
      </c>
      <c r="C803" t="s">
        <v>1421</v>
      </c>
      <c r="E803" t="s">
        <v>185</v>
      </c>
      <c r="G803" t="str">
        <f>HYPERLINK(_xlfn.CONCAT("https://tablet.otzar.org/",CHAR(35),"/book/635078/p/-1/t/1/fs/0/start/0/end/0/c"),"חשבון השידוכים והגה השידוכים")</f>
        <v>חשבון השידוכים והגה השידוכים</v>
      </c>
      <c r="H803" t="str">
        <f>_xlfn.CONCAT("https://tablet.otzar.org/",CHAR(35),"/book/635078/p/-1/t/1/fs/0/start/0/end/0/c")</f>
        <v>https://tablet.otzar.org/#/book/635078/p/-1/t/1/fs/0/start/0/end/0/c</v>
      </c>
    </row>
    <row r="804" spans="1:8" x14ac:dyDescent="0.25">
      <c r="A804">
        <v>27845</v>
      </c>
      <c r="B804" t="s">
        <v>1422</v>
      </c>
      <c r="C804" t="s">
        <v>1423</v>
      </c>
      <c r="D804" t="s">
        <v>118</v>
      </c>
      <c r="E804" t="s">
        <v>91</v>
      </c>
      <c r="F804" t="s">
        <v>12</v>
      </c>
      <c r="G804" t="str">
        <f>HYPERLINK(_xlfn.CONCAT("https://tablet.otzar.org/",CHAR(35),"/book/27845/p/-1/t/1/fs/0/start/0/end/0/c"),"חשבונו של עולם")</f>
        <v>חשבונו של עולם</v>
      </c>
      <c r="H804" t="str">
        <f>_xlfn.CONCAT("https://tablet.otzar.org/",CHAR(35),"/book/27845/p/-1/t/1/fs/0/start/0/end/0/c")</f>
        <v>https://tablet.otzar.org/#/book/27845/p/-1/t/1/fs/0/start/0/end/0/c</v>
      </c>
    </row>
    <row r="805" spans="1:8" x14ac:dyDescent="0.25">
      <c r="A805">
        <v>158601</v>
      </c>
      <c r="B805" t="s">
        <v>1424</v>
      </c>
      <c r="C805" t="s">
        <v>1095</v>
      </c>
      <c r="D805" t="s">
        <v>15</v>
      </c>
      <c r="E805" t="s">
        <v>226</v>
      </c>
      <c r="F805" t="s">
        <v>12</v>
      </c>
      <c r="G805" t="str">
        <f>HYPERLINK(_xlfn.CONCAT("https://tablet.otzar.org/",CHAR(35),"/book/158601/p/-1/t/1/fs/0/start/0/end/0/c"),"חשוב טוב")</f>
        <v>חשוב טוב</v>
      </c>
      <c r="H805" t="str">
        <f>_xlfn.CONCAT("https://tablet.otzar.org/",CHAR(35),"/book/158601/p/-1/t/1/fs/0/start/0/end/0/c")</f>
        <v>https://tablet.otzar.org/#/book/158601/p/-1/t/1/fs/0/start/0/end/0/c</v>
      </c>
    </row>
    <row r="806" spans="1:8" x14ac:dyDescent="0.25">
      <c r="A806">
        <v>28823</v>
      </c>
      <c r="B806" t="s">
        <v>1425</v>
      </c>
      <c r="C806" t="s">
        <v>1426</v>
      </c>
      <c r="D806" t="s">
        <v>10</v>
      </c>
      <c r="E806" t="s">
        <v>192</v>
      </c>
      <c r="F806" t="s">
        <v>12</v>
      </c>
      <c r="G806" t="str">
        <f>HYPERLINK(_xlfn.CONCAT("https://tablet.otzar.org/",CHAR(35),"/book/28823/p/-1/t/1/fs/0/start/0/end/0/c"),"חת""""ת")</f>
        <v>חת""ת</v>
      </c>
      <c r="H806" t="str">
        <f>_xlfn.CONCAT("https://tablet.otzar.org/",CHAR(35),"/book/28823/p/-1/t/1/fs/0/start/0/end/0/c")</f>
        <v>https://tablet.otzar.org/#/book/28823/p/-1/t/1/fs/0/start/0/end/0/c</v>
      </c>
    </row>
    <row r="807" spans="1:8" x14ac:dyDescent="0.25">
      <c r="A807">
        <v>628549</v>
      </c>
      <c r="B807" t="s">
        <v>1427</v>
      </c>
      <c r="C807" t="s">
        <v>102</v>
      </c>
      <c r="D807" t="s">
        <v>15</v>
      </c>
      <c r="E807" t="s">
        <v>174</v>
      </c>
      <c r="F807" t="s">
        <v>379</v>
      </c>
      <c r="G807" t="str">
        <f>HYPERLINK(_xlfn.CONCAT("https://tablet.otzar.org/",CHAR(35),"/book/628549/p/-1/t/1/fs/0/start/0/end/0/c"),"חתן עם הכלה")</f>
        <v>חתן עם הכלה</v>
      </c>
      <c r="H807" t="str">
        <f>_xlfn.CONCAT("https://tablet.otzar.org/",CHAR(35),"/book/628549/p/-1/t/1/fs/0/start/0/end/0/c")</f>
        <v>https://tablet.otzar.org/#/book/628549/p/-1/t/1/fs/0/start/0/end/0/c</v>
      </c>
    </row>
    <row r="808" spans="1:8" x14ac:dyDescent="0.25">
      <c r="A808">
        <v>140932</v>
      </c>
      <c r="B808" t="s">
        <v>1428</v>
      </c>
      <c r="C808" t="s">
        <v>45</v>
      </c>
      <c r="D808" t="s">
        <v>15</v>
      </c>
      <c r="E808" t="s">
        <v>54</v>
      </c>
      <c r="F808" t="s">
        <v>12</v>
      </c>
      <c r="G808" t="str">
        <f>HYPERLINK(_xlfn.CONCAT("https://tablet.otzar.org/",CHAR(35),"/book/140932/p/-1/t/1/fs/0/start/0/end/0/c"),"טבריה עיר הקודש")</f>
        <v>טבריה עיר הקודש</v>
      </c>
      <c r="H808" t="str">
        <f>_xlfn.CONCAT("https://tablet.otzar.org/",CHAR(35),"/book/140932/p/-1/t/1/fs/0/start/0/end/0/c")</f>
        <v>https://tablet.otzar.org/#/book/140932/p/-1/t/1/fs/0/start/0/end/0/c</v>
      </c>
    </row>
    <row r="809" spans="1:8" x14ac:dyDescent="0.25">
      <c r="A809">
        <v>142749</v>
      </c>
      <c r="B809" t="s">
        <v>1428</v>
      </c>
      <c r="C809" t="s">
        <v>1429</v>
      </c>
      <c r="D809" t="s">
        <v>15</v>
      </c>
      <c r="E809" t="s">
        <v>54</v>
      </c>
      <c r="F809" t="s">
        <v>12</v>
      </c>
      <c r="G809" t="str">
        <f>HYPERLINK(_xlfn.CONCAT("https://tablet.otzar.org/",CHAR(35),"/book/142749/p/-1/t/1/fs/0/start/0/end/0/c"),"טבריה עיר הקודש")</f>
        <v>טבריה עיר הקודש</v>
      </c>
      <c r="H809" t="str">
        <f>_xlfn.CONCAT("https://tablet.otzar.org/",CHAR(35),"/book/142749/p/-1/t/1/fs/0/start/0/end/0/c")</f>
        <v>https://tablet.otzar.org/#/book/142749/p/-1/t/1/fs/0/start/0/end/0/c</v>
      </c>
    </row>
    <row r="810" spans="1:8" x14ac:dyDescent="0.25">
      <c r="A810">
        <v>27027</v>
      </c>
      <c r="B810" t="s">
        <v>1430</v>
      </c>
      <c r="C810" t="s">
        <v>1431</v>
      </c>
      <c r="D810" t="s">
        <v>10</v>
      </c>
      <c r="E810" t="s">
        <v>145</v>
      </c>
      <c r="F810" t="s">
        <v>12</v>
      </c>
      <c r="G810" t="str">
        <f>HYPERLINK(_xlfn.CONCAT("https://tablet.otzar.org/",CHAR(35),"/book/27027/p/-1/t/1/fs/0/start/0/end/0/c"),"טהרת מים")</f>
        <v>טהרת מים</v>
      </c>
      <c r="H810" t="str">
        <f>_xlfn.CONCAT("https://tablet.otzar.org/",CHAR(35),"/book/27027/p/-1/t/1/fs/0/start/0/end/0/c")</f>
        <v>https://tablet.otzar.org/#/book/27027/p/-1/t/1/fs/0/start/0/end/0/c</v>
      </c>
    </row>
    <row r="811" spans="1:8" x14ac:dyDescent="0.25">
      <c r="A811">
        <v>142713</v>
      </c>
      <c r="B811" t="s">
        <v>1432</v>
      </c>
      <c r="C811" t="s">
        <v>125</v>
      </c>
      <c r="D811" t="s">
        <v>738</v>
      </c>
      <c r="E811" t="s">
        <v>60</v>
      </c>
      <c r="F811" t="s">
        <v>251</v>
      </c>
      <c r="G811" t="str">
        <f>HYPERLINK(_xlfn.CONCAT("https://tablet.otzar.org/",CHAR(35),"/book/142713/p/-1/t/1/fs/0/start/0/end/0/c"),"טובת בחיריך")</f>
        <v>טובת בחיריך</v>
      </c>
      <c r="H811" t="str">
        <f>_xlfn.CONCAT("https://tablet.otzar.org/",CHAR(35),"/book/142713/p/-1/t/1/fs/0/start/0/end/0/c")</f>
        <v>https://tablet.otzar.org/#/book/142713/p/-1/t/1/fs/0/start/0/end/0/c</v>
      </c>
    </row>
    <row r="812" spans="1:8" x14ac:dyDescent="0.25">
      <c r="A812">
        <v>635107</v>
      </c>
      <c r="B812" t="s">
        <v>1433</v>
      </c>
      <c r="C812" t="s">
        <v>866</v>
      </c>
      <c r="D812" t="s">
        <v>15</v>
      </c>
      <c r="E812" t="s">
        <v>185</v>
      </c>
      <c r="F812" t="s">
        <v>12</v>
      </c>
      <c r="G812" t="str">
        <f>HYPERLINK(_xlfn.CONCAT("https://tablet.otzar.org/",CHAR(35),"/book/635107/p/-1/t/1/fs/0/start/0/end/0/c"),"טיפה מן הים")</f>
        <v>טיפה מן הים</v>
      </c>
      <c r="H812" t="str">
        <f>_xlfn.CONCAT("https://tablet.otzar.org/",CHAR(35),"/book/635107/p/-1/t/1/fs/0/start/0/end/0/c")</f>
        <v>https://tablet.otzar.org/#/book/635107/p/-1/t/1/fs/0/start/0/end/0/c</v>
      </c>
    </row>
    <row r="813" spans="1:8" x14ac:dyDescent="0.25">
      <c r="A813">
        <v>196297</v>
      </c>
      <c r="B813" t="s">
        <v>1434</v>
      </c>
      <c r="C813" t="s">
        <v>1435</v>
      </c>
      <c r="D813" t="s">
        <v>15</v>
      </c>
      <c r="E813" t="s">
        <v>99</v>
      </c>
      <c r="F813" t="s">
        <v>12</v>
      </c>
      <c r="G813" t="str">
        <f>HYPERLINK(_xlfn.CONCAT("https://tablet.otzar.org/",CHAR(35),"/book/196297/p/-1/t/1/fs/0/start/0/end/0/c"),"טיפת חינוך יומית")</f>
        <v>טיפת חינוך יומית</v>
      </c>
      <c r="H813" t="str">
        <f>_xlfn.CONCAT("https://tablet.otzar.org/",CHAR(35),"/book/196297/p/-1/t/1/fs/0/start/0/end/0/c")</f>
        <v>https://tablet.otzar.org/#/book/196297/p/-1/t/1/fs/0/start/0/end/0/c</v>
      </c>
    </row>
    <row r="814" spans="1:8" x14ac:dyDescent="0.25">
      <c r="A814">
        <v>142192</v>
      </c>
      <c r="B814" t="s">
        <v>1436</v>
      </c>
      <c r="C814" t="s">
        <v>1265</v>
      </c>
      <c r="D814" t="s">
        <v>363</v>
      </c>
      <c r="E814" t="s">
        <v>60</v>
      </c>
      <c r="F814" t="s">
        <v>12</v>
      </c>
      <c r="G814" t="str">
        <f>HYPERLINK(_xlfn.CONCAT("https://tablet.otzar.org/",CHAR(35),"/book/142192/p/-1/t/1/fs/0/start/0/end/0/c"),"טללי תשובה")</f>
        <v>טללי תשובה</v>
      </c>
      <c r="H814" t="str">
        <f>_xlfn.CONCAT("https://tablet.otzar.org/",CHAR(35),"/book/142192/p/-1/t/1/fs/0/start/0/end/0/c")</f>
        <v>https://tablet.otzar.org/#/book/142192/p/-1/t/1/fs/0/start/0/end/0/c</v>
      </c>
    </row>
    <row r="815" spans="1:8" x14ac:dyDescent="0.25">
      <c r="A815">
        <v>175925</v>
      </c>
      <c r="B815" t="s">
        <v>1437</v>
      </c>
      <c r="C815" t="s">
        <v>1438</v>
      </c>
      <c r="D815" t="s">
        <v>28</v>
      </c>
      <c r="E815" t="s">
        <v>62</v>
      </c>
      <c r="F815" t="s">
        <v>12</v>
      </c>
      <c r="G815" t="str">
        <f>HYPERLINK(_xlfn.CONCAT("https://tablet.otzar.org/",CHAR(35),"/book/175925/p/-1/t/1/fs/0/start/0/end/0/c"),"טעימות")</f>
        <v>טעימות</v>
      </c>
      <c r="H815" t="str">
        <f>_xlfn.CONCAT("https://tablet.otzar.org/",CHAR(35),"/book/175925/p/-1/t/1/fs/0/start/0/end/0/c")</f>
        <v>https://tablet.otzar.org/#/book/175925/p/-1/t/1/fs/0/start/0/end/0/c</v>
      </c>
    </row>
    <row r="816" spans="1:8" x14ac:dyDescent="0.25">
      <c r="A816">
        <v>167731</v>
      </c>
      <c r="B816" t="s">
        <v>1439</v>
      </c>
      <c r="C816" t="s">
        <v>1440</v>
      </c>
      <c r="D816" t="s">
        <v>15</v>
      </c>
      <c r="E816" t="s">
        <v>82</v>
      </c>
      <c r="F816" t="s">
        <v>12</v>
      </c>
      <c r="G816" t="str">
        <f>HYPERLINK(_xlfn.CONCAT("https://tablet.otzar.org/",CHAR(35),"/book/167731/p/-1/t/1/fs/0/start/0/end/0/c"),"טעמי השלחן - שהייה וחזרה או""""ח רנג-רנד")</f>
        <v>טעמי השלחן - שהייה וחזרה או""ח רנג-רנד</v>
      </c>
      <c r="H816" t="str">
        <f>_xlfn.CONCAT("https://tablet.otzar.org/",CHAR(35),"/book/167731/p/-1/t/1/fs/0/start/0/end/0/c")</f>
        <v>https://tablet.otzar.org/#/book/167731/p/-1/t/1/fs/0/start/0/end/0/c</v>
      </c>
    </row>
    <row r="817" spans="1:8" x14ac:dyDescent="0.25">
      <c r="A817">
        <v>647863</v>
      </c>
      <c r="B817" t="s">
        <v>1441</v>
      </c>
      <c r="C817" t="s">
        <v>1442</v>
      </c>
      <c r="D817" t="s">
        <v>10</v>
      </c>
      <c r="E817" t="s">
        <v>166</v>
      </c>
      <c r="F817" t="s">
        <v>12</v>
      </c>
      <c r="G817" t="str">
        <f>HYPERLINK(_xlfn.CONCAT("https://tablet.otzar.org/",CHAR(35),"/book/647863/p/-1/t/1/fs/0/start/0/end/0/c"),"י""""א ניסן - מאה ועשרים שנה")</f>
        <v>י""א ניסן - מאה ועשרים שנה</v>
      </c>
      <c r="H817" t="str">
        <f>_xlfn.CONCAT("https://tablet.otzar.org/",CHAR(35),"/book/647863/p/-1/t/1/fs/0/start/0/end/0/c")</f>
        <v>https://tablet.otzar.org/#/book/647863/p/-1/t/1/fs/0/start/0/end/0/c</v>
      </c>
    </row>
    <row r="818" spans="1:8" x14ac:dyDescent="0.25">
      <c r="A818">
        <v>146508</v>
      </c>
      <c r="B818" t="s">
        <v>1443</v>
      </c>
      <c r="C818" t="s">
        <v>45</v>
      </c>
      <c r="D818" t="s">
        <v>10</v>
      </c>
      <c r="E818" t="s">
        <v>441</v>
      </c>
      <c r="F818" t="s">
        <v>12</v>
      </c>
      <c r="G818" t="str">
        <f>HYPERLINK(_xlfn.CONCAT("https://tablet.otzar.org/",CHAR(35),"/book/146508/p/-1/t/1/fs/0/start/0/end/0/c"),"י""""א ניסן תש""""נ")</f>
        <v>י""א ניסן תש""נ</v>
      </c>
      <c r="H818" t="str">
        <f>_xlfn.CONCAT("https://tablet.otzar.org/",CHAR(35),"/book/146508/p/-1/t/1/fs/0/start/0/end/0/c")</f>
        <v>https://tablet.otzar.org/#/book/146508/p/-1/t/1/fs/0/start/0/end/0/c</v>
      </c>
    </row>
    <row r="819" spans="1:8" x14ac:dyDescent="0.25">
      <c r="A819">
        <v>614755</v>
      </c>
      <c r="B819" t="s">
        <v>1444</v>
      </c>
      <c r="C819" t="s">
        <v>1444</v>
      </c>
      <c r="D819" t="s">
        <v>648</v>
      </c>
      <c r="E819" t="s">
        <v>57</v>
      </c>
      <c r="F819" t="s">
        <v>12</v>
      </c>
      <c r="G819" t="str">
        <f>HYPERLINK(_xlfn.CONCAT("https://tablet.otzar.org/",CHAR(35),"/book/614755/p/-1/t/1/fs/0/start/0/end/0/c"),"י""""ט בכסלו חג הגאולה")</f>
        <v>י""ט בכסלו חג הגאולה</v>
      </c>
      <c r="H819" t="str">
        <f>_xlfn.CONCAT("https://tablet.otzar.org/",CHAR(35),"/book/614755/p/-1/t/1/fs/0/start/0/end/0/c")</f>
        <v>https://tablet.otzar.org/#/book/614755/p/-1/t/1/fs/0/start/0/end/0/c</v>
      </c>
    </row>
    <row r="820" spans="1:8" x14ac:dyDescent="0.25">
      <c r="A820">
        <v>146193</v>
      </c>
      <c r="B820" t="s">
        <v>1445</v>
      </c>
      <c r="C820" t="s">
        <v>1445</v>
      </c>
      <c r="D820" t="s">
        <v>28</v>
      </c>
      <c r="E820" t="s">
        <v>91</v>
      </c>
      <c r="F820" t="s">
        <v>12</v>
      </c>
      <c r="G820" t="str">
        <f>HYPERLINK(_xlfn.CONCAT("https://tablet.otzar.org/",CHAR(35),"/book/146193/p/-1/t/1/fs/0/start/0/end/0/c"),"י""""ט כסלו")</f>
        <v>י""ט כסלו</v>
      </c>
      <c r="H820" t="str">
        <f>_xlfn.CONCAT("https://tablet.otzar.org/",CHAR(35),"/book/146193/p/-1/t/1/fs/0/start/0/end/0/c")</f>
        <v>https://tablet.otzar.org/#/book/146193/p/-1/t/1/fs/0/start/0/end/0/c</v>
      </c>
    </row>
    <row r="821" spans="1:8" x14ac:dyDescent="0.25">
      <c r="A821">
        <v>196125</v>
      </c>
      <c r="B821" t="s">
        <v>1445</v>
      </c>
      <c r="C821" t="s">
        <v>1446</v>
      </c>
      <c r="D821" t="s">
        <v>37</v>
      </c>
      <c r="E821" t="s">
        <v>99</v>
      </c>
      <c r="F821" t="s">
        <v>12</v>
      </c>
      <c r="G821" t="str">
        <f>HYPERLINK(_xlfn.CONCAT("https://tablet.otzar.org/",CHAR(35),"/book/196125/p/-1/t/1/fs/0/start/0/end/0/c"),"י""""ט כסלו")</f>
        <v>י""ט כסלו</v>
      </c>
      <c r="H821" t="str">
        <f>_xlfn.CONCAT("https://tablet.otzar.org/",CHAR(35),"/book/196125/p/-1/t/1/fs/0/start/0/end/0/c")</f>
        <v>https://tablet.otzar.org/#/book/196125/p/-1/t/1/fs/0/start/0/end/0/c</v>
      </c>
    </row>
    <row r="822" spans="1:8" x14ac:dyDescent="0.25">
      <c r="A822">
        <v>607657</v>
      </c>
      <c r="B822" t="s">
        <v>1447</v>
      </c>
      <c r="C822" t="s">
        <v>242</v>
      </c>
      <c r="D822" t="s">
        <v>37</v>
      </c>
      <c r="E822" t="s">
        <v>91</v>
      </c>
      <c r="F822" t="s">
        <v>12</v>
      </c>
      <c r="G822" t="str">
        <f>HYPERLINK(_xlfn.CONCAT("https://tablet.otzar.org/",CHAR(35),"/book/607657/p/-1/t/1/fs/0/start/0/end/0/c"),"י""""ט כסלו - מהותו של יום")</f>
        <v>י""ט כסלו - מהותו של יום</v>
      </c>
      <c r="H822" t="str">
        <f>_xlfn.CONCAT("https://tablet.otzar.org/",CHAR(35),"/book/607657/p/-1/t/1/fs/0/start/0/end/0/c")</f>
        <v>https://tablet.otzar.org/#/book/607657/p/-1/t/1/fs/0/start/0/end/0/c</v>
      </c>
    </row>
    <row r="823" spans="1:8" x14ac:dyDescent="0.25">
      <c r="A823">
        <v>613904</v>
      </c>
      <c r="B823" t="s">
        <v>1448</v>
      </c>
      <c r="C823" t="s">
        <v>1449</v>
      </c>
      <c r="D823" t="s">
        <v>37</v>
      </c>
      <c r="E823" t="s">
        <v>91</v>
      </c>
      <c r="F823" t="s">
        <v>12</v>
      </c>
      <c r="G823" t="str">
        <f>HYPERLINK(_xlfn.CONCAT("https://tablet.otzar.org/",CHAR(35),"/book/613904/p/-1/t/1/fs/0/start/0/end/0/c"),"י""""ט כסלו - מהותו של יום ומשמעותו לדורות")</f>
        <v>י""ט כסלו - מהותו של יום ומשמעותו לדורות</v>
      </c>
      <c r="H823" t="str">
        <f>_xlfn.CONCAT("https://tablet.otzar.org/",CHAR(35),"/book/613904/p/-1/t/1/fs/0/start/0/end/0/c")</f>
        <v>https://tablet.otzar.org/#/book/613904/p/-1/t/1/fs/0/start/0/end/0/c</v>
      </c>
    </row>
    <row r="824" spans="1:8" x14ac:dyDescent="0.25">
      <c r="A824">
        <v>141263</v>
      </c>
      <c r="B824" t="s">
        <v>1450</v>
      </c>
      <c r="C824" t="s">
        <v>45</v>
      </c>
      <c r="D824" t="s">
        <v>15</v>
      </c>
      <c r="E824" t="s">
        <v>57</v>
      </c>
      <c r="F824" t="s">
        <v>12</v>
      </c>
      <c r="G824" t="str">
        <f>HYPERLINK(_xlfn.CONCAT("https://tablet.otzar.org/",CHAR(35),"/book/141263/p/-1/t/1/fs/0/start/0/end/0/c"),"יגדיל תורה")</f>
        <v>יגדיל תורה</v>
      </c>
      <c r="H824" t="str">
        <f>_xlfn.CONCAT("https://tablet.otzar.org/",CHAR(35),"/book/141263/p/-1/t/1/fs/0/start/0/end/0/c")</f>
        <v>https://tablet.otzar.org/#/book/141263/p/-1/t/1/fs/0/start/0/end/0/c</v>
      </c>
    </row>
    <row r="825" spans="1:8" x14ac:dyDescent="0.25">
      <c r="A825">
        <v>142701</v>
      </c>
      <c r="B825" t="s">
        <v>1451</v>
      </c>
      <c r="C825" t="s">
        <v>125</v>
      </c>
      <c r="D825" t="s">
        <v>37</v>
      </c>
      <c r="E825" t="s">
        <v>174</v>
      </c>
      <c r="F825" t="s">
        <v>251</v>
      </c>
      <c r="G825" t="str">
        <f>HYPERLINK(_xlfn.CONCAT("https://tablet.otzar.org/",CHAR(35),"/book/142701/p/-1/t/1/fs/0/start/0/end/0/c"),"יגדיל תורה &lt;החדש&gt; - ג")</f>
        <v>יגדיל תורה &lt;החדש&gt; - ג</v>
      </c>
      <c r="H825" t="str">
        <f>_xlfn.CONCAT("https://tablet.otzar.org/",CHAR(35),"/book/142701/p/-1/t/1/fs/0/start/0/end/0/c")</f>
        <v>https://tablet.otzar.org/#/book/142701/p/-1/t/1/fs/0/start/0/end/0/c</v>
      </c>
    </row>
    <row r="826" spans="1:8" x14ac:dyDescent="0.25">
      <c r="A826">
        <v>174044</v>
      </c>
      <c r="B826" t="s">
        <v>1450</v>
      </c>
      <c r="C826" t="s">
        <v>125</v>
      </c>
      <c r="D826" t="s">
        <v>10</v>
      </c>
      <c r="E826" t="s">
        <v>142</v>
      </c>
      <c r="F826" t="s">
        <v>12</v>
      </c>
      <c r="G826" t="str">
        <f>HYPERLINK(_xlfn.CONCAT("https://tablet.otzar.org/",CHAR(35),"/book/174044/p/-1/t/1/fs/0/start/0/end/0/c"),"יגדיל תורה")</f>
        <v>יגדיל תורה</v>
      </c>
      <c r="H826" t="str">
        <f>_xlfn.CONCAT("https://tablet.otzar.org/",CHAR(35),"/book/174044/p/-1/t/1/fs/0/start/0/end/0/c")</f>
        <v>https://tablet.otzar.org/#/book/174044/p/-1/t/1/fs/0/start/0/end/0/c</v>
      </c>
    </row>
    <row r="827" spans="1:8" x14ac:dyDescent="0.25">
      <c r="A827">
        <v>143334</v>
      </c>
      <c r="B827" t="s">
        <v>1452</v>
      </c>
      <c r="C827" t="s">
        <v>125</v>
      </c>
      <c r="D827" t="s">
        <v>10</v>
      </c>
      <c r="E827" t="s">
        <v>515</v>
      </c>
      <c r="F827" t="s">
        <v>12</v>
      </c>
      <c r="G827" t="str">
        <f>HYPERLINK(_xlfn.CONCAT("https://tablet.otzar.org/",CHAR(35),"/exKotar/143334"),"יגדיל תורה &lt;חב""""ד&gt;  - 18 כרכים")</f>
        <v>יגדיל תורה &lt;חב""ד&gt;  - 18 כרכים</v>
      </c>
      <c r="H827" t="str">
        <f>_xlfn.CONCAT("https://tablet.otzar.org/",CHAR(35),"/exKotar/143334")</f>
        <v>https://tablet.otzar.org/#/exKotar/143334</v>
      </c>
    </row>
    <row r="828" spans="1:8" x14ac:dyDescent="0.25">
      <c r="A828">
        <v>141250</v>
      </c>
      <c r="B828" t="s">
        <v>1453</v>
      </c>
      <c r="C828" t="s">
        <v>125</v>
      </c>
      <c r="D828" t="s">
        <v>37</v>
      </c>
      <c r="E828" t="s">
        <v>1454</v>
      </c>
      <c r="F828" t="s">
        <v>12</v>
      </c>
      <c r="G828" t="str">
        <f>HYPERLINK(_xlfn.CONCAT("https://tablet.otzar.org/",CHAR(35),"/exKotar/141250"),"יגדיל תורה &lt;חב""""ד כולל צמח צדק&gt;  - 5 כרכים")</f>
        <v>יגדיל תורה &lt;חב""ד כולל צמח צדק&gt;  - 5 כרכים</v>
      </c>
      <c r="H828" t="str">
        <f>_xlfn.CONCAT("https://tablet.otzar.org/",CHAR(35),"/exKotar/141250")</f>
        <v>https://tablet.otzar.org/#/exKotar/141250</v>
      </c>
    </row>
    <row r="829" spans="1:8" x14ac:dyDescent="0.25">
      <c r="A829">
        <v>621039</v>
      </c>
      <c r="B829" t="s">
        <v>1455</v>
      </c>
      <c r="C829" t="s">
        <v>1456</v>
      </c>
      <c r="D829" t="s">
        <v>118</v>
      </c>
      <c r="E829" t="s">
        <v>115</v>
      </c>
      <c r="F829" t="s">
        <v>12</v>
      </c>
      <c r="G829" t="str">
        <f>HYPERLINK(_xlfn.CONCAT("https://tablet.otzar.org/",CHAR(35),"/book/621039/p/-1/t/1/fs/0/start/0/end/0/c"),"יגדיל תורה ויאדיר - ב")</f>
        <v>יגדיל תורה ויאדיר - ב</v>
      </c>
      <c r="H829" t="str">
        <f>_xlfn.CONCAT("https://tablet.otzar.org/",CHAR(35),"/book/621039/p/-1/t/1/fs/0/start/0/end/0/c")</f>
        <v>https://tablet.otzar.org/#/book/621039/p/-1/t/1/fs/0/start/0/end/0/c</v>
      </c>
    </row>
    <row r="830" spans="1:8" x14ac:dyDescent="0.25">
      <c r="A830">
        <v>614765</v>
      </c>
      <c r="B830" t="s">
        <v>1457</v>
      </c>
      <c r="C830" t="s">
        <v>1458</v>
      </c>
      <c r="D830" t="s">
        <v>656</v>
      </c>
      <c r="E830" t="s">
        <v>145</v>
      </c>
      <c r="F830" t="s">
        <v>12</v>
      </c>
      <c r="G830" t="str">
        <f>HYPERLINK(_xlfn.CONCAT("https://tablet.otzar.org/",CHAR(35),"/exKotar/614765"),"ידיעון - 14 כרכים")</f>
        <v>ידיעון - 14 כרכים</v>
      </c>
      <c r="H830" t="str">
        <f>_xlfn.CONCAT("https://tablet.otzar.org/",CHAR(35),"/exKotar/614765")</f>
        <v>https://tablet.otzar.org/#/exKotar/614765</v>
      </c>
    </row>
    <row r="831" spans="1:8" x14ac:dyDescent="0.25">
      <c r="A831">
        <v>141601</v>
      </c>
      <c r="B831" t="s">
        <v>1459</v>
      </c>
      <c r="C831" t="s">
        <v>1460</v>
      </c>
      <c r="D831" t="s">
        <v>37</v>
      </c>
      <c r="E831" t="s">
        <v>75</v>
      </c>
      <c r="F831" t="s">
        <v>12</v>
      </c>
      <c r="G831" t="str">
        <f>HYPERLINK(_xlfn.CONCAT("https://tablet.otzar.org/",CHAR(35),"/exKotar/141601"),"יהדות הדממה - 2 כרכים")</f>
        <v>יהדות הדממה - 2 כרכים</v>
      </c>
      <c r="H831" t="str">
        <f>_xlfn.CONCAT("https://tablet.otzar.org/",CHAR(35),"/exKotar/141601")</f>
        <v>https://tablet.otzar.org/#/exKotar/141601</v>
      </c>
    </row>
    <row r="832" spans="1:8" x14ac:dyDescent="0.25">
      <c r="A832">
        <v>142338</v>
      </c>
      <c r="B832" t="s">
        <v>1461</v>
      </c>
      <c r="C832" t="s">
        <v>42</v>
      </c>
      <c r="D832" t="s">
        <v>37</v>
      </c>
      <c r="E832" t="s">
        <v>757</v>
      </c>
      <c r="F832" t="s">
        <v>12</v>
      </c>
      <c r="G832" t="str">
        <f>HYPERLINK(_xlfn.CONCAT("https://tablet.otzar.org/",CHAR(35),"/book/142338/p/-1/t/1/fs/0/start/0/end/0/c"),"יהדות התורה והמדינה")</f>
        <v>יהדות התורה והמדינה</v>
      </c>
      <c r="H832" t="str">
        <f>_xlfn.CONCAT("https://tablet.otzar.org/",CHAR(35),"/book/142338/p/-1/t/1/fs/0/start/0/end/0/c")</f>
        <v>https://tablet.otzar.org/#/book/142338/p/-1/t/1/fs/0/start/0/end/0/c</v>
      </c>
    </row>
    <row r="833" spans="1:8" x14ac:dyDescent="0.25">
      <c r="A833">
        <v>143362</v>
      </c>
      <c r="B833" t="s">
        <v>1462</v>
      </c>
      <c r="C833" t="s">
        <v>1463</v>
      </c>
      <c r="D833" t="s">
        <v>15</v>
      </c>
      <c r="E833" t="s">
        <v>134</v>
      </c>
      <c r="F833" t="s">
        <v>342</v>
      </c>
      <c r="G833" t="str">
        <f>HYPERLINK(_xlfn.CONCAT("https://tablet.otzar.org/",CHAR(35),"/book/143362/p/-1/t/1/fs/0/start/0/end/0/c"),"יהדות מעבר להרי הקרח")</f>
        <v>יהדות מעבר להרי הקרח</v>
      </c>
      <c r="H833" t="str">
        <f>_xlfn.CONCAT("https://tablet.otzar.org/",CHAR(35),"/book/143362/p/-1/t/1/fs/0/start/0/end/0/c")</f>
        <v>https://tablet.otzar.org/#/book/143362/p/-1/t/1/fs/0/start/0/end/0/c</v>
      </c>
    </row>
    <row r="834" spans="1:8" x14ac:dyDescent="0.25">
      <c r="A834">
        <v>164311</v>
      </c>
      <c r="B834" t="s">
        <v>1464</v>
      </c>
      <c r="C834" t="s">
        <v>1465</v>
      </c>
      <c r="D834" t="s">
        <v>15</v>
      </c>
      <c r="E834" t="s">
        <v>16</v>
      </c>
      <c r="F834" t="s">
        <v>12</v>
      </c>
      <c r="G834" t="str">
        <f>HYPERLINK(_xlfn.CONCAT("https://tablet.otzar.org/",CHAR(35),"/exKotar/164311"),"יהדותון - 6 כרכים")</f>
        <v>יהדותון - 6 כרכים</v>
      </c>
      <c r="H834" t="str">
        <f>_xlfn.CONCAT("https://tablet.otzar.org/",CHAR(35),"/exKotar/164311")</f>
        <v>https://tablet.otzar.org/#/exKotar/164311</v>
      </c>
    </row>
    <row r="835" spans="1:8" x14ac:dyDescent="0.25">
      <c r="A835">
        <v>160733</v>
      </c>
      <c r="B835" t="s">
        <v>1466</v>
      </c>
      <c r="C835" t="s">
        <v>1467</v>
      </c>
      <c r="D835" t="s">
        <v>28</v>
      </c>
      <c r="E835" t="s">
        <v>91</v>
      </c>
      <c r="F835" t="s">
        <v>12</v>
      </c>
      <c r="G835" t="str">
        <f>HYPERLINK(_xlfn.CONCAT("https://tablet.otzar.org/",CHAR(35),"/book/160733/p/-1/t/1/fs/0/start/0/end/0/c"),"יהודי")</f>
        <v>יהודי</v>
      </c>
      <c r="H835" t="str">
        <f>_xlfn.CONCAT("https://tablet.otzar.org/",CHAR(35),"/book/160733/p/-1/t/1/fs/0/start/0/end/0/c")</f>
        <v>https://tablet.otzar.org/#/book/160733/p/-1/t/1/fs/0/start/0/end/0/c</v>
      </c>
    </row>
    <row r="836" spans="1:8" x14ac:dyDescent="0.25">
      <c r="A836">
        <v>162740</v>
      </c>
      <c r="B836" t="s">
        <v>1468</v>
      </c>
      <c r="C836" t="s">
        <v>823</v>
      </c>
      <c r="D836" t="s">
        <v>15</v>
      </c>
      <c r="E836" t="s">
        <v>49</v>
      </c>
      <c r="F836" t="s">
        <v>12</v>
      </c>
      <c r="G836" t="str">
        <f>HYPERLINK(_xlfn.CONCAT("https://tablet.otzar.org/",CHAR(35),"/book/162740/p/-1/t/1/fs/0/start/0/end/0/c"),"יהלומים מספרים - ב")</f>
        <v>יהלומים מספרים - ב</v>
      </c>
      <c r="H836" t="str">
        <f>_xlfn.CONCAT("https://tablet.otzar.org/",CHAR(35),"/book/162740/p/-1/t/1/fs/0/start/0/end/0/c")</f>
        <v>https://tablet.otzar.org/#/book/162740/p/-1/t/1/fs/0/start/0/end/0/c</v>
      </c>
    </row>
    <row r="837" spans="1:8" x14ac:dyDescent="0.25">
      <c r="A837">
        <v>607988</v>
      </c>
      <c r="B837" t="s">
        <v>1469</v>
      </c>
      <c r="C837" t="s">
        <v>1470</v>
      </c>
      <c r="D837" t="s">
        <v>37</v>
      </c>
      <c r="E837" t="s">
        <v>19</v>
      </c>
      <c r="F837" t="s">
        <v>12</v>
      </c>
      <c r="G837" t="str">
        <f>HYPERLINK(_xlfn.CONCAT("https://tablet.otzar.org/",CHAR(35),"/book/607988/p/-1/t/1/fs/0/start/0/end/0/c"),"יום הולדת באור החסידות")</f>
        <v>יום הולדת באור החסידות</v>
      </c>
      <c r="H837" t="str">
        <f>_xlfn.CONCAT("https://tablet.otzar.org/",CHAR(35),"/book/607988/p/-1/t/1/fs/0/start/0/end/0/c")</f>
        <v>https://tablet.otzar.org/#/book/607988/p/-1/t/1/fs/0/start/0/end/0/c</v>
      </c>
    </row>
    <row r="838" spans="1:8" x14ac:dyDescent="0.25">
      <c r="A838">
        <v>614948</v>
      </c>
      <c r="B838" t="s">
        <v>1471</v>
      </c>
      <c r="C838" t="s">
        <v>1472</v>
      </c>
      <c r="D838" t="s">
        <v>10</v>
      </c>
      <c r="E838" t="s">
        <v>129</v>
      </c>
      <c r="F838" t="s">
        <v>12</v>
      </c>
      <c r="G838" t="str">
        <f>HYPERLINK(_xlfn.CONCAT("https://tablet.otzar.org/",CHAR(35),"/book/614948/p/-1/t/1/fs/0/start/0/end/0/c"),"יום הילולא כ""""ב שבט")</f>
        <v>יום הילולא כ""ב שבט</v>
      </c>
      <c r="H838" t="str">
        <f>_xlfn.CONCAT("https://tablet.otzar.org/",CHAR(35),"/book/614948/p/-1/t/1/fs/0/start/0/end/0/c")</f>
        <v>https://tablet.otzar.org/#/book/614948/p/-1/t/1/fs/0/start/0/end/0/c</v>
      </c>
    </row>
    <row r="839" spans="1:8" x14ac:dyDescent="0.25">
      <c r="A839">
        <v>27007</v>
      </c>
      <c r="B839" t="s">
        <v>1473</v>
      </c>
      <c r="C839" t="s">
        <v>68</v>
      </c>
      <c r="D839" t="s">
        <v>10</v>
      </c>
      <c r="E839" t="s">
        <v>192</v>
      </c>
      <c r="G839" t="str">
        <f>HYPERLINK(_xlfn.CONCAT("https://tablet.otzar.org/",CHAR(35),"/exKotar/27007"),"יום טוב של ר""""ה תרס""""ו - 2 כרכים")</f>
        <v>יום טוב של ר""ה תרס""ו - 2 כרכים</v>
      </c>
      <c r="H839" t="str">
        <f>_xlfn.CONCAT("https://tablet.otzar.org/",CHAR(35),"/exKotar/27007")</f>
        <v>https://tablet.otzar.org/#/exKotar/27007</v>
      </c>
    </row>
    <row r="840" spans="1:8" x14ac:dyDescent="0.25">
      <c r="A840">
        <v>607972</v>
      </c>
      <c r="B840" t="s">
        <v>1474</v>
      </c>
      <c r="C840" t="s">
        <v>244</v>
      </c>
      <c r="D840" t="s">
        <v>1475</v>
      </c>
      <c r="E840" t="s">
        <v>260</v>
      </c>
      <c r="F840" t="s">
        <v>12</v>
      </c>
      <c r="G840" t="str">
        <f>HYPERLINK(_xlfn.CONCAT("https://tablet.otzar.org/",CHAR(35),"/book/607972/p/-1/t/1/fs/0/start/0/end/0/c"),"יום יום משיח וגאולה")</f>
        <v>יום יום משיח וגאולה</v>
      </c>
      <c r="H840" t="str">
        <f>_xlfn.CONCAT("https://tablet.otzar.org/",CHAR(35),"/book/607972/p/-1/t/1/fs/0/start/0/end/0/c")</f>
        <v>https://tablet.otzar.org/#/book/607972/p/-1/t/1/fs/0/start/0/end/0/c</v>
      </c>
    </row>
    <row r="841" spans="1:8" x14ac:dyDescent="0.25">
      <c r="A841">
        <v>189108</v>
      </c>
      <c r="B841" t="s">
        <v>1476</v>
      </c>
      <c r="C841" t="s">
        <v>391</v>
      </c>
      <c r="D841" t="s">
        <v>28</v>
      </c>
      <c r="E841" t="s">
        <v>91</v>
      </c>
      <c r="F841" t="s">
        <v>12</v>
      </c>
      <c r="G841" t="str">
        <f>HYPERLINK(_xlfn.CONCAT("https://tablet.otzar.org/",CHAR(35),"/book/189108/p/-1/t/1/fs/0/start/0/end/0/c"),"יום יום עם הרבי")</f>
        <v>יום יום עם הרבי</v>
      </c>
      <c r="H841" t="str">
        <f>_xlfn.CONCAT("https://tablet.otzar.org/",CHAR(35),"/book/189108/p/-1/t/1/fs/0/start/0/end/0/c")</f>
        <v>https://tablet.otzar.org/#/book/189108/p/-1/t/1/fs/0/start/0/end/0/c</v>
      </c>
    </row>
    <row r="842" spans="1:8" x14ac:dyDescent="0.25">
      <c r="A842">
        <v>166018</v>
      </c>
      <c r="B842" t="s">
        <v>1477</v>
      </c>
      <c r="C842" t="s">
        <v>244</v>
      </c>
      <c r="D842" t="s">
        <v>10</v>
      </c>
      <c r="E842" t="s">
        <v>226</v>
      </c>
      <c r="F842" t="s">
        <v>43</v>
      </c>
      <c r="G842" t="str">
        <f>HYPERLINK(_xlfn.CONCAT("https://tablet.otzar.org/",CHAR(35),"/book/166018/p/-1/t/1/fs/0/start/0/end/0/c"),"יומא טבא לרבנן")</f>
        <v>יומא טבא לרבנן</v>
      </c>
      <c r="H842" t="str">
        <f>_xlfn.CONCAT("https://tablet.otzar.org/",CHAR(35),"/book/166018/p/-1/t/1/fs/0/start/0/end/0/c")</f>
        <v>https://tablet.otzar.org/#/book/166018/p/-1/t/1/fs/0/start/0/end/0/c</v>
      </c>
    </row>
    <row r="843" spans="1:8" x14ac:dyDescent="0.25">
      <c r="A843">
        <v>613900</v>
      </c>
      <c r="B843" t="s">
        <v>1478</v>
      </c>
      <c r="C843" t="s">
        <v>122</v>
      </c>
      <c r="D843" t="s">
        <v>28</v>
      </c>
      <c r="E843" t="s">
        <v>91</v>
      </c>
      <c r="F843" t="s">
        <v>12</v>
      </c>
      <c r="G843" t="str">
        <f>HYPERLINK(_xlfn.CONCAT("https://tablet.otzar.org/",CHAR(35),"/book/613900/p/-1/t/1/fs/0/start/0/end/0/c"),"יומן")</f>
        <v>יומן</v>
      </c>
      <c r="H843" t="str">
        <f>_xlfn.CONCAT("https://tablet.otzar.org/",CHAR(35),"/book/613900/p/-1/t/1/fs/0/start/0/end/0/c")</f>
        <v>https://tablet.otzar.org/#/book/613900/p/-1/t/1/fs/0/start/0/end/0/c</v>
      </c>
    </row>
    <row r="844" spans="1:8" x14ac:dyDescent="0.25">
      <c r="A844">
        <v>630128</v>
      </c>
      <c r="B844" t="s">
        <v>1479</v>
      </c>
      <c r="C844" t="s">
        <v>1480</v>
      </c>
      <c r="D844" t="s">
        <v>10</v>
      </c>
      <c r="E844" t="s">
        <v>91</v>
      </c>
      <c r="F844" t="s">
        <v>12</v>
      </c>
      <c r="G844" t="str">
        <f>HYPERLINK(_xlfn.CONCAT("https://tablet.otzar.org/",CHAR(35),"/book/630128/p/-1/t/1/fs/0/start/0/end/0/c"),"יומן - כסלו תשכ""""ה, כסלו תשכ""""ח")</f>
        <v>יומן - כסלו תשכ""ה, כסלו תשכ""ח</v>
      </c>
      <c r="H844" t="str">
        <f>_xlfn.CONCAT("https://tablet.otzar.org/",CHAR(35),"/book/630128/p/-1/t/1/fs/0/start/0/end/0/c")</f>
        <v>https://tablet.otzar.org/#/book/630128/p/-1/t/1/fs/0/start/0/end/0/c</v>
      </c>
    </row>
    <row r="845" spans="1:8" x14ac:dyDescent="0.25">
      <c r="A845">
        <v>632613</v>
      </c>
      <c r="B845" t="s">
        <v>1481</v>
      </c>
      <c r="C845" t="s">
        <v>1482</v>
      </c>
      <c r="D845" t="s">
        <v>28</v>
      </c>
      <c r="E845" t="s">
        <v>185</v>
      </c>
      <c r="F845" t="s">
        <v>12</v>
      </c>
      <c r="G845" t="str">
        <f>HYPERLINK(_xlfn.CONCAT("https://tablet.otzar.org/",CHAR(35),"/book/632613/p/-1/t/1/fs/0/start/0/end/0/c"),"יומן ט - י שבט תש""""ל")</f>
        <v>יומן ט - י שבט תש""ל</v>
      </c>
      <c r="H845" t="str">
        <f>_xlfn.CONCAT("https://tablet.otzar.org/",CHAR(35),"/book/632613/p/-1/t/1/fs/0/start/0/end/0/c")</f>
        <v>https://tablet.otzar.org/#/book/632613/p/-1/t/1/fs/0/start/0/end/0/c</v>
      </c>
    </row>
    <row r="846" spans="1:8" x14ac:dyDescent="0.25">
      <c r="A846">
        <v>607996</v>
      </c>
      <c r="B846" t="s">
        <v>1483</v>
      </c>
      <c r="C846" t="s">
        <v>326</v>
      </c>
      <c r="D846" t="s">
        <v>1484</v>
      </c>
      <c r="E846" t="s">
        <v>99</v>
      </c>
      <c r="F846" t="s">
        <v>12</v>
      </c>
      <c r="G846" t="str">
        <f>HYPERLINK(_xlfn.CONCAT("https://tablet.otzar.org/",CHAR(35),"/book/607996/p/-1/t/1/fs/0/start/0/end/0/c"),"יומן מסע")</f>
        <v>יומן מסע</v>
      </c>
      <c r="H846" t="str">
        <f>_xlfn.CONCAT("https://tablet.otzar.org/",CHAR(35),"/book/607996/p/-1/t/1/fs/0/start/0/end/0/c")</f>
        <v>https://tablet.otzar.org/#/book/607996/p/-1/t/1/fs/0/start/0/end/0/c</v>
      </c>
    </row>
    <row r="847" spans="1:8" x14ac:dyDescent="0.25">
      <c r="A847">
        <v>141515</v>
      </c>
      <c r="B847" t="s">
        <v>1485</v>
      </c>
      <c r="C847" t="s">
        <v>1485</v>
      </c>
      <c r="D847" t="s">
        <v>28</v>
      </c>
      <c r="E847" t="s">
        <v>57</v>
      </c>
      <c r="F847" t="s">
        <v>12</v>
      </c>
      <c r="G847" t="str">
        <f>HYPERLINK(_xlfn.CONCAT("https://tablet.otzar.org/",CHAR(35),"/book/141515/p/-1/t/1/fs/0/start/0/end/0/c"),"יומן שנת הקהל התשמ""""א")</f>
        <v>יומן שנת הקהל התשמ""א</v>
      </c>
      <c r="H847" t="str">
        <f>_xlfn.CONCAT("https://tablet.otzar.org/",CHAR(35),"/book/141515/p/-1/t/1/fs/0/start/0/end/0/c")</f>
        <v>https://tablet.otzar.org/#/book/141515/p/-1/t/1/fs/0/start/0/end/0/c</v>
      </c>
    </row>
    <row r="848" spans="1:8" x14ac:dyDescent="0.25">
      <c r="A848">
        <v>145760</v>
      </c>
      <c r="B848" t="s">
        <v>1486</v>
      </c>
      <c r="C848" t="s">
        <v>1486</v>
      </c>
      <c r="D848" t="s">
        <v>10</v>
      </c>
      <c r="E848" t="s">
        <v>181</v>
      </c>
      <c r="F848" t="s">
        <v>12</v>
      </c>
      <c r="G848" t="str">
        <f>HYPERLINK(_xlfn.CONCAT("https://tablet.otzar.org/",CHAR(35),"/book/145760/p/-1/t/1/fs/0/start/0/end/0/c"),"יומן שנת הקהל התשמ""""ח")</f>
        <v>יומן שנת הקהל התשמ""ח</v>
      </c>
      <c r="H848" t="str">
        <f>_xlfn.CONCAT("https://tablet.otzar.org/",CHAR(35),"/book/145760/p/-1/t/1/fs/0/start/0/end/0/c")</f>
        <v>https://tablet.otzar.org/#/book/145760/p/-1/t/1/fs/0/start/0/end/0/c</v>
      </c>
    </row>
    <row r="849" spans="1:8" x14ac:dyDescent="0.25">
      <c r="A849">
        <v>168978</v>
      </c>
      <c r="B849" t="s">
        <v>1487</v>
      </c>
      <c r="C849" t="s">
        <v>1488</v>
      </c>
      <c r="D849" t="s">
        <v>15</v>
      </c>
      <c r="E849" t="s">
        <v>226</v>
      </c>
      <c r="F849" t="s">
        <v>12</v>
      </c>
      <c r="G849" t="str">
        <f>HYPERLINK(_xlfn.CONCAT("https://tablet.otzar.org/",CHAR(35),"/book/168978/p/-1/t/1/fs/0/start/0/end/0/c"),"יוסי החבר הכי טוב שלי")</f>
        <v>יוסי החבר הכי טוב שלי</v>
      </c>
      <c r="H849" t="str">
        <f>_xlfn.CONCAT("https://tablet.otzar.org/",CHAR(35),"/book/168978/p/-1/t/1/fs/0/start/0/end/0/c")</f>
        <v>https://tablet.otzar.org/#/book/168978/p/-1/t/1/fs/0/start/0/end/0/c</v>
      </c>
    </row>
    <row r="850" spans="1:8" x14ac:dyDescent="0.25">
      <c r="A850">
        <v>167744</v>
      </c>
      <c r="B850" t="s">
        <v>1489</v>
      </c>
      <c r="C850" t="s">
        <v>1490</v>
      </c>
      <c r="D850" t="s">
        <v>28</v>
      </c>
      <c r="E850" t="s">
        <v>91</v>
      </c>
      <c r="F850" t="s">
        <v>12</v>
      </c>
      <c r="G850" t="str">
        <f>HYPERLINK(_xlfn.CONCAT("https://tablet.otzar.org/",CHAR(35),"/book/167744/p/-1/t/1/fs/0/start/0/end/0/c"),"יוצאים לחירות")</f>
        <v>יוצאים לחירות</v>
      </c>
      <c r="H850" t="str">
        <f>_xlfn.CONCAT("https://tablet.otzar.org/",CHAR(35),"/book/167744/p/-1/t/1/fs/0/start/0/end/0/c")</f>
        <v>https://tablet.otzar.org/#/book/167744/p/-1/t/1/fs/0/start/0/end/0/c</v>
      </c>
    </row>
    <row r="851" spans="1:8" x14ac:dyDescent="0.25">
      <c r="A851">
        <v>607848</v>
      </c>
      <c r="B851" t="s">
        <v>1491</v>
      </c>
      <c r="C851" t="s">
        <v>1492</v>
      </c>
      <c r="D851" t="s">
        <v>15</v>
      </c>
      <c r="E851" t="s">
        <v>404</v>
      </c>
      <c r="F851" t="s">
        <v>12</v>
      </c>
      <c r="G851" t="str">
        <f>HYPERLINK(_xlfn.CONCAT("https://tablet.otzar.org/",CHAR(35),"/book/607848/p/-1/t/1/fs/0/start/0/end/0/c"),"יחד כל ילדי הכפר")</f>
        <v>יחד כל ילדי הכפר</v>
      </c>
      <c r="H851" t="str">
        <f>_xlfn.CONCAT("https://tablet.otzar.org/",CHAR(35),"/book/607848/p/-1/t/1/fs/0/start/0/end/0/c")</f>
        <v>https://tablet.otzar.org/#/book/607848/p/-1/t/1/fs/0/start/0/end/0/c</v>
      </c>
    </row>
    <row r="852" spans="1:8" x14ac:dyDescent="0.25">
      <c r="A852">
        <v>141547</v>
      </c>
      <c r="B852" t="s">
        <v>1493</v>
      </c>
      <c r="C852" t="s">
        <v>125</v>
      </c>
      <c r="D852" t="s">
        <v>28</v>
      </c>
      <c r="E852" t="s">
        <v>181</v>
      </c>
      <c r="F852" t="s">
        <v>12</v>
      </c>
      <c r="G852" t="str">
        <f>HYPERLINK(_xlfn.CONCAT("https://tablet.otzar.org/",CHAR(35),"/book/141547/p/-1/t/1/fs/0/start/0/end/0/c"),"יחדיו")</f>
        <v>יחדיו</v>
      </c>
      <c r="H852" t="str">
        <f>_xlfn.CONCAT("https://tablet.otzar.org/",CHAR(35),"/book/141547/p/-1/t/1/fs/0/start/0/end/0/c")</f>
        <v>https://tablet.otzar.org/#/book/141547/p/-1/t/1/fs/0/start/0/end/0/c</v>
      </c>
    </row>
    <row r="853" spans="1:8" x14ac:dyDescent="0.25">
      <c r="A853">
        <v>143273</v>
      </c>
      <c r="B853" t="s">
        <v>1494</v>
      </c>
      <c r="C853" t="s">
        <v>1495</v>
      </c>
      <c r="D853" t="s">
        <v>197</v>
      </c>
      <c r="E853" t="s">
        <v>46</v>
      </c>
      <c r="F853" t="s">
        <v>319</v>
      </c>
      <c r="G853" t="str">
        <f>HYPERLINK(_xlfn.CONCAT("https://tablet.otzar.org/",CHAR(35),"/book/143273/p/-1/t/1/fs/0/start/0/end/0/c"),"יחי המלך")</f>
        <v>יחי המלך</v>
      </c>
      <c r="H853" t="str">
        <f>_xlfn.CONCAT("https://tablet.otzar.org/",CHAR(35),"/book/143273/p/-1/t/1/fs/0/start/0/end/0/c")</f>
        <v>https://tablet.otzar.org/#/book/143273/p/-1/t/1/fs/0/start/0/end/0/c</v>
      </c>
    </row>
    <row r="854" spans="1:8" x14ac:dyDescent="0.25">
      <c r="A854">
        <v>607776</v>
      </c>
      <c r="B854" t="s">
        <v>1496</v>
      </c>
      <c r="C854" t="s">
        <v>1497</v>
      </c>
      <c r="D854" t="s">
        <v>10</v>
      </c>
      <c r="E854" t="s">
        <v>404</v>
      </c>
      <c r="F854" t="s">
        <v>12</v>
      </c>
      <c r="G854" t="str">
        <f>HYPERLINK(_xlfn.CONCAT("https://tablet.otzar.org/",CHAR(35),"/book/607776/p/-1/t/1/fs/0/start/0/end/0/c"),"יחידה ביחיד")</f>
        <v>יחידה ביחיד</v>
      </c>
      <c r="H854" t="str">
        <f>_xlfn.CONCAT("https://tablet.otzar.org/",CHAR(35),"/book/607776/p/-1/t/1/fs/0/start/0/end/0/c")</f>
        <v>https://tablet.otzar.org/#/book/607776/p/-1/t/1/fs/0/start/0/end/0/c</v>
      </c>
    </row>
    <row r="855" spans="1:8" x14ac:dyDescent="0.25">
      <c r="A855">
        <v>622493</v>
      </c>
      <c r="B855" t="s">
        <v>1498</v>
      </c>
      <c r="C855" t="s">
        <v>1270</v>
      </c>
      <c r="D855" t="s">
        <v>15</v>
      </c>
      <c r="E855" t="s">
        <v>11</v>
      </c>
      <c r="F855" t="s">
        <v>12</v>
      </c>
      <c r="G855" t="str">
        <f>HYPERLINK(_xlfn.CONCAT("https://tablet.otzar.org/",CHAR(35),"/exKotar/622493"),"יחידויות - 3 כרכים")</f>
        <v>יחידויות - 3 כרכים</v>
      </c>
      <c r="H855" t="str">
        <f>_xlfn.CONCAT("https://tablet.otzar.org/",CHAR(35),"/exKotar/622493")</f>
        <v>https://tablet.otzar.org/#/exKotar/622493</v>
      </c>
    </row>
    <row r="856" spans="1:8" x14ac:dyDescent="0.25">
      <c r="A856">
        <v>141512</v>
      </c>
      <c r="B856" t="s">
        <v>1499</v>
      </c>
      <c r="C856" t="s">
        <v>45</v>
      </c>
      <c r="D856" t="s">
        <v>10</v>
      </c>
      <c r="E856" t="s">
        <v>134</v>
      </c>
      <c r="F856" t="s">
        <v>12</v>
      </c>
      <c r="G856" t="str">
        <f>HYPERLINK(_xlfn.CONCAT("https://tablet.otzar.org/",CHAR(35),"/exKotar/141512"),"יחידויות חתנים וכלות - 2 כרכים")</f>
        <v>יחידויות חתנים וכלות - 2 כרכים</v>
      </c>
      <c r="H856" t="str">
        <f>_xlfn.CONCAT("https://tablet.otzar.org/",CHAR(35),"/exKotar/141512")</f>
        <v>https://tablet.otzar.org/#/exKotar/141512</v>
      </c>
    </row>
    <row r="857" spans="1:8" x14ac:dyDescent="0.25">
      <c r="A857">
        <v>141576</v>
      </c>
      <c r="B857" t="s">
        <v>1500</v>
      </c>
      <c r="C857" t="s">
        <v>1500</v>
      </c>
      <c r="D857" t="s">
        <v>15</v>
      </c>
      <c r="E857" t="s">
        <v>75</v>
      </c>
      <c r="F857" t="s">
        <v>12</v>
      </c>
      <c r="G857" t="str">
        <f>HYPERLINK(_xlfn.CONCAT("https://tablet.otzar.org/",CHAR(35),"/book/141576/p/-1/t/1/fs/0/start/0/end/0/c"),"יחידות")</f>
        <v>יחידות</v>
      </c>
      <c r="H857" t="str">
        <f>_xlfn.CONCAT("https://tablet.otzar.org/",CHAR(35),"/book/141576/p/-1/t/1/fs/0/start/0/end/0/c")</f>
        <v>https://tablet.otzar.org/#/book/141576/p/-1/t/1/fs/0/start/0/end/0/c</v>
      </c>
    </row>
    <row r="858" spans="1:8" x14ac:dyDescent="0.25">
      <c r="A858">
        <v>607775</v>
      </c>
      <c r="B858" t="s">
        <v>1501</v>
      </c>
      <c r="C858" t="s">
        <v>1502</v>
      </c>
      <c r="D858" t="s">
        <v>28</v>
      </c>
      <c r="E858" t="s">
        <v>404</v>
      </c>
      <c r="F858" t="s">
        <v>12</v>
      </c>
      <c r="G858" t="str">
        <f>HYPERLINK(_xlfn.CONCAT("https://tablet.otzar.org/",CHAR(35),"/book/607775/p/-1/t/1/fs/0/start/0/end/0/c"),"יחננו ויברכנו")</f>
        <v>יחננו ויברכנו</v>
      </c>
      <c r="H858" t="str">
        <f>_xlfn.CONCAT("https://tablet.otzar.org/",CHAR(35),"/book/607775/p/-1/t/1/fs/0/start/0/end/0/c")</f>
        <v>https://tablet.otzar.org/#/book/607775/p/-1/t/1/fs/0/start/0/end/0/c</v>
      </c>
    </row>
    <row r="859" spans="1:8" x14ac:dyDescent="0.25">
      <c r="A859">
        <v>143282</v>
      </c>
      <c r="B859" t="s">
        <v>1503</v>
      </c>
      <c r="C859" t="s">
        <v>45</v>
      </c>
      <c r="D859" t="s">
        <v>10</v>
      </c>
      <c r="E859" t="s">
        <v>181</v>
      </c>
      <c r="F859" t="s">
        <v>94</v>
      </c>
      <c r="G859" t="str">
        <f>HYPERLINK(_xlfn.CONCAT("https://tablet.otzar.org/",CHAR(35),"/book/143282/p/-1/t/1/fs/0/start/0/end/0/c"),"יין מלכות")</f>
        <v>יין מלכות</v>
      </c>
      <c r="H859" t="str">
        <f>_xlfn.CONCAT("https://tablet.otzar.org/",CHAR(35),"/book/143282/p/-1/t/1/fs/0/start/0/end/0/c")</f>
        <v>https://tablet.otzar.org/#/book/143282/p/-1/t/1/fs/0/start/0/end/0/c</v>
      </c>
    </row>
    <row r="860" spans="1:8" x14ac:dyDescent="0.25">
      <c r="A860">
        <v>626868</v>
      </c>
      <c r="B860" t="s">
        <v>1504</v>
      </c>
      <c r="C860" t="s">
        <v>102</v>
      </c>
      <c r="D860" t="s">
        <v>15</v>
      </c>
      <c r="E860" t="s">
        <v>1505</v>
      </c>
      <c r="F860" t="s">
        <v>43</v>
      </c>
      <c r="G860" t="str">
        <f>HYPERLINK(_xlfn.CONCAT("https://tablet.otzar.org/",CHAR(35),"/exKotar/626868"),"יין משמח - 5 כרכים")</f>
        <v>יין משמח - 5 כרכים</v>
      </c>
      <c r="H860" t="str">
        <f>_xlfn.CONCAT("https://tablet.otzar.org/",CHAR(35),"/exKotar/626868")</f>
        <v>https://tablet.otzar.org/#/exKotar/626868</v>
      </c>
    </row>
    <row r="861" spans="1:8" x14ac:dyDescent="0.25">
      <c r="A861">
        <v>160615</v>
      </c>
      <c r="B861" t="s">
        <v>1506</v>
      </c>
      <c r="C861" t="s">
        <v>48</v>
      </c>
      <c r="D861" t="s">
        <v>15</v>
      </c>
      <c r="E861" t="s">
        <v>226</v>
      </c>
      <c r="F861" t="s">
        <v>12</v>
      </c>
      <c r="G861" t="str">
        <f>HYPERLINK(_xlfn.CONCAT("https://tablet.otzar.org/",CHAR(35),"/book/160615/p/-1/t/1/fs/0/start/0/end/0/c"),"ייסודה והתפתחותה של קרית חב""""ד בצפת")</f>
        <v>ייסודה והתפתחותה של קרית חב""ד בצפת</v>
      </c>
      <c r="H861" t="str">
        <f>_xlfn.CONCAT("https://tablet.otzar.org/",CHAR(35),"/book/160615/p/-1/t/1/fs/0/start/0/end/0/c")</f>
        <v>https://tablet.otzar.org/#/book/160615/p/-1/t/1/fs/0/start/0/end/0/c</v>
      </c>
    </row>
    <row r="862" spans="1:8" x14ac:dyDescent="0.25">
      <c r="A862">
        <v>153357</v>
      </c>
      <c r="B862" t="s">
        <v>1507</v>
      </c>
      <c r="C862" t="s">
        <v>113</v>
      </c>
      <c r="D862" t="s">
        <v>15</v>
      </c>
      <c r="E862" t="s">
        <v>49</v>
      </c>
      <c r="F862" t="s">
        <v>12</v>
      </c>
      <c r="G862" t="str">
        <f>HYPERLINK(_xlfn.CONCAT("https://tablet.otzar.org/",CHAR(35),"/book/153357/p/-1/t/1/fs/0/start/0/end/0/c"),"ייסודו והתפתחותו של שיכון חב""""ד לוד")</f>
        <v>ייסודו והתפתחותו של שיכון חב""ד לוד</v>
      </c>
      <c r="H862" t="str">
        <f>_xlfn.CONCAT("https://tablet.otzar.org/",CHAR(35),"/book/153357/p/-1/t/1/fs/0/start/0/end/0/c")</f>
        <v>https://tablet.otzar.org/#/book/153357/p/-1/t/1/fs/0/start/0/end/0/c</v>
      </c>
    </row>
    <row r="863" spans="1:8" x14ac:dyDescent="0.25">
      <c r="A863">
        <v>181651</v>
      </c>
      <c r="B863" t="s">
        <v>1508</v>
      </c>
      <c r="C863" t="s">
        <v>1509</v>
      </c>
      <c r="D863" t="s">
        <v>15</v>
      </c>
      <c r="E863" t="s">
        <v>88</v>
      </c>
      <c r="F863" t="s">
        <v>12</v>
      </c>
      <c r="G863" t="str">
        <f>HYPERLINK(_xlfn.CONCAT("https://tablet.otzar.org/",CHAR(35),"/book/181651/p/-1/t/1/fs/0/start/0/end/0/c"),"ייפוי כוח")</f>
        <v>ייפוי כוח</v>
      </c>
      <c r="H863" t="str">
        <f>_xlfn.CONCAT("https://tablet.otzar.org/",CHAR(35),"/book/181651/p/-1/t/1/fs/0/start/0/end/0/c")</f>
        <v>https://tablet.otzar.org/#/book/181651/p/-1/t/1/fs/0/start/0/end/0/c</v>
      </c>
    </row>
    <row r="864" spans="1:8" x14ac:dyDescent="0.25">
      <c r="A864">
        <v>141477</v>
      </c>
      <c r="B864" t="s">
        <v>1510</v>
      </c>
      <c r="C864" t="s">
        <v>81</v>
      </c>
      <c r="D864" t="s">
        <v>37</v>
      </c>
      <c r="E864" t="s">
        <v>382</v>
      </c>
      <c r="G864" t="str">
        <f>HYPERLINK(_xlfn.CONCAT("https://tablet.otzar.org/",CHAR(35),"/book/141477/p/-1/t/1/fs/0/start/0/end/0/c"),"ילקוט אגרות קודש")</f>
        <v>ילקוט אגרות קודש</v>
      </c>
      <c r="H864" t="str">
        <f>_xlfn.CONCAT("https://tablet.otzar.org/",CHAR(35),"/book/141477/p/-1/t/1/fs/0/start/0/end/0/c")</f>
        <v>https://tablet.otzar.org/#/book/141477/p/-1/t/1/fs/0/start/0/end/0/c</v>
      </c>
    </row>
    <row r="865" spans="1:8" x14ac:dyDescent="0.25">
      <c r="A865">
        <v>146326</v>
      </c>
      <c r="B865" t="s">
        <v>1511</v>
      </c>
      <c r="C865" t="s">
        <v>244</v>
      </c>
      <c r="D865" t="s">
        <v>15</v>
      </c>
      <c r="E865" t="s">
        <v>346</v>
      </c>
      <c r="F865" t="s">
        <v>12</v>
      </c>
      <c r="G865" t="str">
        <f>HYPERLINK(_xlfn.CONCAT("https://tablet.otzar.org/",CHAR(35),"/book/146326/p/-1/t/1/fs/0/start/0/end/0/c"),"ילקוט אפשערניש (תספורת)")</f>
        <v>ילקוט אפשערניש (תספורת)</v>
      </c>
      <c r="H865" t="str">
        <f>_xlfn.CONCAT("https://tablet.otzar.org/",CHAR(35),"/book/146326/p/-1/t/1/fs/0/start/0/end/0/c")</f>
        <v>https://tablet.otzar.org/#/book/146326/p/-1/t/1/fs/0/start/0/end/0/c</v>
      </c>
    </row>
    <row r="866" spans="1:8" x14ac:dyDescent="0.25">
      <c r="A866">
        <v>141493</v>
      </c>
      <c r="B866" t="s">
        <v>1512</v>
      </c>
      <c r="C866" t="s">
        <v>1512</v>
      </c>
      <c r="D866" t="s">
        <v>15</v>
      </c>
      <c r="E866" t="s">
        <v>181</v>
      </c>
      <c r="F866" t="s">
        <v>12</v>
      </c>
      <c r="G866" t="str">
        <f>HYPERLINK(_xlfn.CONCAT("https://tablet.otzar.org/",CHAR(35),"/book/141493/p/-1/t/1/fs/0/start/0/end/0/c"),"ילקוט אשל")</f>
        <v>ילקוט אשל</v>
      </c>
      <c r="H866" t="str">
        <f>_xlfn.CONCAT("https://tablet.otzar.org/",CHAR(35),"/book/141493/p/-1/t/1/fs/0/start/0/end/0/c")</f>
        <v>https://tablet.otzar.org/#/book/141493/p/-1/t/1/fs/0/start/0/end/0/c</v>
      </c>
    </row>
    <row r="867" spans="1:8" x14ac:dyDescent="0.25">
      <c r="A867">
        <v>140816</v>
      </c>
      <c r="B867" t="s">
        <v>1513</v>
      </c>
      <c r="C867" t="s">
        <v>1514</v>
      </c>
      <c r="D867" t="s">
        <v>15</v>
      </c>
      <c r="E867" t="s">
        <v>236</v>
      </c>
      <c r="F867" t="s">
        <v>12</v>
      </c>
      <c r="G867" t="str">
        <f>HYPERLINK(_xlfn.CONCAT("https://tablet.otzar.org/",CHAR(35),"/book/140816/p/-1/t/1/fs/0/start/0/end/0/c"),"ילקוט בר מצוה")</f>
        <v>ילקוט בר מצוה</v>
      </c>
      <c r="H867" t="str">
        <f>_xlfn.CONCAT("https://tablet.otzar.org/",CHAR(35),"/book/140816/p/-1/t/1/fs/0/start/0/end/0/c")</f>
        <v>https://tablet.otzar.org/#/book/140816/p/-1/t/1/fs/0/start/0/end/0/c</v>
      </c>
    </row>
    <row r="868" spans="1:8" x14ac:dyDescent="0.25">
      <c r="A868">
        <v>639876</v>
      </c>
      <c r="B868" t="s">
        <v>1515</v>
      </c>
      <c r="C868" t="s">
        <v>1516</v>
      </c>
      <c r="D868" t="s">
        <v>656</v>
      </c>
      <c r="E868" t="s">
        <v>185</v>
      </c>
      <c r="F868" t="s">
        <v>43</v>
      </c>
      <c r="G868" t="str">
        <f>HYPERLINK(_xlfn.CONCAT("https://tablet.otzar.org/",CHAR(35),"/exKotar/639876"),"ילקוט גור אריה - 2 כרכים")</f>
        <v>ילקוט גור אריה - 2 כרכים</v>
      </c>
      <c r="H868" t="str">
        <f>_xlfn.CONCAT("https://tablet.otzar.org/",CHAR(35),"/exKotar/639876")</f>
        <v>https://tablet.otzar.org/#/exKotar/639876</v>
      </c>
    </row>
    <row r="869" spans="1:8" x14ac:dyDescent="0.25">
      <c r="A869">
        <v>631129</v>
      </c>
      <c r="B869" t="s">
        <v>1517</v>
      </c>
      <c r="C869" t="s">
        <v>1518</v>
      </c>
      <c r="D869" t="s">
        <v>28</v>
      </c>
      <c r="E869" t="s">
        <v>11</v>
      </c>
      <c r="F869" t="s">
        <v>12</v>
      </c>
      <c r="G869" t="str">
        <f>HYPERLINK(_xlfn.CONCAT("https://tablet.otzar.org/",CHAR(35),"/exKotar/631129"),"ילקוט הלכות וטעמי המנהגים חב""""ד - 4 כרכים")</f>
        <v>ילקוט הלכות וטעמי המנהגים חב""ד - 4 כרכים</v>
      </c>
      <c r="H869" t="str">
        <f>_xlfn.CONCAT("https://tablet.otzar.org/",CHAR(35),"/exKotar/631129")</f>
        <v>https://tablet.otzar.org/#/exKotar/631129</v>
      </c>
    </row>
    <row r="870" spans="1:8" x14ac:dyDescent="0.25">
      <c r="A870">
        <v>141430</v>
      </c>
      <c r="B870" t="s">
        <v>1519</v>
      </c>
      <c r="C870" t="s">
        <v>1117</v>
      </c>
      <c r="D870" t="s">
        <v>15</v>
      </c>
      <c r="E870" t="s">
        <v>57</v>
      </c>
      <c r="F870" t="s">
        <v>12</v>
      </c>
      <c r="G870" t="str">
        <f>HYPERLINK(_xlfn.CONCAT("https://tablet.otzar.org/",CHAR(35),"/book/141430/p/-1/t/1/fs/0/start/0/end/0/c"),"ילקוט הקהל")</f>
        <v>ילקוט הקהל</v>
      </c>
      <c r="H870" t="str">
        <f>_xlfn.CONCAT("https://tablet.otzar.org/",CHAR(35),"/book/141430/p/-1/t/1/fs/0/start/0/end/0/c")</f>
        <v>https://tablet.otzar.org/#/book/141430/p/-1/t/1/fs/0/start/0/end/0/c</v>
      </c>
    </row>
    <row r="871" spans="1:8" x14ac:dyDescent="0.25">
      <c r="A871">
        <v>140831</v>
      </c>
      <c r="B871" t="s">
        <v>1520</v>
      </c>
      <c r="C871" t="s">
        <v>1521</v>
      </c>
      <c r="D871" t="s">
        <v>10</v>
      </c>
      <c r="E871" t="s">
        <v>29</v>
      </c>
      <c r="F871" t="s">
        <v>12</v>
      </c>
      <c r="G871" t="str">
        <f>HYPERLINK(_xlfn.CONCAT("https://tablet.otzar.org/",CHAR(35),"/book/140831/p/-1/t/1/fs/0/start/0/end/0/c"),"ילקוט התספורת")</f>
        <v>ילקוט התספורת</v>
      </c>
      <c r="H871" t="str">
        <f>_xlfn.CONCAT("https://tablet.otzar.org/",CHAR(35),"/book/140831/p/-1/t/1/fs/0/start/0/end/0/c")</f>
        <v>https://tablet.otzar.org/#/book/140831/p/-1/t/1/fs/0/start/0/end/0/c</v>
      </c>
    </row>
    <row r="872" spans="1:8" x14ac:dyDescent="0.25">
      <c r="A872">
        <v>674965</v>
      </c>
      <c r="B872" t="s">
        <v>1522</v>
      </c>
      <c r="C872" t="s">
        <v>1523</v>
      </c>
      <c r="D872" t="s">
        <v>10</v>
      </c>
      <c r="E872" t="s">
        <v>24</v>
      </c>
      <c r="F872" t="s">
        <v>43</v>
      </c>
      <c r="G872" t="str">
        <f>HYPERLINK(_xlfn.CONCAT("https://tablet.otzar.org/",CHAR(35),"/book/674965/p/-1/t/1/fs/0/start/0/end/0/c"),"ילקוט לוי יצחק - מכתבי החתונה")</f>
        <v>ילקוט לוי יצחק - מכתבי החתונה</v>
      </c>
      <c r="H872" t="str">
        <f>_xlfn.CONCAT("https://tablet.otzar.org/",CHAR(35),"/book/674965/p/-1/t/1/fs/0/start/0/end/0/c")</f>
        <v>https://tablet.otzar.org/#/book/674965/p/-1/t/1/fs/0/start/0/end/0/c</v>
      </c>
    </row>
    <row r="873" spans="1:8" x14ac:dyDescent="0.25">
      <c r="A873">
        <v>622227</v>
      </c>
      <c r="B873" t="s">
        <v>1524</v>
      </c>
      <c r="C873" t="s">
        <v>1525</v>
      </c>
      <c r="D873" t="s">
        <v>10</v>
      </c>
      <c r="E873" t="s">
        <v>88</v>
      </c>
      <c r="F873" t="s">
        <v>12</v>
      </c>
      <c r="G873" t="str">
        <f>HYPERLINK(_xlfn.CONCAT("https://tablet.otzar.org/",CHAR(35),"/exKotar/622227"),"ילקוט לוי יצחק על התורה - 6 כרכים")</f>
        <v>ילקוט לוי יצחק על התורה - 6 כרכים</v>
      </c>
      <c r="H873" t="str">
        <f>_xlfn.CONCAT("https://tablet.otzar.org/",CHAR(35),"/exKotar/622227")</f>
        <v>https://tablet.otzar.org/#/exKotar/622227</v>
      </c>
    </row>
    <row r="874" spans="1:8" x14ac:dyDescent="0.25">
      <c r="A874">
        <v>26656</v>
      </c>
      <c r="B874" t="s">
        <v>1526</v>
      </c>
      <c r="C874" t="s">
        <v>1527</v>
      </c>
      <c r="D874" t="s">
        <v>10</v>
      </c>
      <c r="E874" t="s">
        <v>250</v>
      </c>
      <c r="F874" t="s">
        <v>12</v>
      </c>
      <c r="G874" t="str">
        <f>HYPERLINK(_xlfn.CONCAT("https://tablet.otzar.org/",CHAR(35),"/exKotar/26656"),"ילקוט משיח וגאולה - 29 כרכים")</f>
        <v>ילקוט משיח וגאולה - 29 כרכים</v>
      </c>
      <c r="H874" t="str">
        <f>_xlfn.CONCAT("https://tablet.otzar.org/",CHAR(35),"/exKotar/26656")</f>
        <v>https://tablet.otzar.org/#/exKotar/26656</v>
      </c>
    </row>
    <row r="875" spans="1:8" x14ac:dyDescent="0.25">
      <c r="A875">
        <v>630331</v>
      </c>
      <c r="B875" t="s">
        <v>1528</v>
      </c>
      <c r="C875" t="s">
        <v>1523</v>
      </c>
      <c r="D875" t="s">
        <v>10</v>
      </c>
      <c r="E875" t="s">
        <v>88</v>
      </c>
      <c r="F875" t="s">
        <v>12</v>
      </c>
      <c r="G875" t="str">
        <f>HYPERLINK(_xlfn.CONCAT("https://tablet.otzar.org/",CHAR(35),"/book/630331/p/-1/t/1/fs/0/start/0/end/0/c"),"ילקוט פירושים מילקוט לוי יצחק")</f>
        <v>ילקוט פירושים מילקוט לוי יצחק</v>
      </c>
      <c r="H875" t="str">
        <f>_xlfn.CONCAT("https://tablet.otzar.org/",CHAR(35),"/book/630331/p/-1/t/1/fs/0/start/0/end/0/c")</f>
        <v>https://tablet.otzar.org/#/book/630331/p/-1/t/1/fs/0/start/0/end/0/c</v>
      </c>
    </row>
    <row r="876" spans="1:8" x14ac:dyDescent="0.25">
      <c r="A876">
        <v>618898</v>
      </c>
      <c r="B876" t="s">
        <v>1529</v>
      </c>
      <c r="C876" t="s">
        <v>1525</v>
      </c>
      <c r="D876" t="s">
        <v>15</v>
      </c>
      <c r="E876" t="s">
        <v>115</v>
      </c>
      <c r="F876" t="s">
        <v>12</v>
      </c>
      <c r="G876" t="str">
        <f>HYPERLINK(_xlfn.CONCAT("https://tablet.otzar.org/",CHAR(35),"/book/618898/p/-1/t/1/fs/0/start/0/end/0/c"),"ילקוט פירושים על מצות תפילין")</f>
        <v>ילקוט פירושים על מצות תפילין</v>
      </c>
      <c r="H876" t="str">
        <f>_xlfn.CONCAT("https://tablet.otzar.org/",CHAR(35),"/book/618898/p/-1/t/1/fs/0/start/0/end/0/c")</f>
        <v>https://tablet.otzar.org/#/book/618898/p/-1/t/1/fs/0/start/0/end/0/c</v>
      </c>
    </row>
    <row r="877" spans="1:8" x14ac:dyDescent="0.25">
      <c r="A877">
        <v>622500</v>
      </c>
      <c r="B877" t="s">
        <v>1530</v>
      </c>
      <c r="C877" t="s">
        <v>1531</v>
      </c>
      <c r="D877" t="s">
        <v>15</v>
      </c>
      <c r="E877" t="s">
        <v>11</v>
      </c>
      <c r="F877" t="s">
        <v>12</v>
      </c>
      <c r="G877" t="str">
        <f>HYPERLINK(_xlfn.CONCAT("https://tablet.otzar.org/",CHAR(35),"/book/622500/p/-1/t/1/fs/0/start/0/end/0/c"),"ילקוט תורת הנפש על פי חב""""ד")</f>
        <v>ילקוט תורת הנפש על פי חב""ד</v>
      </c>
      <c r="H877" t="str">
        <f>_xlfn.CONCAT("https://tablet.otzar.org/",CHAR(35),"/book/622500/p/-1/t/1/fs/0/start/0/end/0/c")</f>
        <v>https://tablet.otzar.org/#/book/622500/p/-1/t/1/fs/0/start/0/end/0/c</v>
      </c>
    </row>
    <row r="878" spans="1:8" x14ac:dyDescent="0.25">
      <c r="A878">
        <v>141510</v>
      </c>
      <c r="B878" t="s">
        <v>1532</v>
      </c>
      <c r="C878" t="s">
        <v>1533</v>
      </c>
      <c r="D878" t="s">
        <v>1475</v>
      </c>
      <c r="E878" t="s">
        <v>91</v>
      </c>
      <c r="F878" t="s">
        <v>12</v>
      </c>
      <c r="G878" t="str">
        <f>HYPERLINK(_xlfn.CONCAT("https://tablet.otzar.org/",CHAR(35),"/book/141510/p/-1/t/1/fs/0/start/0/end/0/c"),"ימה וקדמה")</f>
        <v>ימה וקדמה</v>
      </c>
      <c r="H878" t="str">
        <f>_xlfn.CONCAT("https://tablet.otzar.org/",CHAR(35),"/book/141510/p/-1/t/1/fs/0/start/0/end/0/c")</f>
        <v>https://tablet.otzar.org/#/book/141510/p/-1/t/1/fs/0/start/0/end/0/c</v>
      </c>
    </row>
    <row r="879" spans="1:8" x14ac:dyDescent="0.25">
      <c r="A879">
        <v>603612</v>
      </c>
      <c r="B879" t="s">
        <v>1534</v>
      </c>
      <c r="C879" t="s">
        <v>1205</v>
      </c>
      <c r="D879" t="s">
        <v>15</v>
      </c>
      <c r="E879" t="s">
        <v>88</v>
      </c>
      <c r="F879" t="s">
        <v>12</v>
      </c>
      <c r="G879" t="str">
        <f>HYPERLINK(_xlfn.CONCAT("https://tablet.otzar.org/",CHAR(35),"/book/603612/p/-1/t/1/fs/0/start/0/end/0/c"),"ימות המשיח")</f>
        <v>ימות המשיח</v>
      </c>
      <c r="H879" t="str">
        <f>_xlfn.CONCAT("https://tablet.otzar.org/",CHAR(35),"/book/603612/p/-1/t/1/fs/0/start/0/end/0/c")</f>
        <v>https://tablet.otzar.org/#/book/603612/p/-1/t/1/fs/0/start/0/end/0/c</v>
      </c>
    </row>
    <row r="880" spans="1:8" x14ac:dyDescent="0.25">
      <c r="A880">
        <v>26521</v>
      </c>
      <c r="B880" t="s">
        <v>1535</v>
      </c>
      <c r="C880" t="s">
        <v>1536</v>
      </c>
      <c r="D880" t="s">
        <v>10</v>
      </c>
      <c r="E880" t="s">
        <v>192</v>
      </c>
      <c r="F880" t="s">
        <v>12</v>
      </c>
      <c r="G880" t="str">
        <f>HYPERLINK(_xlfn.CONCAT("https://tablet.otzar.org/",CHAR(35),"/exKotar/26521"),"ימות המשיח בהלכה - 2 כרכים")</f>
        <v>ימות המשיח בהלכה - 2 כרכים</v>
      </c>
      <c r="H880" t="str">
        <f>_xlfn.CONCAT("https://tablet.otzar.org/",CHAR(35),"/exKotar/26521")</f>
        <v>https://tablet.otzar.org/#/exKotar/26521</v>
      </c>
    </row>
    <row r="881" spans="1:8" x14ac:dyDescent="0.25">
      <c r="A881">
        <v>607712</v>
      </c>
      <c r="B881" t="s">
        <v>1537</v>
      </c>
      <c r="C881" t="s">
        <v>1322</v>
      </c>
      <c r="D881" t="s">
        <v>15</v>
      </c>
      <c r="E881" t="s">
        <v>404</v>
      </c>
      <c r="F881" t="s">
        <v>12</v>
      </c>
      <c r="G881" t="str">
        <f>HYPERLINK(_xlfn.CONCAT("https://tablet.otzar.org/",CHAR(35),"/book/607712/p/-1/t/1/fs/0/start/0/end/0/c"),"ימי 770")</f>
        <v>ימי 770</v>
      </c>
      <c r="H881" t="str">
        <f>_xlfn.CONCAT("https://tablet.otzar.org/",CHAR(35),"/book/607712/p/-1/t/1/fs/0/start/0/end/0/c")</f>
        <v>https://tablet.otzar.org/#/book/607712/p/-1/t/1/fs/0/start/0/end/0/c</v>
      </c>
    </row>
    <row r="882" spans="1:8" x14ac:dyDescent="0.25">
      <c r="A882">
        <v>142184</v>
      </c>
      <c r="B882" t="s">
        <v>1538</v>
      </c>
      <c r="C882" t="s">
        <v>1539</v>
      </c>
      <c r="D882" t="s">
        <v>10</v>
      </c>
      <c r="E882" t="s">
        <v>40</v>
      </c>
      <c r="F882" t="s">
        <v>12</v>
      </c>
      <c r="G882" t="str">
        <f>HYPERLINK(_xlfn.CONCAT("https://tablet.otzar.org/",CHAR(35),"/book/142184/p/-1/t/1/fs/0/start/0/end/0/c"),"ימי בראשית")</f>
        <v>ימי בראשית</v>
      </c>
      <c r="H882" t="str">
        <f>_xlfn.CONCAT("https://tablet.otzar.org/",CHAR(35),"/book/142184/p/-1/t/1/fs/0/start/0/end/0/c")</f>
        <v>https://tablet.otzar.org/#/book/142184/p/-1/t/1/fs/0/start/0/end/0/c</v>
      </c>
    </row>
    <row r="883" spans="1:8" x14ac:dyDescent="0.25">
      <c r="A883">
        <v>600292</v>
      </c>
      <c r="B883" t="s">
        <v>1540</v>
      </c>
      <c r="C883" t="s">
        <v>1541</v>
      </c>
      <c r="D883" t="s">
        <v>10</v>
      </c>
      <c r="E883" t="s">
        <v>88</v>
      </c>
      <c r="F883" t="s">
        <v>12</v>
      </c>
      <c r="G883" t="str">
        <f>HYPERLINK(_xlfn.CONCAT("https://tablet.otzar.org/",CHAR(35),"/book/600292/p/-1/t/1/fs/0/start/0/end/0/c"),"ימי ברכה")</f>
        <v>ימי ברכה</v>
      </c>
      <c r="H883" t="str">
        <f>_xlfn.CONCAT("https://tablet.otzar.org/",CHAR(35),"/book/600292/p/-1/t/1/fs/0/start/0/end/0/c")</f>
        <v>https://tablet.otzar.org/#/book/600292/p/-1/t/1/fs/0/start/0/end/0/c</v>
      </c>
    </row>
    <row r="884" spans="1:8" x14ac:dyDescent="0.25">
      <c r="A884">
        <v>630321</v>
      </c>
      <c r="B884" t="s">
        <v>1542</v>
      </c>
      <c r="C884" t="s">
        <v>1543</v>
      </c>
      <c r="D884" t="s">
        <v>28</v>
      </c>
      <c r="E884" t="s">
        <v>91</v>
      </c>
      <c r="F884" t="s">
        <v>12</v>
      </c>
      <c r="G884" t="str">
        <f>HYPERLINK(_xlfn.CONCAT("https://tablet.otzar.org/",CHAR(35),"/book/630321/p/-1/t/1/fs/0/start/0/end/0/c"),"ימי הבאנייען")</f>
        <v>ימי הבאנייען</v>
      </c>
      <c r="H884" t="str">
        <f>_xlfn.CONCAT("https://tablet.otzar.org/",CHAR(35),"/book/630321/p/-1/t/1/fs/0/start/0/end/0/c")</f>
        <v>https://tablet.otzar.org/#/book/630321/p/-1/t/1/fs/0/start/0/end/0/c</v>
      </c>
    </row>
    <row r="885" spans="1:8" x14ac:dyDescent="0.25">
      <c r="A885">
        <v>140937</v>
      </c>
      <c r="B885" t="s">
        <v>1544</v>
      </c>
      <c r="C885" t="s">
        <v>45</v>
      </c>
      <c r="D885" t="s">
        <v>191</v>
      </c>
      <c r="E885" t="s">
        <v>217</v>
      </c>
      <c r="F885" t="s">
        <v>12</v>
      </c>
      <c r="G885" t="str">
        <f>HYPERLINK(_xlfn.CONCAT("https://tablet.otzar.org/",CHAR(35),"/book/140937/p/-1/t/1/fs/0/start/0/end/0/c"),"ימי הקיץ")</f>
        <v>ימי הקיץ</v>
      </c>
      <c r="H885" t="str">
        <f>_xlfn.CONCAT("https://tablet.otzar.org/",CHAR(35),"/book/140937/p/-1/t/1/fs/0/start/0/end/0/c")</f>
        <v>https://tablet.otzar.org/#/book/140937/p/-1/t/1/fs/0/start/0/end/0/c</v>
      </c>
    </row>
    <row r="886" spans="1:8" x14ac:dyDescent="0.25">
      <c r="A886">
        <v>27596</v>
      </c>
      <c r="B886" t="s">
        <v>1545</v>
      </c>
      <c r="C886" t="s">
        <v>1546</v>
      </c>
      <c r="D886" t="s">
        <v>15</v>
      </c>
      <c r="E886" t="s">
        <v>54</v>
      </c>
      <c r="F886" t="s">
        <v>12</v>
      </c>
      <c r="G886" t="str">
        <f>HYPERLINK(_xlfn.CONCAT("https://tablet.otzar.org/",CHAR(35),"/book/27596/p/-1/t/1/fs/0/start/0/end/0/c"),"ימי מלך - א")</f>
        <v>ימי מלך - א</v>
      </c>
      <c r="H886" t="str">
        <f>_xlfn.CONCAT("https://tablet.otzar.org/",CHAR(35),"/book/27596/p/-1/t/1/fs/0/start/0/end/0/c")</f>
        <v>https://tablet.otzar.org/#/book/27596/p/-1/t/1/fs/0/start/0/end/0/c</v>
      </c>
    </row>
    <row r="887" spans="1:8" x14ac:dyDescent="0.25">
      <c r="A887">
        <v>142326</v>
      </c>
      <c r="B887" t="s">
        <v>1547</v>
      </c>
      <c r="C887" t="s">
        <v>1548</v>
      </c>
      <c r="D887" t="s">
        <v>10</v>
      </c>
      <c r="E887" t="s">
        <v>260</v>
      </c>
      <c r="F887" t="s">
        <v>12</v>
      </c>
      <c r="G887" t="str">
        <f>HYPERLINK(_xlfn.CONCAT("https://tablet.otzar.org/",CHAR(35),"/exKotar/142326"),"ימי מלך - 3 כרכים")</f>
        <v>ימי מלך - 3 כרכים</v>
      </c>
      <c r="H887" t="str">
        <f>_xlfn.CONCAT("https://tablet.otzar.org/",CHAR(35),"/exKotar/142326")</f>
        <v>https://tablet.otzar.org/#/exKotar/142326</v>
      </c>
    </row>
    <row r="888" spans="1:8" x14ac:dyDescent="0.25">
      <c r="A888">
        <v>27618</v>
      </c>
      <c r="B888" t="s">
        <v>1549</v>
      </c>
      <c r="C888" t="s">
        <v>1550</v>
      </c>
      <c r="D888" t="s">
        <v>118</v>
      </c>
      <c r="E888" t="s">
        <v>382</v>
      </c>
      <c r="F888" t="s">
        <v>12</v>
      </c>
      <c r="G888" t="str">
        <f>HYPERLINK(_xlfn.CONCAT("https://tablet.otzar.org/",CHAR(35),"/book/27618/p/-1/t/1/fs/0/start/0/end/0/c"),"ימי תמימים")</f>
        <v>ימי תמימים</v>
      </c>
      <c r="H888" t="str">
        <f>_xlfn.CONCAT("https://tablet.otzar.org/",CHAR(35),"/book/27618/p/-1/t/1/fs/0/start/0/end/0/c")</f>
        <v>https://tablet.otzar.org/#/book/27618/p/-1/t/1/fs/0/start/0/end/0/c</v>
      </c>
    </row>
    <row r="889" spans="1:8" x14ac:dyDescent="0.25">
      <c r="A889">
        <v>143244</v>
      </c>
      <c r="B889" t="s">
        <v>1551</v>
      </c>
      <c r="C889" t="s">
        <v>1552</v>
      </c>
      <c r="D889" t="s">
        <v>15</v>
      </c>
      <c r="E889" t="s">
        <v>33</v>
      </c>
      <c r="F889" t="s">
        <v>12</v>
      </c>
      <c r="G889" t="str">
        <f>HYPERLINK(_xlfn.CONCAT("https://tablet.otzar.org/",CHAR(35),"/exKotar/143244"),"ימי תמימים - 8 כרכים")</f>
        <v>ימי תמימים - 8 כרכים</v>
      </c>
      <c r="H889" t="str">
        <f>_xlfn.CONCAT("https://tablet.otzar.org/",CHAR(35),"/exKotar/143244")</f>
        <v>https://tablet.otzar.org/#/exKotar/143244</v>
      </c>
    </row>
    <row r="890" spans="1:8" x14ac:dyDescent="0.25">
      <c r="A890">
        <v>27822</v>
      </c>
      <c r="B890" t="s">
        <v>1553</v>
      </c>
      <c r="C890" t="s">
        <v>1554</v>
      </c>
      <c r="D890" t="s">
        <v>15</v>
      </c>
      <c r="E890" t="s">
        <v>91</v>
      </c>
      <c r="F890" t="s">
        <v>12</v>
      </c>
      <c r="G890" t="str">
        <f>HYPERLINK(_xlfn.CONCAT("https://tablet.otzar.org/",CHAR(35),"/exKotar/27822"),"ימים בהירים - 2 כרכים")</f>
        <v>ימים בהירים - 2 כרכים</v>
      </c>
      <c r="H890" t="str">
        <f>_xlfn.CONCAT("https://tablet.otzar.org/",CHAR(35),"/exKotar/27822")</f>
        <v>https://tablet.otzar.org/#/exKotar/27822</v>
      </c>
    </row>
    <row r="891" spans="1:8" x14ac:dyDescent="0.25">
      <c r="A891">
        <v>196296</v>
      </c>
      <c r="B891" t="s">
        <v>1555</v>
      </c>
      <c r="C891" t="s">
        <v>1270</v>
      </c>
      <c r="D891" t="s">
        <v>15</v>
      </c>
      <c r="E891" t="s">
        <v>99</v>
      </c>
      <c r="F891" t="s">
        <v>12</v>
      </c>
      <c r="G891" t="str">
        <f>HYPERLINK(_xlfn.CONCAT("https://tablet.otzar.org/",CHAR(35),"/exKotar/196296"),"ימים טובים עם הרבי - 4 כרכים")</f>
        <v>ימים טובים עם הרבי - 4 כרכים</v>
      </c>
      <c r="H891" t="str">
        <f>_xlfn.CONCAT("https://tablet.otzar.org/",CHAR(35),"/exKotar/196296")</f>
        <v>https://tablet.otzar.org/#/exKotar/196296</v>
      </c>
    </row>
    <row r="892" spans="1:8" x14ac:dyDescent="0.25">
      <c r="A892">
        <v>601612</v>
      </c>
      <c r="B892" t="s">
        <v>1556</v>
      </c>
      <c r="C892" t="s">
        <v>1557</v>
      </c>
      <c r="D892" t="s">
        <v>10</v>
      </c>
      <c r="E892" t="s">
        <v>99</v>
      </c>
      <c r="F892" t="s">
        <v>43</v>
      </c>
      <c r="G892" t="str">
        <f>HYPERLINK(_xlfn.CONCAT("https://tablet.otzar.org/",CHAR(35),"/book/601612/p/-1/t/1/fs/0/start/0/end/0/c"),"ימים מקדם")</f>
        <v>ימים מקדם</v>
      </c>
      <c r="H892" t="str">
        <f>_xlfn.CONCAT("https://tablet.otzar.org/",CHAR(35),"/book/601612/p/-1/t/1/fs/0/start/0/end/0/c")</f>
        <v>https://tablet.otzar.org/#/book/601612/p/-1/t/1/fs/0/start/0/end/0/c</v>
      </c>
    </row>
    <row r="893" spans="1:8" x14ac:dyDescent="0.25">
      <c r="A893">
        <v>611988</v>
      </c>
      <c r="B893" t="s">
        <v>1558</v>
      </c>
      <c r="C893" t="s">
        <v>1322</v>
      </c>
      <c r="D893" t="s">
        <v>15</v>
      </c>
      <c r="E893" t="s">
        <v>115</v>
      </c>
      <c r="F893" t="s">
        <v>12</v>
      </c>
      <c r="G893" t="str">
        <f>HYPERLINK(_xlfn.CONCAT("https://tablet.otzar.org/",CHAR(35),"/book/611988/p/-1/t/1/fs/0/start/0/end/0/c"),"ימים נוראים")</f>
        <v>ימים נוראים</v>
      </c>
      <c r="H893" t="str">
        <f>_xlfn.CONCAT("https://tablet.otzar.org/",CHAR(35),"/book/611988/p/-1/t/1/fs/0/start/0/end/0/c")</f>
        <v>https://tablet.otzar.org/#/book/611988/p/-1/t/1/fs/0/start/0/end/0/c</v>
      </c>
    </row>
    <row r="894" spans="1:8" x14ac:dyDescent="0.25">
      <c r="A894">
        <v>141513</v>
      </c>
      <c r="B894" t="s">
        <v>1559</v>
      </c>
      <c r="C894" t="s">
        <v>1560</v>
      </c>
      <c r="D894" t="s">
        <v>28</v>
      </c>
      <c r="E894" t="s">
        <v>250</v>
      </c>
      <c r="F894" t="s">
        <v>12</v>
      </c>
      <c r="G894" t="str">
        <f>HYPERLINK(_xlfn.CONCAT("https://tablet.otzar.org/",CHAR(35),"/book/141513/p/-1/t/1/fs/0/start/0/end/0/c"),"יסוד הבנין")</f>
        <v>יסוד הבנין</v>
      </c>
      <c r="H894" t="str">
        <f>_xlfn.CONCAT("https://tablet.otzar.org/",CHAR(35),"/book/141513/p/-1/t/1/fs/0/start/0/end/0/c")</f>
        <v>https://tablet.otzar.org/#/book/141513/p/-1/t/1/fs/0/start/0/end/0/c</v>
      </c>
    </row>
    <row r="895" spans="1:8" x14ac:dyDescent="0.25">
      <c r="A895">
        <v>145551</v>
      </c>
      <c r="B895" t="s">
        <v>1561</v>
      </c>
      <c r="C895" t="s">
        <v>1562</v>
      </c>
      <c r="D895" t="s">
        <v>15</v>
      </c>
      <c r="E895" t="s">
        <v>33</v>
      </c>
      <c r="F895" t="s">
        <v>342</v>
      </c>
      <c r="G895" t="str">
        <f>HYPERLINK(_xlfn.CONCAT("https://tablet.otzar.org/",CHAR(35),"/book/145551/p/-1/t/1/fs/0/start/0/end/0/c"),"יסודה והתפתחותה של שכונת נחלת הר חב""""ד")</f>
        <v>יסודה והתפתחותה של שכונת נחלת הר חב""ד</v>
      </c>
      <c r="H895" t="str">
        <f>_xlfn.CONCAT("https://tablet.otzar.org/",CHAR(35),"/book/145551/p/-1/t/1/fs/0/start/0/end/0/c")</f>
        <v>https://tablet.otzar.org/#/book/145551/p/-1/t/1/fs/0/start/0/end/0/c</v>
      </c>
    </row>
    <row r="896" spans="1:8" x14ac:dyDescent="0.25">
      <c r="A896">
        <v>635099</v>
      </c>
      <c r="B896" t="s">
        <v>1563</v>
      </c>
      <c r="C896" t="s">
        <v>45</v>
      </c>
      <c r="E896" t="s">
        <v>185</v>
      </c>
      <c r="F896" t="s">
        <v>12</v>
      </c>
      <c r="G896" t="str">
        <f>HYPERLINK(_xlfn.CONCAT("https://tablet.otzar.org/",CHAR(35),"/book/635099/p/-1/t/1/fs/0/start/0/end/0/c"),"יסודות הלוח העברי במשנת הרבי")</f>
        <v>יסודות הלוח העברי במשנת הרבי</v>
      </c>
      <c r="H896" t="str">
        <f>_xlfn.CONCAT("https://tablet.otzar.org/",CHAR(35),"/book/635099/p/-1/t/1/fs/0/start/0/end/0/c")</f>
        <v>https://tablet.otzar.org/#/book/635099/p/-1/t/1/fs/0/start/0/end/0/c</v>
      </c>
    </row>
    <row r="897" spans="1:8" x14ac:dyDescent="0.25">
      <c r="A897">
        <v>611203</v>
      </c>
      <c r="B897" t="s">
        <v>1564</v>
      </c>
      <c r="C897" t="s">
        <v>1565</v>
      </c>
      <c r="D897" t="s">
        <v>10</v>
      </c>
      <c r="E897" t="s">
        <v>404</v>
      </c>
      <c r="F897" t="s">
        <v>229</v>
      </c>
      <c r="G897" t="str">
        <f>HYPERLINK(_xlfn.CONCAT("https://tablet.otzar.org/",CHAR(35),"/exKotar/611203"),"יסודי השולחן וזיקוקי אורותיו - 3 כרכים")</f>
        <v>יסודי השולחן וזיקוקי אורותיו - 3 כרכים</v>
      </c>
      <c r="H897" t="str">
        <f>_xlfn.CONCAT("https://tablet.otzar.org/",CHAR(35),"/exKotar/611203")</f>
        <v>https://tablet.otzar.org/#/exKotar/611203</v>
      </c>
    </row>
    <row r="898" spans="1:8" x14ac:dyDescent="0.25">
      <c r="A898">
        <v>660044</v>
      </c>
      <c r="B898" t="s">
        <v>1566</v>
      </c>
      <c r="C898" t="s">
        <v>1567</v>
      </c>
      <c r="D898" t="s">
        <v>28</v>
      </c>
      <c r="E898" t="s">
        <v>1568</v>
      </c>
      <c r="F898" t="s">
        <v>43</v>
      </c>
      <c r="G898" t="str">
        <f>HYPERLINK(_xlfn.CONCAT("https://tablet.otzar.org/",CHAR(35),"/book/660044/p/-1/t/1/fs/0/start/0/end/0/c"),"יעמוד מלך")</f>
        <v>יעמוד מלך</v>
      </c>
      <c r="H898" t="str">
        <f>_xlfn.CONCAT("https://tablet.otzar.org/",CHAR(35),"/book/660044/p/-1/t/1/fs/0/start/0/end/0/c")</f>
        <v>https://tablet.otzar.org/#/book/660044/p/-1/t/1/fs/0/start/0/end/0/c</v>
      </c>
    </row>
    <row r="899" spans="1:8" x14ac:dyDescent="0.25">
      <c r="A899">
        <v>145998</v>
      </c>
      <c r="B899" t="s">
        <v>1569</v>
      </c>
      <c r="C899" t="s">
        <v>14</v>
      </c>
      <c r="D899" t="s">
        <v>28</v>
      </c>
      <c r="E899" t="s">
        <v>79</v>
      </c>
      <c r="F899" t="s">
        <v>100</v>
      </c>
      <c r="G899" t="str">
        <f>HYPERLINK(_xlfn.CONCAT("https://tablet.otzar.org/",CHAR(35),"/book/145998/p/-1/t/1/fs/0/start/0/end/0/c"),"יעקב אבינו לא מת")</f>
        <v>יעקב אבינו לא מת</v>
      </c>
      <c r="H899" t="str">
        <f>_xlfn.CONCAT("https://tablet.otzar.org/",CHAR(35),"/book/145998/p/-1/t/1/fs/0/start/0/end/0/c")</f>
        <v>https://tablet.otzar.org/#/book/145998/p/-1/t/1/fs/0/start/0/end/0/c</v>
      </c>
    </row>
    <row r="900" spans="1:8" x14ac:dyDescent="0.25">
      <c r="A900">
        <v>639287</v>
      </c>
      <c r="B900" t="s">
        <v>1570</v>
      </c>
      <c r="C900" t="s">
        <v>492</v>
      </c>
      <c r="D900" t="s">
        <v>197</v>
      </c>
      <c r="E900" t="s">
        <v>382</v>
      </c>
      <c r="F900" t="s">
        <v>641</v>
      </c>
      <c r="G900" t="str">
        <f>HYPERLINK(_xlfn.CONCAT("https://tablet.otzar.org/",CHAR(35),"/book/639287/p/-1/t/1/fs/0/start/0/end/0/c"),"יקם שערה לדממה")</f>
        <v>יקם שערה לדממה</v>
      </c>
      <c r="H900" t="str">
        <f>_xlfn.CONCAT("https://tablet.otzar.org/",CHAR(35),"/book/639287/p/-1/t/1/fs/0/start/0/end/0/c")</f>
        <v>https://tablet.otzar.org/#/book/639287/p/-1/t/1/fs/0/start/0/end/0/c</v>
      </c>
    </row>
    <row r="901" spans="1:8" x14ac:dyDescent="0.25">
      <c r="A901">
        <v>27189</v>
      </c>
      <c r="B901" t="s">
        <v>1571</v>
      </c>
      <c r="C901" t="s">
        <v>427</v>
      </c>
      <c r="D901" t="s">
        <v>15</v>
      </c>
      <c r="E901" t="s">
        <v>192</v>
      </c>
      <c r="F901" t="s">
        <v>12</v>
      </c>
      <c r="G901" t="str">
        <f>HYPERLINK(_xlfn.CONCAT("https://tablet.otzar.org/",CHAR(35),"/book/27189/p/-1/t/1/fs/0/start/0/end/0/c"),"יראת ה' אוצרו")</f>
        <v>יראת ה' אוצרו</v>
      </c>
      <c r="H901" t="str">
        <f>_xlfn.CONCAT("https://tablet.otzar.org/",CHAR(35),"/book/27189/p/-1/t/1/fs/0/start/0/end/0/c")</f>
        <v>https://tablet.otzar.org/#/book/27189/p/-1/t/1/fs/0/start/0/end/0/c</v>
      </c>
    </row>
    <row r="902" spans="1:8" x14ac:dyDescent="0.25">
      <c r="A902">
        <v>164363</v>
      </c>
      <c r="B902" t="s">
        <v>1572</v>
      </c>
      <c r="C902" t="s">
        <v>199</v>
      </c>
      <c r="D902" t="s">
        <v>15</v>
      </c>
      <c r="E902" t="s">
        <v>16</v>
      </c>
      <c r="F902" t="s">
        <v>12</v>
      </c>
      <c r="G902" t="str">
        <f>HYPERLINK(_xlfn.CONCAT("https://tablet.otzar.org/",CHAR(35),"/exKotar/164363"),"ירח האיתנים - 2 כרכים")</f>
        <v>ירח האיתנים - 2 כרכים</v>
      </c>
      <c r="H902" t="str">
        <f>_xlfn.CONCAT("https://tablet.otzar.org/",CHAR(35),"/exKotar/164363")</f>
        <v>https://tablet.otzar.org/#/exKotar/164363</v>
      </c>
    </row>
    <row r="903" spans="1:8" x14ac:dyDescent="0.25">
      <c r="A903">
        <v>154707</v>
      </c>
      <c r="B903" t="s">
        <v>1573</v>
      </c>
      <c r="C903" t="s">
        <v>125</v>
      </c>
      <c r="D903" t="s">
        <v>10</v>
      </c>
      <c r="E903" t="s">
        <v>57</v>
      </c>
      <c r="F903" t="s">
        <v>12</v>
      </c>
      <c r="G903" t="str">
        <f>HYPERLINK(_xlfn.CONCAT("https://tablet.otzar.org/",CHAR(35),"/book/154707/p/-1/t/1/fs/0/start/0/end/0/c"),"ירחי כלה &lt;חב""""ד&gt; - א")</f>
        <v>ירחי כלה &lt;חב""ד&gt; - א</v>
      </c>
      <c r="H903" t="str">
        <f>_xlfn.CONCAT("https://tablet.otzar.org/",CHAR(35),"/book/154707/p/-1/t/1/fs/0/start/0/end/0/c")</f>
        <v>https://tablet.otzar.org/#/book/154707/p/-1/t/1/fs/0/start/0/end/0/c</v>
      </c>
    </row>
    <row r="904" spans="1:8" x14ac:dyDescent="0.25">
      <c r="A904">
        <v>614905</v>
      </c>
      <c r="B904" t="s">
        <v>1574</v>
      </c>
      <c r="C904" t="s">
        <v>1575</v>
      </c>
      <c r="D904" t="s">
        <v>15</v>
      </c>
      <c r="E904" t="s">
        <v>82</v>
      </c>
      <c r="F904" t="s">
        <v>12</v>
      </c>
      <c r="G904" t="str">
        <f>HYPERLINK(_xlfn.CONCAT("https://tablet.otzar.org/",CHAR(35),"/book/614905/p/-1/t/1/fs/0/start/0/end/0/c"),"ירחי כלה תשע""""ב")</f>
        <v>ירחי כלה תשע""ב</v>
      </c>
      <c r="H904" t="str">
        <f>_xlfn.CONCAT("https://tablet.otzar.org/",CHAR(35),"/book/614905/p/-1/t/1/fs/0/start/0/end/0/c")</f>
        <v>https://tablet.otzar.org/#/book/614905/p/-1/t/1/fs/0/start/0/end/0/c</v>
      </c>
    </row>
    <row r="905" spans="1:8" x14ac:dyDescent="0.25">
      <c r="A905">
        <v>614920</v>
      </c>
      <c r="B905" t="s">
        <v>1576</v>
      </c>
      <c r="C905" t="s">
        <v>1575</v>
      </c>
      <c r="D905" t="s">
        <v>15</v>
      </c>
      <c r="E905" t="s">
        <v>62</v>
      </c>
      <c r="F905" t="s">
        <v>12</v>
      </c>
      <c r="G905" t="str">
        <f>HYPERLINK(_xlfn.CONCAT("https://tablet.otzar.org/",CHAR(35),"/book/614920/p/-1/t/1/fs/0/start/0/end/0/c"),"ירחי כלה תשע""""ג")</f>
        <v>ירחי כלה תשע""ג</v>
      </c>
      <c r="H905" t="str">
        <f>_xlfn.CONCAT("https://tablet.otzar.org/",CHAR(35),"/book/614920/p/-1/t/1/fs/0/start/0/end/0/c")</f>
        <v>https://tablet.otzar.org/#/book/614920/p/-1/t/1/fs/0/start/0/end/0/c</v>
      </c>
    </row>
    <row r="906" spans="1:8" x14ac:dyDescent="0.25">
      <c r="A906">
        <v>607918</v>
      </c>
      <c r="B906" t="s">
        <v>1577</v>
      </c>
      <c r="C906" t="s">
        <v>1575</v>
      </c>
      <c r="D906" t="s">
        <v>15</v>
      </c>
      <c r="E906" t="s">
        <v>99</v>
      </c>
      <c r="F906" t="s">
        <v>12</v>
      </c>
      <c r="G906" t="str">
        <f>HYPERLINK(_xlfn.CONCAT("https://tablet.otzar.org/",CHAR(35),"/book/607918/p/-1/t/1/fs/0/start/0/end/0/c"),"ירחי כלה תשע""""ו")</f>
        <v>ירחי כלה תשע""ו</v>
      </c>
      <c r="H906" t="str">
        <f>_xlfn.CONCAT("https://tablet.otzar.org/",CHAR(35),"/book/607918/p/-1/t/1/fs/0/start/0/end/0/c")</f>
        <v>https://tablet.otzar.org/#/book/607918/p/-1/t/1/fs/0/start/0/end/0/c</v>
      </c>
    </row>
    <row r="907" spans="1:8" x14ac:dyDescent="0.25">
      <c r="A907">
        <v>618896</v>
      </c>
      <c r="B907" t="s">
        <v>1578</v>
      </c>
      <c r="C907" t="s">
        <v>1575</v>
      </c>
      <c r="D907" t="s">
        <v>15</v>
      </c>
      <c r="E907" t="s">
        <v>115</v>
      </c>
      <c r="F907" t="s">
        <v>12</v>
      </c>
      <c r="G907" t="str">
        <f>HYPERLINK(_xlfn.CONCAT("https://tablet.otzar.org/",CHAR(35),"/book/618896/p/-1/t/1/fs/0/start/0/end/0/c"),"ירחי כלה תשע""""ח")</f>
        <v>ירחי כלה תשע""ח</v>
      </c>
      <c r="H907" t="str">
        <f>_xlfn.CONCAT("https://tablet.otzar.org/",CHAR(35),"/book/618896/p/-1/t/1/fs/0/start/0/end/0/c")</f>
        <v>https://tablet.otzar.org/#/book/618896/p/-1/t/1/fs/0/start/0/end/0/c</v>
      </c>
    </row>
    <row r="908" spans="1:8" x14ac:dyDescent="0.25">
      <c r="A908">
        <v>146547</v>
      </c>
      <c r="B908" t="s">
        <v>1579</v>
      </c>
      <c r="C908" t="s">
        <v>1580</v>
      </c>
      <c r="D908" t="s">
        <v>10</v>
      </c>
      <c r="E908" t="s">
        <v>66</v>
      </c>
      <c r="F908" t="s">
        <v>76</v>
      </c>
      <c r="G908" t="str">
        <f>HYPERLINK(_xlfn.CONCAT("https://tablet.otzar.org/",CHAR(35),"/book/146547/p/-1/t/1/fs/0/start/0/end/0/c"),"יש לתמוה &lt;שאלות וחידות בענינים שונים&gt; - א")</f>
        <v>יש לתמוה &lt;שאלות וחידות בענינים שונים&gt; - א</v>
      </c>
      <c r="H908" t="str">
        <f>_xlfn.CONCAT("https://tablet.otzar.org/",CHAR(35),"/book/146547/p/-1/t/1/fs/0/start/0/end/0/c")</f>
        <v>https://tablet.otzar.org/#/book/146547/p/-1/t/1/fs/0/start/0/end/0/c</v>
      </c>
    </row>
    <row r="909" spans="1:8" x14ac:dyDescent="0.25">
      <c r="A909">
        <v>153359</v>
      </c>
      <c r="B909" t="s">
        <v>1581</v>
      </c>
      <c r="C909" t="s">
        <v>1582</v>
      </c>
      <c r="D909" t="s">
        <v>15</v>
      </c>
      <c r="E909" t="s">
        <v>49</v>
      </c>
      <c r="F909" t="s">
        <v>12</v>
      </c>
      <c r="G909" t="str">
        <f>HYPERLINK(_xlfn.CONCAT("https://tablet.otzar.org/",CHAR(35),"/book/153359/p/-1/t/1/fs/0/start/0/end/0/c"),"ישיבה של מעלה מיערות בראזיל")</f>
        <v>ישיבה של מעלה מיערות בראזיל</v>
      </c>
      <c r="H909" t="str">
        <f>_xlfn.CONCAT("https://tablet.otzar.org/",CHAR(35),"/book/153359/p/-1/t/1/fs/0/start/0/end/0/c")</f>
        <v>https://tablet.otzar.org/#/book/153359/p/-1/t/1/fs/0/start/0/end/0/c</v>
      </c>
    </row>
    <row r="910" spans="1:8" x14ac:dyDescent="0.25">
      <c r="A910">
        <v>146134</v>
      </c>
      <c r="B910" t="s">
        <v>1583</v>
      </c>
      <c r="C910" t="s">
        <v>125</v>
      </c>
      <c r="D910" t="s">
        <v>843</v>
      </c>
      <c r="E910" t="s">
        <v>69</v>
      </c>
      <c r="F910" t="s">
        <v>12</v>
      </c>
      <c r="G910" t="str">
        <f>HYPERLINK(_xlfn.CONCAT("https://tablet.otzar.org/",CHAR(35),"/exKotar/146134"),"ישמח ישראל - 2 כרכים")</f>
        <v>ישמח ישראל - 2 כרכים</v>
      </c>
      <c r="H910" t="str">
        <f>_xlfn.CONCAT("https://tablet.otzar.org/",CHAR(35),"/exKotar/146134")</f>
        <v>https://tablet.otzar.org/#/exKotar/146134</v>
      </c>
    </row>
    <row r="911" spans="1:8" x14ac:dyDescent="0.25">
      <c r="A911">
        <v>163210</v>
      </c>
      <c r="B911" t="s">
        <v>1584</v>
      </c>
      <c r="C911" t="s">
        <v>393</v>
      </c>
      <c r="D911" t="s">
        <v>10</v>
      </c>
      <c r="E911" t="s">
        <v>16</v>
      </c>
      <c r="F911" t="s">
        <v>208</v>
      </c>
      <c r="G911" t="str">
        <f>HYPERLINK(_xlfn.CONCAT("https://tablet.otzar.org/",CHAR(35),"/exKotar/163210"),"ישמיע כל תהלתו - 3 כרכים")</f>
        <v>ישמיע כל תהלתו - 3 כרכים</v>
      </c>
      <c r="H911" t="str">
        <f>_xlfn.CONCAT("https://tablet.otzar.org/",CHAR(35),"/exKotar/163210")</f>
        <v>https://tablet.otzar.org/#/exKotar/163210</v>
      </c>
    </row>
    <row r="912" spans="1:8" x14ac:dyDescent="0.25">
      <c r="A912">
        <v>650296</v>
      </c>
      <c r="B912" t="s">
        <v>1585</v>
      </c>
      <c r="C912" t="s">
        <v>1021</v>
      </c>
      <c r="E912" t="s">
        <v>166</v>
      </c>
      <c r="F912" t="s">
        <v>131</v>
      </c>
      <c r="G912" t="str">
        <f>HYPERLINK(_xlfn.CONCAT("https://tablet.otzar.org/",CHAR(35),"/exKotar/650296"),"ישר יחזו פנימו - 2 כרכים")</f>
        <v>ישר יחזו פנימו - 2 כרכים</v>
      </c>
      <c r="H912" t="str">
        <f>_xlfn.CONCAT("https://tablet.otzar.org/",CHAR(35),"/exKotar/650296")</f>
        <v>https://tablet.otzar.org/#/exKotar/650296</v>
      </c>
    </row>
    <row r="913" spans="1:8" x14ac:dyDescent="0.25">
      <c r="A913">
        <v>28833</v>
      </c>
      <c r="B913" t="s">
        <v>1586</v>
      </c>
      <c r="C913" t="s">
        <v>402</v>
      </c>
      <c r="D913" t="s">
        <v>374</v>
      </c>
      <c r="E913" t="s">
        <v>174</v>
      </c>
      <c r="F913" t="s">
        <v>12</v>
      </c>
      <c r="G913" t="str">
        <f>HYPERLINK(_xlfn.CONCAT("https://tablet.otzar.org/",CHAR(35),"/book/28833/p/-1/t/1/fs/0/start/0/end/0/c"),"ישראל נח הגדול")</f>
        <v>ישראל נח הגדול</v>
      </c>
      <c r="H913" t="str">
        <f>_xlfn.CONCAT("https://tablet.otzar.org/",CHAR(35),"/book/28833/p/-1/t/1/fs/0/start/0/end/0/c")</f>
        <v>https://tablet.otzar.org/#/book/28833/p/-1/t/1/fs/0/start/0/end/0/c</v>
      </c>
    </row>
    <row r="914" spans="1:8" x14ac:dyDescent="0.25">
      <c r="A914">
        <v>145942</v>
      </c>
      <c r="B914" t="s">
        <v>1587</v>
      </c>
      <c r="C914" t="s">
        <v>14</v>
      </c>
      <c r="D914" t="s">
        <v>648</v>
      </c>
      <c r="E914" t="s">
        <v>134</v>
      </c>
      <c r="F914" t="s">
        <v>12</v>
      </c>
      <c r="G914" t="str">
        <f>HYPERLINK(_xlfn.CONCAT("https://tablet.otzar.org/",CHAR(35),"/book/145942/p/-1/t/1/fs/0/start/0/end/0/c"),"יתבררו ויתלבנו")</f>
        <v>יתבררו ויתלבנו</v>
      </c>
      <c r="H914" t="str">
        <f>_xlfn.CONCAT("https://tablet.otzar.org/",CHAR(35),"/book/145942/p/-1/t/1/fs/0/start/0/end/0/c")</f>
        <v>https://tablet.otzar.org/#/book/145942/p/-1/t/1/fs/0/start/0/end/0/c</v>
      </c>
    </row>
    <row r="915" spans="1:8" x14ac:dyDescent="0.25">
      <c r="A915">
        <v>146573</v>
      </c>
      <c r="B915" t="s">
        <v>1588</v>
      </c>
      <c r="C915" t="s">
        <v>1589</v>
      </c>
      <c r="D915" t="s">
        <v>37</v>
      </c>
      <c r="E915" t="s">
        <v>91</v>
      </c>
      <c r="F915" t="s">
        <v>12</v>
      </c>
      <c r="G915" t="str">
        <f>HYPERLINK(_xlfn.CONCAT("https://tablet.otzar.org/",CHAR(35),"/book/146573/p/-1/t/1/fs/0/start/0/end/0/c"),"יתבררו ויתלבנו הדברים")</f>
        <v>יתבררו ויתלבנו הדברים</v>
      </c>
      <c r="H915" t="str">
        <f>_xlfn.CONCAT("https://tablet.otzar.org/",CHAR(35),"/book/146573/p/-1/t/1/fs/0/start/0/end/0/c")</f>
        <v>https://tablet.otzar.org/#/book/146573/p/-1/t/1/fs/0/start/0/end/0/c</v>
      </c>
    </row>
    <row r="916" spans="1:8" x14ac:dyDescent="0.25">
      <c r="A916">
        <v>27162</v>
      </c>
      <c r="B916" t="s">
        <v>1590</v>
      </c>
      <c r="C916" t="s">
        <v>1591</v>
      </c>
      <c r="D916" t="s">
        <v>37</v>
      </c>
      <c r="E916" t="s">
        <v>66</v>
      </c>
      <c r="F916" t="s">
        <v>12</v>
      </c>
      <c r="G916" t="str">
        <f>HYPERLINK(_xlfn.CONCAT("https://tablet.otzar.org/",CHAR(35),"/book/27162/p/-1/t/1/fs/0/start/0/end/0/c"),"כבוד חכמים")</f>
        <v>כבוד חכמים</v>
      </c>
      <c r="H916" t="str">
        <f>_xlfn.CONCAT("https://tablet.otzar.org/",CHAR(35),"/book/27162/p/-1/t/1/fs/0/start/0/end/0/c")</f>
        <v>https://tablet.otzar.org/#/book/27162/p/-1/t/1/fs/0/start/0/end/0/c</v>
      </c>
    </row>
    <row r="917" spans="1:8" x14ac:dyDescent="0.25">
      <c r="A917">
        <v>27665</v>
      </c>
      <c r="B917" t="s">
        <v>1592</v>
      </c>
      <c r="C917" t="s">
        <v>1593</v>
      </c>
      <c r="D917" t="s">
        <v>1594</v>
      </c>
      <c r="E917" t="s">
        <v>54</v>
      </c>
      <c r="F917" t="s">
        <v>12</v>
      </c>
      <c r="G917" t="str">
        <f>HYPERLINK(_xlfn.CONCAT("https://tablet.otzar.org/",CHAR(35),"/exKotar/27665"),"כבוד חכמים - 3 כרכים")</f>
        <v>כבוד חכמים - 3 כרכים</v>
      </c>
      <c r="H917" t="str">
        <f>_xlfn.CONCAT("https://tablet.otzar.org/",CHAR(35),"/exKotar/27665")</f>
        <v>https://tablet.otzar.org/#/exKotar/27665</v>
      </c>
    </row>
    <row r="918" spans="1:8" x14ac:dyDescent="0.25">
      <c r="A918">
        <v>27277</v>
      </c>
      <c r="B918" t="s">
        <v>1595</v>
      </c>
      <c r="C918" t="s">
        <v>125</v>
      </c>
      <c r="D918" t="s">
        <v>15</v>
      </c>
      <c r="E918" t="s">
        <v>139</v>
      </c>
      <c r="F918" t="s">
        <v>12</v>
      </c>
      <c r="G918" t="str">
        <f>HYPERLINK(_xlfn.CONCAT("https://tablet.otzar.org/",CHAR(35),"/book/27277/p/-1/t/1/fs/0/start/0/end/0/c"),"כבוד חכמים עטרת פז")</f>
        <v>כבוד חכמים עטרת פז</v>
      </c>
      <c r="H918" t="str">
        <f>_xlfn.CONCAT("https://tablet.otzar.org/",CHAR(35),"/book/27277/p/-1/t/1/fs/0/start/0/end/0/c")</f>
        <v>https://tablet.otzar.org/#/book/27277/p/-1/t/1/fs/0/start/0/end/0/c</v>
      </c>
    </row>
    <row r="919" spans="1:8" x14ac:dyDescent="0.25">
      <c r="A919">
        <v>27394</v>
      </c>
      <c r="B919" t="s">
        <v>1596</v>
      </c>
      <c r="C919" t="s">
        <v>125</v>
      </c>
      <c r="D919" t="s">
        <v>1597</v>
      </c>
      <c r="E919" t="s">
        <v>69</v>
      </c>
      <c r="F919" t="s">
        <v>12</v>
      </c>
      <c r="G919" t="str">
        <f>HYPERLINK(_xlfn.CONCAT("https://tablet.otzar.org/",CHAR(35),"/book/27394/p/-1/t/1/fs/0/start/0/end/0/c"),"כבוד מלך")</f>
        <v>כבוד מלך</v>
      </c>
      <c r="H919" t="str">
        <f>_xlfn.CONCAT("https://tablet.otzar.org/",CHAR(35),"/book/27394/p/-1/t/1/fs/0/start/0/end/0/c")</f>
        <v>https://tablet.otzar.org/#/book/27394/p/-1/t/1/fs/0/start/0/end/0/c</v>
      </c>
    </row>
    <row r="920" spans="1:8" x14ac:dyDescent="0.25">
      <c r="A920">
        <v>141428</v>
      </c>
      <c r="B920" t="s">
        <v>1598</v>
      </c>
      <c r="C920" t="s">
        <v>1599</v>
      </c>
      <c r="D920" t="s">
        <v>387</v>
      </c>
      <c r="E920" t="s">
        <v>79</v>
      </c>
      <c r="F920" t="s">
        <v>12</v>
      </c>
      <c r="G920" t="str">
        <f>HYPERLINK(_xlfn.CONCAT("https://tablet.otzar.org/",CHAR(35),"/book/141428/p/-1/t/1/fs/0/start/0/end/0/c"),"כבוד מלכים - פסחים")</f>
        <v>כבוד מלכים - פסחים</v>
      </c>
      <c r="H920" t="str">
        <f>_xlfn.CONCAT("https://tablet.otzar.org/",CHAR(35),"/book/141428/p/-1/t/1/fs/0/start/0/end/0/c")</f>
        <v>https://tablet.otzar.org/#/book/141428/p/-1/t/1/fs/0/start/0/end/0/c</v>
      </c>
    </row>
    <row r="921" spans="1:8" x14ac:dyDescent="0.25">
      <c r="A921">
        <v>27735</v>
      </c>
      <c r="B921" t="s">
        <v>1600</v>
      </c>
      <c r="C921" t="s">
        <v>125</v>
      </c>
      <c r="E921" t="s">
        <v>236</v>
      </c>
      <c r="F921" t="s">
        <v>12</v>
      </c>
      <c r="G921" t="str">
        <f>HYPERLINK(_xlfn.CONCAT("https://tablet.otzar.org/",CHAR(35),"/exKotar/27735"),"כבודה של תורה - 5 כרכים")</f>
        <v>כבודה של תורה - 5 כרכים</v>
      </c>
      <c r="H921" t="str">
        <f>_xlfn.CONCAT("https://tablet.otzar.org/",CHAR(35),"/exKotar/27735")</f>
        <v>https://tablet.otzar.org/#/exKotar/27735</v>
      </c>
    </row>
    <row r="922" spans="1:8" x14ac:dyDescent="0.25">
      <c r="A922">
        <v>141366</v>
      </c>
      <c r="B922" t="s">
        <v>1601</v>
      </c>
      <c r="C922" t="s">
        <v>1602</v>
      </c>
      <c r="D922" t="s">
        <v>15</v>
      </c>
      <c r="E922" t="s">
        <v>54</v>
      </c>
      <c r="F922" t="s">
        <v>12</v>
      </c>
      <c r="G922" t="str">
        <f>HYPERLINK(_xlfn.CONCAT("https://tablet.otzar.org/",CHAR(35),"/book/141366/p/-1/t/1/fs/0/start/0/end/0/c"),"כה תברכו")</f>
        <v>כה תברכו</v>
      </c>
      <c r="H922" t="str">
        <f>_xlfn.CONCAT("https://tablet.otzar.org/",CHAR(35),"/book/141366/p/-1/t/1/fs/0/start/0/end/0/c")</f>
        <v>https://tablet.otzar.org/#/book/141366/p/-1/t/1/fs/0/start/0/end/0/c</v>
      </c>
    </row>
    <row r="923" spans="1:8" x14ac:dyDescent="0.25">
      <c r="A923">
        <v>160723</v>
      </c>
      <c r="B923" t="s">
        <v>1603</v>
      </c>
      <c r="C923" t="s">
        <v>1604</v>
      </c>
      <c r="E923" t="s">
        <v>1605</v>
      </c>
      <c r="F923" t="s">
        <v>12</v>
      </c>
      <c r="G923" t="str">
        <f>HYPERLINK(_xlfn.CONCAT("https://tablet.otzar.org/",CHAR(35),"/exKotar/160723"),"כוחה של סנגוריה - 2 כרכים")</f>
        <v>כוחה של סנגוריה - 2 כרכים</v>
      </c>
      <c r="H923" t="str">
        <f>_xlfn.CONCAT("https://tablet.otzar.org/",CHAR(35),"/exKotar/160723")</f>
        <v>https://tablet.otzar.org/#/exKotar/160723</v>
      </c>
    </row>
    <row r="924" spans="1:8" x14ac:dyDescent="0.25">
      <c r="A924">
        <v>614739</v>
      </c>
      <c r="B924" t="s">
        <v>1606</v>
      </c>
      <c r="C924" t="s">
        <v>1607</v>
      </c>
      <c r="D924" t="s">
        <v>15</v>
      </c>
      <c r="E924" t="s">
        <v>54</v>
      </c>
      <c r="F924" t="s">
        <v>12</v>
      </c>
      <c r="G924" t="str">
        <f>HYPERLINK(_xlfn.CONCAT("https://tablet.otzar.org/",CHAR(35),"/book/614739/p/-1/t/1/fs/0/start/0/end/0/c"),"כוחו של פתגם")</f>
        <v>כוחו של פתגם</v>
      </c>
      <c r="H924" t="str">
        <f>_xlfn.CONCAT("https://tablet.otzar.org/",CHAR(35),"/book/614739/p/-1/t/1/fs/0/start/0/end/0/c")</f>
        <v>https://tablet.otzar.org/#/book/614739/p/-1/t/1/fs/0/start/0/end/0/c</v>
      </c>
    </row>
    <row r="925" spans="1:8" x14ac:dyDescent="0.25">
      <c r="A925">
        <v>26956</v>
      </c>
      <c r="B925" t="s">
        <v>1608</v>
      </c>
      <c r="C925" t="s">
        <v>1609</v>
      </c>
      <c r="D925" t="s">
        <v>15</v>
      </c>
      <c r="E925" t="s">
        <v>250</v>
      </c>
      <c r="F925" t="s">
        <v>12</v>
      </c>
      <c r="G925" t="str">
        <f>HYPERLINK(_xlfn.CONCAT("https://tablet.otzar.org/",CHAR(35),"/exKotar/26956"),"כולם בחכמה - 2 כרכים")</f>
        <v>כולם בחכמה - 2 כרכים</v>
      </c>
      <c r="H925" t="str">
        <f>_xlfn.CONCAT("https://tablet.otzar.org/",CHAR(35),"/exKotar/26956")</f>
        <v>https://tablet.otzar.org/#/exKotar/26956</v>
      </c>
    </row>
    <row r="926" spans="1:8" x14ac:dyDescent="0.25">
      <c r="A926">
        <v>146194</v>
      </c>
      <c r="B926" t="s">
        <v>1610</v>
      </c>
      <c r="C926" t="s">
        <v>1610</v>
      </c>
      <c r="D926" t="s">
        <v>440</v>
      </c>
      <c r="E926" t="s">
        <v>33</v>
      </c>
      <c r="F926" t="s">
        <v>12</v>
      </c>
      <c r="G926" t="str">
        <f>HYPERLINK(_xlfn.CONCAT("https://tablet.otzar.org/",CHAR(35),"/book/146194/p/-1/t/1/fs/0/start/0/end/0/c"),"כולנו כאחד")</f>
        <v>כולנו כאחד</v>
      </c>
      <c r="H926" t="str">
        <f>_xlfn.CONCAT("https://tablet.otzar.org/",CHAR(35),"/book/146194/p/-1/t/1/fs/0/start/0/end/0/c")</f>
        <v>https://tablet.otzar.org/#/book/146194/p/-1/t/1/fs/0/start/0/end/0/c</v>
      </c>
    </row>
    <row r="927" spans="1:8" x14ac:dyDescent="0.25">
      <c r="A927">
        <v>27118</v>
      </c>
      <c r="B927" t="s">
        <v>1611</v>
      </c>
      <c r="C927" t="s">
        <v>784</v>
      </c>
      <c r="D927" t="s">
        <v>197</v>
      </c>
      <c r="E927" t="s">
        <v>260</v>
      </c>
      <c r="F927" t="s">
        <v>12</v>
      </c>
      <c r="G927" t="str">
        <f>HYPERLINK(_xlfn.CONCAT("https://tablet.otzar.org/",CHAR(35),"/book/27118/p/-1/t/1/fs/0/start/0/end/0/c"),"כי הם חיינו")</f>
        <v>כי הם חיינו</v>
      </c>
      <c r="H927" t="str">
        <f>_xlfn.CONCAT("https://tablet.otzar.org/",CHAR(35),"/book/27118/p/-1/t/1/fs/0/start/0/end/0/c")</f>
        <v>https://tablet.otzar.org/#/book/27118/p/-1/t/1/fs/0/start/0/end/0/c</v>
      </c>
    </row>
    <row r="928" spans="1:8" x14ac:dyDescent="0.25">
      <c r="A928">
        <v>607929</v>
      </c>
      <c r="B928" t="s">
        <v>1612</v>
      </c>
      <c r="C928" t="s">
        <v>183</v>
      </c>
      <c r="D928" t="s">
        <v>10</v>
      </c>
      <c r="E928" t="s">
        <v>99</v>
      </c>
      <c r="F928" t="s">
        <v>12</v>
      </c>
      <c r="G928" t="str">
        <f>HYPERLINK(_xlfn.CONCAT("https://tablet.otzar.org/",CHAR(35),"/book/607929/p/-1/t/1/fs/0/start/0/end/0/c"),"כי קדוש היום")</f>
        <v>כי קדוש היום</v>
      </c>
      <c r="H928" t="str">
        <f>_xlfn.CONCAT("https://tablet.otzar.org/",CHAR(35),"/book/607929/p/-1/t/1/fs/0/start/0/end/0/c")</f>
        <v>https://tablet.otzar.org/#/book/607929/p/-1/t/1/fs/0/start/0/end/0/c</v>
      </c>
    </row>
    <row r="929" spans="1:8" x14ac:dyDescent="0.25">
      <c r="A929">
        <v>145822</v>
      </c>
      <c r="B929" t="s">
        <v>1613</v>
      </c>
      <c r="C929" t="s">
        <v>1614</v>
      </c>
      <c r="D929" t="s">
        <v>37</v>
      </c>
      <c r="E929" t="s">
        <v>148</v>
      </c>
      <c r="F929" t="s">
        <v>251</v>
      </c>
      <c r="G929" t="str">
        <f>HYPERLINK(_xlfn.CONCAT("https://tablet.otzar.org/",CHAR(35),"/book/145822/p/-1/t/1/fs/0/start/0/end/0/c"),"כינוס בית הבחירה - תשנ""""ג")</f>
        <v>כינוס בית הבחירה - תשנ""ג</v>
      </c>
      <c r="H929" t="str">
        <f>_xlfn.CONCAT("https://tablet.otzar.org/",CHAR(35),"/book/145822/p/-1/t/1/fs/0/start/0/end/0/c")</f>
        <v>https://tablet.otzar.org/#/book/145822/p/-1/t/1/fs/0/start/0/end/0/c</v>
      </c>
    </row>
    <row r="930" spans="1:8" x14ac:dyDescent="0.25">
      <c r="A930">
        <v>640894</v>
      </c>
      <c r="B930" t="s">
        <v>1615</v>
      </c>
      <c r="C930" t="s">
        <v>1616</v>
      </c>
      <c r="D930" t="s">
        <v>28</v>
      </c>
      <c r="E930" t="s">
        <v>91</v>
      </c>
      <c r="F930" t="s">
        <v>12</v>
      </c>
      <c r="G930" t="str">
        <f>HYPERLINK(_xlfn.CONCAT("https://tablet.otzar.org/",CHAR(35),"/book/640894/p/-1/t/1/fs/0/start/0/end/0/c"),"כינוס השלוחים")</f>
        <v>כינוס השלוחים</v>
      </c>
      <c r="H930" t="str">
        <f>_xlfn.CONCAT("https://tablet.otzar.org/",CHAR(35),"/book/640894/p/-1/t/1/fs/0/start/0/end/0/c")</f>
        <v>https://tablet.otzar.org/#/book/640894/p/-1/t/1/fs/0/start/0/end/0/c</v>
      </c>
    </row>
    <row r="931" spans="1:8" x14ac:dyDescent="0.25">
      <c r="A931">
        <v>141641</v>
      </c>
      <c r="B931" t="s">
        <v>1617</v>
      </c>
      <c r="C931" t="s">
        <v>326</v>
      </c>
      <c r="D931" t="s">
        <v>10</v>
      </c>
      <c r="E931" t="s">
        <v>260</v>
      </c>
      <c r="F931" t="s">
        <v>12</v>
      </c>
      <c r="G931" t="str">
        <f>HYPERLINK(_xlfn.CONCAT("https://tablet.otzar.org/",CHAR(35),"/book/141641/p/-1/t/1/fs/0/start/0/end/0/c"),"כינוס השלוחים העולמי")</f>
        <v>כינוס השלוחים העולמי</v>
      </c>
      <c r="H931" t="str">
        <f>_xlfn.CONCAT("https://tablet.otzar.org/",CHAR(35),"/book/141641/p/-1/t/1/fs/0/start/0/end/0/c")</f>
        <v>https://tablet.otzar.org/#/book/141641/p/-1/t/1/fs/0/start/0/end/0/c</v>
      </c>
    </row>
    <row r="932" spans="1:8" x14ac:dyDescent="0.25">
      <c r="A932">
        <v>607771</v>
      </c>
      <c r="B932" t="s">
        <v>1618</v>
      </c>
      <c r="C932" t="s">
        <v>1619</v>
      </c>
      <c r="D932" t="s">
        <v>10</v>
      </c>
      <c r="F932" t="s">
        <v>12</v>
      </c>
      <c r="G932" t="str">
        <f>HYPERLINK(_xlfn.CONCAT("https://tablet.otzar.org/",CHAR(35),"/book/607771/p/-1/t/1/fs/0/start/0/end/0/c"),"כינוס מחנכי חב""""ד (באנגלית)")</f>
        <v>כינוס מחנכי חב""ד (באנגלית)</v>
      </c>
      <c r="H932" t="str">
        <f>_xlfn.CONCAT("https://tablet.otzar.org/",CHAR(35),"/book/607771/p/-1/t/1/fs/0/start/0/end/0/c")</f>
        <v>https://tablet.otzar.org/#/book/607771/p/-1/t/1/fs/0/start/0/end/0/c</v>
      </c>
    </row>
    <row r="933" spans="1:8" x14ac:dyDescent="0.25">
      <c r="A933">
        <v>27719</v>
      </c>
      <c r="B933" t="s">
        <v>1620</v>
      </c>
      <c r="C933" t="s">
        <v>125</v>
      </c>
      <c r="D933" t="s">
        <v>10</v>
      </c>
      <c r="E933" t="s">
        <v>1605</v>
      </c>
      <c r="F933" t="s">
        <v>12</v>
      </c>
      <c r="G933" t="str">
        <f>HYPERLINK(_xlfn.CONCAT("https://tablet.otzar.org/",CHAR(35),"/exKotar/27719"),"כינוס תורה - 12 כרכים")</f>
        <v>כינוס תורה - 12 כרכים</v>
      </c>
      <c r="H933" t="str">
        <f>_xlfn.CONCAT("https://tablet.otzar.org/",CHAR(35),"/exKotar/27719")</f>
        <v>https://tablet.otzar.org/#/exKotar/27719</v>
      </c>
    </row>
    <row r="934" spans="1:8" x14ac:dyDescent="0.25">
      <c r="A934">
        <v>27532</v>
      </c>
      <c r="B934" t="s">
        <v>1621</v>
      </c>
      <c r="C934" t="s">
        <v>125</v>
      </c>
      <c r="D934" t="s">
        <v>1622</v>
      </c>
      <c r="E934" t="s">
        <v>139</v>
      </c>
      <c r="F934" t="s">
        <v>12</v>
      </c>
      <c r="G934" t="str">
        <f>HYPERLINK(_xlfn.CONCAT("https://tablet.otzar.org/",CHAR(35),"/book/27532/p/-1/t/1/fs/0/start/0/end/0/c"),"כינוס תורה (בוסטון)")</f>
        <v>כינוס תורה (בוסטון)</v>
      </c>
      <c r="H934" t="str">
        <f>_xlfn.CONCAT("https://tablet.otzar.org/",CHAR(35),"/book/27532/p/-1/t/1/fs/0/start/0/end/0/c")</f>
        <v>https://tablet.otzar.org/#/book/27532/p/-1/t/1/fs/0/start/0/end/0/c</v>
      </c>
    </row>
    <row r="935" spans="1:8" x14ac:dyDescent="0.25">
      <c r="A935">
        <v>27743</v>
      </c>
      <c r="B935" t="s">
        <v>1623</v>
      </c>
      <c r="C935" t="s">
        <v>125</v>
      </c>
      <c r="D935" t="s">
        <v>15</v>
      </c>
      <c r="E935" t="s">
        <v>353</v>
      </c>
      <c r="F935" t="s">
        <v>12</v>
      </c>
      <c r="G935" t="str">
        <f>HYPERLINK(_xlfn.CONCAT("https://tablet.otzar.org/",CHAR(35),"/exKotar/27743"),"כינוס תורה (כפר חב""""ד) - 2 כרכים")</f>
        <v>כינוס תורה (כפר חב""ד) - 2 כרכים</v>
      </c>
      <c r="H935" t="str">
        <f>_xlfn.CONCAT("https://tablet.otzar.org/",CHAR(35),"/exKotar/27743")</f>
        <v>https://tablet.otzar.org/#/exKotar/27743</v>
      </c>
    </row>
    <row r="936" spans="1:8" x14ac:dyDescent="0.25">
      <c r="A936">
        <v>27526</v>
      </c>
      <c r="B936" t="s">
        <v>1624</v>
      </c>
      <c r="C936" t="s">
        <v>125</v>
      </c>
      <c r="D936" t="s">
        <v>882</v>
      </c>
      <c r="E936" t="s">
        <v>75</v>
      </c>
      <c r="F936" t="s">
        <v>12</v>
      </c>
      <c r="G936" t="str">
        <f>HYPERLINK(_xlfn.CONCAT("https://tablet.otzar.org/",CHAR(35),"/book/27526/p/-1/t/1/fs/0/start/0/end/0/c"),"כינוס תורה (לונדון)")</f>
        <v>כינוס תורה (לונדון)</v>
      </c>
      <c r="H936" t="str">
        <f>_xlfn.CONCAT("https://tablet.otzar.org/",CHAR(35),"/book/27526/p/-1/t/1/fs/0/start/0/end/0/c")</f>
        <v>https://tablet.otzar.org/#/book/27526/p/-1/t/1/fs/0/start/0/end/0/c</v>
      </c>
    </row>
    <row r="937" spans="1:8" x14ac:dyDescent="0.25">
      <c r="A937">
        <v>146307</v>
      </c>
      <c r="B937" t="s">
        <v>1625</v>
      </c>
      <c r="C937" t="s">
        <v>125</v>
      </c>
      <c r="D937" t="s">
        <v>444</v>
      </c>
      <c r="E937" t="s">
        <v>236</v>
      </c>
      <c r="F937" t="s">
        <v>12</v>
      </c>
      <c r="G937" t="str">
        <f>HYPERLINK(_xlfn.CONCAT("https://tablet.otzar.org/",CHAR(35),"/book/146307/p/-1/t/1/fs/0/start/0/end/0/c"),"כינוס תורה (קאלקאסקא, מישיגען)")</f>
        <v>כינוס תורה (קאלקאסקא, מישיגען)</v>
      </c>
      <c r="H937" t="str">
        <f>_xlfn.CONCAT("https://tablet.otzar.org/",CHAR(35),"/book/146307/p/-1/t/1/fs/0/start/0/end/0/c")</f>
        <v>https://tablet.otzar.org/#/book/146307/p/-1/t/1/fs/0/start/0/end/0/c</v>
      </c>
    </row>
    <row r="938" spans="1:8" x14ac:dyDescent="0.25">
      <c r="A938">
        <v>146173</v>
      </c>
      <c r="B938" t="s">
        <v>1626</v>
      </c>
      <c r="C938" t="s">
        <v>125</v>
      </c>
      <c r="D938" t="s">
        <v>1627</v>
      </c>
      <c r="E938" t="s">
        <v>66</v>
      </c>
      <c r="F938" t="s">
        <v>12</v>
      </c>
      <c r="G938" t="str">
        <f>HYPERLINK(_xlfn.CONCAT("https://tablet.otzar.org/",CHAR(35),"/book/146173/p/-1/t/1/fs/0/start/0/end/0/c"),"כינוס תורה (קזבלנקה)")</f>
        <v>כינוס תורה (קזבלנקה)</v>
      </c>
      <c r="H938" t="str">
        <f>_xlfn.CONCAT("https://tablet.otzar.org/",CHAR(35),"/book/146173/p/-1/t/1/fs/0/start/0/end/0/c")</f>
        <v>https://tablet.otzar.org/#/book/146173/p/-1/t/1/fs/0/start/0/end/0/c</v>
      </c>
    </row>
    <row r="939" spans="1:8" x14ac:dyDescent="0.25">
      <c r="A939">
        <v>140923</v>
      </c>
      <c r="B939" t="s">
        <v>1628</v>
      </c>
      <c r="C939" t="s">
        <v>125</v>
      </c>
      <c r="D939" t="s">
        <v>15</v>
      </c>
      <c r="E939" t="s">
        <v>54</v>
      </c>
      <c r="F939" t="s">
        <v>12</v>
      </c>
      <c r="G939" t="str">
        <f>HYPERLINK(_xlfn.CONCAT("https://tablet.otzar.org/",CHAR(35),"/book/140923/p/-1/t/1/fs/0/start/0/end/0/c"),"כינוס תורה (קרית מלאכי) - א")</f>
        <v>כינוס תורה (קרית מלאכי) - א</v>
      </c>
      <c r="H939" t="str">
        <f>_xlfn.CONCAT("https://tablet.otzar.org/",CHAR(35),"/book/140923/p/-1/t/1/fs/0/start/0/end/0/c")</f>
        <v>https://tablet.otzar.org/#/book/140923/p/-1/t/1/fs/0/start/0/end/0/c</v>
      </c>
    </row>
    <row r="940" spans="1:8" x14ac:dyDescent="0.25">
      <c r="A940">
        <v>27487</v>
      </c>
      <c r="B940" t="s">
        <v>1629</v>
      </c>
      <c r="C940" t="s">
        <v>125</v>
      </c>
      <c r="D940" t="s">
        <v>1627</v>
      </c>
      <c r="E940" t="s">
        <v>346</v>
      </c>
      <c r="F940" t="s">
        <v>12</v>
      </c>
      <c r="G940" t="str">
        <f>HYPERLINK(_xlfn.CONCAT("https://tablet.otzar.org/",CHAR(35),"/book/27487/p/-1/t/1/fs/0/start/0/end/0/c"),"כינוס תורה הגדול")</f>
        <v>כינוס תורה הגדול</v>
      </c>
      <c r="H940" t="str">
        <f>_xlfn.CONCAT("https://tablet.otzar.org/",CHAR(35),"/book/27487/p/-1/t/1/fs/0/start/0/end/0/c")</f>
        <v>https://tablet.otzar.org/#/book/27487/p/-1/t/1/fs/0/start/0/end/0/c</v>
      </c>
    </row>
    <row r="941" spans="1:8" x14ac:dyDescent="0.25">
      <c r="A941">
        <v>106086</v>
      </c>
      <c r="B941" t="s">
        <v>1630</v>
      </c>
      <c r="C941" t="s">
        <v>1630</v>
      </c>
      <c r="D941" t="s">
        <v>387</v>
      </c>
      <c r="E941" t="s">
        <v>139</v>
      </c>
      <c r="G941" t="str">
        <f>HYPERLINK(_xlfn.CONCAT("https://tablet.otzar.org/",CHAR(35),"/book/106086/p/-1/t/1/fs/0/start/0/end/0/c"),"כיצד מסלפים")</f>
        <v>כיצד מסלפים</v>
      </c>
      <c r="H941" t="str">
        <f>_xlfn.CONCAT("https://tablet.otzar.org/",CHAR(35),"/book/106086/p/-1/t/1/fs/0/start/0/end/0/c")</f>
        <v>https://tablet.otzar.org/#/book/106086/p/-1/t/1/fs/0/start/0/end/0/c</v>
      </c>
    </row>
    <row r="942" spans="1:8" x14ac:dyDescent="0.25">
      <c r="A942">
        <v>141393</v>
      </c>
      <c r="B942" t="s">
        <v>1631</v>
      </c>
      <c r="C942" t="s">
        <v>1065</v>
      </c>
      <c r="D942" t="s">
        <v>191</v>
      </c>
      <c r="E942" t="s">
        <v>60</v>
      </c>
      <c r="F942" t="s">
        <v>12</v>
      </c>
      <c r="G942" t="str">
        <f>HYPERLINK(_xlfn.CONCAT("https://tablet.otzar.org/",CHAR(35),"/exKotar/141393"),"כיצד נחנך את ילדינו - 2 כרכים")</f>
        <v>כיצד נחנך את ילדינו - 2 כרכים</v>
      </c>
      <c r="H942" t="str">
        <f>_xlfn.CONCAT("https://tablet.otzar.org/",CHAR(35),"/exKotar/141393")</f>
        <v>https://tablet.otzar.org/#/exKotar/141393</v>
      </c>
    </row>
    <row r="943" spans="1:8" x14ac:dyDescent="0.25">
      <c r="A943">
        <v>682984</v>
      </c>
      <c r="B943" t="s">
        <v>1632</v>
      </c>
      <c r="C943" t="s">
        <v>1565</v>
      </c>
      <c r="D943" t="s">
        <v>37</v>
      </c>
      <c r="E943" t="s">
        <v>62</v>
      </c>
      <c r="F943" t="s">
        <v>229</v>
      </c>
      <c r="G943" t="str">
        <f>HYPERLINK(_xlfn.CONCAT("https://tablet.otzar.org/",CHAR(35),"/book/682984/p/-1/t/1/fs/0/start/0/end/0/c"),"ככם כגר - כניסה לברית בקבלת המצוות")</f>
        <v>ככם כגר - כניסה לברית בקבלת המצוות</v>
      </c>
      <c r="H943" t="str">
        <f>_xlfn.CONCAT("https://tablet.otzar.org/",CHAR(35),"/book/682984/p/-1/t/1/fs/0/start/0/end/0/c")</f>
        <v>https://tablet.otzar.org/#/book/682984/p/-1/t/1/fs/0/start/0/end/0/c</v>
      </c>
    </row>
    <row r="944" spans="1:8" x14ac:dyDescent="0.25">
      <c r="A944">
        <v>141584</v>
      </c>
      <c r="B944" t="s">
        <v>1633</v>
      </c>
      <c r="C944" t="s">
        <v>45</v>
      </c>
      <c r="D944" t="s">
        <v>28</v>
      </c>
      <c r="E944" t="s">
        <v>134</v>
      </c>
      <c r="F944" t="s">
        <v>12</v>
      </c>
      <c r="G944" t="str">
        <f>HYPERLINK(_xlfn.CONCAT("https://tablet.otzar.org/",CHAR(35),"/book/141584/p/-1/t/1/fs/0/start/0/end/0/c"),"כל היוצא למלחמת בית דוד")</f>
        <v>כל היוצא למלחמת בית דוד</v>
      </c>
      <c r="H944" t="str">
        <f>_xlfn.CONCAT("https://tablet.otzar.org/",CHAR(35),"/book/141584/p/-1/t/1/fs/0/start/0/end/0/c")</f>
        <v>https://tablet.otzar.org/#/book/141584/p/-1/t/1/fs/0/start/0/end/0/c</v>
      </c>
    </row>
    <row r="945" spans="1:8" x14ac:dyDescent="0.25">
      <c r="A945">
        <v>27091</v>
      </c>
      <c r="B945" t="s">
        <v>1634</v>
      </c>
      <c r="C945" t="s">
        <v>1635</v>
      </c>
      <c r="D945" t="s">
        <v>15</v>
      </c>
      <c r="E945" t="s">
        <v>46</v>
      </c>
      <c r="F945" t="s">
        <v>12</v>
      </c>
      <c r="G945" t="str">
        <f>HYPERLINK(_xlfn.CONCAT("https://tablet.otzar.org/",CHAR(35),"/exKotar/27091"),"כל סיפורי הרבי - 5 כרכים")</f>
        <v>כל סיפורי הרבי - 5 כרכים</v>
      </c>
      <c r="H945" t="str">
        <f>_xlfn.CONCAT("https://tablet.otzar.org/",CHAR(35),"/exKotar/27091")</f>
        <v>https://tablet.otzar.org/#/exKotar/27091</v>
      </c>
    </row>
    <row r="946" spans="1:8" x14ac:dyDescent="0.25">
      <c r="A946">
        <v>146231</v>
      </c>
      <c r="B946" t="s">
        <v>1636</v>
      </c>
      <c r="C946" t="s">
        <v>1637</v>
      </c>
      <c r="D946" t="s">
        <v>28</v>
      </c>
      <c r="E946" t="s">
        <v>91</v>
      </c>
      <c r="F946" t="s">
        <v>76</v>
      </c>
      <c r="G946" t="str">
        <f>HYPERLINK(_xlfn.CONCAT("https://tablet.otzar.org/",CHAR(35),"/book/146231/p/-1/t/1/fs/0/start/0/end/0/c"),"כל עצמותי")</f>
        <v>כל עצמותי</v>
      </c>
      <c r="H946" t="str">
        <f>_xlfn.CONCAT("https://tablet.otzar.org/",CHAR(35),"/book/146231/p/-1/t/1/fs/0/start/0/end/0/c")</f>
        <v>https://tablet.otzar.org/#/book/146231/p/-1/t/1/fs/0/start/0/end/0/c</v>
      </c>
    </row>
    <row r="947" spans="1:8" x14ac:dyDescent="0.25">
      <c r="A947">
        <v>628550</v>
      </c>
      <c r="B947" t="s">
        <v>1638</v>
      </c>
      <c r="C947" t="s">
        <v>102</v>
      </c>
      <c r="D947" t="s">
        <v>15</v>
      </c>
      <c r="E947" t="s">
        <v>103</v>
      </c>
      <c r="F947" t="s">
        <v>1639</v>
      </c>
      <c r="G947" t="str">
        <f>HYPERLINK(_xlfn.CONCAT("https://tablet.otzar.org/",CHAR(35),"/book/628550/p/-1/t/1/fs/0/start/0/end/0/c"),"כלל גדול בתורה")</f>
        <v>כלל גדול בתורה</v>
      </c>
      <c r="H947" t="str">
        <f>_xlfn.CONCAT("https://tablet.otzar.org/",CHAR(35),"/book/628550/p/-1/t/1/fs/0/start/0/end/0/c")</f>
        <v>https://tablet.otzar.org/#/book/628550/p/-1/t/1/fs/0/start/0/end/0/c</v>
      </c>
    </row>
    <row r="948" spans="1:8" x14ac:dyDescent="0.25">
      <c r="A948">
        <v>27104</v>
      </c>
      <c r="B948" t="s">
        <v>1640</v>
      </c>
      <c r="C948" t="s">
        <v>1641</v>
      </c>
      <c r="D948" t="s">
        <v>15</v>
      </c>
      <c r="E948" t="s">
        <v>192</v>
      </c>
      <c r="F948" t="s">
        <v>12</v>
      </c>
      <c r="G948" t="str">
        <f>HYPERLINK(_xlfn.CONCAT("https://tablet.otzar.org/",CHAR(35),"/book/27104/p/-1/t/1/fs/0/start/0/end/0/c"),"כללי הפוסקים וההוראה")</f>
        <v>כללי הפוסקים וההוראה</v>
      </c>
      <c r="H948" t="str">
        <f>_xlfn.CONCAT("https://tablet.otzar.org/",CHAR(35),"/book/27104/p/-1/t/1/fs/0/start/0/end/0/c")</f>
        <v>https://tablet.otzar.org/#/book/27104/p/-1/t/1/fs/0/start/0/end/0/c</v>
      </c>
    </row>
    <row r="949" spans="1:8" x14ac:dyDescent="0.25">
      <c r="A949">
        <v>27251</v>
      </c>
      <c r="B949" t="s">
        <v>1642</v>
      </c>
      <c r="C949" t="s">
        <v>1643</v>
      </c>
      <c r="D949" t="s">
        <v>10</v>
      </c>
      <c r="E949" t="s">
        <v>260</v>
      </c>
      <c r="F949" t="s">
        <v>12</v>
      </c>
      <c r="G949" t="str">
        <f>HYPERLINK(_xlfn.CONCAT("https://tablet.otzar.org/",CHAR(35),"/book/27251/p/-1/t/1/fs/0/start/0/end/0/c"),"כללי רמב""""ם")</f>
        <v>כללי רמב""ם</v>
      </c>
      <c r="H949" t="str">
        <f>_xlfn.CONCAT("https://tablet.otzar.org/",CHAR(35),"/book/27251/p/-1/t/1/fs/0/start/0/end/0/c")</f>
        <v>https://tablet.otzar.org/#/book/27251/p/-1/t/1/fs/0/start/0/end/0/c</v>
      </c>
    </row>
    <row r="950" spans="1:8" x14ac:dyDescent="0.25">
      <c r="A950">
        <v>27252</v>
      </c>
      <c r="B950" t="s">
        <v>1644</v>
      </c>
      <c r="C950" t="s">
        <v>1645</v>
      </c>
      <c r="D950" t="s">
        <v>15</v>
      </c>
      <c r="E950" t="s">
        <v>260</v>
      </c>
      <c r="F950" t="s">
        <v>12</v>
      </c>
      <c r="G950" t="str">
        <f>HYPERLINK(_xlfn.CONCAT("https://tablet.otzar.org/",CHAR(35),"/exKotar/27252"),"כללי רש""""י - 2 כרכים")</f>
        <v>כללי רש""י - 2 כרכים</v>
      </c>
      <c r="H950" t="str">
        <f>_xlfn.CONCAT("https://tablet.otzar.org/",CHAR(35),"/exKotar/27252")</f>
        <v>https://tablet.otzar.org/#/exKotar/27252</v>
      </c>
    </row>
    <row r="951" spans="1:8" x14ac:dyDescent="0.25">
      <c r="A951">
        <v>142754</v>
      </c>
      <c r="B951" t="s">
        <v>1646</v>
      </c>
      <c r="C951" t="s">
        <v>81</v>
      </c>
      <c r="D951" t="s">
        <v>10</v>
      </c>
      <c r="E951" t="s">
        <v>60</v>
      </c>
      <c r="F951" t="s">
        <v>94</v>
      </c>
      <c r="G951" t="str">
        <f>HYPERLINK(_xlfn.CONCAT("https://tablet.otzar.org/",CHAR(35),"/book/142754/p/-1/t/1/fs/0/start/0/end/0/c"),"כללים בדא""""ח")</f>
        <v>כללים בדא""ח</v>
      </c>
      <c r="H951" t="str">
        <f>_xlfn.CONCAT("https://tablet.otzar.org/",CHAR(35),"/book/142754/p/-1/t/1/fs/0/start/0/end/0/c")</f>
        <v>https://tablet.otzar.org/#/book/142754/p/-1/t/1/fs/0/start/0/end/0/c</v>
      </c>
    </row>
    <row r="952" spans="1:8" x14ac:dyDescent="0.25">
      <c r="A952">
        <v>607825</v>
      </c>
      <c r="B952" t="s">
        <v>1647</v>
      </c>
      <c r="C952" t="s">
        <v>1270</v>
      </c>
      <c r="D952" t="s">
        <v>15</v>
      </c>
      <c r="E952" t="s">
        <v>404</v>
      </c>
      <c r="F952" t="s">
        <v>12</v>
      </c>
      <c r="G952" t="str">
        <f>HYPERLINK(_xlfn.CONCAT("https://tablet.otzar.org/",CHAR(35),"/book/607825/p/-1/t/1/fs/0/start/0/end/0/c"),"כמותו ממש")</f>
        <v>כמותו ממש</v>
      </c>
      <c r="H952" t="str">
        <f>_xlfn.CONCAT("https://tablet.otzar.org/",CHAR(35),"/book/607825/p/-1/t/1/fs/0/start/0/end/0/c")</f>
        <v>https://tablet.otzar.org/#/book/607825/p/-1/t/1/fs/0/start/0/end/0/c</v>
      </c>
    </row>
    <row r="953" spans="1:8" x14ac:dyDescent="0.25">
      <c r="A953">
        <v>627061</v>
      </c>
      <c r="B953" t="s">
        <v>1648</v>
      </c>
      <c r="C953" t="s">
        <v>9</v>
      </c>
      <c r="D953" t="s">
        <v>10</v>
      </c>
      <c r="E953" t="s">
        <v>115</v>
      </c>
      <c r="F953" t="s">
        <v>12</v>
      </c>
      <c r="G953" t="str">
        <f>HYPERLINK(_xlfn.CONCAT("https://tablet.otzar.org/",CHAR(35),"/book/627061/p/-1/t/1/fs/0/start/0/end/0/c"),"כמים לים מכסים")</f>
        <v>כמים לים מכסים</v>
      </c>
      <c r="H953" t="str">
        <f>_xlfn.CONCAT("https://tablet.otzar.org/",CHAR(35),"/book/627061/p/-1/t/1/fs/0/start/0/end/0/c")</f>
        <v>https://tablet.otzar.org/#/book/627061/p/-1/t/1/fs/0/start/0/end/0/c</v>
      </c>
    </row>
    <row r="954" spans="1:8" x14ac:dyDescent="0.25">
      <c r="A954">
        <v>607629</v>
      </c>
      <c r="B954" t="s">
        <v>1649</v>
      </c>
      <c r="C954" t="s">
        <v>998</v>
      </c>
      <c r="E954" t="s">
        <v>19</v>
      </c>
      <c r="F954" t="s">
        <v>131</v>
      </c>
      <c r="G954" t="str">
        <f>HYPERLINK(_xlfn.CONCAT("https://tablet.otzar.org/",CHAR(35),"/book/607629/p/-1/t/1/fs/0/start/0/end/0/c"),"כן אמר הלל")</f>
        <v>כן אמר הלל</v>
      </c>
      <c r="H954" t="str">
        <f>_xlfn.CONCAT("https://tablet.otzar.org/",CHAR(35),"/book/607629/p/-1/t/1/fs/0/start/0/end/0/c")</f>
        <v>https://tablet.otzar.org/#/book/607629/p/-1/t/1/fs/0/start/0/end/0/c</v>
      </c>
    </row>
    <row r="955" spans="1:8" x14ac:dyDescent="0.25">
      <c r="A955">
        <v>27530</v>
      </c>
      <c r="B955" t="s">
        <v>1650</v>
      </c>
      <c r="C955" t="s">
        <v>1651</v>
      </c>
      <c r="D955" t="s">
        <v>1652</v>
      </c>
      <c r="E955" t="s">
        <v>64</v>
      </c>
      <c r="F955" t="s">
        <v>12</v>
      </c>
      <c r="G955" t="str">
        <f>HYPERLINK(_xlfn.CONCAT("https://tablet.otzar.org/",CHAR(35),"/book/27530/p/-1/t/1/fs/0/start/0/end/0/c"),"כס המלך")</f>
        <v>כס המלך</v>
      </c>
      <c r="H955" t="str">
        <f>_xlfn.CONCAT("https://tablet.otzar.org/",CHAR(35),"/book/27530/p/-1/t/1/fs/0/start/0/end/0/c")</f>
        <v>https://tablet.otzar.org/#/book/27530/p/-1/t/1/fs/0/start/0/end/0/c</v>
      </c>
    </row>
    <row r="956" spans="1:8" x14ac:dyDescent="0.25">
      <c r="A956">
        <v>27232</v>
      </c>
      <c r="B956" t="s">
        <v>1653</v>
      </c>
      <c r="C956" t="s">
        <v>45</v>
      </c>
      <c r="D956" t="s">
        <v>15</v>
      </c>
      <c r="E956" t="s">
        <v>79</v>
      </c>
      <c r="F956" t="s">
        <v>12</v>
      </c>
      <c r="G956" t="str">
        <f>HYPERLINK(_xlfn.CONCAT("https://tablet.otzar.org/",CHAR(35),"/exKotar/27232"),"כפר חב""""ד - 2 כרכים")</f>
        <v>כפר חב""ד - 2 כרכים</v>
      </c>
      <c r="H956" t="str">
        <f>_xlfn.CONCAT("https://tablet.otzar.org/",CHAR(35),"/exKotar/27232")</f>
        <v>https://tablet.otzar.org/#/exKotar/27232</v>
      </c>
    </row>
    <row r="957" spans="1:8" x14ac:dyDescent="0.25">
      <c r="A957">
        <v>611201</v>
      </c>
      <c r="B957" t="s">
        <v>1654</v>
      </c>
      <c r="C957" t="s">
        <v>1655</v>
      </c>
      <c r="D957" t="s">
        <v>15</v>
      </c>
      <c r="E957" t="s">
        <v>115</v>
      </c>
      <c r="F957" t="s">
        <v>12</v>
      </c>
      <c r="G957" t="str">
        <f>HYPERLINK(_xlfn.CONCAT("https://tablet.otzar.org/",CHAR(35),"/book/611201/p/-1/t/1/fs/0/start/0/end/0/c"),"כפר של תפילה")</f>
        <v>כפר של תפילה</v>
      </c>
      <c r="H957" t="str">
        <f>_xlfn.CONCAT("https://tablet.otzar.org/",CHAR(35),"/book/611201/p/-1/t/1/fs/0/start/0/end/0/c")</f>
        <v>https://tablet.otzar.org/#/book/611201/p/-1/t/1/fs/0/start/0/end/0/c</v>
      </c>
    </row>
    <row r="958" spans="1:8" x14ac:dyDescent="0.25">
      <c r="A958">
        <v>29323</v>
      </c>
      <c r="B958" t="s">
        <v>1656</v>
      </c>
      <c r="C958" t="s">
        <v>1657</v>
      </c>
      <c r="D958" t="s">
        <v>15</v>
      </c>
      <c r="E958" t="s">
        <v>64</v>
      </c>
      <c r="F958" t="s">
        <v>12</v>
      </c>
      <c r="G958" t="str">
        <f>HYPERLINK(_xlfn.CONCAT("https://tablet.otzar.org/",CHAR(35),"/exKotar/29323"),"כרם חב""""ד - 3 כרכים")</f>
        <v>כרם חב""ד - 3 כרכים</v>
      </c>
      <c r="H958" t="str">
        <f>_xlfn.CONCAT("https://tablet.otzar.org/",CHAR(35),"/exKotar/29323")</f>
        <v>https://tablet.otzar.org/#/exKotar/29323</v>
      </c>
    </row>
    <row r="959" spans="1:8" x14ac:dyDescent="0.25">
      <c r="A959">
        <v>53176</v>
      </c>
      <c r="B959" t="s">
        <v>1658</v>
      </c>
      <c r="C959" t="s">
        <v>1659</v>
      </c>
      <c r="D959" t="s">
        <v>1660</v>
      </c>
      <c r="E959" t="s">
        <v>174</v>
      </c>
      <c r="F959" t="s">
        <v>12</v>
      </c>
      <c r="G959" t="str">
        <f>HYPERLINK(_xlfn.CONCAT("https://tablet.otzar.org/",CHAR(35),"/book/53176/p/-1/t/1/fs/0/start/0/end/0/c"),"כרם מנחם - א")</f>
        <v>כרם מנחם - א</v>
      </c>
      <c r="H959" t="str">
        <f>_xlfn.CONCAT("https://tablet.otzar.org/",CHAR(35),"/book/53176/p/-1/t/1/fs/0/start/0/end/0/c")</f>
        <v>https://tablet.otzar.org/#/book/53176/p/-1/t/1/fs/0/start/0/end/0/c</v>
      </c>
    </row>
    <row r="960" spans="1:8" x14ac:dyDescent="0.25">
      <c r="A960">
        <v>189093</v>
      </c>
      <c r="B960" t="s">
        <v>1661</v>
      </c>
      <c r="C960" t="s">
        <v>547</v>
      </c>
      <c r="D960" t="s">
        <v>374</v>
      </c>
      <c r="E960" t="s">
        <v>19</v>
      </c>
      <c r="F960" t="s">
        <v>43</v>
      </c>
      <c r="G960" t="str">
        <f>HYPERLINK(_xlfn.CONCAT("https://tablet.otzar.org/",CHAR(35),"/book/189093/p/-1/t/1/fs/0/start/0/end/0/c"),"כשהיינו ילדים")</f>
        <v>כשהיינו ילדים</v>
      </c>
      <c r="H960" t="str">
        <f>_xlfn.CONCAT("https://tablet.otzar.org/",CHAR(35),"/book/189093/p/-1/t/1/fs/0/start/0/end/0/c")</f>
        <v>https://tablet.otzar.org/#/book/189093/p/-1/t/1/fs/0/start/0/end/0/c</v>
      </c>
    </row>
    <row r="961" spans="1:8" x14ac:dyDescent="0.25">
      <c r="A961">
        <v>613915</v>
      </c>
      <c r="B961" t="s">
        <v>1662</v>
      </c>
      <c r="C961" t="s">
        <v>242</v>
      </c>
      <c r="D961" t="s">
        <v>28</v>
      </c>
      <c r="E961" t="s">
        <v>115</v>
      </c>
      <c r="F961" t="s">
        <v>12</v>
      </c>
      <c r="G961" t="str">
        <f>HYPERLINK(_xlfn.CONCAT("https://tablet.otzar.org/",CHAR(35),"/book/613915/p/-1/t/1/fs/0/start/0/end/0/c"),"כשיתבונן האדם - נושאים")</f>
        <v>כשיתבונן האדם - נושאים</v>
      </c>
      <c r="H961" t="str">
        <f>_xlfn.CONCAT("https://tablet.otzar.org/",CHAR(35),"/book/613915/p/-1/t/1/fs/0/start/0/end/0/c")</f>
        <v>https://tablet.otzar.org/#/book/613915/p/-1/t/1/fs/0/start/0/end/0/c</v>
      </c>
    </row>
    <row r="962" spans="1:8" x14ac:dyDescent="0.25">
      <c r="A962">
        <v>181091</v>
      </c>
      <c r="B962" t="s">
        <v>1663</v>
      </c>
      <c r="C962" t="s">
        <v>495</v>
      </c>
      <c r="D962" t="s">
        <v>10</v>
      </c>
      <c r="E962" t="s">
        <v>88</v>
      </c>
      <c r="F962" t="s">
        <v>12</v>
      </c>
      <c r="G962" t="str">
        <f>HYPERLINK(_xlfn.CONCAT("https://tablet.otzar.org/",CHAR(35),"/book/181091/p/-1/t/1/fs/0/start/0/end/0/c"),"כתבי אברהם אליהו")</f>
        <v>כתבי אברהם אליהו</v>
      </c>
      <c r="H962" t="str">
        <f>_xlfn.CONCAT("https://tablet.otzar.org/",CHAR(35),"/book/181091/p/-1/t/1/fs/0/start/0/end/0/c")</f>
        <v>https://tablet.otzar.org/#/book/181091/p/-1/t/1/fs/0/start/0/end/0/c</v>
      </c>
    </row>
    <row r="963" spans="1:8" x14ac:dyDescent="0.25">
      <c r="A963">
        <v>26496</v>
      </c>
      <c r="B963" t="s">
        <v>1664</v>
      </c>
      <c r="C963" t="s">
        <v>1665</v>
      </c>
      <c r="D963" t="s">
        <v>10</v>
      </c>
      <c r="E963" t="s">
        <v>441</v>
      </c>
      <c r="F963" t="s">
        <v>12</v>
      </c>
      <c r="G963" t="str">
        <f>HYPERLINK(_xlfn.CONCAT("https://tablet.otzar.org/",CHAR(35),"/book/26496/p/-1/t/1/fs/0/start/0/end/0/c"),"כתבי הרח""""א ביחובסקי")</f>
        <v>כתבי הרח""א ביחובסקי</v>
      </c>
      <c r="H963" t="str">
        <f>_xlfn.CONCAT("https://tablet.otzar.org/",CHAR(35),"/book/26496/p/-1/t/1/fs/0/start/0/end/0/c")</f>
        <v>https://tablet.otzar.org/#/book/26496/p/-1/t/1/fs/0/start/0/end/0/c</v>
      </c>
    </row>
    <row r="964" spans="1:8" x14ac:dyDescent="0.25">
      <c r="A964">
        <v>651749</v>
      </c>
      <c r="B964" t="s">
        <v>1666</v>
      </c>
      <c r="C964" t="s">
        <v>1667</v>
      </c>
      <c r="D964" t="s">
        <v>28</v>
      </c>
      <c r="E964" t="s">
        <v>91</v>
      </c>
      <c r="F964" t="s">
        <v>12</v>
      </c>
      <c r="G964" t="str">
        <f>HYPERLINK(_xlfn.CONCAT("https://tablet.otzar.org/",CHAR(35),"/book/651749/p/-1/t/1/fs/0/start/0/end/0/c"),"כתבי יד קודש - (מתוך 'המזכיר')")</f>
        <v>כתבי יד קודש - (מתוך 'המזכיר')</v>
      </c>
      <c r="H964" t="str">
        <f>_xlfn.CONCAT("https://tablet.otzar.org/",CHAR(35),"/book/651749/p/-1/t/1/fs/0/start/0/end/0/c")</f>
        <v>https://tablet.otzar.org/#/book/651749/p/-1/t/1/fs/0/start/0/end/0/c</v>
      </c>
    </row>
    <row r="965" spans="1:8" x14ac:dyDescent="0.25">
      <c r="A965">
        <v>636783</v>
      </c>
      <c r="B965" t="s">
        <v>1668</v>
      </c>
      <c r="C965" t="s">
        <v>45</v>
      </c>
      <c r="D965" t="s">
        <v>10</v>
      </c>
      <c r="E965" t="s">
        <v>185</v>
      </c>
      <c r="F965" t="s">
        <v>12</v>
      </c>
      <c r="G965" t="str">
        <f>HYPERLINK(_xlfn.CONCAT("https://tablet.otzar.org/",CHAR(35),"/exKotar/636783"),"כתבי קודש &lt;עלי הגהה&gt;  - 3 כרכים")</f>
        <v>כתבי קודש &lt;עלי הגהה&gt;  - 3 כרכים</v>
      </c>
      <c r="H965" t="str">
        <f>_xlfn.CONCAT("https://tablet.otzar.org/",CHAR(35),"/exKotar/636783")</f>
        <v>https://tablet.otzar.org/#/exKotar/636783</v>
      </c>
    </row>
    <row r="966" spans="1:8" x14ac:dyDescent="0.25">
      <c r="A966">
        <v>141603</v>
      </c>
      <c r="B966" t="s">
        <v>1669</v>
      </c>
      <c r="C966" t="s">
        <v>1670</v>
      </c>
      <c r="D966" t="s">
        <v>10</v>
      </c>
      <c r="E966" t="s">
        <v>441</v>
      </c>
      <c r="F966" t="s">
        <v>12</v>
      </c>
      <c r="G966" t="str">
        <f>HYPERLINK(_xlfn.CONCAT("https://tablet.otzar.org/",CHAR(35),"/exKotar/141603"),"כתבי ר' אייזיק - 3 כרכים")</f>
        <v>כתבי ר' אייזיק - 3 כרכים</v>
      </c>
      <c r="H966" t="str">
        <f>_xlfn.CONCAT("https://tablet.otzar.org/",CHAR(35),"/exKotar/141603")</f>
        <v>https://tablet.otzar.org/#/exKotar/141603</v>
      </c>
    </row>
    <row r="967" spans="1:8" x14ac:dyDescent="0.25">
      <c r="A967">
        <v>618924</v>
      </c>
      <c r="B967" t="s">
        <v>1671</v>
      </c>
      <c r="C967" t="s">
        <v>1502</v>
      </c>
      <c r="D967" t="s">
        <v>28</v>
      </c>
      <c r="E967" t="s">
        <v>404</v>
      </c>
      <c r="F967" t="s">
        <v>12</v>
      </c>
      <c r="G967" t="str">
        <f>HYPERLINK(_xlfn.CONCAT("https://tablet.otzar.org/",CHAR(35),"/book/618924/p/-1/t/1/fs/0/start/0/end/0/c"),"כתר מלכות")</f>
        <v>כתר מלכות</v>
      </c>
      <c r="H967" t="str">
        <f>_xlfn.CONCAT("https://tablet.otzar.org/",CHAR(35),"/book/618924/p/-1/t/1/fs/0/start/0/end/0/c")</f>
        <v>https://tablet.otzar.org/#/book/618924/p/-1/t/1/fs/0/start/0/end/0/c</v>
      </c>
    </row>
    <row r="968" spans="1:8" x14ac:dyDescent="0.25">
      <c r="A968">
        <v>196126</v>
      </c>
      <c r="B968" t="s">
        <v>1672</v>
      </c>
      <c r="C968" t="s">
        <v>1673</v>
      </c>
      <c r="D968" t="s">
        <v>10</v>
      </c>
      <c r="E968" t="s">
        <v>82</v>
      </c>
      <c r="F968" t="s">
        <v>12</v>
      </c>
      <c r="G968" t="str">
        <f>HYPERLINK(_xlfn.CONCAT("https://tablet.otzar.org/",CHAR(35),"/book/196126/p/-1/t/1/fs/0/start/0/end/0/c"),"כתר שם טוב השלם &lt;מהדורה חדשה&gt;")</f>
        <v>כתר שם טוב השלם &lt;מהדורה חדשה&gt;</v>
      </c>
      <c r="H968" t="str">
        <f>_xlfn.CONCAT("https://tablet.otzar.org/",CHAR(35),"/book/196126/p/-1/t/1/fs/0/start/0/end/0/c")</f>
        <v>https://tablet.otzar.org/#/book/196126/p/-1/t/1/fs/0/start/0/end/0/c</v>
      </c>
    </row>
    <row r="969" spans="1:8" x14ac:dyDescent="0.25">
      <c r="A969">
        <v>27144</v>
      </c>
      <c r="B969" t="s">
        <v>1674</v>
      </c>
      <c r="C969" t="s">
        <v>1673</v>
      </c>
      <c r="D969" t="s">
        <v>10</v>
      </c>
      <c r="E969" t="s">
        <v>382</v>
      </c>
      <c r="F969" t="s">
        <v>12</v>
      </c>
      <c r="G969" t="str">
        <f>HYPERLINK(_xlfn.CONCAT("https://tablet.otzar.org/",CHAR(35),"/book/27144/p/-1/t/1/fs/0/start/0/end/0/c"),"כתר שם טוב השלם")</f>
        <v>כתר שם טוב השלם</v>
      </c>
      <c r="H969" t="str">
        <f>_xlfn.CONCAT("https://tablet.otzar.org/",CHAR(35),"/book/27144/p/-1/t/1/fs/0/start/0/end/0/c")</f>
        <v>https://tablet.otzar.org/#/book/27144/p/-1/t/1/fs/0/start/0/end/0/c</v>
      </c>
    </row>
    <row r="970" spans="1:8" x14ac:dyDescent="0.25">
      <c r="A970">
        <v>607888</v>
      </c>
      <c r="B970" t="s">
        <v>1675</v>
      </c>
      <c r="C970" t="s">
        <v>1465</v>
      </c>
      <c r="D970" t="s">
        <v>15</v>
      </c>
      <c r="E970" t="s">
        <v>99</v>
      </c>
      <c r="F970" t="s">
        <v>12</v>
      </c>
      <c r="G970" t="str">
        <f>HYPERLINK(_xlfn.CONCAT("https://tablet.otzar.org/",CHAR(35),"/book/607888/p/-1/t/1/fs/0/start/0/end/0/c"),"ל""""ב סביון")</f>
        <v>ל""ב סביון</v>
      </c>
      <c r="H970" t="str">
        <f>_xlfn.CONCAT("https://tablet.otzar.org/",CHAR(35),"/book/607888/p/-1/t/1/fs/0/start/0/end/0/c")</f>
        <v>https://tablet.otzar.org/#/book/607888/p/-1/t/1/fs/0/start/0/end/0/c</v>
      </c>
    </row>
    <row r="971" spans="1:8" x14ac:dyDescent="0.25">
      <c r="A971">
        <v>145999</v>
      </c>
      <c r="B971" t="s">
        <v>1676</v>
      </c>
      <c r="C971" t="s">
        <v>14</v>
      </c>
      <c r="D971" t="s">
        <v>28</v>
      </c>
      <c r="E971" t="s">
        <v>91</v>
      </c>
      <c r="F971" t="s">
        <v>76</v>
      </c>
      <c r="G971" t="str">
        <f>HYPERLINK(_xlfn.CONCAT("https://tablet.otzar.org/",CHAR(35),"/book/145999/p/-1/t/1/fs/0/start/0/end/0/c"),"לא יהיה לך אלקים אחרים על פני")</f>
        <v>לא יהיה לך אלקים אחרים על פני</v>
      </c>
      <c r="H971" t="str">
        <f>_xlfn.CONCAT("https://tablet.otzar.org/",CHAR(35),"/book/145999/p/-1/t/1/fs/0/start/0/end/0/c")</f>
        <v>https://tablet.otzar.org/#/book/145999/p/-1/t/1/fs/0/start/0/end/0/c</v>
      </c>
    </row>
    <row r="972" spans="1:8" x14ac:dyDescent="0.25">
      <c r="A972">
        <v>614912</v>
      </c>
      <c r="B972" t="s">
        <v>1677</v>
      </c>
      <c r="C972" t="s">
        <v>45</v>
      </c>
      <c r="D972" t="s">
        <v>28</v>
      </c>
      <c r="E972" t="s">
        <v>62</v>
      </c>
      <c r="F972" t="s">
        <v>12</v>
      </c>
      <c r="G972" t="str">
        <f>HYPERLINK(_xlfn.CONCAT("https://tablet.otzar.org/",CHAR(35),"/book/614912/p/-1/t/1/fs/0/start/0/end/0/c"),"לא יצא בצבא")</f>
        <v>לא יצא בצבא</v>
      </c>
      <c r="H972" t="str">
        <f>_xlfn.CONCAT("https://tablet.otzar.org/",CHAR(35),"/book/614912/p/-1/t/1/fs/0/start/0/end/0/c")</f>
        <v>https://tablet.otzar.org/#/book/614912/p/-1/t/1/fs/0/start/0/end/0/c</v>
      </c>
    </row>
    <row r="973" spans="1:8" x14ac:dyDescent="0.25">
      <c r="A973">
        <v>140879</v>
      </c>
      <c r="B973" t="s">
        <v>1678</v>
      </c>
      <c r="C973" t="s">
        <v>1679</v>
      </c>
      <c r="D973" t="s">
        <v>15</v>
      </c>
      <c r="E973" t="s">
        <v>1098</v>
      </c>
      <c r="F973" t="s">
        <v>12</v>
      </c>
      <c r="G973" t="str">
        <f>HYPERLINK(_xlfn.CONCAT("https://tablet.otzar.org/",CHAR(35),"/book/140879/p/-1/t/1/fs/0/start/0/end/0/c"),"לא תשתחוו (מחיי הקאנטוניסטים)")</f>
        <v>לא תשתחוו (מחיי הקאנטוניסטים)</v>
      </c>
      <c r="H973" t="str">
        <f>_xlfn.CONCAT("https://tablet.otzar.org/",CHAR(35),"/book/140879/p/-1/t/1/fs/0/start/0/end/0/c")</f>
        <v>https://tablet.otzar.org/#/book/140879/p/-1/t/1/fs/0/start/0/end/0/c</v>
      </c>
    </row>
    <row r="974" spans="1:8" x14ac:dyDescent="0.25">
      <c r="A974">
        <v>607922</v>
      </c>
      <c r="B974" t="s">
        <v>1680</v>
      </c>
      <c r="C974" t="s">
        <v>595</v>
      </c>
      <c r="D974" t="s">
        <v>15</v>
      </c>
      <c r="E974" t="s">
        <v>99</v>
      </c>
      <c r="F974" t="s">
        <v>12</v>
      </c>
      <c r="G974" t="str">
        <f>HYPERLINK(_xlfn.CONCAT("https://tablet.otzar.org/",CHAR(35),"/book/607922/p/-1/t/1/fs/0/start/0/end/0/c"),"לאהוב")</f>
        <v>לאהוב</v>
      </c>
      <c r="H974" t="str">
        <f>_xlfn.CONCAT("https://tablet.otzar.org/",CHAR(35),"/book/607922/p/-1/t/1/fs/0/start/0/end/0/c")</f>
        <v>https://tablet.otzar.org/#/book/607922/p/-1/t/1/fs/0/start/0/end/0/c</v>
      </c>
    </row>
    <row r="975" spans="1:8" x14ac:dyDescent="0.25">
      <c r="A975">
        <v>147748</v>
      </c>
      <c r="B975" t="s">
        <v>1681</v>
      </c>
      <c r="C975" t="s">
        <v>1065</v>
      </c>
      <c r="D975" t="s">
        <v>37</v>
      </c>
      <c r="E975" t="s">
        <v>33</v>
      </c>
      <c r="F975" t="s">
        <v>342</v>
      </c>
      <c r="G975" t="str">
        <f>HYPERLINK(_xlfn.CONCAT("https://tablet.otzar.org/",CHAR(35),"/exKotar/147748"),"לאורם נתחנך - 2 כרכים")</f>
        <v>לאורם נתחנך - 2 כרכים</v>
      </c>
      <c r="H975" t="str">
        <f>_xlfn.CONCAT("https://tablet.otzar.org/",CHAR(35),"/exKotar/147748")</f>
        <v>https://tablet.otzar.org/#/exKotar/147748</v>
      </c>
    </row>
    <row r="976" spans="1:8" x14ac:dyDescent="0.25">
      <c r="A976">
        <v>647689</v>
      </c>
      <c r="B976" t="s">
        <v>1682</v>
      </c>
      <c r="C976" t="s">
        <v>1683</v>
      </c>
      <c r="D976" t="s">
        <v>28</v>
      </c>
      <c r="E976" t="s">
        <v>11</v>
      </c>
      <c r="G976" t="str">
        <f>HYPERLINK(_xlfn.CONCAT("https://tablet.otzar.org/",CHAR(35),"/book/647689/p/-1/t/1/fs/0/start/0/end/0/c"),"לאן הלכת")</f>
        <v>לאן הלכת</v>
      </c>
      <c r="H976" t="str">
        <f>_xlfn.CONCAT("https://tablet.otzar.org/",CHAR(35),"/book/647689/p/-1/t/1/fs/0/start/0/end/0/c")</f>
        <v>https://tablet.otzar.org/#/book/647689/p/-1/t/1/fs/0/start/0/end/0/c</v>
      </c>
    </row>
    <row r="977" spans="1:8" x14ac:dyDescent="0.25">
      <c r="A977">
        <v>85013</v>
      </c>
      <c r="B977" t="s">
        <v>1684</v>
      </c>
      <c r="C977" t="s">
        <v>1685</v>
      </c>
      <c r="D977" t="s">
        <v>15</v>
      </c>
      <c r="E977" t="s">
        <v>226</v>
      </c>
      <c r="F977" t="s">
        <v>20</v>
      </c>
      <c r="G977" t="str">
        <f>HYPERLINK(_xlfn.CONCAT("https://tablet.otzar.org/",CHAR(35),"/book/85013/p/-1/t/1/fs/0/start/0/end/0/c"),"לב הארי")</f>
        <v>לב הארי</v>
      </c>
      <c r="H977" t="str">
        <f>_xlfn.CONCAT("https://tablet.otzar.org/",CHAR(35),"/book/85013/p/-1/t/1/fs/0/start/0/end/0/c")</f>
        <v>https://tablet.otzar.org/#/book/85013/p/-1/t/1/fs/0/start/0/end/0/c</v>
      </c>
    </row>
    <row r="978" spans="1:8" x14ac:dyDescent="0.25">
      <c r="A978">
        <v>154703</v>
      </c>
      <c r="B978" t="s">
        <v>1686</v>
      </c>
      <c r="C978" t="s">
        <v>1509</v>
      </c>
      <c r="D978" t="s">
        <v>15</v>
      </c>
      <c r="E978" t="s">
        <v>91</v>
      </c>
      <c r="F978" t="s">
        <v>12</v>
      </c>
      <c r="G978" t="str">
        <f>HYPERLINK(_xlfn.CONCAT("https://tablet.otzar.org/",CHAR(35),"/book/154703/p/-1/t/1/fs/0/start/0/end/0/c"),"לב טהור")</f>
        <v>לב טהור</v>
      </c>
      <c r="H978" t="str">
        <f>_xlfn.CONCAT("https://tablet.otzar.org/",CHAR(35),"/book/154703/p/-1/t/1/fs/0/start/0/end/0/c")</f>
        <v>https://tablet.otzar.org/#/book/154703/p/-1/t/1/fs/0/start/0/end/0/c</v>
      </c>
    </row>
    <row r="979" spans="1:8" x14ac:dyDescent="0.25">
      <c r="A979">
        <v>173835</v>
      </c>
      <c r="B979" t="s">
        <v>1687</v>
      </c>
      <c r="C979" t="s">
        <v>1688</v>
      </c>
      <c r="D979" t="s">
        <v>37</v>
      </c>
      <c r="E979" t="s">
        <v>62</v>
      </c>
      <c r="F979" t="s">
        <v>883</v>
      </c>
      <c r="G979" t="str">
        <f>HYPERLINK(_xlfn.CONCAT("https://tablet.otzar.org/",CHAR(35),"/book/173835/p/-1/t/1/fs/0/start/0/end/0/c"),"לב יהודה")</f>
        <v>לב יהודה</v>
      </c>
      <c r="H979" t="str">
        <f>_xlfn.CONCAT("https://tablet.otzar.org/",CHAR(35),"/book/173835/p/-1/t/1/fs/0/start/0/end/0/c")</f>
        <v>https://tablet.otzar.org/#/book/173835/p/-1/t/1/fs/0/start/0/end/0/c</v>
      </c>
    </row>
    <row r="980" spans="1:8" x14ac:dyDescent="0.25">
      <c r="A980">
        <v>27290</v>
      </c>
      <c r="B980" t="s">
        <v>1689</v>
      </c>
      <c r="C980" t="s">
        <v>102</v>
      </c>
      <c r="D980" t="s">
        <v>15</v>
      </c>
      <c r="E980" t="s">
        <v>134</v>
      </c>
      <c r="F980" t="s">
        <v>12</v>
      </c>
      <c r="G980" t="str">
        <f>HYPERLINK(_xlfn.CONCAT("https://tablet.otzar.org/",CHAR(35),"/exKotar/27290"),"לב לדעת - 2 כרכים")</f>
        <v>לב לדעת - 2 כרכים</v>
      </c>
      <c r="H980" t="str">
        <f>_xlfn.CONCAT("https://tablet.otzar.org/",CHAR(35),"/exKotar/27290")</f>
        <v>https://tablet.otzar.org/#/exKotar/27290</v>
      </c>
    </row>
    <row r="981" spans="1:8" x14ac:dyDescent="0.25">
      <c r="A981">
        <v>27268</v>
      </c>
      <c r="B981" t="s">
        <v>1690</v>
      </c>
      <c r="C981" t="s">
        <v>1691</v>
      </c>
      <c r="D981" t="s">
        <v>10</v>
      </c>
      <c r="E981" t="s">
        <v>441</v>
      </c>
      <c r="F981" t="s">
        <v>12</v>
      </c>
      <c r="G981" t="str">
        <f>HYPERLINK(_xlfn.CONCAT("https://tablet.otzar.org/",CHAR(35),"/exKotar/27268"),"לב לדעת - 3 כרכים")</f>
        <v>לב לדעת - 3 כרכים</v>
      </c>
      <c r="H981" t="str">
        <f>_xlfn.CONCAT("https://tablet.otzar.org/",CHAR(35),"/exKotar/27268")</f>
        <v>https://tablet.otzar.org/#/exKotar/27268</v>
      </c>
    </row>
    <row r="982" spans="1:8" x14ac:dyDescent="0.25">
      <c r="A982">
        <v>615032</v>
      </c>
      <c r="B982" t="s">
        <v>1692</v>
      </c>
      <c r="C982" t="s">
        <v>242</v>
      </c>
      <c r="D982" t="s">
        <v>37</v>
      </c>
      <c r="E982" t="s">
        <v>19</v>
      </c>
      <c r="F982" t="s">
        <v>12</v>
      </c>
      <c r="G982" t="str">
        <f>HYPERLINK(_xlfn.CONCAT("https://tablet.otzar.org/",CHAR(35),"/exKotar/615032"),"לב לדעת - 5 כרכים")</f>
        <v>לב לדעת - 5 כרכים</v>
      </c>
      <c r="H982" t="str">
        <f>_xlfn.CONCAT("https://tablet.otzar.org/",CHAR(35),"/exKotar/615032")</f>
        <v>https://tablet.otzar.org/#/exKotar/615032</v>
      </c>
    </row>
    <row r="983" spans="1:8" x14ac:dyDescent="0.25">
      <c r="A983">
        <v>621049</v>
      </c>
      <c r="B983" t="s">
        <v>1693</v>
      </c>
      <c r="C983" t="s">
        <v>482</v>
      </c>
      <c r="D983" t="s">
        <v>10</v>
      </c>
      <c r="E983" t="s">
        <v>115</v>
      </c>
      <c r="F983" t="s">
        <v>12</v>
      </c>
      <c r="G983" t="str">
        <f>HYPERLINK(_xlfn.CONCAT("https://tablet.otzar.org/",CHAR(35),"/book/621049/p/-1/t/1/fs/0/start/0/end/0/c"),"לבקר בהיכלו")</f>
        <v>לבקר בהיכלו</v>
      </c>
      <c r="H983" t="str">
        <f>_xlfn.CONCAT("https://tablet.otzar.org/",CHAR(35),"/book/621049/p/-1/t/1/fs/0/start/0/end/0/c")</f>
        <v>https://tablet.otzar.org/#/book/621049/p/-1/t/1/fs/0/start/0/end/0/c</v>
      </c>
    </row>
    <row r="984" spans="1:8" x14ac:dyDescent="0.25">
      <c r="A984">
        <v>146557</v>
      </c>
      <c r="B984" t="s">
        <v>1694</v>
      </c>
      <c r="C984" t="s">
        <v>1695</v>
      </c>
      <c r="D984" t="s">
        <v>15</v>
      </c>
      <c r="E984" t="s">
        <v>174</v>
      </c>
      <c r="F984" t="s">
        <v>94</v>
      </c>
      <c r="G984" t="str">
        <f>HYPERLINK(_xlfn.CONCAT("https://tablet.otzar.org/",CHAR(35),"/book/146557/p/-1/t/1/fs/0/start/0/end/0/c"),"לבשי בגדי תפארתך - א-ג")</f>
        <v>לבשי בגדי תפארתך - א-ג</v>
      </c>
      <c r="H984" t="str">
        <f>_xlfn.CONCAT("https://tablet.otzar.org/",CHAR(35),"/book/146557/p/-1/t/1/fs/0/start/0/end/0/c")</f>
        <v>https://tablet.otzar.org/#/book/146557/p/-1/t/1/fs/0/start/0/end/0/c</v>
      </c>
    </row>
    <row r="985" spans="1:8" x14ac:dyDescent="0.25">
      <c r="A985">
        <v>27475</v>
      </c>
      <c r="B985" t="s">
        <v>1696</v>
      </c>
      <c r="C985" t="s">
        <v>125</v>
      </c>
      <c r="D985" t="s">
        <v>910</v>
      </c>
      <c r="E985" t="s">
        <v>66</v>
      </c>
      <c r="F985" t="s">
        <v>12</v>
      </c>
      <c r="G985" t="str">
        <f>HYPERLINK(_xlfn.CONCAT("https://tablet.otzar.org/",CHAR(35),"/book/27475/p/-1/t/1/fs/0/start/0/end/0/c"),"לגבורה של תורה")</f>
        <v>לגבורה של תורה</v>
      </c>
      <c r="H985" t="str">
        <f>_xlfn.CONCAT("https://tablet.otzar.org/",CHAR(35),"/book/27475/p/-1/t/1/fs/0/start/0/end/0/c")</f>
        <v>https://tablet.otzar.org/#/book/27475/p/-1/t/1/fs/0/start/0/end/0/c</v>
      </c>
    </row>
    <row r="986" spans="1:8" x14ac:dyDescent="0.25">
      <c r="A986">
        <v>27417</v>
      </c>
      <c r="B986" t="s">
        <v>1697</v>
      </c>
      <c r="C986" t="s">
        <v>1195</v>
      </c>
      <c r="D986" t="s">
        <v>28</v>
      </c>
      <c r="E986" t="s">
        <v>54</v>
      </c>
      <c r="F986" t="s">
        <v>12</v>
      </c>
      <c r="G986" t="str">
        <f>HYPERLINK(_xlfn.CONCAT("https://tablet.otzar.org/",CHAR(35),"/book/27417/p/-1/t/1/fs/0/start/0/end/0/c"),"לגעת בנשמות")</f>
        <v>לגעת בנשמות</v>
      </c>
      <c r="H986" t="str">
        <f>_xlfn.CONCAT("https://tablet.otzar.org/",CHAR(35),"/book/27417/p/-1/t/1/fs/0/start/0/end/0/c")</f>
        <v>https://tablet.otzar.org/#/book/27417/p/-1/t/1/fs/0/start/0/end/0/c</v>
      </c>
    </row>
    <row r="987" spans="1:8" x14ac:dyDescent="0.25">
      <c r="A987">
        <v>611969</v>
      </c>
      <c r="B987" t="s">
        <v>1698</v>
      </c>
      <c r="C987" t="s">
        <v>14</v>
      </c>
      <c r="D987" t="s">
        <v>15</v>
      </c>
      <c r="E987" t="s">
        <v>60</v>
      </c>
      <c r="F987" t="s">
        <v>149</v>
      </c>
      <c r="G987" t="str">
        <f>HYPERLINK(_xlfn.CONCAT("https://tablet.otzar.org/",CHAR(35),"/book/611969/p/-1/t/1/fs/0/start/0/end/0/c"),"לדעת להאמין")</f>
        <v>לדעת להאמין</v>
      </c>
      <c r="H987" t="str">
        <f>_xlfn.CONCAT("https://tablet.otzar.org/",CHAR(35),"/book/611969/p/-1/t/1/fs/0/start/0/end/0/c")</f>
        <v>https://tablet.otzar.org/#/book/611969/p/-1/t/1/fs/0/start/0/end/0/c</v>
      </c>
    </row>
    <row r="988" spans="1:8" x14ac:dyDescent="0.25">
      <c r="A988">
        <v>145958</v>
      </c>
      <c r="B988" t="s">
        <v>1699</v>
      </c>
      <c r="C988" t="s">
        <v>1700</v>
      </c>
      <c r="D988" t="s">
        <v>28</v>
      </c>
      <c r="E988" t="s">
        <v>64</v>
      </c>
      <c r="F988" t="s">
        <v>12</v>
      </c>
      <c r="G988" t="str">
        <f>HYPERLINK(_xlfn.CONCAT("https://tablet.otzar.org/",CHAR(35),"/book/145958/p/-1/t/1/fs/0/start/0/end/0/c"),"להביא לימות המשיח")</f>
        <v>להביא לימות המשיח</v>
      </c>
      <c r="H988" t="str">
        <f>_xlfn.CONCAT("https://tablet.otzar.org/",CHAR(35),"/book/145958/p/-1/t/1/fs/0/start/0/end/0/c")</f>
        <v>https://tablet.otzar.org/#/book/145958/p/-1/t/1/fs/0/start/0/end/0/c</v>
      </c>
    </row>
    <row r="989" spans="1:8" x14ac:dyDescent="0.25">
      <c r="A989">
        <v>146240</v>
      </c>
      <c r="B989" t="s">
        <v>1699</v>
      </c>
      <c r="C989" t="s">
        <v>1701</v>
      </c>
      <c r="D989" t="s">
        <v>15</v>
      </c>
      <c r="E989" t="s">
        <v>148</v>
      </c>
      <c r="F989" t="s">
        <v>94</v>
      </c>
      <c r="G989" t="str">
        <f>HYPERLINK(_xlfn.CONCAT("https://tablet.otzar.org/",CHAR(35),"/book/146240/p/-1/t/1/fs/0/start/0/end/0/c"),"להביא לימות המשיח")</f>
        <v>להביא לימות המשיח</v>
      </c>
      <c r="H989" t="str">
        <f>_xlfn.CONCAT("https://tablet.otzar.org/",CHAR(35),"/book/146240/p/-1/t/1/fs/0/start/0/end/0/c")</f>
        <v>https://tablet.otzar.org/#/book/146240/p/-1/t/1/fs/0/start/0/end/0/c</v>
      </c>
    </row>
    <row r="990" spans="1:8" x14ac:dyDescent="0.25">
      <c r="A990">
        <v>614934</v>
      </c>
      <c r="B990" t="s">
        <v>1699</v>
      </c>
      <c r="C990" t="s">
        <v>1702</v>
      </c>
      <c r="D990" t="s">
        <v>10</v>
      </c>
      <c r="E990" t="s">
        <v>88</v>
      </c>
      <c r="F990" t="s">
        <v>12</v>
      </c>
      <c r="G990" t="str">
        <f>HYPERLINK(_xlfn.CONCAT("https://tablet.otzar.org/",CHAR(35),"/book/614934/p/-1/t/1/fs/0/start/0/end/0/c"),"להביא לימות המשיח")</f>
        <v>להביא לימות המשיח</v>
      </c>
      <c r="H990" t="str">
        <f>_xlfn.CONCAT("https://tablet.otzar.org/",CHAR(35),"/book/614934/p/-1/t/1/fs/0/start/0/end/0/c")</f>
        <v>https://tablet.otzar.org/#/book/614934/p/-1/t/1/fs/0/start/0/end/0/c</v>
      </c>
    </row>
    <row r="991" spans="1:8" x14ac:dyDescent="0.25">
      <c r="A991">
        <v>651993</v>
      </c>
      <c r="B991" t="s">
        <v>1703</v>
      </c>
      <c r="C991" t="s">
        <v>1704</v>
      </c>
      <c r="D991" t="s">
        <v>15</v>
      </c>
      <c r="E991" t="s">
        <v>24</v>
      </c>
      <c r="G991" t="str">
        <f>HYPERLINK(_xlfn.CONCAT("https://tablet.otzar.org/",CHAR(35),"/book/651993/p/-1/t/1/fs/0/start/0/end/0/c"),"להבין את הקסם")</f>
        <v>להבין את הקסם</v>
      </c>
      <c r="H991" t="str">
        <f>_xlfn.CONCAT("https://tablet.otzar.org/",CHAR(35),"/book/651993/p/-1/t/1/fs/0/start/0/end/0/c")</f>
        <v>https://tablet.otzar.org/#/book/651993/p/-1/t/1/fs/0/start/0/end/0/c</v>
      </c>
    </row>
    <row r="992" spans="1:8" x14ac:dyDescent="0.25">
      <c r="A992">
        <v>195730</v>
      </c>
      <c r="B992" t="s">
        <v>1705</v>
      </c>
      <c r="C992" t="s">
        <v>1706</v>
      </c>
      <c r="D992" t="s">
        <v>37</v>
      </c>
      <c r="E992" t="s">
        <v>19</v>
      </c>
      <c r="F992" t="s">
        <v>12</v>
      </c>
      <c r="G992" t="str">
        <f>HYPERLINK(_xlfn.CONCAT("https://tablet.otzar.org/",CHAR(35),"/book/195730/p/-1/t/1/fs/0/start/0/end/0/c"),"להבין ולהשכיל")</f>
        <v>להבין ולהשכיל</v>
      </c>
      <c r="H992" t="str">
        <f>_xlfn.CONCAT("https://tablet.otzar.org/",CHAR(35),"/book/195730/p/-1/t/1/fs/0/start/0/end/0/c")</f>
        <v>https://tablet.otzar.org/#/book/195730/p/-1/t/1/fs/0/start/0/end/0/c</v>
      </c>
    </row>
    <row r="993" spans="1:8" x14ac:dyDescent="0.25">
      <c r="A993">
        <v>622497</v>
      </c>
      <c r="B993" t="s">
        <v>1707</v>
      </c>
      <c r="C993" t="s">
        <v>1205</v>
      </c>
      <c r="D993" t="s">
        <v>15</v>
      </c>
      <c r="E993" t="s">
        <v>11</v>
      </c>
      <c r="F993" t="s">
        <v>319</v>
      </c>
      <c r="G993" t="str">
        <f>HYPERLINK(_xlfn.CONCAT("https://tablet.otzar.org/",CHAR(35),"/book/622497/p/-1/t/1/fs/0/start/0/end/0/c"),"להבין חסידות")</f>
        <v>להבין חסידות</v>
      </c>
      <c r="H993" t="str">
        <f>_xlfn.CONCAT("https://tablet.otzar.org/",CHAR(35),"/book/622497/p/-1/t/1/fs/0/start/0/end/0/c")</f>
        <v>https://tablet.otzar.org/#/book/622497/p/-1/t/1/fs/0/start/0/end/0/c</v>
      </c>
    </row>
    <row r="994" spans="1:8" x14ac:dyDescent="0.25">
      <c r="A994">
        <v>181111</v>
      </c>
      <c r="B994" t="s">
        <v>1708</v>
      </c>
      <c r="C994" t="s">
        <v>1709</v>
      </c>
      <c r="D994" t="s">
        <v>10</v>
      </c>
      <c r="E994" t="s">
        <v>88</v>
      </c>
      <c r="F994" t="s">
        <v>1710</v>
      </c>
      <c r="G994" t="str">
        <f>HYPERLINK(_xlfn.CONCAT("https://tablet.otzar.org/",CHAR(35),"/book/181111/p/-1/t/1/fs/0/start/0/end/0/c"),"להודות ולהלל - בדיני חנוכה ופורים")</f>
        <v>להודות ולהלל - בדיני חנוכה ופורים</v>
      </c>
      <c r="H994" t="str">
        <f>_xlfn.CONCAT("https://tablet.otzar.org/",CHAR(35),"/book/181111/p/-1/t/1/fs/0/start/0/end/0/c")</f>
        <v>https://tablet.otzar.org/#/book/181111/p/-1/t/1/fs/0/start/0/end/0/c</v>
      </c>
    </row>
    <row r="995" spans="1:8" x14ac:dyDescent="0.25">
      <c r="A995">
        <v>164337</v>
      </c>
      <c r="B995" t="s">
        <v>1711</v>
      </c>
      <c r="C995" t="s">
        <v>1265</v>
      </c>
      <c r="D995" t="s">
        <v>10</v>
      </c>
      <c r="E995" t="s">
        <v>16</v>
      </c>
      <c r="F995" t="s">
        <v>12</v>
      </c>
      <c r="G995" t="str">
        <f>HYPERLINK(_xlfn.CONCAT("https://tablet.otzar.org/",CHAR(35),"/book/164337/p/-1/t/1/fs/0/start/0/end/0/c"),"להיות בשמחה תמיד")</f>
        <v>להיות בשמחה תמיד</v>
      </c>
      <c r="H995" t="str">
        <f>_xlfn.CONCAT("https://tablet.otzar.org/",CHAR(35),"/book/164337/p/-1/t/1/fs/0/start/0/end/0/c")</f>
        <v>https://tablet.otzar.org/#/book/164337/p/-1/t/1/fs/0/start/0/end/0/c</v>
      </c>
    </row>
    <row r="996" spans="1:8" x14ac:dyDescent="0.25">
      <c r="A996">
        <v>142711</v>
      </c>
      <c r="B996" t="s">
        <v>1712</v>
      </c>
      <c r="C996" t="s">
        <v>125</v>
      </c>
      <c r="D996" t="s">
        <v>197</v>
      </c>
      <c r="E996" t="s">
        <v>60</v>
      </c>
      <c r="F996" t="s">
        <v>12</v>
      </c>
      <c r="G996" t="str">
        <f>HYPERLINK(_xlfn.CONCAT("https://tablet.otzar.org/",CHAR(35),"/book/142711/p/-1/t/1/fs/0/start/0/end/0/c"),"להעלות נר תמיד - א")</f>
        <v>להעלות נר תמיד - א</v>
      </c>
      <c r="H996" t="str">
        <f>_xlfn.CONCAT("https://tablet.otzar.org/",CHAR(35),"/book/142711/p/-1/t/1/fs/0/start/0/end/0/c")</f>
        <v>https://tablet.otzar.org/#/book/142711/p/-1/t/1/fs/0/start/0/end/0/c</v>
      </c>
    </row>
    <row r="997" spans="1:8" x14ac:dyDescent="0.25">
      <c r="A997">
        <v>614957</v>
      </c>
      <c r="B997" t="s">
        <v>1713</v>
      </c>
      <c r="C997" t="s">
        <v>9</v>
      </c>
      <c r="D997" t="s">
        <v>10</v>
      </c>
      <c r="E997" t="s">
        <v>62</v>
      </c>
      <c r="F997" t="s">
        <v>12</v>
      </c>
      <c r="G997" t="str">
        <f>HYPERLINK(_xlfn.CONCAT("https://tablet.otzar.org/",CHAR(35),"/book/614957/p/-1/t/1/fs/0/start/0/end/0/c"),"להשבית אויב ומתנקם")</f>
        <v>להשבית אויב ומתנקם</v>
      </c>
      <c r="H997" t="str">
        <f>_xlfn.CONCAT("https://tablet.otzar.org/",CHAR(35),"/book/614957/p/-1/t/1/fs/0/start/0/end/0/c")</f>
        <v>https://tablet.otzar.org/#/book/614957/p/-1/t/1/fs/0/start/0/end/0/c</v>
      </c>
    </row>
    <row r="998" spans="1:8" x14ac:dyDescent="0.25">
      <c r="A998">
        <v>160017</v>
      </c>
      <c r="B998" t="s">
        <v>1714</v>
      </c>
      <c r="C998" t="s">
        <v>81</v>
      </c>
      <c r="D998" t="s">
        <v>15</v>
      </c>
      <c r="E998" t="s">
        <v>142</v>
      </c>
      <c r="F998" t="s">
        <v>1715</v>
      </c>
      <c r="G998" t="str">
        <f>HYPERLINK(_xlfn.CONCAT("https://tablet.otzar.org/",CHAR(35),"/book/160017/p/-1/t/1/fs/0/start/0/end/0/c"),"להשכילך בינה")</f>
        <v>להשכילך בינה</v>
      </c>
      <c r="H998" t="str">
        <f>_xlfn.CONCAT("https://tablet.otzar.org/",CHAR(35),"/book/160017/p/-1/t/1/fs/0/start/0/end/0/c")</f>
        <v>https://tablet.otzar.org/#/book/160017/p/-1/t/1/fs/0/start/0/end/0/c</v>
      </c>
    </row>
    <row r="999" spans="1:8" x14ac:dyDescent="0.25">
      <c r="A999">
        <v>27875</v>
      </c>
      <c r="B999" t="s">
        <v>1716</v>
      </c>
      <c r="C999" t="s">
        <v>1717</v>
      </c>
      <c r="D999" t="s">
        <v>15</v>
      </c>
      <c r="E999" t="s">
        <v>91</v>
      </c>
      <c r="F999" t="s">
        <v>12</v>
      </c>
      <c r="G999" t="str">
        <f>HYPERLINK(_xlfn.CONCAT("https://tablet.otzar.org/",CHAR(35),"/book/27875/p/-1/t/1/fs/0/start/0/end/0/c"),"להתכונן")</f>
        <v>להתכונן</v>
      </c>
      <c r="H999" t="str">
        <f>_xlfn.CONCAT("https://tablet.otzar.org/",CHAR(35),"/book/27875/p/-1/t/1/fs/0/start/0/end/0/c")</f>
        <v>https://tablet.otzar.org/#/book/27875/p/-1/t/1/fs/0/start/0/end/0/c</v>
      </c>
    </row>
    <row r="1000" spans="1:8" x14ac:dyDescent="0.25">
      <c r="A1000">
        <v>28820</v>
      </c>
      <c r="B1000" t="s">
        <v>1718</v>
      </c>
      <c r="C1000" t="s">
        <v>1719</v>
      </c>
      <c r="D1000" t="s">
        <v>882</v>
      </c>
      <c r="E1000" t="s">
        <v>192</v>
      </c>
      <c r="F1000" t="s">
        <v>12</v>
      </c>
      <c r="G1000" t="str">
        <f>HYPERLINK(_xlfn.CONCAT("https://tablet.otzar.org/",CHAR(35),"/book/28820/p/-1/t/1/fs/0/start/0/end/0/c"),"לוח השמטות ותיקונים על סידור רבינו הזקן")</f>
        <v>לוח השמטות ותיקונים על סידור רבינו הזקן</v>
      </c>
      <c r="H1000" t="str">
        <f>_xlfn.CONCAT("https://tablet.otzar.org/",CHAR(35),"/book/28820/p/-1/t/1/fs/0/start/0/end/0/c")</f>
        <v>https://tablet.otzar.org/#/book/28820/p/-1/t/1/fs/0/start/0/end/0/c</v>
      </c>
    </row>
    <row r="1001" spans="1:8" x14ac:dyDescent="0.25">
      <c r="A1001">
        <v>171721</v>
      </c>
      <c r="B1001" t="s">
        <v>1720</v>
      </c>
      <c r="C1001" t="s">
        <v>1721</v>
      </c>
      <c r="D1001" t="s">
        <v>28</v>
      </c>
      <c r="E1001" t="s">
        <v>91</v>
      </c>
      <c r="F1001" t="s">
        <v>76</v>
      </c>
      <c r="G1001" t="str">
        <f>HYPERLINK(_xlfn.CONCAT("https://tablet.otzar.org/",CHAR(35),"/book/171721/p/-1/t/1/fs/0/start/0/end/0/c"),"לוח התיקון לשו""""ע אדמו""""ר הזקן תשס""""א - תשס""""ז")</f>
        <v>לוח התיקון לשו""ע אדמו""ר הזקן תשס""א - תשס""ז</v>
      </c>
      <c r="H1001" t="str">
        <f>_xlfn.CONCAT("https://tablet.otzar.org/",CHAR(35),"/book/171721/p/-1/t/1/fs/0/start/0/end/0/c")</f>
        <v>https://tablet.otzar.org/#/book/171721/p/-1/t/1/fs/0/start/0/end/0/c</v>
      </c>
    </row>
    <row r="1002" spans="1:8" x14ac:dyDescent="0.25">
      <c r="A1002">
        <v>140874</v>
      </c>
      <c r="B1002" t="s">
        <v>1722</v>
      </c>
      <c r="C1002" t="s">
        <v>1723</v>
      </c>
      <c r="D1002" t="s">
        <v>15</v>
      </c>
      <c r="E1002" t="s">
        <v>38</v>
      </c>
      <c r="F1002" t="s">
        <v>12</v>
      </c>
      <c r="G1002" t="str">
        <f>HYPERLINK(_xlfn.CONCAT("https://tablet.otzar.org/",CHAR(35),"/book/140874/p/-1/t/1/fs/0/start/0/end/0/c"),"לוח חב""""ד - תשנ""""ג")</f>
        <v>לוח חב""ד - תשנ""ג</v>
      </c>
      <c r="H1002" t="str">
        <f>_xlfn.CONCAT("https://tablet.otzar.org/",CHAR(35),"/book/140874/p/-1/t/1/fs/0/start/0/end/0/c")</f>
        <v>https://tablet.otzar.org/#/book/140874/p/-1/t/1/fs/0/start/0/end/0/c</v>
      </c>
    </row>
    <row r="1003" spans="1:8" x14ac:dyDescent="0.25">
      <c r="A1003">
        <v>607676</v>
      </c>
      <c r="B1003" t="s">
        <v>1724</v>
      </c>
      <c r="C1003" t="s">
        <v>1725</v>
      </c>
      <c r="D1003" t="s">
        <v>10</v>
      </c>
      <c r="E1003" t="s">
        <v>19</v>
      </c>
      <c r="F1003" t="s">
        <v>641</v>
      </c>
      <c r="G1003" t="str">
        <f>HYPERLINK(_xlfn.CONCAT("https://tablet.otzar.org/",CHAR(35),"/book/607676/p/-1/t/1/fs/0/start/0/end/0/c"),"לוח יום יומי הלכה למעשה - חג השבועות")</f>
        <v>לוח יום יומי הלכה למעשה - חג השבועות</v>
      </c>
      <c r="H1003" t="str">
        <f>_xlfn.CONCAT("https://tablet.otzar.org/",CHAR(35),"/book/607676/p/-1/t/1/fs/0/start/0/end/0/c")</f>
        <v>https://tablet.otzar.org/#/book/607676/p/-1/t/1/fs/0/start/0/end/0/c</v>
      </c>
    </row>
    <row r="1004" spans="1:8" x14ac:dyDescent="0.25">
      <c r="A1004">
        <v>150935</v>
      </c>
      <c r="B1004" t="s">
        <v>1726</v>
      </c>
      <c r="C1004" t="s">
        <v>1727</v>
      </c>
      <c r="D1004" t="s">
        <v>37</v>
      </c>
      <c r="E1004" t="s">
        <v>49</v>
      </c>
      <c r="F1004" t="s">
        <v>161</v>
      </c>
      <c r="G1004" t="str">
        <f>HYPERLINK(_xlfn.CONCAT("https://tablet.otzar.org/",CHAR(35),"/book/150935/p/-1/t/1/fs/0/start/0/end/0/c"),"לוח כולל חב""""ד לשנת תש""""ע")</f>
        <v>לוח כולל חב""ד לשנת תש""ע</v>
      </c>
      <c r="H1004" t="str">
        <f>_xlfn.CONCAT("https://tablet.otzar.org/",CHAR(35),"/book/150935/p/-1/t/1/fs/0/start/0/end/0/c")</f>
        <v>https://tablet.otzar.org/#/book/150935/p/-1/t/1/fs/0/start/0/end/0/c</v>
      </c>
    </row>
    <row r="1005" spans="1:8" x14ac:dyDescent="0.25">
      <c r="A1005">
        <v>140872</v>
      </c>
      <c r="B1005" t="s">
        <v>1728</v>
      </c>
      <c r="C1005" t="s">
        <v>1727</v>
      </c>
      <c r="D1005" t="s">
        <v>37</v>
      </c>
      <c r="E1005" t="s">
        <v>60</v>
      </c>
      <c r="F1005" t="s">
        <v>12</v>
      </c>
      <c r="G1005" t="str">
        <f>HYPERLINK(_xlfn.CONCAT("https://tablet.otzar.org/",CHAR(35),"/book/140872/p/-1/t/1/fs/0/start/0/end/0/c"),"לוח כולל חב""""ד לשנת תשס""""ז")</f>
        <v>לוח כולל חב""ד לשנת תשס""ז</v>
      </c>
      <c r="H1005" t="str">
        <f>_xlfn.CONCAT("https://tablet.otzar.org/",CHAR(35),"/book/140872/p/-1/t/1/fs/0/start/0/end/0/c")</f>
        <v>https://tablet.otzar.org/#/book/140872/p/-1/t/1/fs/0/start/0/end/0/c</v>
      </c>
    </row>
    <row r="1006" spans="1:8" x14ac:dyDescent="0.25">
      <c r="A1006">
        <v>157283</v>
      </c>
      <c r="B1006" t="s">
        <v>1729</v>
      </c>
      <c r="C1006" t="s">
        <v>1727</v>
      </c>
      <c r="D1006" t="s">
        <v>37</v>
      </c>
      <c r="E1006" t="s">
        <v>16</v>
      </c>
      <c r="F1006" t="s">
        <v>12</v>
      </c>
      <c r="G1006" t="str">
        <f>HYPERLINK(_xlfn.CONCAT("https://tablet.otzar.org/",CHAR(35),"/book/157283/p/-1/t/1/fs/0/start/0/end/0/c"),"לוח כולל חב""""ד לשנת תשע""""א")</f>
        <v>לוח כולל חב""ד לשנת תשע""א</v>
      </c>
      <c r="H1006" t="str">
        <f>_xlfn.CONCAT("https://tablet.otzar.org/",CHAR(35),"/book/157283/p/-1/t/1/fs/0/start/0/end/0/c")</f>
        <v>https://tablet.otzar.org/#/book/157283/p/-1/t/1/fs/0/start/0/end/0/c</v>
      </c>
    </row>
    <row r="1007" spans="1:8" x14ac:dyDescent="0.25">
      <c r="A1007">
        <v>614931</v>
      </c>
      <c r="B1007" t="s">
        <v>1730</v>
      </c>
      <c r="C1007" t="s">
        <v>1727</v>
      </c>
      <c r="D1007" t="s">
        <v>37</v>
      </c>
      <c r="E1007" t="s">
        <v>62</v>
      </c>
      <c r="F1007" t="s">
        <v>76</v>
      </c>
      <c r="G1007" t="str">
        <f>HYPERLINK(_xlfn.CONCAT("https://tablet.otzar.org/",CHAR(35),"/book/614931/p/-1/t/1/fs/0/start/0/end/0/c"),"לוח כולל חב""""ד לשנת תשע""""ג")</f>
        <v>לוח כולל חב""ד לשנת תשע""ג</v>
      </c>
      <c r="H1007" t="str">
        <f>_xlfn.CONCAT("https://tablet.otzar.org/",CHAR(35),"/book/614931/p/-1/t/1/fs/0/start/0/end/0/c")</f>
        <v>https://tablet.otzar.org/#/book/614931/p/-1/t/1/fs/0/start/0/end/0/c</v>
      </c>
    </row>
    <row r="1008" spans="1:8" x14ac:dyDescent="0.25">
      <c r="A1008">
        <v>651754</v>
      </c>
      <c r="B1008" t="s">
        <v>1731</v>
      </c>
      <c r="C1008" t="s">
        <v>1732</v>
      </c>
      <c r="D1008" t="s">
        <v>438</v>
      </c>
      <c r="E1008" t="s">
        <v>166</v>
      </c>
      <c r="G1008" t="str">
        <f>HYPERLINK(_xlfn.CONCAT("https://tablet.otzar.org/",CHAR(35),"/book/651754/p/-1/t/1/fs/0/start/0/end/0/c"),"לוח ניסן תשפ""""ב")</f>
        <v>לוח ניסן תשפ""ב</v>
      </c>
      <c r="H1008" t="str">
        <f>_xlfn.CONCAT("https://tablet.otzar.org/",CHAR(35),"/book/651754/p/-1/t/1/fs/0/start/0/end/0/c")</f>
        <v>https://tablet.otzar.org/#/book/651754/p/-1/t/1/fs/0/start/0/end/0/c</v>
      </c>
    </row>
    <row r="1009" spans="1:8" x14ac:dyDescent="0.25">
      <c r="A1009">
        <v>142715</v>
      </c>
      <c r="B1009" t="s">
        <v>1733</v>
      </c>
      <c r="C1009" t="s">
        <v>1734</v>
      </c>
      <c r="D1009" t="s">
        <v>215</v>
      </c>
      <c r="E1009" t="s">
        <v>60</v>
      </c>
      <c r="F1009" t="s">
        <v>76</v>
      </c>
      <c r="G1009" t="str">
        <f>HYPERLINK(_xlfn.CONCAT("https://tablet.otzar.org/",CHAR(35),"/book/142715/p/-1/t/1/fs/0/start/0/end/0/c"),"לוח ראשי תיבות חב""""ד")</f>
        <v>לוח ראשי תיבות חב""ד</v>
      </c>
      <c r="H1009" t="str">
        <f>_xlfn.CONCAT("https://tablet.otzar.org/",CHAR(35),"/book/142715/p/-1/t/1/fs/0/start/0/end/0/c")</f>
        <v>https://tablet.otzar.org/#/book/142715/p/-1/t/1/fs/0/start/0/end/0/c</v>
      </c>
    </row>
    <row r="1010" spans="1:8" x14ac:dyDescent="0.25">
      <c r="A1010">
        <v>607967</v>
      </c>
      <c r="B1010" t="s">
        <v>1735</v>
      </c>
      <c r="C1010" t="s">
        <v>1736</v>
      </c>
      <c r="D1010" t="s">
        <v>15</v>
      </c>
      <c r="E1010" t="s">
        <v>19</v>
      </c>
      <c r="F1010" t="s">
        <v>12</v>
      </c>
      <c r="G1010" t="str">
        <f>HYPERLINK(_xlfn.CONCAT("https://tablet.otzar.org/",CHAR(35),"/book/607967/p/-1/t/1/fs/0/start/0/end/0/c"),"לחוש איך זה מחוב""""ד")</f>
        <v>לחוש איך זה מחוב""ד</v>
      </c>
      <c r="H1010" t="str">
        <f>_xlfn.CONCAT("https://tablet.otzar.org/",CHAR(35),"/book/607967/p/-1/t/1/fs/0/start/0/end/0/c")</f>
        <v>https://tablet.otzar.org/#/book/607967/p/-1/t/1/fs/0/start/0/end/0/c</v>
      </c>
    </row>
    <row r="1011" spans="1:8" x14ac:dyDescent="0.25">
      <c r="A1011">
        <v>628552</v>
      </c>
      <c r="B1011" t="s">
        <v>1737</v>
      </c>
      <c r="C1011" t="s">
        <v>102</v>
      </c>
      <c r="D1011" t="s">
        <v>15</v>
      </c>
      <c r="E1011" t="s">
        <v>60</v>
      </c>
      <c r="F1011" t="s">
        <v>319</v>
      </c>
      <c r="G1011" t="str">
        <f>HYPERLINK(_xlfn.CONCAT("https://tablet.otzar.org/",CHAR(35),"/book/628552/p/-1/t/1/fs/0/start/0/end/0/c"),"לחיות במרחב אלוקי")</f>
        <v>לחיות במרחב אלוקי</v>
      </c>
      <c r="H1011" t="str">
        <f>_xlfn.CONCAT("https://tablet.otzar.org/",CHAR(35),"/book/628552/p/-1/t/1/fs/0/start/0/end/0/c")</f>
        <v>https://tablet.otzar.org/#/book/628552/p/-1/t/1/fs/0/start/0/end/0/c</v>
      </c>
    </row>
    <row r="1012" spans="1:8" x14ac:dyDescent="0.25">
      <c r="A1012">
        <v>27116</v>
      </c>
      <c r="B1012" t="s">
        <v>1738</v>
      </c>
      <c r="C1012" t="s">
        <v>275</v>
      </c>
      <c r="D1012" t="s">
        <v>10</v>
      </c>
      <c r="E1012" t="s">
        <v>103</v>
      </c>
      <c r="F1012" t="s">
        <v>12</v>
      </c>
      <c r="G1012" t="str">
        <f>HYPERLINK(_xlfn.CONCAT("https://tablet.otzar.org/",CHAR(35),"/book/27116/p/-1/t/1/fs/0/start/0/end/0/c"),"לחיות ושוב לחיות")</f>
        <v>לחיות ושוב לחיות</v>
      </c>
      <c r="H1012" t="str">
        <f>_xlfn.CONCAT("https://tablet.otzar.org/",CHAR(35),"/book/27116/p/-1/t/1/fs/0/start/0/end/0/c")</f>
        <v>https://tablet.otzar.org/#/book/27116/p/-1/t/1/fs/0/start/0/end/0/c</v>
      </c>
    </row>
    <row r="1013" spans="1:8" x14ac:dyDescent="0.25">
      <c r="A1013">
        <v>145963</v>
      </c>
      <c r="B1013" t="s">
        <v>1739</v>
      </c>
      <c r="C1013" t="s">
        <v>615</v>
      </c>
      <c r="D1013" t="s">
        <v>10</v>
      </c>
      <c r="E1013" t="s">
        <v>250</v>
      </c>
      <c r="F1013" t="s">
        <v>12</v>
      </c>
      <c r="G1013" t="str">
        <f>HYPERLINK(_xlfn.CONCAT("https://tablet.otzar.org/",CHAR(35),"/book/145963/p/-1/t/1/fs/0/start/0/end/0/c"),"לחיות עם הזמן")</f>
        <v>לחיות עם הזמן</v>
      </c>
      <c r="H1013" t="str">
        <f>_xlfn.CONCAT("https://tablet.otzar.org/",CHAR(35),"/book/145963/p/-1/t/1/fs/0/start/0/end/0/c")</f>
        <v>https://tablet.otzar.org/#/book/145963/p/-1/t/1/fs/0/start/0/end/0/c</v>
      </c>
    </row>
    <row r="1014" spans="1:8" x14ac:dyDescent="0.25">
      <c r="A1014">
        <v>626888</v>
      </c>
      <c r="B1014" t="s">
        <v>1740</v>
      </c>
      <c r="C1014" t="s">
        <v>102</v>
      </c>
      <c r="D1014" t="s">
        <v>15</v>
      </c>
      <c r="E1014" t="s">
        <v>1741</v>
      </c>
      <c r="F1014" t="s">
        <v>12</v>
      </c>
      <c r="G1014" t="str">
        <f>HYPERLINK(_xlfn.CONCAT("https://tablet.otzar.org/",CHAR(35),"/exKotar/626888"),"לחיות עם הזמן - 5 כרכים")</f>
        <v>לחיות עם הזמן - 5 כרכים</v>
      </c>
      <c r="H1014" t="str">
        <f>_xlfn.CONCAT("https://tablet.otzar.org/",CHAR(35),"/exKotar/626888")</f>
        <v>https://tablet.otzar.org/#/exKotar/626888</v>
      </c>
    </row>
    <row r="1015" spans="1:8" x14ac:dyDescent="0.25">
      <c r="A1015">
        <v>614801</v>
      </c>
      <c r="B1015" t="s">
        <v>1742</v>
      </c>
      <c r="C1015" t="s">
        <v>1742</v>
      </c>
      <c r="D1015" t="s">
        <v>28</v>
      </c>
      <c r="E1015" t="s">
        <v>739</v>
      </c>
      <c r="F1015" t="s">
        <v>12</v>
      </c>
      <c r="G1015" t="str">
        <f>HYPERLINK(_xlfn.CONCAT("https://tablet.otzar.org/",CHAR(35),"/book/614801/p/-1/t/1/fs/0/start/0/end/0/c"),"לחיות עם זה")</f>
        <v>לחיות עם זה</v>
      </c>
      <c r="H1015" t="str">
        <f>_xlfn.CONCAT("https://tablet.otzar.org/",CHAR(35),"/book/614801/p/-1/t/1/fs/0/start/0/end/0/c")</f>
        <v>https://tablet.otzar.org/#/book/614801/p/-1/t/1/fs/0/start/0/end/0/c</v>
      </c>
    </row>
    <row r="1016" spans="1:8" x14ac:dyDescent="0.25">
      <c r="A1016">
        <v>173489</v>
      </c>
      <c r="B1016" t="s">
        <v>1743</v>
      </c>
      <c r="C1016" t="s">
        <v>1744</v>
      </c>
      <c r="D1016" t="s">
        <v>15</v>
      </c>
      <c r="E1016" t="s">
        <v>62</v>
      </c>
      <c r="F1016" t="s">
        <v>12</v>
      </c>
      <c r="G1016" t="str">
        <f>HYPERLINK(_xlfn.CONCAT("https://tablet.otzar.org/",CHAR(35),"/book/173489/p/-1/t/1/fs/0/start/0/end/0/c"),"לחיים ולברכה")</f>
        <v>לחיים ולברכה</v>
      </c>
      <c r="H1016" t="str">
        <f>_xlfn.CONCAT("https://tablet.otzar.org/",CHAR(35),"/book/173489/p/-1/t/1/fs/0/start/0/end/0/c")</f>
        <v>https://tablet.otzar.org/#/book/173489/p/-1/t/1/fs/0/start/0/end/0/c</v>
      </c>
    </row>
    <row r="1017" spans="1:8" x14ac:dyDescent="0.25">
      <c r="A1017">
        <v>181118</v>
      </c>
      <c r="B1017" t="s">
        <v>1743</v>
      </c>
      <c r="C1017" t="s">
        <v>1195</v>
      </c>
      <c r="D1017" t="s">
        <v>15</v>
      </c>
      <c r="E1017" t="s">
        <v>88</v>
      </c>
      <c r="F1017" t="s">
        <v>12</v>
      </c>
      <c r="G1017" t="str">
        <f>HYPERLINK(_xlfn.CONCAT("https://tablet.otzar.org/",CHAR(35),"/book/181118/p/-1/t/1/fs/0/start/0/end/0/c"),"לחיים ולברכה")</f>
        <v>לחיים ולברכה</v>
      </c>
      <c r="H1017" t="str">
        <f>_xlfn.CONCAT("https://tablet.otzar.org/",CHAR(35),"/book/181118/p/-1/t/1/fs/0/start/0/end/0/c")</f>
        <v>https://tablet.otzar.org/#/book/181118/p/-1/t/1/fs/0/start/0/end/0/c</v>
      </c>
    </row>
    <row r="1018" spans="1:8" x14ac:dyDescent="0.25">
      <c r="A1018">
        <v>607706</v>
      </c>
      <c r="B1018" t="s">
        <v>1743</v>
      </c>
      <c r="C1018" t="s">
        <v>1745</v>
      </c>
      <c r="D1018" t="s">
        <v>15</v>
      </c>
      <c r="E1018" t="s">
        <v>404</v>
      </c>
      <c r="F1018" t="s">
        <v>12</v>
      </c>
      <c r="G1018" t="str">
        <f>HYPERLINK(_xlfn.CONCAT("https://tablet.otzar.org/",CHAR(35),"/book/607706/p/-1/t/1/fs/0/start/0/end/0/c"),"לחיים ולברכה")</f>
        <v>לחיים ולברכה</v>
      </c>
      <c r="H1018" t="str">
        <f>_xlfn.CONCAT("https://tablet.otzar.org/",CHAR(35),"/book/607706/p/-1/t/1/fs/0/start/0/end/0/c")</f>
        <v>https://tablet.otzar.org/#/book/607706/p/-1/t/1/fs/0/start/0/end/0/c</v>
      </c>
    </row>
    <row r="1019" spans="1:8" x14ac:dyDescent="0.25">
      <c r="A1019">
        <v>27099</v>
      </c>
      <c r="B1019" t="s">
        <v>1746</v>
      </c>
      <c r="C1019" t="s">
        <v>1747</v>
      </c>
      <c r="D1019" t="s">
        <v>15</v>
      </c>
      <c r="E1019" t="s">
        <v>346</v>
      </c>
      <c r="F1019" t="s">
        <v>12</v>
      </c>
      <c r="G1019" t="str">
        <f>HYPERLINK(_xlfn.CONCAT("https://tablet.otzar.org/",CHAR(35),"/book/27099/p/-1/t/1/fs/0/start/0/end/0/c"),"לחשוב כיהודי")</f>
        <v>לחשוב כיהודי</v>
      </c>
      <c r="H1019" t="str">
        <f>_xlfn.CONCAT("https://tablet.otzar.org/",CHAR(35),"/book/27099/p/-1/t/1/fs/0/start/0/end/0/c")</f>
        <v>https://tablet.otzar.org/#/book/27099/p/-1/t/1/fs/0/start/0/end/0/c</v>
      </c>
    </row>
    <row r="1020" spans="1:8" x14ac:dyDescent="0.25">
      <c r="A1020">
        <v>28812</v>
      </c>
      <c r="B1020" t="s">
        <v>1748</v>
      </c>
      <c r="C1020" t="s">
        <v>1749</v>
      </c>
      <c r="D1020" t="s">
        <v>741</v>
      </c>
      <c r="E1020" t="s">
        <v>192</v>
      </c>
      <c r="F1020" t="s">
        <v>12</v>
      </c>
      <c r="G1020" t="str">
        <f>HYPERLINK(_xlfn.CONCAT("https://tablet.otzar.org/",CHAR(35),"/book/28812/p/-1/t/1/fs/0/start/0/end/0/c"),"לטביה בתי כנסת ורבנים")</f>
        <v>לטביה בתי כנסת ורבנים</v>
      </c>
      <c r="H1020" t="str">
        <f>_xlfn.CONCAT("https://tablet.otzar.org/",CHAR(35),"/book/28812/p/-1/t/1/fs/0/start/0/end/0/c")</f>
        <v>https://tablet.otzar.org/#/book/28812/p/-1/t/1/fs/0/start/0/end/0/c</v>
      </c>
    </row>
    <row r="1021" spans="1:8" x14ac:dyDescent="0.25">
      <c r="A1021">
        <v>675004</v>
      </c>
      <c r="B1021" t="s">
        <v>1750</v>
      </c>
      <c r="C1021" t="s">
        <v>710</v>
      </c>
      <c r="D1021" t="s">
        <v>10</v>
      </c>
      <c r="E1021" t="s">
        <v>404</v>
      </c>
      <c r="F1021" t="s">
        <v>12</v>
      </c>
      <c r="G1021" t="str">
        <f>HYPERLINK(_xlfn.CONCAT("https://tablet.otzar.org/",CHAR(35),"/book/675004/p/-1/t/1/fs/0/start/0/end/0/c"),"לידע ולהכיר")</f>
        <v>לידע ולהכיר</v>
      </c>
      <c r="H1021" t="str">
        <f>_xlfn.CONCAT("https://tablet.otzar.org/",CHAR(35),"/book/675004/p/-1/t/1/fs/0/start/0/end/0/c")</f>
        <v>https://tablet.otzar.org/#/book/675004/p/-1/t/1/fs/0/start/0/end/0/c</v>
      </c>
    </row>
    <row r="1022" spans="1:8" x14ac:dyDescent="0.25">
      <c r="A1022">
        <v>27558</v>
      </c>
      <c r="B1022" t="s">
        <v>1751</v>
      </c>
      <c r="C1022" t="s">
        <v>1752</v>
      </c>
      <c r="D1022" t="s">
        <v>811</v>
      </c>
      <c r="E1022" t="s">
        <v>217</v>
      </c>
      <c r="F1022" t="s">
        <v>12</v>
      </c>
      <c r="G1022" t="str">
        <f>HYPERLINK(_xlfn.CONCAT("https://tablet.otzar.org/",CHAR(35),"/book/27558/p/-1/t/1/fs/0/start/0/end/0/c"),"ליובאוויטש - תולדות העיירה")</f>
        <v>ליובאוויטש - תולדות העיירה</v>
      </c>
      <c r="H1022" t="str">
        <f>_xlfn.CONCAT("https://tablet.otzar.org/",CHAR(35),"/book/27558/p/-1/t/1/fs/0/start/0/end/0/c")</f>
        <v>https://tablet.otzar.org/#/book/27558/p/-1/t/1/fs/0/start/0/end/0/c</v>
      </c>
    </row>
    <row r="1023" spans="1:8" x14ac:dyDescent="0.25">
      <c r="A1023">
        <v>649058</v>
      </c>
      <c r="B1023" t="s">
        <v>1753</v>
      </c>
      <c r="C1023" t="s">
        <v>212</v>
      </c>
      <c r="E1023" t="s">
        <v>1754</v>
      </c>
      <c r="G1023" t="str">
        <f>HYPERLINK(_xlfn.CONCAT("https://tablet.otzar.org/",CHAR(35),"/book/649058/p/-1/t/1/fs/0/start/0/end/0/c"),"ליובאוויטש העיירה של חב""""ד")</f>
        <v>ליובאוויטש העיירה של חב""ד</v>
      </c>
      <c r="H1023" t="str">
        <f>_xlfn.CONCAT("https://tablet.otzar.org/",CHAR(35),"/book/649058/p/-1/t/1/fs/0/start/0/end/0/c")</f>
        <v>https://tablet.otzar.org/#/book/649058/p/-1/t/1/fs/0/start/0/end/0/c</v>
      </c>
    </row>
    <row r="1024" spans="1:8" x14ac:dyDescent="0.25">
      <c r="A1024">
        <v>28713</v>
      </c>
      <c r="B1024" t="s">
        <v>1755</v>
      </c>
      <c r="C1024" t="s">
        <v>1756</v>
      </c>
      <c r="D1024" t="s">
        <v>15</v>
      </c>
      <c r="E1024" t="s">
        <v>346</v>
      </c>
      <c r="F1024" t="s">
        <v>12</v>
      </c>
      <c r="G1024" t="str">
        <f>HYPERLINK(_xlfn.CONCAT("https://tablet.otzar.org/",CHAR(35),"/book/28713/p/-1/t/1/fs/0/start/0/end/0/c"),"ליובאוויטש וחיילה")</f>
        <v>ליובאוויטש וחיילה</v>
      </c>
      <c r="H1024" t="str">
        <f>_xlfn.CONCAT("https://tablet.otzar.org/",CHAR(35),"/book/28713/p/-1/t/1/fs/0/start/0/end/0/c")</f>
        <v>https://tablet.otzar.org/#/book/28713/p/-1/t/1/fs/0/start/0/end/0/c</v>
      </c>
    </row>
    <row r="1025" spans="1:8" x14ac:dyDescent="0.25">
      <c r="A1025">
        <v>607917</v>
      </c>
      <c r="B1025" t="s">
        <v>1757</v>
      </c>
      <c r="C1025" t="s">
        <v>212</v>
      </c>
      <c r="D1025" t="s">
        <v>28</v>
      </c>
      <c r="E1025" t="s">
        <v>99</v>
      </c>
      <c r="F1025" t="s">
        <v>12</v>
      </c>
      <c r="G1025" t="str">
        <f>HYPERLINK(_xlfn.CONCAT("https://tablet.otzar.org/",CHAR(35),"/book/607917/p/-1/t/1/fs/0/start/0/end/0/c"),"ליובאוויטש ערש חסידות חב""""ד")</f>
        <v>ליובאוויטש ערש חסידות חב""ד</v>
      </c>
      <c r="H1025" t="str">
        <f>_xlfn.CONCAT("https://tablet.otzar.org/",CHAR(35),"/book/607917/p/-1/t/1/fs/0/start/0/end/0/c")</f>
        <v>https://tablet.otzar.org/#/book/607917/p/-1/t/1/fs/0/start/0/end/0/c</v>
      </c>
    </row>
    <row r="1026" spans="1:8" x14ac:dyDescent="0.25">
      <c r="A1026">
        <v>607647</v>
      </c>
      <c r="B1026" t="s">
        <v>1758</v>
      </c>
      <c r="C1026" t="s">
        <v>582</v>
      </c>
      <c r="D1026" t="s">
        <v>10</v>
      </c>
      <c r="E1026" t="s">
        <v>91</v>
      </c>
      <c r="F1026" t="s">
        <v>12</v>
      </c>
      <c r="G1026" t="str">
        <f>HYPERLINK(_xlfn.CONCAT("https://tablet.otzar.org/",CHAR(35),"/exKotar/607647"),"ליובאוויטש שבליובאוויטש - 3 כרכים")</f>
        <v>ליובאוויטש שבליובאוויטש - 3 כרכים</v>
      </c>
      <c r="H1026" t="str">
        <f>_xlfn.CONCAT("https://tablet.otzar.org/",CHAR(35),"/exKotar/607647")</f>
        <v>https://tablet.otzar.org/#/exKotar/607647</v>
      </c>
    </row>
    <row r="1027" spans="1:8" x14ac:dyDescent="0.25">
      <c r="A1027">
        <v>29242</v>
      </c>
      <c r="B1027" t="s">
        <v>1759</v>
      </c>
      <c r="C1027" t="s">
        <v>1759</v>
      </c>
      <c r="D1027" t="s">
        <v>15</v>
      </c>
      <c r="E1027" t="s">
        <v>174</v>
      </c>
      <c r="F1027" t="s">
        <v>12</v>
      </c>
      <c r="G1027" t="str">
        <f>HYPERLINK(_xlfn.CONCAT("https://tablet.otzar.org/",CHAR(35),"/book/29242/p/-1/t/1/fs/0/start/0/end/0/c"),"ליובאוויטשע מצה")</f>
        <v>ליובאוויטשע מצה</v>
      </c>
      <c r="H1027" t="str">
        <f>_xlfn.CONCAT("https://tablet.otzar.org/",CHAR(35),"/book/29242/p/-1/t/1/fs/0/start/0/end/0/c")</f>
        <v>https://tablet.otzar.org/#/book/29242/p/-1/t/1/fs/0/start/0/end/0/c</v>
      </c>
    </row>
    <row r="1028" spans="1:8" x14ac:dyDescent="0.25">
      <c r="A1028">
        <v>148469</v>
      </c>
      <c r="B1028" t="s">
        <v>1760</v>
      </c>
      <c r="C1028" t="s">
        <v>1761</v>
      </c>
      <c r="D1028" t="s">
        <v>10</v>
      </c>
      <c r="E1028" t="s">
        <v>1762</v>
      </c>
      <c r="F1028" t="s">
        <v>12</v>
      </c>
      <c r="G1028" t="str">
        <f>HYPERLINK(_xlfn.CONCAT("https://tablet.otzar.org/",CHAR(35),"/exKotar/148469"),"ליכט שטראלן - 6 כרכים")</f>
        <v>ליכט שטראלן - 6 כרכים</v>
      </c>
      <c r="H1028" t="str">
        <f>_xlfn.CONCAT("https://tablet.otzar.org/",CHAR(35),"/exKotar/148469")</f>
        <v>https://tablet.otzar.org/#/exKotar/148469</v>
      </c>
    </row>
    <row r="1029" spans="1:8" x14ac:dyDescent="0.25">
      <c r="A1029">
        <v>26460</v>
      </c>
      <c r="B1029" t="s">
        <v>1763</v>
      </c>
      <c r="C1029" t="s">
        <v>59</v>
      </c>
      <c r="D1029" t="s">
        <v>10</v>
      </c>
      <c r="E1029" t="s">
        <v>260</v>
      </c>
      <c r="F1029" t="s">
        <v>12</v>
      </c>
      <c r="G1029" t="str">
        <f>HYPERLINK(_xlfn.CONCAT("https://tablet.otzar.org/",CHAR(35),"/book/26460/p/-1/t/1/fs/0/start/0/end/0/c"),"לימוד החסידות")</f>
        <v>לימוד החסידות</v>
      </c>
      <c r="H1029" t="str">
        <f>_xlfn.CONCAT("https://tablet.otzar.org/",CHAR(35),"/book/26460/p/-1/t/1/fs/0/start/0/end/0/c")</f>
        <v>https://tablet.otzar.org/#/book/26460/p/-1/t/1/fs/0/start/0/end/0/c</v>
      </c>
    </row>
    <row r="1030" spans="1:8" x14ac:dyDescent="0.25">
      <c r="A1030">
        <v>653702</v>
      </c>
      <c r="B1030" t="s">
        <v>1764</v>
      </c>
      <c r="C1030" t="s">
        <v>1567</v>
      </c>
      <c r="D1030" t="s">
        <v>412</v>
      </c>
      <c r="E1030" t="s">
        <v>91</v>
      </c>
      <c r="F1030" t="s">
        <v>229</v>
      </c>
      <c r="G1030" t="str">
        <f>HYPERLINK(_xlfn.CONCAT("https://tablet.otzar.org/",CHAR(35),"/book/653702/p/-1/t/1/fs/0/start/0/end/0/c"),"לימוד הרמב""""ם - לדעת להבין להעמיק")</f>
        <v>לימוד הרמב""ם - לדעת להבין להעמיק</v>
      </c>
      <c r="H1030" t="str">
        <f>_xlfn.CONCAT("https://tablet.otzar.org/",CHAR(35),"/book/653702/p/-1/t/1/fs/0/start/0/end/0/c")</f>
        <v>https://tablet.otzar.org/#/book/653702/p/-1/t/1/fs/0/start/0/end/0/c</v>
      </c>
    </row>
    <row r="1031" spans="1:8" x14ac:dyDescent="0.25">
      <c r="A1031">
        <v>635150</v>
      </c>
      <c r="B1031" t="s">
        <v>1765</v>
      </c>
      <c r="C1031" t="s">
        <v>48</v>
      </c>
      <c r="D1031" t="s">
        <v>28</v>
      </c>
      <c r="E1031" t="s">
        <v>185</v>
      </c>
      <c r="G1031" t="str">
        <f>HYPERLINK(_xlfn.CONCAT("https://tablet.otzar.org/",CHAR(35),"/book/635150/p/-1/t/1/fs/0/start/0/end/0/c"),"לימוד לקוטי שיחות לעיונא")</f>
        <v>לימוד לקוטי שיחות לעיונא</v>
      </c>
      <c r="H1031" t="str">
        <f>_xlfn.CONCAT("https://tablet.otzar.org/",CHAR(35),"/book/635150/p/-1/t/1/fs/0/start/0/end/0/c")</f>
        <v>https://tablet.otzar.org/#/book/635150/p/-1/t/1/fs/0/start/0/end/0/c</v>
      </c>
    </row>
    <row r="1032" spans="1:8" x14ac:dyDescent="0.25">
      <c r="A1032">
        <v>608003</v>
      </c>
      <c r="B1032" t="s">
        <v>1766</v>
      </c>
      <c r="C1032" t="s">
        <v>45</v>
      </c>
      <c r="D1032" t="s">
        <v>1767</v>
      </c>
      <c r="E1032" t="s">
        <v>99</v>
      </c>
      <c r="F1032" t="s">
        <v>12</v>
      </c>
      <c r="G1032" t="str">
        <f>HYPERLINK(_xlfn.CONCAT("https://tablet.otzar.org/",CHAR(35),"/book/608003/p/-1/t/1/fs/0/start/0/end/0/c"),"ליקוט בנושא הכנסת הילד לחדר")</f>
        <v>ליקוט בנושא הכנסת הילד לחדר</v>
      </c>
      <c r="H1032" t="str">
        <f>_xlfn.CONCAT("https://tablet.otzar.org/",CHAR(35),"/book/608003/p/-1/t/1/fs/0/start/0/end/0/c")</f>
        <v>https://tablet.otzar.org/#/book/608003/p/-1/t/1/fs/0/start/0/end/0/c</v>
      </c>
    </row>
    <row r="1033" spans="1:8" x14ac:dyDescent="0.25">
      <c r="A1033">
        <v>607838</v>
      </c>
      <c r="B1033" t="s">
        <v>1768</v>
      </c>
      <c r="C1033" t="s">
        <v>904</v>
      </c>
      <c r="D1033" t="s">
        <v>15</v>
      </c>
      <c r="E1033" t="s">
        <v>226</v>
      </c>
      <c r="F1033" t="s">
        <v>12</v>
      </c>
      <c r="G1033" t="str">
        <f>HYPERLINK(_xlfn.CONCAT("https://tablet.otzar.org/",CHAR(35),"/book/607838/p/-1/t/1/fs/0/start/0/end/0/c"),"ליקוט בענין הכתיבה לרבי")</f>
        <v>ליקוט בענין הכתיבה לרבי</v>
      </c>
      <c r="H1033" t="str">
        <f>_xlfn.CONCAT("https://tablet.otzar.org/",CHAR(35),"/book/607838/p/-1/t/1/fs/0/start/0/end/0/c")</f>
        <v>https://tablet.otzar.org/#/book/607838/p/-1/t/1/fs/0/start/0/end/0/c</v>
      </c>
    </row>
    <row r="1034" spans="1:8" x14ac:dyDescent="0.25">
      <c r="A1034">
        <v>181516</v>
      </c>
      <c r="B1034" t="s">
        <v>1769</v>
      </c>
      <c r="C1034" t="s">
        <v>1770</v>
      </c>
      <c r="D1034" t="s">
        <v>10</v>
      </c>
      <c r="E1034" t="s">
        <v>49</v>
      </c>
      <c r="F1034" t="s">
        <v>12</v>
      </c>
      <c r="G1034" t="str">
        <f>HYPERLINK(_xlfn.CONCAT("https://tablet.otzar.org/",CHAR(35),"/book/181516/p/-1/t/1/fs/0/start/0/end/0/c"),"ליקוט דיני ומנהגי ראש חודש")</f>
        <v>ליקוט דיני ומנהגי ראש חודש</v>
      </c>
      <c r="H1034" t="str">
        <f>_xlfn.CONCAT("https://tablet.otzar.org/",CHAR(35),"/book/181516/p/-1/t/1/fs/0/start/0/end/0/c")</f>
        <v>https://tablet.otzar.org/#/book/181516/p/-1/t/1/fs/0/start/0/end/0/c</v>
      </c>
    </row>
    <row r="1035" spans="1:8" x14ac:dyDescent="0.25">
      <c r="A1035">
        <v>146265</v>
      </c>
      <c r="B1035" t="s">
        <v>1771</v>
      </c>
      <c r="C1035" t="s">
        <v>45</v>
      </c>
      <c r="D1035" t="s">
        <v>10</v>
      </c>
      <c r="E1035" t="s">
        <v>91</v>
      </c>
      <c r="F1035" t="s">
        <v>201</v>
      </c>
      <c r="G1035" t="str">
        <f>HYPERLINK(_xlfn.CONCAT("https://tablet.otzar.org/",CHAR(35),"/book/146265/p/-1/t/1/fs/0/start/0/end/0/c"),"ליקוט טעמים ומקורות לסליחות")</f>
        <v>ליקוט טעמים ומקורות לסליחות</v>
      </c>
      <c r="H1035" t="str">
        <f>_xlfn.CONCAT("https://tablet.otzar.org/",CHAR(35),"/book/146265/p/-1/t/1/fs/0/start/0/end/0/c")</f>
        <v>https://tablet.otzar.org/#/book/146265/p/-1/t/1/fs/0/start/0/end/0/c</v>
      </c>
    </row>
    <row r="1036" spans="1:8" x14ac:dyDescent="0.25">
      <c r="A1036">
        <v>146415</v>
      </c>
      <c r="B1036" t="s">
        <v>1772</v>
      </c>
      <c r="C1036" t="s">
        <v>45</v>
      </c>
      <c r="D1036" t="s">
        <v>10</v>
      </c>
      <c r="E1036" t="s">
        <v>145</v>
      </c>
      <c r="F1036" t="s">
        <v>12</v>
      </c>
      <c r="G1036" t="str">
        <f>HYPERLINK(_xlfn.CONCAT("https://tablet.otzar.org/",CHAR(35),"/book/146415/p/-1/t/1/fs/0/start/0/end/0/c"),"ליקוט כאן צוה ה' את הברכה")</f>
        <v>ליקוט כאן צוה ה' את הברכה</v>
      </c>
      <c r="H1036" t="str">
        <f>_xlfn.CONCAT("https://tablet.otzar.org/",CHAR(35),"/book/146415/p/-1/t/1/fs/0/start/0/end/0/c")</f>
        <v>https://tablet.otzar.org/#/book/146415/p/-1/t/1/fs/0/start/0/end/0/c</v>
      </c>
    </row>
    <row r="1037" spans="1:8" x14ac:dyDescent="0.25">
      <c r="A1037">
        <v>621992</v>
      </c>
      <c r="B1037" t="s">
        <v>1773</v>
      </c>
      <c r="C1037" t="s">
        <v>45</v>
      </c>
      <c r="D1037" t="s">
        <v>10</v>
      </c>
      <c r="E1037" t="s">
        <v>115</v>
      </c>
      <c r="F1037" t="s">
        <v>12</v>
      </c>
      <c r="G1037" t="str">
        <f>HYPERLINK(_xlfn.CONCAT("https://tablet.otzar.org/",CHAR(35),"/exKotar/621992"),"ליקוט כתבי יד קודש - 5 כרכים")</f>
        <v>ליקוט כתבי יד קודש - 5 כרכים</v>
      </c>
      <c r="H1037" t="str">
        <f>_xlfn.CONCAT("https://tablet.otzar.org/",CHAR(35),"/exKotar/621992")</f>
        <v>https://tablet.otzar.org/#/exKotar/621992</v>
      </c>
    </row>
    <row r="1038" spans="1:8" x14ac:dyDescent="0.25">
      <c r="A1038">
        <v>141259</v>
      </c>
      <c r="B1038" t="s">
        <v>1774</v>
      </c>
      <c r="C1038" t="s">
        <v>61</v>
      </c>
      <c r="D1038" t="s">
        <v>15</v>
      </c>
      <c r="E1038" t="s">
        <v>236</v>
      </c>
      <c r="F1038" t="s">
        <v>12</v>
      </c>
      <c r="G1038" t="str">
        <f>HYPERLINK(_xlfn.CONCAT("https://tablet.otzar.org/",CHAR(35),"/book/141259/p/-1/t/1/fs/0/start/0/end/0/c"),"ליקוט מחידושי הצמח צדק על הש""""ס - קידושין")</f>
        <v>ליקוט מחידושי הצמח צדק על הש""ס - קידושין</v>
      </c>
      <c r="H1038" t="str">
        <f>_xlfn.CONCAT("https://tablet.otzar.org/",CHAR(35),"/book/141259/p/-1/t/1/fs/0/start/0/end/0/c")</f>
        <v>https://tablet.otzar.org/#/book/141259/p/-1/t/1/fs/0/start/0/end/0/c</v>
      </c>
    </row>
    <row r="1039" spans="1:8" x14ac:dyDescent="0.25">
      <c r="A1039">
        <v>629551</v>
      </c>
      <c r="B1039" t="s">
        <v>1775</v>
      </c>
      <c r="C1039" t="s">
        <v>1776</v>
      </c>
      <c r="D1039" t="s">
        <v>1777</v>
      </c>
      <c r="E1039" t="s">
        <v>11</v>
      </c>
      <c r="F1039" t="s">
        <v>12</v>
      </c>
      <c r="G1039" t="str">
        <f>HYPERLINK(_xlfn.CONCAT("https://tablet.otzar.org/",CHAR(35),"/book/629551/p/-1/t/1/fs/0/start/0/end/0/c"),"ליקוט מנהגי הרביים - ליל הסדר")</f>
        <v>ליקוט מנהגי הרביים - ליל הסדר</v>
      </c>
      <c r="H1039" t="str">
        <f>_xlfn.CONCAT("https://tablet.otzar.org/",CHAR(35),"/book/629551/p/-1/t/1/fs/0/start/0/end/0/c")</f>
        <v>https://tablet.otzar.org/#/book/629551/p/-1/t/1/fs/0/start/0/end/0/c</v>
      </c>
    </row>
    <row r="1040" spans="1:8" x14ac:dyDescent="0.25">
      <c r="A1040">
        <v>647860</v>
      </c>
      <c r="B1040" t="s">
        <v>1778</v>
      </c>
      <c r="C1040" t="s">
        <v>45</v>
      </c>
      <c r="D1040" t="s">
        <v>23</v>
      </c>
      <c r="E1040" t="s">
        <v>166</v>
      </c>
      <c r="G1040" t="str">
        <f>HYPERLINK(_xlfn.CONCAT("https://tablet.otzar.org/",CHAR(35),"/exKotar/647860"),"ליקוט מענות קודש - 18 כרכים")</f>
        <v>ליקוט מענות קודש - 18 כרכים</v>
      </c>
      <c r="H1040" t="str">
        <f>_xlfn.CONCAT("https://tablet.otzar.org/",CHAR(35),"/exKotar/647860")</f>
        <v>https://tablet.otzar.org/#/exKotar/647860</v>
      </c>
    </row>
    <row r="1041" spans="1:8" x14ac:dyDescent="0.25">
      <c r="A1041">
        <v>146543</v>
      </c>
      <c r="B1041" t="s">
        <v>1779</v>
      </c>
      <c r="C1041" t="s">
        <v>244</v>
      </c>
      <c r="D1041" t="s">
        <v>15</v>
      </c>
      <c r="E1041" t="s">
        <v>69</v>
      </c>
      <c r="F1041" t="s">
        <v>100</v>
      </c>
      <c r="G1041" t="str">
        <f>HYPERLINK(_xlfn.CONCAT("https://tablet.otzar.org/",CHAR(35),"/book/146543/p/-1/t/1/fs/0/start/0/end/0/c"),"ליקוט מפירש""""י עה""""ת")</f>
        <v>ליקוט מפירש""י עה""ת</v>
      </c>
      <c r="H1041" t="str">
        <f>_xlfn.CONCAT("https://tablet.otzar.org/",CHAR(35),"/book/146543/p/-1/t/1/fs/0/start/0/end/0/c")</f>
        <v>https://tablet.otzar.org/#/book/146543/p/-1/t/1/fs/0/start/0/end/0/c</v>
      </c>
    </row>
    <row r="1042" spans="1:8" x14ac:dyDescent="0.25">
      <c r="A1042">
        <v>146559</v>
      </c>
      <c r="B1042" t="s">
        <v>1780</v>
      </c>
      <c r="C1042" t="s">
        <v>1077</v>
      </c>
      <c r="D1042" t="s">
        <v>10</v>
      </c>
      <c r="E1042" t="s">
        <v>46</v>
      </c>
      <c r="F1042" t="s">
        <v>12</v>
      </c>
      <c r="G1042" t="str">
        <f>HYPERLINK(_xlfn.CONCAT("https://tablet.otzar.org/",CHAR(35),"/book/146559/p/-1/t/1/fs/0/start/0/end/0/c"),"ליקוט מקורות בענין גאולה ומשיח - ב-ד")</f>
        <v>ליקוט מקורות בענין גאולה ומשיח - ב-ד</v>
      </c>
      <c r="H1042" t="str">
        <f>_xlfn.CONCAT("https://tablet.otzar.org/",CHAR(35),"/book/146559/p/-1/t/1/fs/0/start/0/end/0/c")</f>
        <v>https://tablet.otzar.org/#/book/146559/p/-1/t/1/fs/0/start/0/end/0/c</v>
      </c>
    </row>
    <row r="1043" spans="1:8" x14ac:dyDescent="0.25">
      <c r="A1043">
        <v>146544</v>
      </c>
      <c r="B1043" t="s">
        <v>1781</v>
      </c>
      <c r="C1043" t="s">
        <v>1782</v>
      </c>
      <c r="D1043" t="s">
        <v>37</v>
      </c>
      <c r="E1043" t="s">
        <v>129</v>
      </c>
      <c r="F1043" t="s">
        <v>12</v>
      </c>
      <c r="G1043" t="str">
        <f>HYPERLINK(_xlfn.CONCAT("https://tablet.otzar.org/",CHAR(35),"/book/146544/p/-1/t/1/fs/0/start/0/end/0/c"),"ליקוט מראי מקומות אודות לימוד פנימיות התורה")</f>
        <v>ליקוט מראי מקומות אודות לימוד פנימיות התורה</v>
      </c>
      <c r="H1043" t="str">
        <f>_xlfn.CONCAT("https://tablet.otzar.org/",CHAR(35),"/book/146544/p/-1/t/1/fs/0/start/0/end/0/c")</f>
        <v>https://tablet.otzar.org/#/book/146544/p/-1/t/1/fs/0/start/0/end/0/c</v>
      </c>
    </row>
    <row r="1044" spans="1:8" x14ac:dyDescent="0.25">
      <c r="A1044">
        <v>145645</v>
      </c>
      <c r="B1044" t="s">
        <v>1783</v>
      </c>
      <c r="C1044" t="s">
        <v>1784</v>
      </c>
      <c r="D1044" t="s">
        <v>1785</v>
      </c>
      <c r="E1044" t="s">
        <v>181</v>
      </c>
      <c r="F1044" t="s">
        <v>12</v>
      </c>
      <c r="G1044" t="str">
        <f>HYPERLINK(_xlfn.CONCAT("https://tablet.otzar.org/",CHAR(35),"/book/145645/p/-1/t/1/fs/0/start/0/end/0/c"),"ליקוט מראי מקומות לקונטרס ר""""ח כסלו")</f>
        <v>ליקוט מראי מקומות לקונטרס ר""ח כסלו</v>
      </c>
      <c r="H1044" t="str">
        <f>_xlfn.CONCAT("https://tablet.otzar.org/",CHAR(35),"/book/145645/p/-1/t/1/fs/0/start/0/end/0/c")</f>
        <v>https://tablet.otzar.org/#/book/145645/p/-1/t/1/fs/0/start/0/end/0/c</v>
      </c>
    </row>
    <row r="1045" spans="1:8" x14ac:dyDescent="0.25">
      <c r="A1045">
        <v>145484</v>
      </c>
      <c r="B1045" t="s">
        <v>1786</v>
      </c>
      <c r="C1045" t="s">
        <v>1784</v>
      </c>
      <c r="D1045" t="s">
        <v>10</v>
      </c>
      <c r="E1045" t="s">
        <v>181</v>
      </c>
      <c r="F1045" t="s">
        <v>12</v>
      </c>
      <c r="G1045" t="str">
        <f>HYPERLINK(_xlfn.CONCAT("https://tablet.otzar.org/",CHAR(35),"/book/145484/p/-1/t/1/fs/0/start/0/end/0/c"),"ליקוט מראי מקומות שצויינו בליקוטי שיחות")</f>
        <v>ליקוט מראי מקומות שצויינו בליקוטי שיחות</v>
      </c>
      <c r="H1045" t="str">
        <f>_xlfn.CONCAT("https://tablet.otzar.org/",CHAR(35),"/book/145484/p/-1/t/1/fs/0/start/0/end/0/c")</f>
        <v>https://tablet.otzar.org/#/book/145484/p/-1/t/1/fs/0/start/0/end/0/c</v>
      </c>
    </row>
    <row r="1046" spans="1:8" x14ac:dyDescent="0.25">
      <c r="A1046">
        <v>146281</v>
      </c>
      <c r="B1046" t="s">
        <v>1787</v>
      </c>
      <c r="C1046" t="s">
        <v>45</v>
      </c>
      <c r="D1046" t="s">
        <v>15</v>
      </c>
      <c r="E1046" t="s">
        <v>33</v>
      </c>
      <c r="F1046" t="s">
        <v>12</v>
      </c>
      <c r="G1046" t="str">
        <f>HYPERLINK(_xlfn.CONCAT("https://tablet.otzar.org/",CHAR(35),"/book/146281/p/-1/t/1/fs/0/start/0/end/0/c"),"ליקוט משיחות קודש - גודל שמחת בית השואבה ברשות הרבים")</f>
        <v>ליקוט משיחות קודש - גודל שמחת בית השואבה ברשות הרבים</v>
      </c>
      <c r="H1046" t="str">
        <f>_xlfn.CONCAT("https://tablet.otzar.org/",CHAR(35),"/book/146281/p/-1/t/1/fs/0/start/0/end/0/c")</f>
        <v>https://tablet.otzar.org/#/book/146281/p/-1/t/1/fs/0/start/0/end/0/c</v>
      </c>
    </row>
    <row r="1047" spans="1:8" x14ac:dyDescent="0.25">
      <c r="A1047">
        <v>142659</v>
      </c>
      <c r="B1047" t="s">
        <v>1788</v>
      </c>
      <c r="C1047" t="s">
        <v>45</v>
      </c>
      <c r="D1047" t="s">
        <v>10</v>
      </c>
      <c r="E1047" t="s">
        <v>46</v>
      </c>
      <c r="F1047" t="s">
        <v>12</v>
      </c>
      <c r="G1047" t="str">
        <f>HYPERLINK(_xlfn.CONCAT("https://tablet.otzar.org/",CHAR(35),"/exKotar/142659"),"ליקוט ניגונים - 2 כרכים")</f>
        <v>ליקוט ניגונים - 2 כרכים</v>
      </c>
      <c r="H1047" t="str">
        <f>_xlfn.CONCAT("https://tablet.otzar.org/",CHAR(35),"/exKotar/142659")</f>
        <v>https://tablet.otzar.org/#/exKotar/142659</v>
      </c>
    </row>
    <row r="1048" spans="1:8" x14ac:dyDescent="0.25">
      <c r="A1048">
        <v>630057</v>
      </c>
      <c r="B1048" t="s">
        <v>1789</v>
      </c>
      <c r="C1048" t="s">
        <v>1525</v>
      </c>
      <c r="D1048" t="s">
        <v>10</v>
      </c>
      <c r="F1048" t="s">
        <v>12</v>
      </c>
      <c r="G1048" t="str">
        <f>HYPERLINK(_xlfn.CONCAT("https://tablet.otzar.org/",CHAR(35),"/book/630057/p/-1/t/1/fs/0/start/0/end/0/c"),"ליקוט פירושים")</f>
        <v>ליקוט פירושים</v>
      </c>
      <c r="H1048" t="str">
        <f>_xlfn.CONCAT("https://tablet.otzar.org/",CHAR(35),"/book/630057/p/-1/t/1/fs/0/start/0/end/0/c")</f>
        <v>https://tablet.otzar.org/#/book/630057/p/-1/t/1/fs/0/start/0/end/0/c</v>
      </c>
    </row>
    <row r="1049" spans="1:8" x14ac:dyDescent="0.25">
      <c r="A1049">
        <v>146518</v>
      </c>
      <c r="B1049" t="s">
        <v>1790</v>
      </c>
      <c r="C1049" t="s">
        <v>45</v>
      </c>
      <c r="D1049" t="s">
        <v>10</v>
      </c>
      <c r="E1049" t="s">
        <v>66</v>
      </c>
      <c r="F1049" t="s">
        <v>12</v>
      </c>
      <c r="G1049" t="str">
        <f>HYPERLINK(_xlfn.CONCAT("https://tablet.otzar.org/",CHAR(35),"/book/146518/p/-1/t/1/fs/0/start/0/end/0/c"),"ליקוט שיחות ומכתבים")</f>
        <v>ליקוט שיחות ומכתבים</v>
      </c>
      <c r="H1049" t="str">
        <f>_xlfn.CONCAT("https://tablet.otzar.org/",CHAR(35),"/book/146518/p/-1/t/1/fs/0/start/0/end/0/c")</f>
        <v>https://tablet.otzar.org/#/book/146518/p/-1/t/1/fs/0/start/0/end/0/c</v>
      </c>
    </row>
    <row r="1050" spans="1:8" x14ac:dyDescent="0.25">
      <c r="A1050">
        <v>146266</v>
      </c>
      <c r="B1050" t="s">
        <v>1791</v>
      </c>
      <c r="C1050" t="s">
        <v>1792</v>
      </c>
      <c r="D1050" t="s">
        <v>15</v>
      </c>
      <c r="E1050" t="s">
        <v>79</v>
      </c>
      <c r="F1050" t="s">
        <v>12</v>
      </c>
      <c r="G1050" t="str">
        <f>HYPERLINK(_xlfn.CONCAT("https://tablet.otzar.org/",CHAR(35),"/book/146266/p/-1/t/1/fs/0/start/0/end/0/c"),"ליקוטי אור")</f>
        <v>ליקוטי אור</v>
      </c>
      <c r="H1050" t="str">
        <f>_xlfn.CONCAT("https://tablet.otzar.org/",CHAR(35),"/book/146266/p/-1/t/1/fs/0/start/0/end/0/c")</f>
        <v>https://tablet.otzar.org/#/book/146266/p/-1/t/1/fs/0/start/0/end/0/c</v>
      </c>
    </row>
    <row r="1051" spans="1:8" x14ac:dyDescent="0.25">
      <c r="A1051">
        <v>53161</v>
      </c>
      <c r="B1051" t="s">
        <v>1793</v>
      </c>
      <c r="C1051" t="s">
        <v>1794</v>
      </c>
      <c r="D1051" t="s">
        <v>10</v>
      </c>
      <c r="E1051" t="s">
        <v>54</v>
      </c>
      <c r="F1051" t="s">
        <v>12</v>
      </c>
      <c r="G1051" t="str">
        <f>HYPERLINK(_xlfn.CONCAT("https://tablet.otzar.org/",CHAR(35),"/exKotar/53161"),"ליקוטי אורות - 2 כרכים")</f>
        <v>ליקוטי אורות - 2 כרכים</v>
      </c>
      <c r="H1051" t="str">
        <f>_xlfn.CONCAT("https://tablet.otzar.org/",CHAR(35),"/exKotar/53161")</f>
        <v>https://tablet.otzar.org/#/exKotar/53161</v>
      </c>
    </row>
    <row r="1052" spans="1:8" x14ac:dyDescent="0.25">
      <c r="A1052">
        <v>27160</v>
      </c>
      <c r="B1052" t="s">
        <v>1795</v>
      </c>
      <c r="C1052" t="s">
        <v>81</v>
      </c>
      <c r="D1052" t="s">
        <v>10</v>
      </c>
      <c r="E1052" t="s">
        <v>66</v>
      </c>
      <c r="F1052" t="s">
        <v>12</v>
      </c>
      <c r="G1052" t="str">
        <f>HYPERLINK(_xlfn.CONCAT("https://tablet.otzar.org/",CHAR(35),"/exKotar/27160"),"ליקוטי אמרים - 2 כרכים")</f>
        <v>ליקוטי אמרים - 2 כרכים</v>
      </c>
      <c r="H1052" t="str">
        <f>_xlfn.CONCAT("https://tablet.otzar.org/",CHAR(35),"/exKotar/27160")</f>
        <v>https://tablet.otzar.org/#/exKotar/27160</v>
      </c>
    </row>
    <row r="1053" spans="1:8" x14ac:dyDescent="0.25">
      <c r="A1053">
        <v>153364</v>
      </c>
      <c r="B1053" t="s">
        <v>1796</v>
      </c>
      <c r="C1053" t="s">
        <v>81</v>
      </c>
      <c r="D1053" t="s">
        <v>387</v>
      </c>
      <c r="E1053" t="s">
        <v>226</v>
      </c>
      <c r="F1053" t="s">
        <v>1797</v>
      </c>
      <c r="G1053" t="str">
        <f>HYPERLINK(_xlfn.CONCAT("https://tablet.otzar.org/",CHAR(35),"/book/153364/p/-1/t/1/fs/0/start/0/end/0/c"),"ליקוטי אמרים  תניא עם ביאור רחב - אגרת התשובה")</f>
        <v>ליקוטי אמרים  תניא עם ביאור רחב - אגרת התשובה</v>
      </c>
      <c r="H1053" t="str">
        <f>_xlfn.CONCAT("https://tablet.otzar.org/",CHAR(35),"/book/153364/p/-1/t/1/fs/0/start/0/end/0/c")</f>
        <v>https://tablet.otzar.org/#/book/153364/p/-1/t/1/fs/0/start/0/end/0/c</v>
      </c>
    </row>
    <row r="1054" spans="1:8" x14ac:dyDescent="0.25">
      <c r="A1054">
        <v>141722</v>
      </c>
      <c r="B1054" t="s">
        <v>1798</v>
      </c>
      <c r="C1054" t="s">
        <v>81</v>
      </c>
      <c r="D1054" t="s">
        <v>37</v>
      </c>
      <c r="E1054" t="s">
        <v>60</v>
      </c>
      <c r="F1054" t="s">
        <v>12</v>
      </c>
      <c r="G1054" t="str">
        <f>HYPERLINK(_xlfn.CONCAT("https://tablet.otzar.org/",CHAR(35),"/book/141722/p/-1/t/1/fs/0/start/0/end/0/c"),"ליקוטי אמרים תניא &lt;טקסט&gt;")</f>
        <v>ליקוטי אמרים תניא &lt;טקסט&gt;</v>
      </c>
      <c r="H1054" t="str">
        <f>_xlfn.CONCAT("https://tablet.otzar.org/",CHAR(35),"/book/141722/p/-1/t/1/fs/0/start/0/end/0/c")</f>
        <v>https://tablet.otzar.org/#/book/141722/p/-1/t/1/fs/0/start/0/end/0/c</v>
      </c>
    </row>
    <row r="1055" spans="1:8" x14ac:dyDescent="0.25">
      <c r="A1055">
        <v>616805</v>
      </c>
      <c r="B1055" t="s">
        <v>1799</v>
      </c>
      <c r="C1055" t="s">
        <v>81</v>
      </c>
      <c r="D1055" t="s">
        <v>10</v>
      </c>
      <c r="E1055" t="s">
        <v>115</v>
      </c>
      <c r="F1055" t="s">
        <v>149</v>
      </c>
      <c r="G1055" t="str">
        <f>HYPERLINK(_xlfn.CONCAT("https://tablet.otzar.org/",CHAR(35),"/book/616805/p/-1/t/1/fs/0/start/0/end/0/c"),"ליקוטי אמרים תניא - מהדורא קמא")</f>
        <v>ליקוטי אמרים תניא - מהדורא קמא</v>
      </c>
      <c r="H1055" t="str">
        <f>_xlfn.CONCAT("https://tablet.otzar.org/",CHAR(35),"/book/616805/p/-1/t/1/fs/0/start/0/end/0/c")</f>
        <v>https://tablet.otzar.org/#/book/616805/p/-1/t/1/fs/0/start/0/end/0/c</v>
      </c>
    </row>
    <row r="1056" spans="1:8" x14ac:dyDescent="0.25">
      <c r="A1056">
        <v>26891</v>
      </c>
      <c r="B1056" t="s">
        <v>1800</v>
      </c>
      <c r="C1056" t="s">
        <v>81</v>
      </c>
      <c r="D1056" t="s">
        <v>10</v>
      </c>
      <c r="E1056" t="s">
        <v>79</v>
      </c>
      <c r="F1056" t="s">
        <v>12</v>
      </c>
      <c r="G1056" t="str">
        <f>HYPERLINK(_xlfn.CONCAT("https://tablet.otzar.org/",CHAR(35),"/exKotar/26891"),"ליקוטי אמרים תניא &lt;בצירוף מ""""מ ליקוטי פירושים וש""""נ&gt;  - 6 כרכים")</f>
        <v>ליקוטי אמרים תניא &lt;בצירוף מ""מ ליקוטי פירושים וש""נ&gt;  - 6 כרכים</v>
      </c>
      <c r="H1056" t="str">
        <f>_xlfn.CONCAT("https://tablet.otzar.org/",CHAR(35),"/exKotar/26891")</f>
        <v>https://tablet.otzar.org/#/exKotar/26891</v>
      </c>
    </row>
    <row r="1057" spans="1:8" x14ac:dyDescent="0.25">
      <c r="A1057">
        <v>142725</v>
      </c>
      <c r="B1057" t="s">
        <v>1801</v>
      </c>
      <c r="C1057" t="s">
        <v>81</v>
      </c>
      <c r="D1057" t="s">
        <v>10</v>
      </c>
      <c r="E1057" t="s">
        <v>739</v>
      </c>
      <c r="F1057" t="s">
        <v>94</v>
      </c>
      <c r="G1057" t="str">
        <f>HYPERLINK(_xlfn.CONCAT("https://tablet.otzar.org/",CHAR(35),"/book/142725/p/-1/t/1/fs/0/start/0/end/0/c"),"ליקוטי אמרים תניא (בתרגום אידיש)")</f>
        <v>ליקוטי אמרים תניא (בתרגום אידיש)</v>
      </c>
      <c r="H1057" t="str">
        <f>_xlfn.CONCAT("https://tablet.otzar.org/",CHAR(35),"/book/142725/p/-1/t/1/fs/0/start/0/end/0/c")</f>
        <v>https://tablet.otzar.org/#/book/142725/p/-1/t/1/fs/0/start/0/end/0/c</v>
      </c>
    </row>
    <row r="1058" spans="1:8" x14ac:dyDescent="0.25">
      <c r="A1058">
        <v>27180</v>
      </c>
      <c r="B1058" t="s">
        <v>1802</v>
      </c>
      <c r="C1058" t="s">
        <v>81</v>
      </c>
      <c r="D1058" t="s">
        <v>882</v>
      </c>
      <c r="E1058" t="s">
        <v>129</v>
      </c>
      <c r="F1058" t="s">
        <v>12</v>
      </c>
      <c r="G1058" t="str">
        <f>HYPERLINK(_xlfn.CONCAT("https://tablet.otzar.org/",CHAR(35),"/book/27180/p/-1/t/1/fs/0/start/0/end/0/c"),"ליקוטי אמרים תניא (בתרגום אנגלית)")</f>
        <v>ליקוטי אמרים תניא (בתרגום אנגלית)</v>
      </c>
      <c r="H1058" t="str">
        <f>_xlfn.CONCAT("https://tablet.otzar.org/",CHAR(35),"/book/27180/p/-1/t/1/fs/0/start/0/end/0/c")</f>
        <v>https://tablet.otzar.org/#/book/27180/p/-1/t/1/fs/0/start/0/end/0/c</v>
      </c>
    </row>
    <row r="1059" spans="1:8" x14ac:dyDescent="0.25">
      <c r="A1059">
        <v>142646</v>
      </c>
      <c r="B1059" t="s">
        <v>1803</v>
      </c>
      <c r="C1059" t="s">
        <v>81</v>
      </c>
      <c r="D1059" t="s">
        <v>111</v>
      </c>
      <c r="E1059" t="s">
        <v>174</v>
      </c>
      <c r="F1059" t="s">
        <v>12</v>
      </c>
      <c r="G1059" t="str">
        <f>HYPERLINK(_xlfn.CONCAT("https://tablet.otzar.org/",CHAR(35),"/exKotar/142646"),"ליקוטי אמרים תניא (בתרגום גרמנית) - 2 כרכים")</f>
        <v>ליקוטי אמרים תניא (בתרגום גרמנית) - 2 כרכים</v>
      </c>
      <c r="H1059" t="str">
        <f>_xlfn.CONCAT("https://tablet.otzar.org/",CHAR(35),"/exKotar/142646")</f>
        <v>https://tablet.otzar.org/#/exKotar/142646</v>
      </c>
    </row>
    <row r="1060" spans="1:8" x14ac:dyDescent="0.25">
      <c r="A1060">
        <v>160414</v>
      </c>
      <c r="B1060" t="s">
        <v>1804</v>
      </c>
      <c r="C1060" t="s">
        <v>81</v>
      </c>
      <c r="D1060" t="s">
        <v>1805</v>
      </c>
      <c r="E1060" t="s">
        <v>226</v>
      </c>
      <c r="F1060" t="s">
        <v>1797</v>
      </c>
      <c r="G1060" t="str">
        <f>HYPERLINK(_xlfn.CONCAT("https://tablet.otzar.org/",CHAR(35),"/book/160414/p/-1/t/1/fs/0/start/0/end/0/c"),"ליקוטי אמרים תניא (בתרגום ספרדית) - ד")</f>
        <v>ליקוטי אמרים תניא (בתרגום ספרדית) - ד</v>
      </c>
      <c r="H1060" t="str">
        <f>_xlfn.CONCAT("https://tablet.otzar.org/",CHAR(35),"/book/160414/p/-1/t/1/fs/0/start/0/end/0/c")</f>
        <v>https://tablet.otzar.org/#/book/160414/p/-1/t/1/fs/0/start/0/end/0/c</v>
      </c>
    </row>
    <row r="1061" spans="1:8" x14ac:dyDescent="0.25">
      <c r="A1061">
        <v>146368</v>
      </c>
      <c r="B1061" t="s">
        <v>1806</v>
      </c>
      <c r="C1061" t="s">
        <v>81</v>
      </c>
      <c r="D1061" t="s">
        <v>10</v>
      </c>
      <c r="E1061" t="s">
        <v>107</v>
      </c>
      <c r="F1061" t="s">
        <v>12</v>
      </c>
      <c r="G1061" t="str">
        <f>HYPERLINK(_xlfn.CONCAT("https://tablet.otzar.org/",CHAR(35),"/book/146368/p/-1/t/1/fs/0/start/0/end/0/c"),"ליקוטי אמרים תניא (בתרגום ערבית)")</f>
        <v>ליקוטי אמרים תניא (בתרגום ערבית)</v>
      </c>
      <c r="H1061" t="str">
        <f>_xlfn.CONCAT("https://tablet.otzar.org/",CHAR(35),"/book/146368/p/-1/t/1/fs/0/start/0/end/0/c")</f>
        <v>https://tablet.otzar.org/#/book/146368/p/-1/t/1/fs/0/start/0/end/0/c</v>
      </c>
    </row>
    <row r="1062" spans="1:8" x14ac:dyDescent="0.25">
      <c r="A1062">
        <v>142649</v>
      </c>
      <c r="B1062" t="s">
        <v>1807</v>
      </c>
      <c r="C1062" t="s">
        <v>81</v>
      </c>
      <c r="D1062" t="s">
        <v>10</v>
      </c>
      <c r="E1062" t="s">
        <v>60</v>
      </c>
      <c r="F1062" t="s">
        <v>12</v>
      </c>
      <c r="G1062" t="str">
        <f>HYPERLINK(_xlfn.CONCAT("https://tablet.otzar.org/",CHAR(35),"/book/142649/p/-1/t/1/fs/0/start/0/end/0/c"),"ליקוטי אמרים תניא (בתרגום צרפתית)")</f>
        <v>ליקוטי אמרים תניא (בתרגום צרפתית)</v>
      </c>
      <c r="H1062" t="str">
        <f>_xlfn.CONCAT("https://tablet.otzar.org/",CHAR(35),"/book/142649/p/-1/t/1/fs/0/start/0/end/0/c")</f>
        <v>https://tablet.otzar.org/#/book/142649/p/-1/t/1/fs/0/start/0/end/0/c</v>
      </c>
    </row>
    <row r="1063" spans="1:8" x14ac:dyDescent="0.25">
      <c r="A1063">
        <v>141431</v>
      </c>
      <c r="B1063" t="s">
        <v>1808</v>
      </c>
      <c r="C1063" t="s">
        <v>1809</v>
      </c>
      <c r="D1063" t="s">
        <v>10</v>
      </c>
      <c r="E1063" t="s">
        <v>79</v>
      </c>
      <c r="F1063" t="s">
        <v>12</v>
      </c>
      <c r="G1063" t="str">
        <f>HYPERLINK(_xlfn.CONCAT("https://tablet.otzar.org/",CHAR(35),"/exKotar/141431"),"ליקוטי אמרים תניא עם ביאור השווה לכל נפש - 6 כרכים")</f>
        <v>ליקוטי אמרים תניא עם ביאור השווה לכל נפש - 6 כרכים</v>
      </c>
      <c r="H1063" t="str">
        <f>_xlfn.CONCAT("https://tablet.otzar.org/",CHAR(35),"/exKotar/141431")</f>
        <v>https://tablet.otzar.org/#/exKotar/141431</v>
      </c>
    </row>
    <row r="1064" spans="1:8" x14ac:dyDescent="0.25">
      <c r="A1064">
        <v>146289</v>
      </c>
      <c r="B1064" t="s">
        <v>1810</v>
      </c>
      <c r="C1064" t="s">
        <v>1811</v>
      </c>
      <c r="D1064" t="s">
        <v>28</v>
      </c>
      <c r="E1064" t="s">
        <v>192</v>
      </c>
      <c r="F1064" t="s">
        <v>12</v>
      </c>
      <c r="G1064" t="str">
        <f>HYPERLINK(_xlfn.CONCAT("https://tablet.otzar.org/",CHAR(35),"/book/146289/p/-1/t/1/fs/0/start/0/end/0/c"),"ליקוטי אמרים תניא עם ביאור ר' יואל קאהן - א")</f>
        <v>ליקוטי אמרים תניא עם ביאור ר' יואל קאהן - א</v>
      </c>
      <c r="H1064" t="str">
        <f>_xlfn.CONCAT("https://tablet.otzar.org/",CHAR(35),"/book/146289/p/-1/t/1/fs/0/start/0/end/0/c")</f>
        <v>https://tablet.otzar.org/#/book/146289/p/-1/t/1/fs/0/start/0/end/0/c</v>
      </c>
    </row>
    <row r="1065" spans="1:8" x14ac:dyDescent="0.25">
      <c r="A1065">
        <v>173833</v>
      </c>
      <c r="B1065" t="s">
        <v>1812</v>
      </c>
      <c r="C1065" t="s">
        <v>1813</v>
      </c>
      <c r="D1065" t="s">
        <v>37</v>
      </c>
      <c r="E1065" t="s">
        <v>62</v>
      </c>
      <c r="F1065" t="s">
        <v>96</v>
      </c>
      <c r="G1065" t="str">
        <f>HYPERLINK(_xlfn.CONCAT("https://tablet.otzar.org/",CHAR(35),"/exKotar/173833"),"ליקוטי אמרים תניא עם ביאורים ופנינים - 2 כרכים")</f>
        <v>ליקוטי אמרים תניא עם ביאורים ופנינים - 2 כרכים</v>
      </c>
      <c r="H1065" t="str">
        <f>_xlfn.CONCAT("https://tablet.otzar.org/",CHAR(35),"/exKotar/173833")</f>
        <v>https://tablet.otzar.org/#/exKotar/173833</v>
      </c>
    </row>
    <row r="1066" spans="1:8" x14ac:dyDescent="0.25">
      <c r="A1066">
        <v>173838</v>
      </c>
      <c r="B1066" t="s">
        <v>1814</v>
      </c>
      <c r="C1066" t="s">
        <v>1815</v>
      </c>
      <c r="D1066" t="s">
        <v>28</v>
      </c>
      <c r="F1066" t="s">
        <v>163</v>
      </c>
      <c r="G1066" t="str">
        <f>HYPERLINK(_xlfn.CONCAT("https://tablet.otzar.org/",CHAR(35),"/book/173838/p/-1/t/1/fs/0/start/0/end/0/c"),"ליקוטי אמרים תניא עם ליקוטי ציטוטים")</f>
        <v>ליקוטי אמרים תניא עם ליקוטי ציטוטים</v>
      </c>
      <c r="H1066" t="str">
        <f>_xlfn.CONCAT("https://tablet.otzar.org/",CHAR(35),"/book/173838/p/-1/t/1/fs/0/start/0/end/0/c")</f>
        <v>https://tablet.otzar.org/#/book/173838/p/-1/t/1/fs/0/start/0/end/0/c</v>
      </c>
    </row>
    <row r="1067" spans="1:8" x14ac:dyDescent="0.25">
      <c r="A1067">
        <v>607630</v>
      </c>
      <c r="B1067" t="s">
        <v>1816</v>
      </c>
      <c r="C1067" t="s">
        <v>1817</v>
      </c>
      <c r="D1067" t="s">
        <v>10</v>
      </c>
      <c r="E1067" t="s">
        <v>19</v>
      </c>
      <c r="F1067" t="s">
        <v>12</v>
      </c>
      <c r="G1067" t="str">
        <f>HYPERLINK(_xlfn.CONCAT("https://tablet.otzar.org/",CHAR(35),"/exKotar/607630"),"ליקוטי אמרים תניא עם לקוט פירושים - 2 כרכים")</f>
        <v>ליקוטי אמרים תניא עם לקוט פירושים - 2 כרכים</v>
      </c>
      <c r="H1067" t="str">
        <f>_xlfn.CONCAT("https://tablet.otzar.org/",CHAR(35),"/exKotar/607630")</f>
        <v>https://tablet.otzar.org/#/exKotar/607630</v>
      </c>
    </row>
    <row r="1068" spans="1:8" x14ac:dyDescent="0.25">
      <c r="A1068">
        <v>147681</v>
      </c>
      <c r="B1068" t="s">
        <v>1818</v>
      </c>
      <c r="C1068" t="s">
        <v>1819</v>
      </c>
      <c r="D1068" t="s">
        <v>10</v>
      </c>
      <c r="E1068" t="s">
        <v>226</v>
      </c>
      <c r="F1068" t="s">
        <v>12</v>
      </c>
      <c r="G1068" t="str">
        <f>HYPERLINK(_xlfn.CONCAT("https://tablet.otzar.org/",CHAR(35),"/exKotar/147681"),"ליקוטי אמרים תניא עם פירוש חסידות מבוארת - 8 כרכים")</f>
        <v>ליקוטי אמרים תניא עם פירוש חסידות מבוארת - 8 כרכים</v>
      </c>
      <c r="H1068" t="str">
        <f>_xlfn.CONCAT("https://tablet.otzar.org/",CHAR(35),"/exKotar/147681")</f>
        <v>https://tablet.otzar.org/#/exKotar/147681</v>
      </c>
    </row>
    <row r="1069" spans="1:8" x14ac:dyDescent="0.25">
      <c r="A1069">
        <v>85026</v>
      </c>
      <c r="B1069" t="s">
        <v>1820</v>
      </c>
      <c r="C1069" t="s">
        <v>1821</v>
      </c>
      <c r="D1069" t="s">
        <v>1822</v>
      </c>
      <c r="E1069" t="s">
        <v>226</v>
      </c>
      <c r="F1069" t="s">
        <v>1797</v>
      </c>
      <c r="G1069" t="str">
        <f>HYPERLINK(_xlfn.CONCAT("https://tablet.otzar.org/",CHAR(35),"/exKotar/85026"),"ליקוטי ביאורים בספר התניא - 3 כרכים")</f>
        <v>ליקוטי ביאורים בספר התניא - 3 כרכים</v>
      </c>
      <c r="H1069" t="str">
        <f>_xlfn.CONCAT("https://tablet.otzar.org/",CHAR(35),"/exKotar/85026")</f>
        <v>https://tablet.otzar.org/#/exKotar/85026</v>
      </c>
    </row>
    <row r="1070" spans="1:8" x14ac:dyDescent="0.25">
      <c r="A1070">
        <v>145952</v>
      </c>
      <c r="B1070" t="s">
        <v>1823</v>
      </c>
      <c r="C1070" t="s">
        <v>1824</v>
      </c>
      <c r="D1070" t="s">
        <v>191</v>
      </c>
      <c r="E1070" t="s">
        <v>145</v>
      </c>
      <c r="F1070" t="s">
        <v>12</v>
      </c>
      <c r="G1070" t="str">
        <f>HYPERLINK(_xlfn.CONCAT("https://tablet.otzar.org/",CHAR(35),"/book/145952/p/-1/t/1/fs/0/start/0/end/0/c"),"ליקוטי ביאורים לי""""ב הפסוקים ומרז""""ל")</f>
        <v>ליקוטי ביאורים לי""ב הפסוקים ומרז""ל</v>
      </c>
      <c r="H1070" t="str">
        <f>_xlfn.CONCAT("https://tablet.otzar.org/",CHAR(35),"/book/145952/p/-1/t/1/fs/0/start/0/end/0/c")</f>
        <v>https://tablet.otzar.org/#/book/145952/p/-1/t/1/fs/0/start/0/end/0/c</v>
      </c>
    </row>
    <row r="1071" spans="1:8" x14ac:dyDescent="0.25">
      <c r="A1071">
        <v>26453</v>
      </c>
      <c r="B1071" t="s">
        <v>1825</v>
      </c>
      <c r="C1071" t="s">
        <v>59</v>
      </c>
      <c r="D1071" t="s">
        <v>10</v>
      </c>
      <c r="E1071" t="s">
        <v>382</v>
      </c>
      <c r="F1071" t="s">
        <v>12</v>
      </c>
      <c r="G1071" t="str">
        <f>HYPERLINK(_xlfn.CONCAT("https://tablet.otzar.org/",CHAR(35),"/exKotar/26453"),"ליקוטי דיבורים - 2 כרכים")</f>
        <v>ליקוטי דיבורים - 2 כרכים</v>
      </c>
      <c r="H1071" t="str">
        <f>_xlfn.CONCAT("https://tablet.otzar.org/",CHAR(35),"/exKotar/26453")</f>
        <v>https://tablet.otzar.org/#/exKotar/26453</v>
      </c>
    </row>
    <row r="1072" spans="1:8" x14ac:dyDescent="0.25">
      <c r="A1072">
        <v>26455</v>
      </c>
      <c r="B1072" t="s">
        <v>1826</v>
      </c>
      <c r="C1072" t="s">
        <v>1827</v>
      </c>
      <c r="D1072" t="s">
        <v>15</v>
      </c>
      <c r="E1072" t="s">
        <v>441</v>
      </c>
      <c r="F1072" t="s">
        <v>12</v>
      </c>
      <c r="G1072" t="str">
        <f>HYPERLINK(_xlfn.CONCAT("https://tablet.otzar.org/",CHAR(35),"/exKotar/26455"),"ליקוטי דיבורים - 3 כרכים")</f>
        <v>ליקוטי דיבורים - 3 כרכים</v>
      </c>
      <c r="H1072" t="str">
        <f>_xlfn.CONCAT("https://tablet.otzar.org/",CHAR(35),"/exKotar/26455")</f>
        <v>https://tablet.otzar.org/#/exKotar/26455</v>
      </c>
    </row>
    <row r="1073" spans="1:8" x14ac:dyDescent="0.25">
      <c r="A1073">
        <v>85324</v>
      </c>
      <c r="B1073" t="s">
        <v>1828</v>
      </c>
      <c r="C1073" t="s">
        <v>81</v>
      </c>
      <c r="D1073" t="s">
        <v>10</v>
      </c>
      <c r="E1073" t="s">
        <v>1098</v>
      </c>
      <c r="F1073" t="s">
        <v>319</v>
      </c>
      <c r="G1073" t="str">
        <f>HYPERLINK(_xlfn.CONCAT("https://tablet.otzar.org/",CHAR(35),"/book/85324/p/-1/t/1/fs/0/start/0/end/0/c"),"ליקוטי הגהות לספר התניא")</f>
        <v>ליקוטי הגהות לספר התניא</v>
      </c>
      <c r="H1073" t="str">
        <f>_xlfn.CONCAT("https://tablet.otzar.org/",CHAR(35),"/book/85324/p/-1/t/1/fs/0/start/0/end/0/c")</f>
        <v>https://tablet.otzar.org/#/book/85324/p/-1/t/1/fs/0/start/0/end/0/c</v>
      </c>
    </row>
    <row r="1074" spans="1:8" x14ac:dyDescent="0.25">
      <c r="A1074">
        <v>141344</v>
      </c>
      <c r="B1074" t="s">
        <v>1829</v>
      </c>
      <c r="C1074" t="s">
        <v>45</v>
      </c>
      <c r="D1074" t="s">
        <v>10</v>
      </c>
      <c r="E1074" t="s">
        <v>46</v>
      </c>
      <c r="F1074" t="s">
        <v>12</v>
      </c>
      <c r="G1074" t="str">
        <f>HYPERLINK(_xlfn.CONCAT("https://tablet.otzar.org/",CHAR(35),"/book/141344/p/-1/t/1/fs/0/start/0/end/0/c"),"ליקוטי הוראות מנהגים וביאורים בענייני שידוכים ונישואין")</f>
        <v>ליקוטי הוראות מנהגים וביאורים בענייני שידוכים ונישואין</v>
      </c>
      <c r="H1074" t="str">
        <f>_xlfn.CONCAT("https://tablet.otzar.org/",CHAR(35),"/book/141344/p/-1/t/1/fs/0/start/0/end/0/c")</f>
        <v>https://tablet.otzar.org/#/book/141344/p/-1/t/1/fs/0/start/0/end/0/c</v>
      </c>
    </row>
    <row r="1075" spans="1:8" x14ac:dyDescent="0.25">
      <c r="A1075">
        <v>145163</v>
      </c>
      <c r="B1075" t="s">
        <v>1830</v>
      </c>
      <c r="C1075" t="s">
        <v>244</v>
      </c>
      <c r="D1075" t="s">
        <v>191</v>
      </c>
      <c r="E1075" t="s">
        <v>353</v>
      </c>
      <c r="F1075" t="s">
        <v>76</v>
      </c>
      <c r="G1075" t="str">
        <f>HYPERLINK(_xlfn.CONCAT("https://tablet.otzar.org/",CHAR(35),"/book/145163/p/-1/t/1/fs/0/start/0/end/0/c"),"ליקוטי הנהגות והלכות בחינוך על טהרת הקדש")</f>
        <v>ליקוטי הנהגות והלכות בחינוך על טהרת הקדש</v>
      </c>
      <c r="H1075" t="str">
        <f>_xlfn.CONCAT("https://tablet.otzar.org/",CHAR(35),"/book/145163/p/-1/t/1/fs/0/start/0/end/0/c")</f>
        <v>https://tablet.otzar.org/#/book/145163/p/-1/t/1/fs/0/start/0/end/0/c</v>
      </c>
    </row>
    <row r="1076" spans="1:8" x14ac:dyDescent="0.25">
      <c r="A1076">
        <v>26684</v>
      </c>
      <c r="B1076" t="s">
        <v>1831</v>
      </c>
      <c r="C1076" t="s">
        <v>1525</v>
      </c>
      <c r="D1076" t="s">
        <v>10</v>
      </c>
      <c r="E1076" t="s">
        <v>382</v>
      </c>
      <c r="F1076" t="s">
        <v>12</v>
      </c>
      <c r="G1076" t="str">
        <f>HYPERLINK(_xlfn.CONCAT("https://tablet.otzar.org/",CHAR(35),"/exKotar/26684"),"ליקוטי לוי יצחק - 4 כרכים")</f>
        <v>ליקוטי לוי יצחק - 4 כרכים</v>
      </c>
      <c r="H1076" t="str">
        <f>_xlfn.CONCAT("https://tablet.otzar.org/",CHAR(35),"/exKotar/26684")</f>
        <v>https://tablet.otzar.org/#/exKotar/26684</v>
      </c>
    </row>
    <row r="1077" spans="1:8" x14ac:dyDescent="0.25">
      <c r="A1077">
        <v>27040</v>
      </c>
      <c r="B1077" t="s">
        <v>1832</v>
      </c>
      <c r="C1077" t="s">
        <v>1833</v>
      </c>
      <c r="D1077" t="s">
        <v>37</v>
      </c>
      <c r="E1077" t="s">
        <v>54</v>
      </c>
      <c r="F1077" t="s">
        <v>12</v>
      </c>
      <c r="G1077" t="str">
        <f>HYPERLINK(_xlfn.CONCAT("https://tablet.otzar.org/",CHAR(35),"/book/27040/p/-1/t/1/fs/0/start/0/end/0/c"),"ליקוטי ספורים")</f>
        <v>ליקוטי ספורים</v>
      </c>
      <c r="H1077" t="str">
        <f>_xlfn.CONCAT("https://tablet.otzar.org/",CHAR(35),"/book/27040/p/-1/t/1/fs/0/start/0/end/0/c")</f>
        <v>https://tablet.otzar.org/#/book/27040/p/-1/t/1/fs/0/start/0/end/0/c</v>
      </c>
    </row>
    <row r="1078" spans="1:8" x14ac:dyDescent="0.25">
      <c r="A1078">
        <v>147719</v>
      </c>
      <c r="B1078" t="s">
        <v>1834</v>
      </c>
      <c r="C1078" t="s">
        <v>45</v>
      </c>
      <c r="D1078" t="s">
        <v>10</v>
      </c>
      <c r="E1078" t="s">
        <v>46</v>
      </c>
      <c r="F1078" t="s">
        <v>883</v>
      </c>
      <c r="G1078" t="str">
        <f>HYPERLINK(_xlfn.CONCAT("https://tablet.otzar.org/",CHAR(35),"/book/147719/p/-1/t/1/fs/0/start/0/end/0/c"),"ליקוטי ערכים בש""""ס וברמב""""ם")</f>
        <v>ליקוטי ערכים בש""ס וברמב""ם</v>
      </c>
      <c r="H1078" t="str">
        <f>_xlfn.CONCAT("https://tablet.otzar.org/",CHAR(35),"/book/147719/p/-1/t/1/fs/0/start/0/end/0/c")</f>
        <v>https://tablet.otzar.org/#/book/147719/p/-1/t/1/fs/0/start/0/end/0/c</v>
      </c>
    </row>
    <row r="1079" spans="1:8" x14ac:dyDescent="0.25">
      <c r="A1079">
        <v>140873</v>
      </c>
      <c r="B1079" t="s">
        <v>1835</v>
      </c>
      <c r="C1079" t="s">
        <v>1836</v>
      </c>
      <c r="D1079" t="s">
        <v>15</v>
      </c>
      <c r="E1079" t="s">
        <v>1762</v>
      </c>
      <c r="F1079" t="s">
        <v>12</v>
      </c>
      <c r="G1079" t="str">
        <f>HYPERLINK(_xlfn.CONCAT("https://tablet.otzar.org/",CHAR(35),"/book/140873/p/-1/t/1/fs/0/start/0/end/0/c"),"ליקוטי רשימות ומעשיות")</f>
        <v>ליקוטי רשימות ומעשיות</v>
      </c>
      <c r="H1079" t="str">
        <f>_xlfn.CONCAT("https://tablet.otzar.org/",CHAR(35),"/book/140873/p/-1/t/1/fs/0/start/0/end/0/c")</f>
        <v>https://tablet.otzar.org/#/book/140873/p/-1/t/1/fs/0/start/0/end/0/c</v>
      </c>
    </row>
    <row r="1080" spans="1:8" x14ac:dyDescent="0.25">
      <c r="A1080">
        <v>618919</v>
      </c>
      <c r="B1080" t="s">
        <v>1835</v>
      </c>
      <c r="C1080" t="s">
        <v>171</v>
      </c>
      <c r="D1080" t="s">
        <v>15</v>
      </c>
      <c r="E1080" t="s">
        <v>115</v>
      </c>
      <c r="G1080" t="str">
        <f>HYPERLINK(_xlfn.CONCAT("https://tablet.otzar.org/",CHAR(35),"/book/618919/p/-1/t/1/fs/0/start/0/end/0/c"),"ליקוטי רשימות ומעשיות")</f>
        <v>ליקוטי רשימות ומעשיות</v>
      </c>
      <c r="H1080" t="str">
        <f>_xlfn.CONCAT("https://tablet.otzar.org/",CHAR(35),"/book/618919/p/-1/t/1/fs/0/start/0/end/0/c")</f>
        <v>https://tablet.otzar.org/#/book/618919/p/-1/t/1/fs/0/start/0/end/0/c</v>
      </c>
    </row>
    <row r="1081" spans="1:8" x14ac:dyDescent="0.25">
      <c r="A1081">
        <v>26193</v>
      </c>
      <c r="B1081" t="s">
        <v>1837</v>
      </c>
      <c r="C1081" t="s">
        <v>45</v>
      </c>
      <c r="D1081" t="s">
        <v>10</v>
      </c>
      <c r="E1081" t="s">
        <v>382</v>
      </c>
      <c r="G1081" t="str">
        <f>HYPERLINK(_xlfn.CONCAT("https://tablet.otzar.org/",CHAR(35),"/exKotar/26193"),"ליקוטי שיחות - 44 כרכים")</f>
        <v>ליקוטי שיחות - 44 כרכים</v>
      </c>
      <c r="H1081" t="str">
        <f>_xlfn.CONCAT("https://tablet.otzar.org/",CHAR(35),"/exKotar/26193")</f>
        <v>https://tablet.otzar.org/#/exKotar/26193</v>
      </c>
    </row>
    <row r="1082" spans="1:8" x14ac:dyDescent="0.25">
      <c r="A1082">
        <v>141285</v>
      </c>
      <c r="B1082" t="s">
        <v>1838</v>
      </c>
      <c r="C1082" t="s">
        <v>45</v>
      </c>
      <c r="D1082" t="s">
        <v>10</v>
      </c>
      <c r="E1082" t="s">
        <v>192</v>
      </c>
      <c r="F1082" t="s">
        <v>12</v>
      </c>
      <c r="G1082" t="str">
        <f>HYPERLINK(_xlfn.CONCAT("https://tablet.otzar.org/",CHAR(35),"/exKotar/141285"),"ליקוטי שיחות &lt;תרגום חפשי&gt;  - 25 כרכים")</f>
        <v>ליקוטי שיחות &lt;תרגום חפשי&gt;  - 25 כרכים</v>
      </c>
      <c r="H1082" t="str">
        <f>_xlfn.CONCAT("https://tablet.otzar.org/",CHAR(35),"/exKotar/141285")</f>
        <v>https://tablet.otzar.org/#/exKotar/141285</v>
      </c>
    </row>
    <row r="1083" spans="1:8" x14ac:dyDescent="0.25">
      <c r="A1083">
        <v>143240</v>
      </c>
      <c r="B1083" t="s">
        <v>1839</v>
      </c>
      <c r="C1083" t="s">
        <v>45</v>
      </c>
      <c r="D1083" t="s">
        <v>10</v>
      </c>
      <c r="E1083" t="s">
        <v>46</v>
      </c>
      <c r="F1083" t="s">
        <v>319</v>
      </c>
      <c r="G1083" t="str">
        <f>HYPERLINK(_xlfn.CONCAT("https://tablet.otzar.org/",CHAR(35),"/exKotar/143240"),"ליקוטי שיחות &lt;מועדים&gt;  - 6 כרכים")</f>
        <v>ליקוטי שיחות &lt;מועדים&gt;  - 6 כרכים</v>
      </c>
      <c r="H1083" t="str">
        <f>_xlfn.CONCAT("https://tablet.otzar.org/",CHAR(35),"/exKotar/143240")</f>
        <v>https://tablet.otzar.org/#/exKotar/143240</v>
      </c>
    </row>
    <row r="1084" spans="1:8" x14ac:dyDescent="0.25">
      <c r="A1084">
        <v>165828</v>
      </c>
      <c r="B1084" t="s">
        <v>1840</v>
      </c>
      <c r="C1084" t="s">
        <v>45</v>
      </c>
      <c r="D1084" t="s">
        <v>15</v>
      </c>
      <c r="E1084" t="s">
        <v>1841</v>
      </c>
      <c r="F1084" t="s">
        <v>12</v>
      </c>
      <c r="G1084" t="str">
        <f>HYPERLINK(_xlfn.CONCAT("https://tablet.otzar.org/",CHAR(35),"/exKotar/165828"),"ליקוטי שיחות &lt;רעיונות לפרשת השבוע&gt;  - 2 כרכים")</f>
        <v>ליקוטי שיחות &lt;רעיונות לפרשת השבוע&gt;  - 2 כרכים</v>
      </c>
      <c r="H1084" t="str">
        <f>_xlfn.CONCAT("https://tablet.otzar.org/",CHAR(35),"/exKotar/165828")</f>
        <v>https://tablet.otzar.org/#/exKotar/165828</v>
      </c>
    </row>
    <row r="1085" spans="1:8" x14ac:dyDescent="0.25">
      <c r="A1085">
        <v>181120</v>
      </c>
      <c r="B1085" t="s">
        <v>1842</v>
      </c>
      <c r="C1085" t="s">
        <v>81</v>
      </c>
      <c r="D1085" t="s">
        <v>10</v>
      </c>
      <c r="E1085" t="s">
        <v>88</v>
      </c>
      <c r="F1085" t="s">
        <v>208</v>
      </c>
      <c r="G1085" t="str">
        <f>HYPERLINK(_xlfn.CONCAT("https://tablet.otzar.org/",CHAR(35),"/book/181120/p/-1/t/1/fs/0/start/0/end/0/c"),"ליקוטי שיר השירים")</f>
        <v>ליקוטי שיר השירים</v>
      </c>
      <c r="H1085" t="str">
        <f>_xlfn.CONCAT("https://tablet.otzar.org/",CHAR(35),"/book/181120/p/-1/t/1/fs/0/start/0/end/0/c")</f>
        <v>https://tablet.otzar.org/#/book/181120/p/-1/t/1/fs/0/start/0/end/0/c</v>
      </c>
    </row>
    <row r="1086" spans="1:8" x14ac:dyDescent="0.25">
      <c r="A1086">
        <v>26914</v>
      </c>
      <c r="B1086" t="s">
        <v>1843</v>
      </c>
      <c r="C1086" t="s">
        <v>81</v>
      </c>
      <c r="D1086" t="s">
        <v>10</v>
      </c>
      <c r="E1086" t="s">
        <v>54</v>
      </c>
      <c r="F1086" t="s">
        <v>12</v>
      </c>
      <c r="G1086" t="str">
        <f>HYPERLINK(_xlfn.CONCAT("https://tablet.otzar.org/",CHAR(35),"/book/26914/p/-1/t/1/fs/0/start/0/end/0/c"),"ליקוטי תורה")</f>
        <v>ליקוטי תורה</v>
      </c>
      <c r="H1086" t="str">
        <f>_xlfn.CONCAT("https://tablet.otzar.org/",CHAR(35),"/book/26914/p/-1/t/1/fs/0/start/0/end/0/c")</f>
        <v>https://tablet.otzar.org/#/book/26914/p/-1/t/1/fs/0/start/0/end/0/c</v>
      </c>
    </row>
    <row r="1087" spans="1:8" x14ac:dyDescent="0.25">
      <c r="A1087">
        <v>28732</v>
      </c>
      <c r="B1087" t="s">
        <v>1844</v>
      </c>
      <c r="C1087" t="s">
        <v>53</v>
      </c>
      <c r="D1087" t="s">
        <v>1845</v>
      </c>
      <c r="E1087" t="s">
        <v>1846</v>
      </c>
      <c r="F1087" t="s">
        <v>12</v>
      </c>
      <c r="G1087" t="str">
        <f>HYPERLINK(_xlfn.CONCAT("https://tablet.otzar.org/",CHAR(35),"/book/28732/p/-1/t/1/fs/0/start/0/end/0/c"),"ליקוטי תורה לג' פרשיות")</f>
        <v>ליקוטי תורה לג' פרשיות</v>
      </c>
      <c r="H1087" t="str">
        <f>_xlfn.CONCAT("https://tablet.otzar.org/",CHAR(35),"/book/28732/p/-1/t/1/fs/0/start/0/end/0/c")</f>
        <v>https://tablet.otzar.org/#/book/28732/p/-1/t/1/fs/0/start/0/end/0/c</v>
      </c>
    </row>
    <row r="1088" spans="1:8" x14ac:dyDescent="0.25">
      <c r="A1088">
        <v>27142</v>
      </c>
      <c r="B1088" t="s">
        <v>1847</v>
      </c>
      <c r="C1088" t="s">
        <v>53</v>
      </c>
      <c r="D1088" t="s">
        <v>10</v>
      </c>
      <c r="E1088" t="s">
        <v>181</v>
      </c>
      <c r="F1088" t="s">
        <v>12</v>
      </c>
      <c r="G1088" t="str">
        <f>HYPERLINK(_xlfn.CONCAT("https://tablet.otzar.org/",CHAR(35),"/exKotar/27142"),"ליקוטי תורה תורת שמואל - 24 כרכים")</f>
        <v>ליקוטי תורה תורת שמואל - 24 כרכים</v>
      </c>
      <c r="H1088" t="str">
        <f>_xlfn.CONCAT("https://tablet.otzar.org/",CHAR(35),"/exKotar/27142")</f>
        <v>https://tablet.otzar.org/#/exKotar/27142</v>
      </c>
    </row>
    <row r="1089" spans="1:8" x14ac:dyDescent="0.25">
      <c r="A1089">
        <v>145633</v>
      </c>
      <c r="B1089" t="s">
        <v>1848</v>
      </c>
      <c r="C1089" t="s">
        <v>1849</v>
      </c>
      <c r="D1089" t="s">
        <v>10</v>
      </c>
      <c r="E1089" t="s">
        <v>107</v>
      </c>
      <c r="F1089" t="s">
        <v>12</v>
      </c>
      <c r="G1089" t="str">
        <f>HYPERLINK(_xlfn.CONCAT("https://tablet.otzar.org/",CHAR(35),"/exKotar/145633"),"ליקוטים להמראי מקומות לליקוטי שיחות - 10 כרכים")</f>
        <v>ליקוטים להמראי מקומות לליקוטי שיחות - 10 כרכים</v>
      </c>
      <c r="H1089" t="str">
        <f>_xlfn.CONCAT("https://tablet.otzar.org/",CHAR(35),"/exKotar/145633")</f>
        <v>https://tablet.otzar.org/#/exKotar/145633</v>
      </c>
    </row>
    <row r="1090" spans="1:8" x14ac:dyDescent="0.25">
      <c r="A1090">
        <v>609789</v>
      </c>
      <c r="B1090" t="s">
        <v>1850</v>
      </c>
      <c r="C1090" t="s">
        <v>1851</v>
      </c>
      <c r="D1090" t="s">
        <v>387</v>
      </c>
      <c r="E1090" t="s">
        <v>192</v>
      </c>
      <c r="F1090" t="s">
        <v>12</v>
      </c>
      <c r="G1090" t="str">
        <f>HYPERLINK(_xlfn.CONCAT("https://tablet.otzar.org/",CHAR(35),"/book/609789/p/-1/t/1/fs/0/start/0/end/0/c"),"לכבוד התורה")</f>
        <v>לכבוד התורה</v>
      </c>
      <c r="H1090" t="str">
        <f>_xlfn.CONCAT("https://tablet.otzar.org/",CHAR(35),"/book/609789/p/-1/t/1/fs/0/start/0/end/0/c")</f>
        <v>https://tablet.otzar.org/#/book/609789/p/-1/t/1/fs/0/start/0/end/0/c</v>
      </c>
    </row>
    <row r="1091" spans="1:8" x14ac:dyDescent="0.25">
      <c r="A1091">
        <v>641879</v>
      </c>
      <c r="B1091" t="s">
        <v>1852</v>
      </c>
      <c r="C1091" t="s">
        <v>1293</v>
      </c>
      <c r="D1091" t="s">
        <v>444</v>
      </c>
      <c r="E1091" t="s">
        <v>46</v>
      </c>
      <c r="F1091" t="s">
        <v>12</v>
      </c>
      <c r="G1091" t="str">
        <f>HYPERLINK(_xlfn.CONCAT("https://tablet.otzar.org/",CHAR(35),"/book/641879/p/-1/t/1/fs/0/start/0/end/0/c"),"לכבוד צדיק")</f>
        <v>לכבוד צדיק</v>
      </c>
      <c r="H1091" t="str">
        <f>_xlfn.CONCAT("https://tablet.otzar.org/",CHAR(35),"/book/641879/p/-1/t/1/fs/0/start/0/end/0/c")</f>
        <v>https://tablet.otzar.org/#/book/641879/p/-1/t/1/fs/0/start/0/end/0/c</v>
      </c>
    </row>
    <row r="1092" spans="1:8" x14ac:dyDescent="0.25">
      <c r="A1092">
        <v>27353</v>
      </c>
      <c r="B1092" t="s">
        <v>1853</v>
      </c>
      <c r="C1092" t="s">
        <v>1854</v>
      </c>
      <c r="D1092" t="s">
        <v>197</v>
      </c>
      <c r="E1092" t="s">
        <v>40</v>
      </c>
      <c r="F1092" t="s">
        <v>12</v>
      </c>
      <c r="G1092" t="str">
        <f>HYPERLINK(_xlfn.CONCAT("https://tablet.otzar.org/",CHAR(35),"/exKotar/27353"),"לכבודו של מלך - 9 כרכים")</f>
        <v>לכבודו של מלך - 9 כרכים</v>
      </c>
      <c r="H1092" t="str">
        <f>_xlfn.CONCAT("https://tablet.otzar.org/",CHAR(35),"/exKotar/27353")</f>
        <v>https://tablet.otzar.org/#/exKotar/27353</v>
      </c>
    </row>
    <row r="1093" spans="1:8" x14ac:dyDescent="0.25">
      <c r="A1093">
        <v>27272</v>
      </c>
      <c r="B1093" t="s">
        <v>1855</v>
      </c>
      <c r="C1093" t="s">
        <v>125</v>
      </c>
      <c r="D1093" t="s">
        <v>1856</v>
      </c>
      <c r="E1093" t="s">
        <v>46</v>
      </c>
      <c r="F1093" t="s">
        <v>12</v>
      </c>
      <c r="G1093" t="str">
        <f>HYPERLINK(_xlfn.CONCAT("https://tablet.otzar.org/",CHAR(35),"/book/27272/p/-1/t/1/fs/0/start/0/end/0/c"),"לכבודו של צדיק")</f>
        <v>לכבודו של צדיק</v>
      </c>
      <c r="H1093" t="str">
        <f>_xlfn.CONCAT("https://tablet.otzar.org/",CHAR(35),"/book/27272/p/-1/t/1/fs/0/start/0/end/0/c")</f>
        <v>https://tablet.otzar.org/#/book/27272/p/-1/t/1/fs/0/start/0/end/0/c</v>
      </c>
    </row>
    <row r="1094" spans="1:8" x14ac:dyDescent="0.25">
      <c r="A1094">
        <v>175528</v>
      </c>
      <c r="B1094" t="s">
        <v>1857</v>
      </c>
      <c r="C1094" t="s">
        <v>1858</v>
      </c>
      <c r="D1094" t="s">
        <v>10</v>
      </c>
      <c r="E1094" t="s">
        <v>62</v>
      </c>
      <c r="F1094" t="s">
        <v>12</v>
      </c>
      <c r="G1094" t="str">
        <f>HYPERLINK(_xlfn.CONCAT("https://tablet.otzar.org/",CHAR(35),"/book/175528/p/-1/t/1/fs/0/start/0/end/0/c"),"לכה דודי")</f>
        <v>לכה דודי</v>
      </c>
      <c r="H1094" t="str">
        <f>_xlfn.CONCAT("https://tablet.otzar.org/",CHAR(35),"/book/175528/p/-1/t/1/fs/0/start/0/end/0/c")</f>
        <v>https://tablet.otzar.org/#/book/175528/p/-1/t/1/fs/0/start/0/end/0/c</v>
      </c>
    </row>
    <row r="1095" spans="1:8" x14ac:dyDescent="0.25">
      <c r="A1095">
        <v>27119</v>
      </c>
      <c r="B1095" t="s">
        <v>1859</v>
      </c>
      <c r="C1095" t="s">
        <v>1860</v>
      </c>
      <c r="D1095" t="s">
        <v>15</v>
      </c>
      <c r="E1095" t="s">
        <v>29</v>
      </c>
      <c r="F1095" t="s">
        <v>12</v>
      </c>
      <c r="G1095" t="str">
        <f>HYPERLINK(_xlfn.CONCAT("https://tablet.otzar.org/",CHAR(35),"/book/27119/p/-1/t/1/fs/0/start/0/end/0/c"),"לכתחילה אריבער")</f>
        <v>לכתחילה אריבער</v>
      </c>
      <c r="H1095" t="str">
        <f>_xlfn.CONCAT("https://tablet.otzar.org/",CHAR(35),"/book/27119/p/-1/t/1/fs/0/start/0/end/0/c")</f>
        <v>https://tablet.otzar.org/#/book/27119/p/-1/t/1/fs/0/start/0/end/0/c</v>
      </c>
    </row>
    <row r="1096" spans="1:8" x14ac:dyDescent="0.25">
      <c r="A1096">
        <v>613858</v>
      </c>
      <c r="B1096" t="s">
        <v>1861</v>
      </c>
      <c r="C1096" t="s">
        <v>1067</v>
      </c>
      <c r="D1096" t="s">
        <v>15</v>
      </c>
      <c r="E1096" t="s">
        <v>404</v>
      </c>
      <c r="F1096" t="s">
        <v>12</v>
      </c>
      <c r="G1096" t="str">
        <f>HYPERLINK(_xlfn.CONCAT("https://tablet.otzar.org/",CHAR(35),"/exKotar/613858"),"ללא מורא - 2 כרכים")</f>
        <v>ללא מורא - 2 כרכים</v>
      </c>
      <c r="H1096" t="str">
        <f>_xlfn.CONCAT("https://tablet.otzar.org/",CHAR(35),"/exKotar/613858")</f>
        <v>https://tablet.otzar.org/#/exKotar/613858</v>
      </c>
    </row>
    <row r="1097" spans="1:8" x14ac:dyDescent="0.25">
      <c r="A1097">
        <v>148717</v>
      </c>
      <c r="B1097" t="s">
        <v>1862</v>
      </c>
      <c r="C1097" t="s">
        <v>279</v>
      </c>
      <c r="D1097" t="s">
        <v>10</v>
      </c>
      <c r="E1097" t="s">
        <v>226</v>
      </c>
      <c r="F1097" t="s">
        <v>1863</v>
      </c>
      <c r="G1097" t="str">
        <f>HYPERLINK(_xlfn.CONCAT("https://tablet.otzar.org/",CHAR(35),"/exKotar/148717"),"ללמוד איך להתפלל - 6 כרכים")</f>
        <v>ללמוד איך להתפלל - 6 כרכים</v>
      </c>
      <c r="H1097" t="str">
        <f>_xlfn.CONCAT("https://tablet.otzar.org/",CHAR(35),"/exKotar/148717")</f>
        <v>https://tablet.otzar.org/#/exKotar/148717</v>
      </c>
    </row>
    <row r="1098" spans="1:8" x14ac:dyDescent="0.25">
      <c r="A1098">
        <v>618897</v>
      </c>
      <c r="B1098" t="s">
        <v>1864</v>
      </c>
      <c r="C1098" t="s">
        <v>279</v>
      </c>
      <c r="D1098" t="s">
        <v>15</v>
      </c>
      <c r="E1098" t="s">
        <v>115</v>
      </c>
      <c r="F1098" t="s">
        <v>12</v>
      </c>
      <c r="G1098" t="str">
        <f>HYPERLINK(_xlfn.CONCAT("https://tablet.otzar.org/",CHAR(35),"/book/618897/p/-1/t/1/fs/0/start/0/end/0/c"),"ללמוד את המועדים")</f>
        <v>ללמוד את המועדים</v>
      </c>
      <c r="H1098" t="str">
        <f>_xlfn.CONCAT("https://tablet.otzar.org/",CHAR(35),"/book/618897/p/-1/t/1/fs/0/start/0/end/0/c")</f>
        <v>https://tablet.otzar.org/#/book/618897/p/-1/t/1/fs/0/start/0/end/0/c</v>
      </c>
    </row>
    <row r="1099" spans="1:8" x14ac:dyDescent="0.25">
      <c r="A1099">
        <v>173576</v>
      </c>
      <c r="B1099" t="s">
        <v>1865</v>
      </c>
      <c r="C1099" t="s">
        <v>1866</v>
      </c>
      <c r="D1099" t="s">
        <v>15</v>
      </c>
      <c r="E1099" t="s">
        <v>62</v>
      </c>
      <c r="F1099" t="s">
        <v>12</v>
      </c>
      <c r="G1099" t="str">
        <f>HYPERLINK(_xlfn.CONCAT("https://tablet.otzar.org/",CHAR(35),"/book/173576/p/-1/t/1/fs/0/start/0/end/0/c"),"ללמוד וללמד")</f>
        <v>ללמוד וללמד</v>
      </c>
      <c r="H1099" t="str">
        <f>_xlfn.CONCAT("https://tablet.otzar.org/",CHAR(35),"/book/173576/p/-1/t/1/fs/0/start/0/end/0/c")</f>
        <v>https://tablet.otzar.org/#/book/173576/p/-1/t/1/fs/0/start/0/end/0/c</v>
      </c>
    </row>
    <row r="1100" spans="1:8" x14ac:dyDescent="0.25">
      <c r="A1100">
        <v>607703</v>
      </c>
      <c r="B1100" t="s">
        <v>1867</v>
      </c>
      <c r="C1100" t="s">
        <v>803</v>
      </c>
      <c r="D1100" t="s">
        <v>648</v>
      </c>
      <c r="E1100" t="s">
        <v>99</v>
      </c>
      <c r="F1100" t="s">
        <v>12</v>
      </c>
      <c r="G1100" t="str">
        <f>HYPERLINK(_xlfn.CONCAT("https://tablet.otzar.org/",CHAR(35),"/book/607703/p/-1/t/1/fs/0/start/0/end/0/c"),"ללמוד תניא - פרקים א-נג")</f>
        <v>ללמוד תניא - פרקים א-נג</v>
      </c>
      <c r="H1100" t="str">
        <f>_xlfn.CONCAT("https://tablet.otzar.org/",CHAR(35),"/book/607703/p/-1/t/1/fs/0/start/0/end/0/c")</f>
        <v>https://tablet.otzar.org/#/book/607703/p/-1/t/1/fs/0/start/0/end/0/c</v>
      </c>
    </row>
    <row r="1101" spans="1:8" x14ac:dyDescent="0.25">
      <c r="A1101">
        <v>27857</v>
      </c>
      <c r="B1101" t="s">
        <v>1868</v>
      </c>
      <c r="C1101" t="s">
        <v>1869</v>
      </c>
      <c r="D1101" t="s">
        <v>15</v>
      </c>
      <c r="E1101" t="s">
        <v>250</v>
      </c>
      <c r="F1101" t="s">
        <v>12</v>
      </c>
      <c r="G1101" t="str">
        <f>HYPERLINK(_xlfn.CONCAT("https://tablet.otzar.org/",CHAR(35),"/book/27857/p/-1/t/1/fs/0/start/0/end/0/c"),"למען ידעו... בנים יולדו")</f>
        <v>למען ידעו... בנים יולדו</v>
      </c>
      <c r="H1101" t="str">
        <f>_xlfn.CONCAT("https://tablet.otzar.org/",CHAR(35),"/book/27857/p/-1/t/1/fs/0/start/0/end/0/c")</f>
        <v>https://tablet.otzar.org/#/book/27857/p/-1/t/1/fs/0/start/0/end/0/c</v>
      </c>
    </row>
    <row r="1102" spans="1:8" x14ac:dyDescent="0.25">
      <c r="A1102">
        <v>27125</v>
      </c>
      <c r="B1102" t="s">
        <v>1870</v>
      </c>
      <c r="C1102" t="s">
        <v>1871</v>
      </c>
      <c r="D1102" t="s">
        <v>15</v>
      </c>
      <c r="E1102" t="s">
        <v>129</v>
      </c>
      <c r="F1102" t="s">
        <v>12</v>
      </c>
      <c r="G1102" t="str">
        <f>HYPERLINK(_xlfn.CONCAT("https://tablet.otzar.org/",CHAR(35),"/book/27125/p/-1/t/1/fs/0/start/0/end/0/c"),"למען תצליח")</f>
        <v>למען תצליח</v>
      </c>
      <c r="H1102" t="str">
        <f>_xlfn.CONCAT("https://tablet.otzar.org/",CHAR(35),"/book/27125/p/-1/t/1/fs/0/start/0/end/0/c")</f>
        <v>https://tablet.otzar.org/#/book/27125/p/-1/t/1/fs/0/start/0/end/0/c</v>
      </c>
    </row>
    <row r="1103" spans="1:8" x14ac:dyDescent="0.25">
      <c r="A1103">
        <v>27770</v>
      </c>
      <c r="B1103" t="s">
        <v>1872</v>
      </c>
      <c r="C1103" t="s">
        <v>391</v>
      </c>
      <c r="D1103" t="s">
        <v>15</v>
      </c>
      <c r="E1103" t="s">
        <v>217</v>
      </c>
      <c r="F1103" t="s">
        <v>12</v>
      </c>
      <c r="G1103" t="str">
        <f>HYPERLINK(_xlfn.CONCAT("https://tablet.otzar.org/",CHAR(35),"/exKotar/27770"),"לספר מבראשית - 2 כרכים")</f>
        <v>לספר מבראשית - 2 כרכים</v>
      </c>
      <c r="H1103" t="str">
        <f>_xlfn.CONCAT("https://tablet.otzar.org/",CHAR(35),"/exKotar/27770")</f>
        <v>https://tablet.otzar.org/#/exKotar/27770</v>
      </c>
    </row>
    <row r="1104" spans="1:8" x14ac:dyDescent="0.25">
      <c r="A1104">
        <v>635089</v>
      </c>
      <c r="B1104" t="s">
        <v>1873</v>
      </c>
      <c r="C1104" t="s">
        <v>1874</v>
      </c>
      <c r="D1104" t="s">
        <v>37</v>
      </c>
      <c r="E1104" t="s">
        <v>185</v>
      </c>
      <c r="F1104" t="s">
        <v>20</v>
      </c>
      <c r="G1104" t="str">
        <f>HYPERLINK(_xlfn.CONCAT("https://tablet.otzar.org/",CHAR(35),"/book/635089/p/-1/t/1/fs/0/start/0/end/0/c"),"לעולם חסדו")</f>
        <v>לעולם חסדו</v>
      </c>
      <c r="H1104" t="str">
        <f>_xlfn.CONCAT("https://tablet.otzar.org/",CHAR(35),"/book/635089/p/-1/t/1/fs/0/start/0/end/0/c")</f>
        <v>https://tablet.otzar.org/#/book/635089/p/-1/t/1/fs/0/start/0/end/0/c</v>
      </c>
    </row>
    <row r="1105" spans="1:8" x14ac:dyDescent="0.25">
      <c r="A1105">
        <v>157278</v>
      </c>
      <c r="B1105" t="s">
        <v>1875</v>
      </c>
      <c r="C1105" t="s">
        <v>45</v>
      </c>
      <c r="D1105" t="s">
        <v>28</v>
      </c>
      <c r="E1105" t="s">
        <v>49</v>
      </c>
      <c r="F1105" t="s">
        <v>12</v>
      </c>
      <c r="G1105" t="str">
        <f>HYPERLINK(_xlfn.CONCAT("https://tablet.otzar.org/",CHAR(35),"/book/157278/p/-1/t/1/fs/0/start/0/end/0/c"),"לעורר את האהבה")</f>
        <v>לעורר את האהבה</v>
      </c>
      <c r="H1105" t="str">
        <f>_xlfn.CONCAT("https://tablet.otzar.org/",CHAR(35),"/book/157278/p/-1/t/1/fs/0/start/0/end/0/c")</f>
        <v>https://tablet.otzar.org/#/book/157278/p/-1/t/1/fs/0/start/0/end/0/c</v>
      </c>
    </row>
    <row r="1106" spans="1:8" x14ac:dyDescent="0.25">
      <c r="A1106">
        <v>622203</v>
      </c>
      <c r="B1106" t="s">
        <v>1876</v>
      </c>
      <c r="C1106" t="s">
        <v>45</v>
      </c>
      <c r="D1106" t="s">
        <v>10</v>
      </c>
      <c r="E1106" t="s">
        <v>29</v>
      </c>
      <c r="F1106" t="s">
        <v>12</v>
      </c>
      <c r="G1106" t="str">
        <f>HYPERLINK(_xlfn.CONCAT("https://tablet.otzar.org/",CHAR(35),"/book/622203/p/-1/t/1/fs/0/start/0/end/0/c"),"לפני המלך")</f>
        <v>לפני המלך</v>
      </c>
      <c r="H1106" t="str">
        <f>_xlfn.CONCAT("https://tablet.otzar.org/",CHAR(35),"/book/622203/p/-1/t/1/fs/0/start/0/end/0/c")</f>
        <v>https://tablet.otzar.org/#/book/622203/p/-1/t/1/fs/0/start/0/end/0/c</v>
      </c>
    </row>
    <row r="1107" spans="1:8" x14ac:dyDescent="0.25">
      <c r="A1107">
        <v>26887</v>
      </c>
      <c r="B1107" t="s">
        <v>1877</v>
      </c>
      <c r="C1107" t="s">
        <v>1878</v>
      </c>
      <c r="D1107" t="s">
        <v>363</v>
      </c>
      <c r="E1107" t="s">
        <v>79</v>
      </c>
      <c r="F1107" t="s">
        <v>12</v>
      </c>
      <c r="G1107" t="str">
        <f>HYPERLINK(_xlfn.CONCAT("https://tablet.otzar.org/",CHAR(35),"/book/26887/p/-1/t/1/fs/0/start/0/end/0/c"),"לפני מי אתה עומד")</f>
        <v>לפני מי אתה עומד</v>
      </c>
      <c r="H1107" t="str">
        <f>_xlfn.CONCAT("https://tablet.otzar.org/",CHAR(35),"/book/26887/p/-1/t/1/fs/0/start/0/end/0/c")</f>
        <v>https://tablet.otzar.org/#/book/26887/p/-1/t/1/fs/0/start/0/end/0/c</v>
      </c>
    </row>
    <row r="1108" spans="1:8" x14ac:dyDescent="0.25">
      <c r="A1108">
        <v>27113</v>
      </c>
      <c r="B1108" t="s">
        <v>1879</v>
      </c>
      <c r="C1108" t="s">
        <v>1880</v>
      </c>
      <c r="D1108" t="s">
        <v>10</v>
      </c>
      <c r="E1108" t="s">
        <v>29</v>
      </c>
      <c r="F1108" t="s">
        <v>12</v>
      </c>
      <c r="G1108" t="str">
        <f>HYPERLINK(_xlfn.CONCAT("https://tablet.otzar.org/",CHAR(35),"/book/27113/p/-1/t/1/fs/0/start/0/end/0/c"),"לפנים משורת הדין")</f>
        <v>לפנים משורת הדין</v>
      </c>
      <c r="H1108" t="str">
        <f>_xlfn.CONCAT("https://tablet.otzar.org/",CHAR(35),"/book/27113/p/-1/t/1/fs/0/start/0/end/0/c")</f>
        <v>https://tablet.otzar.org/#/book/27113/p/-1/t/1/fs/0/start/0/end/0/c</v>
      </c>
    </row>
    <row r="1109" spans="1:8" x14ac:dyDescent="0.25">
      <c r="A1109">
        <v>146003</v>
      </c>
      <c r="B1109" t="s">
        <v>1881</v>
      </c>
      <c r="C1109" t="s">
        <v>45</v>
      </c>
      <c r="D1109" t="s">
        <v>28</v>
      </c>
      <c r="E1109" t="s">
        <v>46</v>
      </c>
      <c r="F1109" t="s">
        <v>12</v>
      </c>
      <c r="G1109" t="str">
        <f>HYPERLINK(_xlfn.CONCAT("https://tablet.otzar.org/",CHAR(35),"/book/146003/p/-1/t/1/fs/0/start/0/end/0/c"),"לפקוח את העינים")</f>
        <v>לפקוח את העינים</v>
      </c>
      <c r="H1109" t="str">
        <f>_xlfn.CONCAT("https://tablet.otzar.org/",CHAR(35),"/book/146003/p/-1/t/1/fs/0/start/0/end/0/c")</f>
        <v>https://tablet.otzar.org/#/book/146003/p/-1/t/1/fs/0/start/0/end/0/c</v>
      </c>
    </row>
    <row r="1110" spans="1:8" x14ac:dyDescent="0.25">
      <c r="A1110">
        <v>146530</v>
      </c>
      <c r="B1110" t="s">
        <v>1882</v>
      </c>
      <c r="C1110" t="s">
        <v>1883</v>
      </c>
      <c r="D1110" t="s">
        <v>10</v>
      </c>
      <c r="E1110" t="s">
        <v>46</v>
      </c>
      <c r="F1110" t="s">
        <v>12</v>
      </c>
      <c r="G1110" t="str">
        <f>HYPERLINK(_xlfn.CONCAT("https://tablet.otzar.org/",CHAR(35),"/book/146530/p/-1/t/1/fs/0/start/0/end/0/c"),"לקבל פני משיח צדקנו בפועל ממש")</f>
        <v>לקבל פני משיח צדקנו בפועל ממש</v>
      </c>
      <c r="H1110" t="str">
        <f>_xlfn.CONCAT("https://tablet.otzar.org/",CHAR(35),"/book/146530/p/-1/t/1/fs/0/start/0/end/0/c")</f>
        <v>https://tablet.otzar.org/#/book/146530/p/-1/t/1/fs/0/start/0/end/0/c</v>
      </c>
    </row>
    <row r="1111" spans="1:8" x14ac:dyDescent="0.25">
      <c r="A1111">
        <v>646121</v>
      </c>
      <c r="B1111" t="s">
        <v>1884</v>
      </c>
      <c r="C1111" t="s">
        <v>1885</v>
      </c>
      <c r="D1111" t="s">
        <v>28</v>
      </c>
      <c r="E1111" t="s">
        <v>24</v>
      </c>
      <c r="F1111" t="s">
        <v>94</v>
      </c>
      <c r="G1111" t="str">
        <f>HYPERLINK(_xlfn.CONCAT("https://tablet.otzar.org/",CHAR(35),"/book/646121/p/-1/t/1/fs/0/start/0/end/0/c"),"לקוטי אמרים תניא &lt;באר יעקב&gt;")</f>
        <v>לקוטי אמרים תניא &lt;באר יעקב&gt;</v>
      </c>
      <c r="H1111" t="str">
        <f>_xlfn.CONCAT("https://tablet.otzar.org/",CHAR(35),"/book/646121/p/-1/t/1/fs/0/start/0/end/0/c")</f>
        <v>https://tablet.otzar.org/#/book/646121/p/-1/t/1/fs/0/start/0/end/0/c</v>
      </c>
    </row>
    <row r="1112" spans="1:8" x14ac:dyDescent="0.25">
      <c r="A1112">
        <v>635122</v>
      </c>
      <c r="B1112" t="s">
        <v>1886</v>
      </c>
      <c r="C1112" t="s">
        <v>59</v>
      </c>
      <c r="D1112" t="s">
        <v>10</v>
      </c>
      <c r="E1112" t="s">
        <v>11</v>
      </c>
      <c r="F1112" t="s">
        <v>12</v>
      </c>
      <c r="G1112" t="str">
        <f>HYPERLINK(_xlfn.CONCAT("https://tablet.otzar.org/",CHAR(35),"/exKotar/635122"),"לקוטי דיבורים - 5 כרכים")</f>
        <v>לקוטי דיבורים - 5 כרכים</v>
      </c>
      <c r="H1112" t="str">
        <f>_xlfn.CONCAT("https://tablet.otzar.org/",CHAR(35),"/exKotar/635122")</f>
        <v>https://tablet.otzar.org/#/exKotar/635122</v>
      </c>
    </row>
    <row r="1113" spans="1:8" x14ac:dyDescent="0.25">
      <c r="A1113">
        <v>635113</v>
      </c>
      <c r="B1113" t="s">
        <v>1887</v>
      </c>
      <c r="C1113" t="s">
        <v>45</v>
      </c>
      <c r="D1113" t="s">
        <v>28</v>
      </c>
      <c r="E1113" t="s">
        <v>185</v>
      </c>
      <c r="F1113" t="s">
        <v>43</v>
      </c>
      <c r="G1113" t="str">
        <f>HYPERLINK(_xlfn.CONCAT("https://tablet.otzar.org/",CHAR(35),"/book/635113/p/-1/t/1/fs/0/start/0/end/0/c"),"לקוטי שיחות &lt;מתורגם גרמנית&gt;")</f>
        <v>לקוטי שיחות &lt;מתורגם גרמנית&gt;</v>
      </c>
      <c r="H1113" t="str">
        <f>_xlfn.CONCAT("https://tablet.otzar.org/",CHAR(35),"/book/635113/p/-1/t/1/fs/0/start/0/end/0/c")</f>
        <v>https://tablet.otzar.org/#/book/635113/p/-1/t/1/fs/0/start/0/end/0/c</v>
      </c>
    </row>
    <row r="1114" spans="1:8" x14ac:dyDescent="0.25">
      <c r="A1114">
        <v>606927</v>
      </c>
      <c r="B1114" t="s">
        <v>1888</v>
      </c>
      <c r="C1114" t="s">
        <v>45</v>
      </c>
      <c r="D1114" t="s">
        <v>10</v>
      </c>
      <c r="E1114" t="s">
        <v>99</v>
      </c>
      <c r="F1114" t="s">
        <v>12</v>
      </c>
      <c r="G1114" t="str">
        <f>HYPERLINK(_xlfn.CONCAT("https://tablet.otzar.org/",CHAR(35),"/book/606927/p/-1/t/1/fs/0/start/0/end/0/c"),"לקוטי שיחות מבואר - א (בשלח י' שבט)")</f>
        <v>לקוטי שיחות מבואר - א (בשלח י' שבט)</v>
      </c>
      <c r="H1114" t="str">
        <f>_xlfn.CONCAT("https://tablet.otzar.org/",CHAR(35),"/book/606927/p/-1/t/1/fs/0/start/0/end/0/c")</f>
        <v>https://tablet.otzar.org/#/book/606927/p/-1/t/1/fs/0/start/0/end/0/c</v>
      </c>
    </row>
    <row r="1115" spans="1:8" x14ac:dyDescent="0.25">
      <c r="A1115">
        <v>643291</v>
      </c>
      <c r="B1115" t="s">
        <v>1889</v>
      </c>
      <c r="C1115" t="s">
        <v>81</v>
      </c>
      <c r="D1115" t="s">
        <v>28</v>
      </c>
      <c r="E1115" t="s">
        <v>24</v>
      </c>
      <c r="F1115" t="s">
        <v>208</v>
      </c>
      <c r="G1115" t="str">
        <f>HYPERLINK(_xlfn.CONCAT("https://tablet.otzar.org/",CHAR(35),"/book/643291/p/-1/t/1/fs/0/start/0/end/0/c"),"לקוטי תורה - ויקרא")</f>
        <v>לקוטי תורה - ויקרא</v>
      </c>
      <c r="H1115" t="str">
        <f>_xlfn.CONCAT("https://tablet.otzar.org/",CHAR(35),"/book/643291/p/-1/t/1/fs/0/start/0/end/0/c")</f>
        <v>https://tablet.otzar.org/#/book/643291/p/-1/t/1/fs/0/start/0/end/0/c</v>
      </c>
    </row>
    <row r="1116" spans="1:8" x14ac:dyDescent="0.25">
      <c r="A1116">
        <v>643213</v>
      </c>
      <c r="B1116" t="s">
        <v>1890</v>
      </c>
      <c r="C1116" t="s">
        <v>81</v>
      </c>
      <c r="D1116" t="s">
        <v>37</v>
      </c>
      <c r="E1116" t="s">
        <v>24</v>
      </c>
      <c r="F1116" t="s">
        <v>12</v>
      </c>
      <c r="G1116" t="str">
        <f>HYPERLINK(_xlfn.CONCAT("https://tablet.otzar.org/",CHAR(35),"/book/643213/p/-1/t/1/fs/0/start/0/end/0/c"),"לקוטי תורה המבואר - פסח, ל""""ג בעומר, שבועות, ראש חודש")</f>
        <v>לקוטי תורה המבואר - פסח, ל""ג בעומר, שבועות, ראש חודש</v>
      </c>
      <c r="H1116" t="str">
        <f>_xlfn.CONCAT("https://tablet.otzar.org/",CHAR(35),"/book/643213/p/-1/t/1/fs/0/start/0/end/0/c")</f>
        <v>https://tablet.otzar.org/#/book/643213/p/-1/t/1/fs/0/start/0/end/0/c</v>
      </c>
    </row>
    <row r="1117" spans="1:8" x14ac:dyDescent="0.25">
      <c r="A1117">
        <v>611255</v>
      </c>
      <c r="B1117" t="s">
        <v>1891</v>
      </c>
      <c r="C1117" t="s">
        <v>1892</v>
      </c>
      <c r="D1117" t="s">
        <v>10</v>
      </c>
      <c r="E1117" t="s">
        <v>115</v>
      </c>
      <c r="F1117" t="s">
        <v>208</v>
      </c>
      <c r="G1117" t="str">
        <f>HYPERLINK(_xlfn.CONCAT("https://tablet.otzar.org/",CHAR(35),"/exKotar/611255"),"לקוטי תורה ותורה אור המבואר א &lt;בראשית&gt; - 21 כרכים")</f>
        <v>לקוטי תורה ותורה אור המבואר א &lt;בראשית&gt; - 21 כרכים</v>
      </c>
      <c r="H1117" t="str">
        <f>_xlfn.CONCAT("https://tablet.otzar.org/",CHAR(35),"/exKotar/611255")</f>
        <v>https://tablet.otzar.org/#/exKotar/611255</v>
      </c>
    </row>
    <row r="1118" spans="1:8" x14ac:dyDescent="0.25">
      <c r="A1118">
        <v>657622</v>
      </c>
      <c r="B1118" t="s">
        <v>1893</v>
      </c>
      <c r="C1118" t="s">
        <v>1894</v>
      </c>
      <c r="D1118" t="s">
        <v>28</v>
      </c>
      <c r="E1118" t="s">
        <v>404</v>
      </c>
      <c r="F1118" t="s">
        <v>12</v>
      </c>
      <c r="G1118" t="str">
        <f>HYPERLINK(_xlfn.CONCAT("https://tablet.otzar.org/",CHAR(35),"/exKotar/657622"),"לקוטי תורה עם ביאורי הרב שטיינזלץ - 2 כרכים")</f>
        <v>לקוטי תורה עם ביאורי הרב שטיינזלץ - 2 כרכים</v>
      </c>
      <c r="H1118" t="str">
        <f>_xlfn.CONCAT("https://tablet.otzar.org/",CHAR(35),"/exKotar/657622")</f>
        <v>https://tablet.otzar.org/#/exKotar/657622</v>
      </c>
    </row>
    <row r="1119" spans="1:8" x14ac:dyDescent="0.25">
      <c r="A1119">
        <v>635152</v>
      </c>
      <c r="B1119" t="s">
        <v>1895</v>
      </c>
      <c r="C1119" t="s">
        <v>48</v>
      </c>
      <c r="D1119" t="s">
        <v>28</v>
      </c>
      <c r="E1119" t="s">
        <v>185</v>
      </c>
      <c r="F1119" t="s">
        <v>12</v>
      </c>
      <c r="G1119" t="str">
        <f>HYPERLINK(_xlfn.CONCAT("https://tablet.otzar.org/",CHAR(35),"/book/635152/p/-1/t/1/fs/0/start/0/end/0/c"),"לקח טוב")</f>
        <v>לקח טוב</v>
      </c>
      <c r="H1119" t="str">
        <f>_xlfn.CONCAT("https://tablet.otzar.org/",CHAR(35),"/book/635152/p/-1/t/1/fs/0/start/0/end/0/c")</f>
        <v>https://tablet.otzar.org/#/book/635152/p/-1/t/1/fs/0/start/0/end/0/c</v>
      </c>
    </row>
    <row r="1120" spans="1:8" x14ac:dyDescent="0.25">
      <c r="A1120">
        <v>146390</v>
      </c>
      <c r="B1120" t="s">
        <v>1896</v>
      </c>
      <c r="C1120" t="s">
        <v>1897</v>
      </c>
      <c r="D1120" t="s">
        <v>15</v>
      </c>
      <c r="E1120" t="s">
        <v>57</v>
      </c>
      <c r="F1120" t="s">
        <v>12</v>
      </c>
      <c r="G1120" t="str">
        <f>HYPERLINK(_xlfn.CONCAT("https://tablet.otzar.org/",CHAR(35),"/book/146390/p/-1/t/1/fs/0/start/0/end/0/c"),"לקט אמרים ופתגמי קדש בגודל מעלת לימוד שעורי חת""""ת")</f>
        <v>לקט אמרים ופתגמי קדש בגודל מעלת לימוד שעורי חת""ת</v>
      </c>
      <c r="H1120" t="str">
        <f>_xlfn.CONCAT("https://tablet.otzar.org/",CHAR(35),"/book/146390/p/-1/t/1/fs/0/start/0/end/0/c")</f>
        <v>https://tablet.otzar.org/#/book/146390/p/-1/t/1/fs/0/start/0/end/0/c</v>
      </c>
    </row>
    <row r="1121" spans="1:8" x14ac:dyDescent="0.25">
      <c r="A1121">
        <v>140933</v>
      </c>
      <c r="B1121" t="s">
        <v>1898</v>
      </c>
      <c r="C1121" t="s">
        <v>45</v>
      </c>
      <c r="D1121" t="s">
        <v>10</v>
      </c>
      <c r="E1121" t="s">
        <v>217</v>
      </c>
      <c r="F1121" t="s">
        <v>12</v>
      </c>
      <c r="G1121" t="str">
        <f>HYPERLINK(_xlfn.CONCAT("https://tablet.otzar.org/",CHAR(35),"/book/140933/p/-1/t/1/fs/0/start/0/end/0/c"),"לקט הוראות בטחון ארץ הקדש")</f>
        <v>לקט הוראות בטחון ארץ הקדש</v>
      </c>
      <c r="H1121" t="str">
        <f>_xlfn.CONCAT("https://tablet.otzar.org/",CHAR(35),"/book/140933/p/-1/t/1/fs/0/start/0/end/0/c")</f>
        <v>https://tablet.otzar.org/#/book/140933/p/-1/t/1/fs/0/start/0/end/0/c</v>
      </c>
    </row>
    <row r="1122" spans="1:8" x14ac:dyDescent="0.25">
      <c r="A1122">
        <v>141417</v>
      </c>
      <c r="B1122" t="s">
        <v>1899</v>
      </c>
      <c r="C1122" t="s">
        <v>1900</v>
      </c>
      <c r="D1122" t="s">
        <v>10</v>
      </c>
      <c r="E1122" t="s">
        <v>148</v>
      </c>
      <c r="F1122" t="s">
        <v>12</v>
      </c>
      <c r="G1122" t="str">
        <f>HYPERLINK(_xlfn.CONCAT("https://tablet.otzar.org/",CHAR(35),"/exKotar/141417"),"לקט הליכות ומנהגי שבת קודש - 3 כרכים")</f>
        <v>לקט הליכות ומנהגי שבת קודש - 3 כרכים</v>
      </c>
      <c r="H1122" t="str">
        <f>_xlfn.CONCAT("https://tablet.otzar.org/",CHAR(35),"/exKotar/141417")</f>
        <v>https://tablet.otzar.org/#/exKotar/141417</v>
      </c>
    </row>
    <row r="1123" spans="1:8" x14ac:dyDescent="0.25">
      <c r="A1123">
        <v>161347</v>
      </c>
      <c r="B1123" t="s">
        <v>1901</v>
      </c>
      <c r="C1123" t="s">
        <v>1902</v>
      </c>
      <c r="D1123" t="s">
        <v>28</v>
      </c>
      <c r="E1123" t="s">
        <v>79</v>
      </c>
      <c r="F1123" t="s">
        <v>231</v>
      </c>
      <c r="G1123" t="str">
        <f>HYPERLINK(_xlfn.CONCAT("https://tablet.otzar.org/",CHAR(35),"/book/161347/p/-1/t/1/fs/0/start/0/end/0/c"),"לקט הלכות ומנהגים לחג הפסח")</f>
        <v>לקט הלכות ומנהגים לחג הפסח</v>
      </c>
      <c r="H1123" t="str">
        <f>_xlfn.CONCAT("https://tablet.otzar.org/",CHAR(35),"/book/161347/p/-1/t/1/fs/0/start/0/end/0/c")</f>
        <v>https://tablet.otzar.org/#/book/161347/p/-1/t/1/fs/0/start/0/end/0/c</v>
      </c>
    </row>
    <row r="1124" spans="1:8" x14ac:dyDescent="0.25">
      <c r="A1124">
        <v>150678</v>
      </c>
      <c r="B1124" t="s">
        <v>1903</v>
      </c>
      <c r="C1124" t="s">
        <v>1904</v>
      </c>
      <c r="D1124" t="s">
        <v>412</v>
      </c>
      <c r="E1124" t="s">
        <v>226</v>
      </c>
      <c r="F1124" t="s">
        <v>611</v>
      </c>
      <c r="G1124" t="str">
        <f>HYPERLINK(_xlfn.CONCAT("https://tablet.otzar.org/",CHAR(35),"/book/150678/p/-1/t/1/fs/0/start/0/end/0/c"),"לקט הלכות לתלמידים מתוך קיצור שלחן ערוך")</f>
        <v>לקט הלכות לתלמידים מתוך קיצור שלחן ערוך</v>
      </c>
      <c r="H1124" t="str">
        <f>_xlfn.CONCAT("https://tablet.otzar.org/",CHAR(35),"/book/150678/p/-1/t/1/fs/0/start/0/end/0/c")</f>
        <v>https://tablet.otzar.org/#/book/150678/p/-1/t/1/fs/0/start/0/end/0/c</v>
      </c>
    </row>
    <row r="1125" spans="1:8" x14ac:dyDescent="0.25">
      <c r="A1125">
        <v>601605</v>
      </c>
      <c r="B1125" t="s">
        <v>1905</v>
      </c>
      <c r="C1125" t="s">
        <v>339</v>
      </c>
      <c r="D1125" t="s">
        <v>37</v>
      </c>
      <c r="E1125" t="s">
        <v>99</v>
      </c>
      <c r="F1125" t="s">
        <v>43</v>
      </c>
      <c r="G1125" t="str">
        <f>HYPERLINK(_xlfn.CONCAT("https://tablet.otzar.org/",CHAR(35),"/exKotar/601605"),"לקט ופרט - 24 כרכים")</f>
        <v>לקט ופרט - 24 כרכים</v>
      </c>
      <c r="H1125" t="str">
        <f>_xlfn.CONCAT("https://tablet.otzar.org/",CHAR(35),"/exKotar/601605")</f>
        <v>https://tablet.otzar.org/#/exKotar/601605</v>
      </c>
    </row>
    <row r="1126" spans="1:8" x14ac:dyDescent="0.25">
      <c r="A1126">
        <v>146360</v>
      </c>
      <c r="B1126" t="s">
        <v>1906</v>
      </c>
      <c r="C1126" t="s">
        <v>45</v>
      </c>
      <c r="D1126" t="s">
        <v>10</v>
      </c>
      <c r="E1126" t="s">
        <v>236</v>
      </c>
      <c r="F1126" t="s">
        <v>12</v>
      </c>
      <c r="G1126" t="str">
        <f>HYPERLINK(_xlfn.CONCAT("https://tablet.otzar.org/",CHAR(35),"/exKotar/146360"),"לקט חידושי תורה - 3 כרכים")</f>
        <v>לקט חידושי תורה - 3 כרכים</v>
      </c>
      <c r="H1126" t="str">
        <f>_xlfn.CONCAT("https://tablet.otzar.org/",CHAR(35),"/exKotar/146360")</f>
        <v>https://tablet.otzar.org/#/exKotar/146360</v>
      </c>
    </row>
    <row r="1127" spans="1:8" x14ac:dyDescent="0.25">
      <c r="A1127">
        <v>26470</v>
      </c>
      <c r="B1127" t="s">
        <v>1907</v>
      </c>
      <c r="C1127" t="s">
        <v>45</v>
      </c>
      <c r="D1127" t="s">
        <v>10</v>
      </c>
      <c r="E1127" t="s">
        <v>103</v>
      </c>
      <c r="F1127" t="s">
        <v>883</v>
      </c>
      <c r="G1127" t="str">
        <f>HYPERLINK(_xlfn.CONCAT("https://tablet.otzar.org/",CHAR(35),"/book/26470/p/-1/t/1/fs/0/start/0/end/0/c"),"לקט חידושים וביאורים במסכת בבא בתרא")</f>
        <v>לקט חידושים וביאורים במסכת בבא בתרא</v>
      </c>
      <c r="H1127" t="str">
        <f>_xlfn.CONCAT("https://tablet.otzar.org/",CHAR(35),"/book/26470/p/-1/t/1/fs/0/start/0/end/0/c")</f>
        <v>https://tablet.otzar.org/#/book/26470/p/-1/t/1/fs/0/start/0/end/0/c</v>
      </c>
    </row>
    <row r="1128" spans="1:8" x14ac:dyDescent="0.25">
      <c r="A1128">
        <v>140936</v>
      </c>
      <c r="B1128" t="s">
        <v>1908</v>
      </c>
      <c r="C1128" t="s">
        <v>1909</v>
      </c>
      <c r="D1128" t="s">
        <v>10</v>
      </c>
      <c r="E1128" t="s">
        <v>1327</v>
      </c>
      <c r="F1128" t="s">
        <v>12</v>
      </c>
      <c r="G1128" t="str">
        <f>HYPERLINK(_xlfn.CONCAT("https://tablet.otzar.org/",CHAR(35),"/book/140936/p/-1/t/1/fs/0/start/0/end/0/c"),"לקט ליום ההילולא י' שבט")</f>
        <v>לקט ליום ההילולא י' שבט</v>
      </c>
      <c r="H1128" t="str">
        <f>_xlfn.CONCAT("https://tablet.otzar.org/",CHAR(35),"/book/140936/p/-1/t/1/fs/0/start/0/end/0/c")</f>
        <v>https://tablet.otzar.org/#/book/140936/p/-1/t/1/fs/0/start/0/end/0/c</v>
      </c>
    </row>
    <row r="1129" spans="1:8" x14ac:dyDescent="0.25">
      <c r="A1129">
        <v>614939</v>
      </c>
      <c r="B1129" t="s">
        <v>1910</v>
      </c>
      <c r="C1129" t="s">
        <v>1911</v>
      </c>
      <c r="D1129" t="s">
        <v>15</v>
      </c>
      <c r="E1129" t="s">
        <v>57</v>
      </c>
      <c r="F1129" t="s">
        <v>12</v>
      </c>
      <c r="G1129" t="str">
        <f>HYPERLINK(_xlfn.CONCAT("https://tablet.otzar.org/",CHAR(35),"/book/614939/p/-1/t/1/fs/0/start/0/end/0/c"),"לקט מאמרים על האשה בישראל")</f>
        <v>לקט מאמרים על האשה בישראל</v>
      </c>
      <c r="H1129" t="str">
        <f>_xlfn.CONCAT("https://tablet.otzar.org/",CHAR(35),"/book/614939/p/-1/t/1/fs/0/start/0/end/0/c")</f>
        <v>https://tablet.otzar.org/#/book/614939/p/-1/t/1/fs/0/start/0/end/0/c</v>
      </c>
    </row>
    <row r="1130" spans="1:8" x14ac:dyDescent="0.25">
      <c r="A1130">
        <v>85377</v>
      </c>
      <c r="B1130" t="s">
        <v>1912</v>
      </c>
      <c r="C1130" t="s">
        <v>524</v>
      </c>
      <c r="D1130" t="s">
        <v>118</v>
      </c>
      <c r="E1130" t="s">
        <v>148</v>
      </c>
      <c r="F1130" t="s">
        <v>12</v>
      </c>
      <c r="G1130" t="str">
        <f>HYPERLINK(_xlfn.CONCAT("https://tablet.otzar.org/",CHAR(35),"/book/85377/p/-1/t/1/fs/0/start/0/end/0/c"),"לקט מביאורי רבותינו נשיאינו - קידושין")</f>
        <v>לקט מביאורי רבותינו נשיאינו - קידושין</v>
      </c>
      <c r="H1130" t="str">
        <f>_xlfn.CONCAT("https://tablet.otzar.org/",CHAR(35),"/book/85377/p/-1/t/1/fs/0/start/0/end/0/c")</f>
        <v>https://tablet.otzar.org/#/book/85377/p/-1/t/1/fs/0/start/0/end/0/c</v>
      </c>
    </row>
    <row r="1131" spans="1:8" x14ac:dyDescent="0.25">
      <c r="A1131">
        <v>163162</v>
      </c>
      <c r="B1131" t="s">
        <v>1913</v>
      </c>
      <c r="C1131" t="s">
        <v>48</v>
      </c>
      <c r="D1131" t="s">
        <v>15</v>
      </c>
      <c r="E1131" t="s">
        <v>16</v>
      </c>
      <c r="F1131" t="s">
        <v>12</v>
      </c>
      <c r="G1131" t="str">
        <f>HYPERLINK(_xlfn.CONCAT("https://tablet.otzar.org/",CHAR(35),"/book/163162/p/-1/t/1/fs/0/start/0/end/0/c"),"לקט מכתבי קודש")</f>
        <v>לקט מכתבי קודש</v>
      </c>
      <c r="H1131" t="str">
        <f>_xlfn.CONCAT("https://tablet.otzar.org/",CHAR(35),"/book/163162/p/-1/t/1/fs/0/start/0/end/0/c")</f>
        <v>https://tablet.otzar.org/#/book/163162/p/-1/t/1/fs/0/start/0/end/0/c</v>
      </c>
    </row>
    <row r="1132" spans="1:8" x14ac:dyDescent="0.25">
      <c r="A1132">
        <v>607831</v>
      </c>
      <c r="B1132" t="s">
        <v>1914</v>
      </c>
      <c r="C1132" t="s">
        <v>1915</v>
      </c>
      <c r="D1132" t="s">
        <v>28</v>
      </c>
      <c r="E1132" t="s">
        <v>404</v>
      </c>
      <c r="F1132" t="s">
        <v>12</v>
      </c>
      <c r="G1132" t="str">
        <f>HYPERLINK(_xlfn.CONCAT("https://tablet.otzar.org/",CHAR(35),"/book/607831/p/-1/t/1/fs/0/start/0/end/0/c"),"לקט מענות קודש")</f>
        <v>לקט מענות קודש</v>
      </c>
      <c r="H1132" t="str">
        <f>_xlfn.CONCAT("https://tablet.otzar.org/",CHAR(35),"/book/607831/p/-1/t/1/fs/0/start/0/end/0/c")</f>
        <v>https://tablet.otzar.org/#/book/607831/p/-1/t/1/fs/0/start/0/end/0/c</v>
      </c>
    </row>
    <row r="1133" spans="1:8" x14ac:dyDescent="0.25">
      <c r="A1133">
        <v>146333</v>
      </c>
      <c r="B1133" t="s">
        <v>1916</v>
      </c>
      <c r="C1133" t="s">
        <v>1917</v>
      </c>
      <c r="D1133" t="s">
        <v>10</v>
      </c>
      <c r="E1133" t="s">
        <v>103</v>
      </c>
      <c r="F1133" t="s">
        <v>12</v>
      </c>
      <c r="G1133" t="str">
        <f>HYPERLINK(_xlfn.CONCAT("https://tablet.otzar.org/",CHAR(35),"/book/146333/p/-1/t/1/fs/0/start/0/end/0/c"),"לקט מתורת רבותינו נשיאינו - תשנ""""ט")</f>
        <v>לקט מתורת רבותינו נשיאינו - תשנ""ט</v>
      </c>
      <c r="H1133" t="str">
        <f>_xlfn.CONCAT("https://tablet.otzar.org/",CHAR(35),"/book/146333/p/-1/t/1/fs/0/start/0/end/0/c")</f>
        <v>https://tablet.otzar.org/#/book/146333/p/-1/t/1/fs/0/start/0/end/0/c</v>
      </c>
    </row>
    <row r="1134" spans="1:8" x14ac:dyDescent="0.25">
      <c r="A1134">
        <v>146393</v>
      </c>
      <c r="B1134" t="s">
        <v>1918</v>
      </c>
      <c r="C1134" t="s">
        <v>244</v>
      </c>
      <c r="D1134" t="s">
        <v>10</v>
      </c>
      <c r="E1134" t="s">
        <v>148</v>
      </c>
      <c r="F1134" t="s">
        <v>12</v>
      </c>
      <c r="G1134" t="str">
        <f>HYPERLINK(_xlfn.CONCAT("https://tablet.otzar.org/",CHAR(35),"/exKotar/146393"),"לקט מתורת רבותינו נשיאינו - 2 כרכים")</f>
        <v>לקט מתורת רבותינו נשיאינו - 2 כרכים</v>
      </c>
      <c r="H1134" t="str">
        <f>_xlfn.CONCAT("https://tablet.otzar.org/",CHAR(35),"/exKotar/146393")</f>
        <v>https://tablet.otzar.org/#/exKotar/146393</v>
      </c>
    </row>
    <row r="1135" spans="1:8" x14ac:dyDescent="0.25">
      <c r="A1135">
        <v>146320</v>
      </c>
      <c r="B1135" t="s">
        <v>1919</v>
      </c>
      <c r="C1135" t="s">
        <v>1920</v>
      </c>
      <c r="D1135" t="s">
        <v>10</v>
      </c>
      <c r="E1135" t="s">
        <v>260</v>
      </c>
      <c r="F1135" t="s">
        <v>12</v>
      </c>
      <c r="G1135" t="str">
        <f>HYPERLINK(_xlfn.CONCAT("https://tablet.otzar.org/",CHAR(35),"/book/146320/p/-1/t/1/fs/0/start/0/end/0/c"),"לקט מתורת רבותינו נשיאנו - תשנ""""א")</f>
        <v>לקט מתורת רבותינו נשיאנו - תשנ""א</v>
      </c>
      <c r="H1135" t="str">
        <f>_xlfn.CONCAT("https://tablet.otzar.org/",CHAR(35),"/book/146320/p/-1/t/1/fs/0/start/0/end/0/c")</f>
        <v>https://tablet.otzar.org/#/book/146320/p/-1/t/1/fs/0/start/0/end/0/c</v>
      </c>
    </row>
    <row r="1136" spans="1:8" x14ac:dyDescent="0.25">
      <c r="A1136">
        <v>27833</v>
      </c>
      <c r="B1136" t="s">
        <v>1921</v>
      </c>
      <c r="C1136" t="s">
        <v>1922</v>
      </c>
      <c r="D1136" t="s">
        <v>15</v>
      </c>
      <c r="E1136" t="s">
        <v>38</v>
      </c>
      <c r="F1136" t="s">
        <v>12</v>
      </c>
      <c r="G1136" t="str">
        <f>HYPERLINK(_xlfn.CONCAT("https://tablet.otzar.org/",CHAR(35),"/exKotar/27833"),"לקט סיפורים על הרבי מליובאויטש - 7 כרכים")</f>
        <v>לקט סיפורים על הרבי מליובאויטש - 7 כרכים</v>
      </c>
      <c r="H1136" t="str">
        <f>_xlfn.CONCAT("https://tablet.otzar.org/",CHAR(35),"/exKotar/27833")</f>
        <v>https://tablet.otzar.org/#/exKotar/27833</v>
      </c>
    </row>
    <row r="1137" spans="1:8" x14ac:dyDescent="0.25">
      <c r="A1137">
        <v>140925</v>
      </c>
      <c r="B1137" t="s">
        <v>1923</v>
      </c>
      <c r="C1137" t="s">
        <v>1922</v>
      </c>
      <c r="D1137" t="s">
        <v>10</v>
      </c>
      <c r="E1137" t="s">
        <v>79</v>
      </c>
      <c r="F1137" t="s">
        <v>12</v>
      </c>
      <c r="G1137" t="str">
        <f>HYPERLINK(_xlfn.CONCAT("https://tablet.otzar.org/",CHAR(35),"/book/140925/p/-1/t/1/fs/0/start/0/end/0/c"),"לקט ספורים")</f>
        <v>לקט ספורים</v>
      </c>
      <c r="H1137" t="str">
        <f>_xlfn.CONCAT("https://tablet.otzar.org/",CHAR(35),"/book/140925/p/-1/t/1/fs/0/start/0/end/0/c")</f>
        <v>https://tablet.otzar.org/#/book/140925/p/-1/t/1/fs/0/start/0/end/0/c</v>
      </c>
    </row>
    <row r="1138" spans="1:8" x14ac:dyDescent="0.25">
      <c r="A1138">
        <v>167749</v>
      </c>
      <c r="B1138" t="s">
        <v>1924</v>
      </c>
      <c r="C1138" t="s">
        <v>1925</v>
      </c>
      <c r="D1138" t="s">
        <v>412</v>
      </c>
      <c r="E1138" t="s">
        <v>49</v>
      </c>
      <c r="F1138" t="s">
        <v>12</v>
      </c>
      <c r="G1138" t="str">
        <f>HYPERLINK(_xlfn.CONCAT("https://tablet.otzar.org/",CHAR(35),"/book/167749/p/-1/t/1/fs/0/start/0/end/0/c"),"לקט עיונים ובירורי הלכה")</f>
        <v>לקט עיונים ובירורי הלכה</v>
      </c>
      <c r="H1138" t="str">
        <f>_xlfn.CONCAT("https://tablet.otzar.org/",CHAR(35),"/book/167749/p/-1/t/1/fs/0/start/0/end/0/c")</f>
        <v>https://tablet.otzar.org/#/book/167749/p/-1/t/1/fs/0/start/0/end/0/c</v>
      </c>
    </row>
    <row r="1139" spans="1:8" x14ac:dyDescent="0.25">
      <c r="A1139">
        <v>141399</v>
      </c>
      <c r="B1139" t="s">
        <v>1926</v>
      </c>
      <c r="C1139" t="s">
        <v>1927</v>
      </c>
      <c r="D1139" t="s">
        <v>10</v>
      </c>
      <c r="E1139" t="s">
        <v>66</v>
      </c>
      <c r="F1139" t="s">
        <v>12</v>
      </c>
      <c r="G1139" t="str">
        <f>HYPERLINK(_xlfn.CONCAT("https://tablet.otzar.org/",CHAR(35),"/exKotar/141399"),"לקט ציונים והערות לש""""ע אדמו""""ר הזקן - 2 כרכים")</f>
        <v>לקט ציונים והערות לש""ע אדמו""ר הזקן - 2 כרכים</v>
      </c>
      <c r="H1139" t="str">
        <f>_xlfn.CONCAT("https://tablet.otzar.org/",CHAR(35),"/exKotar/141399")</f>
        <v>https://tablet.otzar.org/#/exKotar/141399</v>
      </c>
    </row>
    <row r="1140" spans="1:8" x14ac:dyDescent="0.25">
      <c r="A1140">
        <v>639286</v>
      </c>
      <c r="B1140" t="s">
        <v>1928</v>
      </c>
      <c r="C1140" t="s">
        <v>492</v>
      </c>
      <c r="D1140" t="s">
        <v>197</v>
      </c>
      <c r="E1140" t="s">
        <v>217</v>
      </c>
      <c r="F1140" t="s">
        <v>161</v>
      </c>
      <c r="G1140" t="str">
        <f>HYPERLINK(_xlfn.CONCAT("https://tablet.otzar.org/",CHAR(35),"/book/639286/p/-1/t/1/fs/0/start/0/end/0/c"),"לקט שכחת הפאה")</f>
        <v>לקט שכחת הפאה</v>
      </c>
      <c r="H1140" t="str">
        <f>_xlfn.CONCAT("https://tablet.otzar.org/",CHAR(35),"/book/639286/p/-1/t/1/fs/0/start/0/end/0/c")</f>
        <v>https://tablet.otzar.org/#/book/639286/p/-1/t/1/fs/0/start/0/end/0/c</v>
      </c>
    </row>
    <row r="1141" spans="1:8" x14ac:dyDescent="0.25">
      <c r="A1141">
        <v>146229</v>
      </c>
      <c r="B1141" t="s">
        <v>1929</v>
      </c>
      <c r="C1141" t="s">
        <v>1930</v>
      </c>
      <c r="D1141" t="s">
        <v>15</v>
      </c>
      <c r="E1141" t="s">
        <v>60</v>
      </c>
      <c r="F1141" t="s">
        <v>12</v>
      </c>
      <c r="G1141" t="str">
        <f>HYPERLINK(_xlfn.CONCAT("https://tablet.otzar.org/",CHAR(35),"/exKotar/146229"),"לקראת שבת - 6 כרכים")</f>
        <v>לקראת שבת - 6 כרכים</v>
      </c>
      <c r="H1141" t="str">
        <f>_xlfn.CONCAT("https://tablet.otzar.org/",CHAR(35),"/exKotar/146229")</f>
        <v>https://tablet.otzar.org/#/exKotar/146229</v>
      </c>
    </row>
    <row r="1142" spans="1:8" x14ac:dyDescent="0.25">
      <c r="A1142">
        <v>153366</v>
      </c>
      <c r="B1142" t="s">
        <v>1931</v>
      </c>
      <c r="C1142" t="s">
        <v>1932</v>
      </c>
      <c r="D1142" t="s">
        <v>15</v>
      </c>
      <c r="E1142" t="s">
        <v>49</v>
      </c>
      <c r="F1142" t="s">
        <v>12</v>
      </c>
      <c r="G1142" t="str">
        <f>HYPERLINK(_xlfn.CONCAT("https://tablet.otzar.org/",CHAR(35),"/book/153366/p/-1/t/1/fs/0/start/0/end/0/c"),"לקרב הניצוץ אל המאור")</f>
        <v>לקרב הניצוץ אל המאור</v>
      </c>
      <c r="H1142" t="str">
        <f>_xlfn.CONCAT("https://tablet.otzar.org/",CHAR(35),"/book/153366/p/-1/t/1/fs/0/start/0/end/0/c")</f>
        <v>https://tablet.otzar.org/#/book/153366/p/-1/t/1/fs/0/start/0/end/0/c</v>
      </c>
    </row>
    <row r="1143" spans="1:8" x14ac:dyDescent="0.25">
      <c r="A1143">
        <v>609790</v>
      </c>
      <c r="B1143" t="s">
        <v>1933</v>
      </c>
      <c r="C1143" t="s">
        <v>391</v>
      </c>
      <c r="D1143" t="s">
        <v>197</v>
      </c>
      <c r="E1143" t="s">
        <v>226</v>
      </c>
      <c r="F1143" t="s">
        <v>12</v>
      </c>
      <c r="G1143" t="str">
        <f>HYPERLINK(_xlfn.CONCAT("https://tablet.otzar.org/",CHAR(35),"/book/609790/p/-1/t/1/fs/0/start/0/end/0/c"),"לשם ולתפארת")</f>
        <v>לשם ולתפארת</v>
      </c>
      <c r="H1143" t="str">
        <f>_xlfn.CONCAT("https://tablet.otzar.org/",CHAR(35),"/book/609790/p/-1/t/1/fs/0/start/0/end/0/c")</f>
        <v>https://tablet.otzar.org/#/book/609790/p/-1/t/1/fs/0/start/0/end/0/c</v>
      </c>
    </row>
    <row r="1144" spans="1:8" x14ac:dyDescent="0.25">
      <c r="A1144">
        <v>631189</v>
      </c>
      <c r="B1144" t="s">
        <v>1934</v>
      </c>
      <c r="C1144" t="s">
        <v>1350</v>
      </c>
      <c r="D1144" t="s">
        <v>159</v>
      </c>
      <c r="E1144" t="s">
        <v>185</v>
      </c>
      <c r="F1144" t="s">
        <v>12</v>
      </c>
      <c r="G1144" t="str">
        <f>HYPERLINK(_xlfn.CONCAT("https://tablet.otzar.org/",CHAR(35),"/book/631189/p/-1/t/1/fs/0/start/0/end/0/c"),"לשם מה חייבים רבי - ואתה תצוה בעיון")</f>
        <v>לשם מה חייבים רבי - ואתה תצוה בעיון</v>
      </c>
      <c r="H1144" t="str">
        <f>_xlfn.CONCAT("https://tablet.otzar.org/",CHAR(35),"/book/631189/p/-1/t/1/fs/0/start/0/end/0/c")</f>
        <v>https://tablet.otzar.org/#/book/631189/p/-1/t/1/fs/0/start/0/end/0/c</v>
      </c>
    </row>
    <row r="1145" spans="1:8" x14ac:dyDescent="0.25">
      <c r="A1145">
        <v>141335</v>
      </c>
      <c r="B1145" t="s">
        <v>1935</v>
      </c>
      <c r="C1145" t="s">
        <v>125</v>
      </c>
      <c r="D1145" t="s">
        <v>10</v>
      </c>
      <c r="E1145" t="s">
        <v>382</v>
      </c>
      <c r="F1145" t="s">
        <v>12</v>
      </c>
      <c r="G1145" t="str">
        <f>HYPERLINK(_xlfn.CONCAT("https://tablet.otzar.org/",CHAR(35),"/book/141335/p/-1/t/1/fs/0/start/0/end/0/c"),"לשמוע בקול דברו")</f>
        <v>לשמוע בקול דברו</v>
      </c>
      <c r="H1145" t="str">
        <f>_xlfn.CONCAT("https://tablet.otzar.org/",CHAR(35),"/book/141335/p/-1/t/1/fs/0/start/0/end/0/c")</f>
        <v>https://tablet.otzar.org/#/book/141335/p/-1/t/1/fs/0/start/0/end/0/c</v>
      </c>
    </row>
    <row r="1146" spans="1:8" x14ac:dyDescent="0.25">
      <c r="A1146">
        <v>607936</v>
      </c>
      <c r="B1146" t="s">
        <v>1936</v>
      </c>
      <c r="C1146" t="s">
        <v>113</v>
      </c>
      <c r="D1146" t="s">
        <v>15</v>
      </c>
      <c r="E1146" t="s">
        <v>99</v>
      </c>
      <c r="F1146" t="s">
        <v>12</v>
      </c>
      <c r="G1146" t="str">
        <f>HYPERLINK(_xlfn.CONCAT("https://tablet.otzar.org/",CHAR(35),"/book/607936/p/-1/t/1/fs/0/start/0/end/0/c"),"לשמך תן כבוד")</f>
        <v>לשמך תן כבוד</v>
      </c>
      <c r="H1146" t="str">
        <f>_xlfn.CONCAT("https://tablet.otzar.org/",CHAR(35),"/book/607936/p/-1/t/1/fs/0/start/0/end/0/c")</f>
        <v>https://tablet.otzar.org/#/book/607936/p/-1/t/1/fs/0/start/0/end/0/c</v>
      </c>
    </row>
    <row r="1147" spans="1:8" x14ac:dyDescent="0.25">
      <c r="A1147">
        <v>28702</v>
      </c>
      <c r="B1147" t="s">
        <v>1937</v>
      </c>
      <c r="C1147" t="s">
        <v>1938</v>
      </c>
      <c r="D1147" t="s">
        <v>10</v>
      </c>
      <c r="E1147" t="s">
        <v>441</v>
      </c>
      <c r="F1147" t="s">
        <v>12</v>
      </c>
      <c r="G1147" t="str">
        <f>HYPERLINK(_xlfn.CONCAT("https://tablet.otzar.org/",CHAR(35),"/book/28702/p/-1/t/1/fs/0/start/0/end/0/c"),"לשמע אזן")</f>
        <v>לשמע אזן</v>
      </c>
      <c r="H1147" t="str">
        <f>_xlfn.CONCAT("https://tablet.otzar.org/",CHAR(35),"/book/28702/p/-1/t/1/fs/0/start/0/end/0/c")</f>
        <v>https://tablet.otzar.org/#/book/28702/p/-1/t/1/fs/0/start/0/end/0/c</v>
      </c>
    </row>
    <row r="1148" spans="1:8" x14ac:dyDescent="0.25">
      <c r="A1148">
        <v>607994</v>
      </c>
      <c r="B1148" t="s">
        <v>1939</v>
      </c>
      <c r="C1148" t="s">
        <v>1940</v>
      </c>
      <c r="D1148" t="s">
        <v>10</v>
      </c>
      <c r="E1148" t="s">
        <v>99</v>
      </c>
      <c r="F1148" t="s">
        <v>12</v>
      </c>
      <c r="G1148" t="str">
        <f>HYPERLINK(_xlfn.CONCAT("https://tablet.otzar.org/",CHAR(35),"/book/607994/p/-1/t/1/fs/0/start/0/end/0/c"),"מ'פארט צום רבי'ן")</f>
        <v>מ'פארט צום רבי'ן</v>
      </c>
      <c r="H1148" t="str">
        <f>_xlfn.CONCAT("https://tablet.otzar.org/",CHAR(35),"/book/607994/p/-1/t/1/fs/0/start/0/end/0/c")</f>
        <v>https://tablet.otzar.org/#/book/607994/p/-1/t/1/fs/0/start/0/end/0/c</v>
      </c>
    </row>
    <row r="1149" spans="1:8" x14ac:dyDescent="0.25">
      <c r="A1149">
        <v>601634</v>
      </c>
      <c r="B1149" t="s">
        <v>1941</v>
      </c>
      <c r="C1149" t="s">
        <v>1942</v>
      </c>
      <c r="D1149" t="s">
        <v>1943</v>
      </c>
      <c r="E1149" t="s">
        <v>404</v>
      </c>
      <c r="F1149" t="s">
        <v>12</v>
      </c>
      <c r="G1149" t="str">
        <f>HYPERLINK(_xlfn.CONCAT("https://tablet.otzar.org/",CHAR(35),"/exKotar/601634"),"מאגר ערכים בספרות חב""""ד - 2 כרכים")</f>
        <v>מאגר ערכים בספרות חב""ד - 2 כרכים</v>
      </c>
      <c r="H1149" t="str">
        <f>_xlfn.CONCAT("https://tablet.otzar.org/",CHAR(35),"/exKotar/601634")</f>
        <v>https://tablet.otzar.org/#/exKotar/601634</v>
      </c>
    </row>
    <row r="1150" spans="1:8" x14ac:dyDescent="0.25">
      <c r="A1150">
        <v>27839</v>
      </c>
      <c r="B1150" t="s">
        <v>1944</v>
      </c>
      <c r="C1150" t="s">
        <v>1945</v>
      </c>
      <c r="D1150" t="s">
        <v>15</v>
      </c>
      <c r="F1150" t="s">
        <v>12</v>
      </c>
      <c r="G1150" t="str">
        <f>HYPERLINK(_xlfn.CONCAT("https://tablet.otzar.org/",CHAR(35),"/exKotar/27839"),"מאה ואחד סיפורים ראשונים לילד החסידי - 5 כרכים")</f>
        <v>מאה ואחד סיפורים ראשונים לילד החסידי - 5 כרכים</v>
      </c>
      <c r="H1150" t="str">
        <f>_xlfn.CONCAT("https://tablet.otzar.org/",CHAR(35),"/exKotar/27839")</f>
        <v>https://tablet.otzar.org/#/exKotar/27839</v>
      </c>
    </row>
    <row r="1151" spans="1:8" x14ac:dyDescent="0.25">
      <c r="A1151">
        <v>140950</v>
      </c>
      <c r="B1151" t="s">
        <v>1946</v>
      </c>
      <c r="C1151" t="s">
        <v>125</v>
      </c>
      <c r="D1151" t="s">
        <v>15</v>
      </c>
      <c r="E1151" t="s">
        <v>217</v>
      </c>
      <c r="F1151" t="s">
        <v>12</v>
      </c>
      <c r="G1151" t="str">
        <f>HYPERLINK(_xlfn.CONCAT("https://tablet.otzar.org/",CHAR(35),"/exKotar/140950"),"מאה שנה להולדת הרבי - 2 כרכים")</f>
        <v>מאה שנה להולדת הרבי - 2 כרכים</v>
      </c>
      <c r="H1151" t="str">
        <f>_xlfn.CONCAT("https://tablet.otzar.org/",CHAR(35),"/exKotar/140950")</f>
        <v>https://tablet.otzar.org/#/exKotar/140950</v>
      </c>
    </row>
    <row r="1152" spans="1:8" x14ac:dyDescent="0.25">
      <c r="A1152">
        <v>28705</v>
      </c>
      <c r="B1152" t="s">
        <v>1947</v>
      </c>
      <c r="C1152" t="s">
        <v>1948</v>
      </c>
      <c r="D1152" t="s">
        <v>10</v>
      </c>
      <c r="E1152" t="s">
        <v>142</v>
      </c>
      <c r="F1152" t="s">
        <v>12</v>
      </c>
      <c r="G1152" t="str">
        <f>HYPERLINK(_xlfn.CONCAT("https://tablet.otzar.org/",CHAR(35),"/book/28705/p/-1/t/1/fs/0/start/0/end/0/c"),"מאה שערים")</f>
        <v>מאה שערים</v>
      </c>
      <c r="H1152" t="str">
        <f>_xlfn.CONCAT("https://tablet.otzar.org/",CHAR(35),"/book/28705/p/-1/t/1/fs/0/start/0/end/0/c")</f>
        <v>https://tablet.otzar.org/#/book/28705/p/-1/t/1/fs/0/start/0/end/0/c</v>
      </c>
    </row>
    <row r="1153" spans="1:8" x14ac:dyDescent="0.25">
      <c r="A1153">
        <v>196132</v>
      </c>
      <c r="B1153" t="s">
        <v>1949</v>
      </c>
      <c r="C1153" t="s">
        <v>1948</v>
      </c>
      <c r="D1153" t="s">
        <v>10</v>
      </c>
      <c r="E1153" t="s">
        <v>82</v>
      </c>
      <c r="F1153" t="s">
        <v>12</v>
      </c>
      <c r="G1153" t="str">
        <f>HYPERLINK(_xlfn.CONCAT("https://tablet.otzar.org/",CHAR(35),"/book/196132/p/-1/t/1/fs/0/start/0/end/0/c"),"מאה שערים &lt;מהדורה חדשה&gt;")</f>
        <v>מאה שערים &lt;מהדורה חדשה&gt;</v>
      </c>
      <c r="H1153" t="str">
        <f>_xlfn.CONCAT("https://tablet.otzar.org/",CHAR(35),"/book/196132/p/-1/t/1/fs/0/start/0/end/0/c")</f>
        <v>https://tablet.otzar.org/#/book/196132/p/-1/t/1/fs/0/start/0/end/0/c</v>
      </c>
    </row>
    <row r="1154" spans="1:8" x14ac:dyDescent="0.25">
      <c r="A1154">
        <v>28815</v>
      </c>
      <c r="B1154" t="s">
        <v>1950</v>
      </c>
      <c r="C1154" t="s">
        <v>45</v>
      </c>
      <c r="D1154" t="s">
        <v>10</v>
      </c>
      <c r="E1154" t="s">
        <v>192</v>
      </c>
      <c r="F1154" t="s">
        <v>12</v>
      </c>
      <c r="G1154" t="str">
        <f>HYPERLINK(_xlfn.CONCAT("https://tablet.otzar.org/",CHAR(35),"/exKotar/28815"),"מאוצר המלך - 3 כרכים")</f>
        <v>מאוצר המלך - 3 כרכים</v>
      </c>
      <c r="H1154" t="str">
        <f>_xlfn.CONCAT("https://tablet.otzar.org/",CHAR(35),"/exKotar/28815")</f>
        <v>https://tablet.otzar.org/#/exKotar/28815</v>
      </c>
    </row>
    <row r="1155" spans="1:8" x14ac:dyDescent="0.25">
      <c r="A1155">
        <v>146042</v>
      </c>
      <c r="B1155" t="s">
        <v>1951</v>
      </c>
      <c r="C1155" t="s">
        <v>125</v>
      </c>
      <c r="D1155" t="s">
        <v>315</v>
      </c>
      <c r="E1155" t="s">
        <v>66</v>
      </c>
      <c r="F1155" t="s">
        <v>251</v>
      </c>
      <c r="G1155" t="str">
        <f>HYPERLINK(_xlfn.CONCAT("https://tablet.otzar.org/",CHAR(35),"/book/146042/p/-1/t/1/fs/0/start/0/end/0/c"),"מאור התורה - יתרו")</f>
        <v>מאור התורה - יתרו</v>
      </c>
      <c r="H1155" t="str">
        <f>_xlfn.CONCAT("https://tablet.otzar.org/",CHAR(35),"/book/146042/p/-1/t/1/fs/0/start/0/end/0/c")</f>
        <v>https://tablet.otzar.org/#/book/146042/p/-1/t/1/fs/0/start/0/end/0/c</v>
      </c>
    </row>
    <row r="1156" spans="1:8" x14ac:dyDescent="0.25">
      <c r="A1156">
        <v>616775</v>
      </c>
      <c r="B1156" t="s">
        <v>1952</v>
      </c>
      <c r="C1156" t="s">
        <v>1953</v>
      </c>
      <c r="E1156" t="s">
        <v>82</v>
      </c>
      <c r="F1156" t="s">
        <v>12</v>
      </c>
      <c r="G1156" t="str">
        <f>HYPERLINK(_xlfn.CONCAT("https://tablet.otzar.org/",CHAR(35),"/book/616775/p/-1/t/1/fs/0/start/0/end/0/c"),"מאחורי הקלעים")</f>
        <v>מאחורי הקלעים</v>
      </c>
      <c r="H1156" t="str">
        <f>_xlfn.CONCAT("https://tablet.otzar.org/",CHAR(35),"/book/616775/p/-1/t/1/fs/0/start/0/end/0/c")</f>
        <v>https://tablet.otzar.org/#/book/616775/p/-1/t/1/fs/0/start/0/end/0/c</v>
      </c>
    </row>
    <row r="1157" spans="1:8" x14ac:dyDescent="0.25">
      <c r="A1157">
        <v>146534</v>
      </c>
      <c r="B1157" t="s">
        <v>1954</v>
      </c>
      <c r="C1157" t="s">
        <v>1756</v>
      </c>
      <c r="D1157" t="s">
        <v>10</v>
      </c>
      <c r="E1157" t="s">
        <v>441</v>
      </c>
      <c r="F1157" t="s">
        <v>342</v>
      </c>
      <c r="G1157" t="str">
        <f>HYPERLINK(_xlfn.CONCAT("https://tablet.otzar.org/",CHAR(35),"/book/146534/p/-1/t/1/fs/0/start/0/end/0/c"),"מאחורי מסך הברזל")</f>
        <v>מאחורי מסך הברזל</v>
      </c>
      <c r="H1157" t="str">
        <f>_xlfn.CONCAT("https://tablet.otzar.org/",CHAR(35),"/book/146534/p/-1/t/1/fs/0/start/0/end/0/c")</f>
        <v>https://tablet.otzar.org/#/book/146534/p/-1/t/1/fs/0/start/0/end/0/c</v>
      </c>
    </row>
    <row r="1158" spans="1:8" x14ac:dyDescent="0.25">
      <c r="A1158">
        <v>162890</v>
      </c>
      <c r="B1158" t="s">
        <v>1954</v>
      </c>
      <c r="C1158" t="s">
        <v>637</v>
      </c>
      <c r="D1158" t="s">
        <v>15</v>
      </c>
      <c r="E1158" t="s">
        <v>16</v>
      </c>
      <c r="F1158" t="s">
        <v>20</v>
      </c>
      <c r="G1158" t="str">
        <f>HYPERLINK(_xlfn.CONCAT("https://tablet.otzar.org/",CHAR(35),"/book/162890/p/-1/t/1/fs/0/start/0/end/0/c"),"מאחורי מסך הברזל")</f>
        <v>מאחורי מסך הברזל</v>
      </c>
      <c r="H1158" t="str">
        <f>_xlfn.CONCAT("https://tablet.otzar.org/",CHAR(35),"/book/162890/p/-1/t/1/fs/0/start/0/end/0/c")</f>
        <v>https://tablet.otzar.org/#/book/162890/p/-1/t/1/fs/0/start/0/end/0/c</v>
      </c>
    </row>
    <row r="1159" spans="1:8" x14ac:dyDescent="0.25">
      <c r="A1159">
        <v>196214</v>
      </c>
      <c r="B1159" t="s">
        <v>1955</v>
      </c>
      <c r="C1159" t="s">
        <v>391</v>
      </c>
      <c r="D1159" t="s">
        <v>28</v>
      </c>
      <c r="E1159" t="s">
        <v>99</v>
      </c>
      <c r="F1159" t="s">
        <v>12</v>
      </c>
      <c r="G1159" t="str">
        <f>HYPERLINK(_xlfn.CONCAT("https://tablet.otzar.org/",CHAR(35),"/book/196214/p/-1/t/1/fs/0/start/0/end/0/c"),"מאחורי קווי האויב")</f>
        <v>מאחורי קווי האויב</v>
      </c>
      <c r="H1159" t="str">
        <f>_xlfn.CONCAT("https://tablet.otzar.org/",CHAR(35),"/book/196214/p/-1/t/1/fs/0/start/0/end/0/c")</f>
        <v>https://tablet.otzar.org/#/book/196214/p/-1/t/1/fs/0/start/0/end/0/c</v>
      </c>
    </row>
    <row r="1160" spans="1:8" x14ac:dyDescent="0.25">
      <c r="A1160">
        <v>614908</v>
      </c>
      <c r="B1160" t="s">
        <v>1956</v>
      </c>
      <c r="C1160" t="s">
        <v>45</v>
      </c>
      <c r="D1160" t="s">
        <v>15</v>
      </c>
      <c r="E1160" t="s">
        <v>49</v>
      </c>
      <c r="F1160" t="s">
        <v>12</v>
      </c>
      <c r="G1160" t="str">
        <f>HYPERLINK(_xlfn.CONCAT("https://tablet.otzar.org/",CHAR(35),"/exKotar/614908"),"מאי חנוכה - 3 כרכים")</f>
        <v>מאי חנוכה - 3 כרכים</v>
      </c>
      <c r="H1160" t="str">
        <f>_xlfn.CONCAT("https://tablet.otzar.org/",CHAR(35),"/exKotar/614908")</f>
        <v>https://tablet.otzar.org/#/exKotar/614908</v>
      </c>
    </row>
    <row r="1161" spans="1:8" x14ac:dyDescent="0.25">
      <c r="A1161">
        <v>194304</v>
      </c>
      <c r="B1161" t="s">
        <v>1957</v>
      </c>
      <c r="C1161" t="s">
        <v>1958</v>
      </c>
      <c r="E1161" t="s">
        <v>62</v>
      </c>
      <c r="F1161" t="s">
        <v>12</v>
      </c>
      <c r="G1161" t="str">
        <f>HYPERLINK(_xlfn.CONCAT("https://tablet.otzar.org/",CHAR(35),"/book/194304/p/-1/t/1/fs/0/start/0/end/0/c"),"מאמר - ד""""ה עשרה שיושבים תרפ""""ח")</f>
        <v>מאמר - ד""ה עשרה שיושבים תרפ""ח</v>
      </c>
      <c r="H1161" t="str">
        <f>_xlfn.CONCAT("https://tablet.otzar.org/",CHAR(35),"/book/194304/p/-1/t/1/fs/0/start/0/end/0/c")</f>
        <v>https://tablet.otzar.org/#/book/194304/p/-1/t/1/fs/0/start/0/end/0/c</v>
      </c>
    </row>
    <row r="1162" spans="1:8" x14ac:dyDescent="0.25">
      <c r="A1162">
        <v>146389</v>
      </c>
      <c r="B1162" t="s">
        <v>1959</v>
      </c>
      <c r="C1162" t="s">
        <v>81</v>
      </c>
      <c r="D1162" t="s">
        <v>10</v>
      </c>
      <c r="E1162" t="s">
        <v>60</v>
      </c>
      <c r="F1162" t="s">
        <v>12</v>
      </c>
      <c r="G1162" t="str">
        <f>HYPERLINK(_xlfn.CONCAT("https://tablet.otzar.org/",CHAR(35),"/exKotar/146389"),"מאמר - 7 כרכים")</f>
        <v>מאמר - 7 כרכים</v>
      </c>
      <c r="H1162" t="str">
        <f>_xlfn.CONCAT("https://tablet.otzar.org/",CHAR(35),"/exKotar/146389")</f>
        <v>https://tablet.otzar.org/#/exKotar/146389</v>
      </c>
    </row>
    <row r="1163" spans="1:8" x14ac:dyDescent="0.25">
      <c r="A1163">
        <v>142656</v>
      </c>
      <c r="B1163" t="s">
        <v>1960</v>
      </c>
      <c r="C1163" t="s">
        <v>45</v>
      </c>
      <c r="D1163" t="s">
        <v>10</v>
      </c>
      <c r="E1163" t="s">
        <v>174</v>
      </c>
      <c r="F1163" t="s">
        <v>12</v>
      </c>
      <c r="G1163" t="str">
        <f>HYPERLINK(_xlfn.CONCAT("https://tablet.otzar.org/",CHAR(35),"/exKotar/142656"),"מאמר - 3 כרכים")</f>
        <v>מאמר - 3 כרכים</v>
      </c>
      <c r="H1163" t="str">
        <f>_xlfn.CONCAT("https://tablet.otzar.org/",CHAR(35),"/exKotar/142656")</f>
        <v>https://tablet.otzar.org/#/exKotar/142656</v>
      </c>
    </row>
    <row r="1164" spans="1:8" x14ac:dyDescent="0.25">
      <c r="A1164">
        <v>146571</v>
      </c>
      <c r="B1164" t="s">
        <v>1961</v>
      </c>
      <c r="C1164" t="s">
        <v>59</v>
      </c>
      <c r="D1164" t="s">
        <v>10</v>
      </c>
      <c r="E1164" t="s">
        <v>192</v>
      </c>
      <c r="G1164" t="str">
        <f>HYPERLINK(_xlfn.CONCAT("https://tablet.otzar.org/",CHAR(35),"/exKotar/146571"),"מאמר - 12 כרכים")</f>
        <v>מאמר - 12 כרכים</v>
      </c>
      <c r="H1164" t="str">
        <f>_xlfn.CONCAT("https://tablet.otzar.org/",CHAR(35),"/exKotar/146571")</f>
        <v>https://tablet.otzar.org/#/exKotar/146571</v>
      </c>
    </row>
    <row r="1165" spans="1:8" x14ac:dyDescent="0.25">
      <c r="A1165">
        <v>145796</v>
      </c>
      <c r="B1165" t="s">
        <v>1959</v>
      </c>
      <c r="C1165" t="s">
        <v>72</v>
      </c>
      <c r="D1165" t="s">
        <v>10</v>
      </c>
      <c r="E1165" t="s">
        <v>236</v>
      </c>
      <c r="G1165" t="str">
        <f>HYPERLINK(_xlfn.CONCAT("https://tablet.otzar.org/",CHAR(35),"/exKotar/145796"),"מאמר - 7 כרכים")</f>
        <v>מאמר - 7 כרכים</v>
      </c>
      <c r="H1165" t="str">
        <f>_xlfn.CONCAT("https://tablet.otzar.org/",CHAR(35),"/exKotar/145796")</f>
        <v>https://tablet.otzar.org/#/exKotar/145796</v>
      </c>
    </row>
    <row r="1166" spans="1:8" x14ac:dyDescent="0.25">
      <c r="A1166">
        <v>164324</v>
      </c>
      <c r="B1166" t="s">
        <v>1960</v>
      </c>
      <c r="C1166" t="s">
        <v>61</v>
      </c>
      <c r="D1166" t="s">
        <v>10</v>
      </c>
      <c r="E1166" t="s">
        <v>226</v>
      </c>
      <c r="F1166" t="s">
        <v>12</v>
      </c>
      <c r="G1166" t="str">
        <f>HYPERLINK(_xlfn.CONCAT("https://tablet.otzar.org/",CHAR(35),"/exKotar/164324"),"מאמר - 3 כרכים")</f>
        <v>מאמר - 3 כרכים</v>
      </c>
      <c r="H1166" t="str">
        <f>_xlfn.CONCAT("https://tablet.otzar.org/",CHAR(35),"/exKotar/164324")</f>
        <v>https://tablet.otzar.org/#/exKotar/164324</v>
      </c>
    </row>
    <row r="1167" spans="1:8" x14ac:dyDescent="0.25">
      <c r="A1167">
        <v>158849</v>
      </c>
      <c r="B1167" t="s">
        <v>1962</v>
      </c>
      <c r="C1167" t="s">
        <v>53</v>
      </c>
      <c r="D1167" t="s">
        <v>10</v>
      </c>
      <c r="E1167" t="s">
        <v>49</v>
      </c>
      <c r="F1167" t="s">
        <v>1963</v>
      </c>
      <c r="G1167" t="str">
        <f>HYPERLINK(_xlfn.CONCAT("https://tablet.otzar.org/",CHAR(35),"/exKotar/158849"),"מאמר - 6 כרכים")</f>
        <v>מאמר - 6 כרכים</v>
      </c>
      <c r="H1167" t="str">
        <f>_xlfn.CONCAT("https://tablet.otzar.org/",CHAR(35),"/exKotar/158849")</f>
        <v>https://tablet.otzar.org/#/exKotar/158849</v>
      </c>
    </row>
    <row r="1168" spans="1:8" x14ac:dyDescent="0.25">
      <c r="A1168">
        <v>142658</v>
      </c>
      <c r="B1168" t="s">
        <v>1964</v>
      </c>
      <c r="C1168" t="s">
        <v>639</v>
      </c>
      <c r="D1168" t="s">
        <v>10</v>
      </c>
      <c r="E1168" t="s">
        <v>60</v>
      </c>
      <c r="F1168" t="s">
        <v>12</v>
      </c>
      <c r="G1168" t="str">
        <f>HYPERLINK(_xlfn.CONCAT("https://tablet.otzar.org/",CHAR(35),"/exKotar/142658"),"מאמר - 4 כרכים")</f>
        <v>מאמר - 4 כרכים</v>
      </c>
      <c r="H1168" t="str">
        <f>_xlfn.CONCAT("https://tablet.otzar.org/",CHAR(35),"/exKotar/142658")</f>
        <v>https://tablet.otzar.org/#/exKotar/142658</v>
      </c>
    </row>
    <row r="1169" spans="1:8" x14ac:dyDescent="0.25">
      <c r="A1169">
        <v>145784</v>
      </c>
      <c r="B1169" t="s">
        <v>1965</v>
      </c>
      <c r="C1169" t="s">
        <v>68</v>
      </c>
      <c r="D1169" t="s">
        <v>10</v>
      </c>
      <c r="E1169" t="s">
        <v>260</v>
      </c>
      <c r="G1169" t="str">
        <f>HYPERLINK(_xlfn.CONCAT("https://tablet.otzar.org/",CHAR(35),"/exKotar/145784"),"מאמר - 10 כרכים")</f>
        <v>מאמר - 10 כרכים</v>
      </c>
      <c r="H1169" t="str">
        <f>_xlfn.CONCAT("https://tablet.otzar.org/",CHAR(35),"/exKotar/145784")</f>
        <v>https://tablet.otzar.org/#/exKotar/145784</v>
      </c>
    </row>
    <row r="1170" spans="1:8" x14ac:dyDescent="0.25">
      <c r="A1170">
        <v>643268</v>
      </c>
      <c r="B1170" t="s">
        <v>1966</v>
      </c>
      <c r="C1170" t="s">
        <v>45</v>
      </c>
      <c r="D1170" t="s">
        <v>1967</v>
      </c>
      <c r="E1170" t="s">
        <v>24</v>
      </c>
      <c r="F1170" t="s">
        <v>12</v>
      </c>
      <c r="G1170" t="str">
        <f>HYPERLINK(_xlfn.CONCAT("https://tablet.otzar.org/",CHAR(35),"/book/643268/p/-1/t/1/fs/0/start/0/end/0/c"),"מאמר החודש הזה לכם - ה'תשל""""ד")</f>
        <v>מאמר החודש הזה לכם - ה'תשל""ד</v>
      </c>
      <c r="H1170" t="str">
        <f>_xlfn.CONCAT("https://tablet.otzar.org/",CHAR(35),"/book/643268/p/-1/t/1/fs/0/start/0/end/0/c")</f>
        <v>https://tablet.otzar.org/#/book/643268/p/-1/t/1/fs/0/start/0/end/0/c</v>
      </c>
    </row>
    <row r="1171" spans="1:8" x14ac:dyDescent="0.25">
      <c r="A1171">
        <v>606926</v>
      </c>
      <c r="B1171" t="s">
        <v>1968</v>
      </c>
      <c r="C1171" t="s">
        <v>81</v>
      </c>
      <c r="D1171" t="s">
        <v>28</v>
      </c>
      <c r="E1171" t="s">
        <v>28</v>
      </c>
      <c r="F1171" t="s">
        <v>163</v>
      </c>
      <c r="G1171" t="str">
        <f>HYPERLINK(_xlfn.CONCAT("https://tablet.otzar.org/",CHAR(35),"/book/606926/p/-1/t/1/fs/0/start/0/end/0/c"),"מאמר חסידות מבואר - בעצם היום הזה")</f>
        <v>מאמר חסידות מבואר - בעצם היום הזה</v>
      </c>
      <c r="H1171" t="str">
        <f>_xlfn.CONCAT("https://tablet.otzar.org/",CHAR(35),"/book/606926/p/-1/t/1/fs/0/start/0/end/0/c")</f>
        <v>https://tablet.otzar.org/#/book/606926/p/-1/t/1/fs/0/start/0/end/0/c</v>
      </c>
    </row>
    <row r="1172" spans="1:8" x14ac:dyDescent="0.25">
      <c r="A1172">
        <v>643269</v>
      </c>
      <c r="B1172" t="s">
        <v>1969</v>
      </c>
      <c r="C1172" t="s">
        <v>81</v>
      </c>
      <c r="D1172" t="s">
        <v>23</v>
      </c>
      <c r="E1172" t="s">
        <v>24</v>
      </c>
      <c r="F1172" t="s">
        <v>12</v>
      </c>
      <c r="G1172" t="str">
        <f>HYPERLINK(_xlfn.CONCAT("https://tablet.otzar.org/",CHAR(35),"/exKotar/643269"),"מאמר כי אתה אבינו - 2 כרכים")</f>
        <v>מאמר כי אתה אבינו - 2 כרכים</v>
      </c>
      <c r="H1172" t="str">
        <f>_xlfn.CONCAT("https://tablet.otzar.org/",CHAR(35),"/exKotar/643269")</f>
        <v>https://tablet.otzar.org/#/exKotar/643269</v>
      </c>
    </row>
    <row r="1173" spans="1:8" x14ac:dyDescent="0.25">
      <c r="A1173">
        <v>653415</v>
      </c>
      <c r="B1173" t="s">
        <v>1970</v>
      </c>
      <c r="C1173" t="s">
        <v>45</v>
      </c>
      <c r="D1173" t="s">
        <v>10</v>
      </c>
      <c r="E1173" t="s">
        <v>24</v>
      </c>
      <c r="G1173" t="str">
        <f>HYPERLINK(_xlfn.CONCAT("https://tablet.otzar.org/",CHAR(35),"/book/653415/p/-1/t/1/fs/0/start/0/end/0/c"),"מאמר כי מראש צורים אראנו - התשל""""ד")</f>
        <v>מאמר כי מראש צורים אראנו - התשל""ד</v>
      </c>
      <c r="H1173" t="str">
        <f>_xlfn.CONCAT("https://tablet.otzar.org/",CHAR(35),"/book/653415/p/-1/t/1/fs/0/start/0/end/0/c")</f>
        <v>https://tablet.otzar.org/#/book/653415/p/-1/t/1/fs/0/start/0/end/0/c</v>
      </c>
    </row>
    <row r="1174" spans="1:8" x14ac:dyDescent="0.25">
      <c r="A1174">
        <v>142332</v>
      </c>
      <c r="B1174" t="s">
        <v>1971</v>
      </c>
      <c r="C1174" t="s">
        <v>1410</v>
      </c>
      <c r="D1174" t="s">
        <v>10</v>
      </c>
      <c r="E1174" t="s">
        <v>60</v>
      </c>
      <c r="F1174" t="s">
        <v>12</v>
      </c>
      <c r="G1174" t="str">
        <f>HYPERLINK(_xlfn.CONCAT("https://tablet.otzar.org/",CHAR(35),"/book/142332/p/-1/t/1/fs/0/start/0/end/0/c"),"מאמר לאדמו""""ר הרש""""ב זי""""ע עם פירוש חסידות מבוארת")</f>
        <v>מאמר לאדמו""ר הרש""ב זי""ע עם פירוש חסידות מבוארת</v>
      </c>
      <c r="H1174" t="str">
        <f>_xlfn.CONCAT("https://tablet.otzar.org/",CHAR(35),"/book/142332/p/-1/t/1/fs/0/start/0/end/0/c")</f>
        <v>https://tablet.otzar.org/#/book/142332/p/-1/t/1/fs/0/start/0/end/0/c</v>
      </c>
    </row>
    <row r="1175" spans="1:8" x14ac:dyDescent="0.25">
      <c r="A1175">
        <v>608395</v>
      </c>
      <c r="B1175" t="s">
        <v>1972</v>
      </c>
      <c r="C1175" t="s">
        <v>425</v>
      </c>
      <c r="D1175" t="s">
        <v>10</v>
      </c>
      <c r="E1175" t="s">
        <v>382</v>
      </c>
      <c r="F1175" t="s">
        <v>12</v>
      </c>
      <c r="G1175" t="str">
        <f>HYPERLINK(_xlfn.CONCAT("https://tablet.otzar.org/",CHAR(35),"/exKotar/608395"),"מאמר מבואר - 14 כרכים")</f>
        <v>מאמר מבואר - 14 כרכים</v>
      </c>
      <c r="H1175" t="str">
        <f>_xlfn.CONCAT("https://tablet.otzar.org/",CHAR(35),"/exKotar/608395")</f>
        <v>https://tablet.otzar.org/#/exKotar/608395</v>
      </c>
    </row>
    <row r="1176" spans="1:8" x14ac:dyDescent="0.25">
      <c r="A1176">
        <v>192801</v>
      </c>
      <c r="B1176" t="s">
        <v>1973</v>
      </c>
      <c r="C1176" t="s">
        <v>1974</v>
      </c>
      <c r="D1176" t="s">
        <v>10</v>
      </c>
      <c r="E1176" t="s">
        <v>19</v>
      </c>
      <c r="F1176" t="s">
        <v>12</v>
      </c>
      <c r="G1176" t="str">
        <f>HYPERLINK(_xlfn.CONCAT("https://tablet.otzar.org/",CHAR(35),"/book/192801/p/-1/t/1/fs/0/start/0/end/0/c"),"מאמר ערוך")</f>
        <v>מאמר ערוך</v>
      </c>
      <c r="H1176" t="str">
        <f>_xlfn.CONCAT("https://tablet.otzar.org/",CHAR(35),"/book/192801/p/-1/t/1/fs/0/start/0/end/0/c")</f>
        <v>https://tablet.otzar.org/#/book/192801/p/-1/t/1/fs/0/start/0/end/0/c</v>
      </c>
    </row>
    <row r="1177" spans="1:8" x14ac:dyDescent="0.25">
      <c r="A1177">
        <v>27241</v>
      </c>
      <c r="B1177" t="s">
        <v>1975</v>
      </c>
      <c r="C1177" t="s">
        <v>1976</v>
      </c>
      <c r="D1177" t="s">
        <v>1977</v>
      </c>
      <c r="E1177" t="s">
        <v>1978</v>
      </c>
      <c r="F1177" t="s">
        <v>12</v>
      </c>
      <c r="G1177" t="str">
        <f>HYPERLINK(_xlfn.CONCAT("https://tablet.otzar.org/",CHAR(35),"/book/27241/p/-1/t/1/fs/0/start/0/end/0/c"),"מאמר שני המאורות")</f>
        <v>מאמר שני המאורות</v>
      </c>
      <c r="H1177" t="str">
        <f>_xlfn.CONCAT("https://tablet.otzar.org/",CHAR(35),"/book/27241/p/-1/t/1/fs/0/start/0/end/0/c")</f>
        <v>https://tablet.otzar.org/#/book/27241/p/-1/t/1/fs/0/start/0/end/0/c</v>
      </c>
    </row>
    <row r="1178" spans="1:8" x14ac:dyDescent="0.25">
      <c r="A1178">
        <v>141683</v>
      </c>
      <c r="B1178" t="s">
        <v>1979</v>
      </c>
      <c r="C1178" t="s">
        <v>72</v>
      </c>
      <c r="D1178" t="s">
        <v>37</v>
      </c>
      <c r="E1178" t="s">
        <v>60</v>
      </c>
      <c r="G1178" t="str">
        <f>HYPERLINK(_xlfn.CONCAT("https://tablet.otzar.org/",CHAR(35),"/book/141683/p/-1/t/1/fs/0/start/0/end/0/c"),"מאמרי אדמו""""ר האמצעי &lt;טקסט&gt;")</f>
        <v>מאמרי אדמו""ר האמצעי &lt;טקסט&gt;</v>
      </c>
      <c r="H1178" t="str">
        <f>_xlfn.CONCAT("https://tablet.otzar.org/",CHAR(35),"/book/141683/p/-1/t/1/fs/0/start/0/end/0/c")</f>
        <v>https://tablet.otzar.org/#/book/141683/p/-1/t/1/fs/0/start/0/end/0/c</v>
      </c>
    </row>
    <row r="1179" spans="1:8" x14ac:dyDescent="0.25">
      <c r="A1179">
        <v>26623</v>
      </c>
      <c r="B1179" t="s">
        <v>1980</v>
      </c>
      <c r="C1179" t="s">
        <v>72</v>
      </c>
      <c r="D1179" t="s">
        <v>10</v>
      </c>
      <c r="E1179" t="s">
        <v>139</v>
      </c>
      <c r="G1179" t="str">
        <f>HYPERLINK(_xlfn.CONCAT("https://tablet.otzar.org/",CHAR(35),"/exKotar/26623"),"מאמרי אדמו""""ר האמצעי - 19 כרכים")</f>
        <v>מאמרי אדמו""ר האמצעי - 19 כרכים</v>
      </c>
      <c r="H1179" t="str">
        <f>_xlfn.CONCAT("https://tablet.otzar.org/",CHAR(35),"/exKotar/26623")</f>
        <v>https://tablet.otzar.org/#/exKotar/26623</v>
      </c>
    </row>
    <row r="1180" spans="1:8" x14ac:dyDescent="0.25">
      <c r="A1180">
        <v>142334</v>
      </c>
      <c r="B1180" t="s">
        <v>1981</v>
      </c>
      <c r="C1180" t="s">
        <v>81</v>
      </c>
      <c r="D1180" t="s">
        <v>10</v>
      </c>
      <c r="E1180" t="s">
        <v>1982</v>
      </c>
      <c r="F1180" t="s">
        <v>12</v>
      </c>
      <c r="G1180" t="str">
        <f>HYPERLINK(_xlfn.CONCAT("https://tablet.otzar.org/",CHAR(35),"/exKotar/142334"),"מאמרי אדמו""""ר הזקן - 32 כרכים")</f>
        <v>מאמרי אדמו""ר הזקן - 32 כרכים</v>
      </c>
      <c r="H1180" t="str">
        <f>_xlfn.CONCAT("https://tablet.otzar.org/",CHAR(35),"/exKotar/142334")</f>
        <v>https://tablet.otzar.org/#/exKotar/142334</v>
      </c>
    </row>
    <row r="1181" spans="1:8" x14ac:dyDescent="0.25">
      <c r="A1181">
        <v>167690</v>
      </c>
      <c r="B1181" t="s">
        <v>1983</v>
      </c>
      <c r="C1181" t="s">
        <v>81</v>
      </c>
      <c r="D1181" t="s">
        <v>10</v>
      </c>
      <c r="E1181" t="s">
        <v>16</v>
      </c>
      <c r="F1181" t="s">
        <v>12</v>
      </c>
      <c r="G1181" t="str">
        <f>HYPERLINK(_xlfn.CONCAT("https://tablet.otzar.org/",CHAR(35),"/exKotar/167690"),"מאמרי אדמו""""ר הזקן ע""""פ חסידות מבוארת - 4 כרכים")</f>
        <v>מאמרי אדמו""ר הזקן ע""פ חסידות מבוארת - 4 כרכים</v>
      </c>
      <c r="H1181" t="str">
        <f>_xlfn.CONCAT("https://tablet.otzar.org/",CHAR(35),"/exKotar/167690")</f>
        <v>https://tablet.otzar.org/#/exKotar/167690</v>
      </c>
    </row>
    <row r="1182" spans="1:8" x14ac:dyDescent="0.25">
      <c r="A1182">
        <v>141686</v>
      </c>
      <c r="B1182" t="s">
        <v>1984</v>
      </c>
      <c r="C1182" t="s">
        <v>61</v>
      </c>
      <c r="D1182" t="s">
        <v>37</v>
      </c>
      <c r="E1182" t="s">
        <v>60</v>
      </c>
      <c r="F1182" t="s">
        <v>12</v>
      </c>
      <c r="G1182" t="str">
        <f>HYPERLINK(_xlfn.CONCAT("https://tablet.otzar.org/",CHAR(35),"/book/141686/p/-1/t/1/fs/0/start/0/end/0/c"),"מאמרי אדמו""""ר הצמח צדק &lt;טקסט&gt; - הנחות תרי""""ד-תרט""""ו")</f>
        <v>מאמרי אדמו""ר הצמח צדק &lt;טקסט&gt; - הנחות תרי""ד-תרט""ו</v>
      </c>
      <c r="H1182" t="str">
        <f>_xlfn.CONCAT("https://tablet.otzar.org/",CHAR(35),"/book/141686/p/-1/t/1/fs/0/start/0/end/0/c")</f>
        <v>https://tablet.otzar.org/#/book/141686/p/-1/t/1/fs/0/start/0/end/0/c</v>
      </c>
    </row>
    <row r="1183" spans="1:8" x14ac:dyDescent="0.25">
      <c r="A1183">
        <v>611920</v>
      </c>
      <c r="B1183" t="s">
        <v>1985</v>
      </c>
      <c r="C1183" t="s">
        <v>61</v>
      </c>
      <c r="D1183" t="s">
        <v>10</v>
      </c>
      <c r="E1183" t="s">
        <v>404</v>
      </c>
      <c r="F1183" t="s">
        <v>12</v>
      </c>
      <c r="G1183" t="str">
        <f>HYPERLINK(_xlfn.CONCAT("https://tablet.otzar.org/",CHAR(35),"/exKotar/611920"),"מאמרי אדמו""""ר הצמח צדק הנחות א &lt;בראשית - 5 כרכים")</f>
        <v>מאמרי אדמו""ר הצמח צדק הנחות א &lt;בראשית - 5 כרכים</v>
      </c>
      <c r="H1183" t="str">
        <f>_xlfn.CONCAT("https://tablet.otzar.org/",CHAR(35),"/exKotar/611920")</f>
        <v>https://tablet.otzar.org/#/exKotar/611920</v>
      </c>
    </row>
    <row r="1184" spans="1:8" x14ac:dyDescent="0.25">
      <c r="A1184">
        <v>613919</v>
      </c>
      <c r="B1184" t="s">
        <v>1986</v>
      </c>
      <c r="C1184" t="s">
        <v>242</v>
      </c>
      <c r="D1184" t="s">
        <v>37</v>
      </c>
      <c r="E1184" t="s">
        <v>115</v>
      </c>
      <c r="F1184" t="s">
        <v>12</v>
      </c>
      <c r="G1184" t="str">
        <f>HYPERLINK(_xlfn.CONCAT("https://tablet.otzar.org/",CHAR(35),"/book/613919/p/-1/t/1/fs/0/start/0/end/0/c"),"מאמרי אדמו""""ר הרש""""ב עם ביאור נרחב - א")</f>
        <v>מאמרי אדמו""ר הרש""ב עם ביאור נרחב - א</v>
      </c>
      <c r="H1184" t="str">
        <f>_xlfn.CONCAT("https://tablet.otzar.org/",CHAR(35),"/book/613919/p/-1/t/1/fs/0/start/0/end/0/c")</f>
        <v>https://tablet.otzar.org/#/book/613919/p/-1/t/1/fs/0/start/0/end/0/c</v>
      </c>
    </row>
    <row r="1185" spans="1:8" x14ac:dyDescent="0.25">
      <c r="A1185">
        <v>196629</v>
      </c>
      <c r="B1185" t="s">
        <v>1987</v>
      </c>
      <c r="C1185" t="s">
        <v>45</v>
      </c>
      <c r="D1185" t="s">
        <v>10</v>
      </c>
      <c r="E1185" t="s">
        <v>99</v>
      </c>
      <c r="F1185" t="s">
        <v>12</v>
      </c>
      <c r="G1185" t="str">
        <f>HYPERLINK(_xlfn.CONCAT("https://tablet.otzar.org/",CHAR(35),"/book/196629/p/-1/t/1/fs/0/start/0/end/0/c"),"מאמרי באתי לגני - תשט""""ז תשל""""ו")</f>
        <v>מאמרי באתי לגני - תשט""ז תשל""ו</v>
      </c>
      <c r="H1185" t="str">
        <f>_xlfn.CONCAT("https://tablet.otzar.org/",CHAR(35),"/book/196629/p/-1/t/1/fs/0/start/0/end/0/c")</f>
        <v>https://tablet.otzar.org/#/book/196629/p/-1/t/1/fs/0/start/0/end/0/c</v>
      </c>
    </row>
    <row r="1186" spans="1:8" x14ac:dyDescent="0.25">
      <c r="A1186">
        <v>616781</v>
      </c>
      <c r="B1186" t="s">
        <v>1988</v>
      </c>
      <c r="C1186" t="s">
        <v>45</v>
      </c>
      <c r="D1186" t="s">
        <v>10</v>
      </c>
      <c r="E1186" t="s">
        <v>115</v>
      </c>
      <c r="F1186" t="s">
        <v>12</v>
      </c>
      <c r="G1186" t="str">
        <f>HYPERLINK(_xlfn.CONCAT("https://tablet.otzar.org/",CHAR(35),"/book/616781/p/-1/t/1/fs/0/start/0/end/0/c"),"מאמרי בשעה שהקדימו, וידבר גו' לאמר - תשל""""ח")</f>
        <v>מאמרי בשעה שהקדימו, וידבר גו' לאמר - תשל""ח</v>
      </c>
      <c r="H1186" t="str">
        <f>_xlfn.CONCAT("https://tablet.otzar.org/",CHAR(35),"/book/616781/p/-1/t/1/fs/0/start/0/end/0/c")</f>
        <v>https://tablet.otzar.org/#/book/616781/p/-1/t/1/fs/0/start/0/end/0/c</v>
      </c>
    </row>
    <row r="1187" spans="1:8" x14ac:dyDescent="0.25">
      <c r="A1187">
        <v>643288</v>
      </c>
      <c r="B1187" t="s">
        <v>1989</v>
      </c>
      <c r="C1187" t="s">
        <v>904</v>
      </c>
      <c r="D1187" t="s">
        <v>23</v>
      </c>
      <c r="E1187" t="s">
        <v>91</v>
      </c>
      <c r="F1187" t="s">
        <v>319</v>
      </c>
      <c r="G1187" t="str">
        <f>HYPERLINK(_xlfn.CONCAT("https://tablet.otzar.org/",CHAR(35),"/book/643288/p/-1/t/1/fs/0/start/0/end/0/c"),"מאמרי דא""""ח")</f>
        <v>מאמרי דא""ח</v>
      </c>
      <c r="H1187" t="str">
        <f>_xlfn.CONCAT("https://tablet.otzar.org/",CHAR(35),"/book/643288/p/-1/t/1/fs/0/start/0/end/0/c")</f>
        <v>https://tablet.otzar.org/#/book/643288/p/-1/t/1/fs/0/start/0/end/0/c</v>
      </c>
    </row>
    <row r="1188" spans="1:8" x14ac:dyDescent="0.25">
      <c r="A1188">
        <v>650262</v>
      </c>
      <c r="B1188" t="s">
        <v>1990</v>
      </c>
      <c r="C1188" t="s">
        <v>279</v>
      </c>
      <c r="D1188" t="s">
        <v>374</v>
      </c>
      <c r="E1188" t="s">
        <v>166</v>
      </c>
      <c r="G1188" t="str">
        <f>HYPERLINK(_xlfn.CONCAT("https://tablet.otzar.org/",CHAR(35),"/book/650262/p/-1/t/1/fs/0/start/0/end/0/c"),"מאמרי הרבי")</f>
        <v>מאמרי הרבי</v>
      </c>
      <c r="H1188" t="str">
        <f>_xlfn.CONCAT("https://tablet.otzar.org/",CHAR(35),"/book/650262/p/-1/t/1/fs/0/start/0/end/0/c")</f>
        <v>https://tablet.otzar.org/#/book/650262/p/-1/t/1/fs/0/start/0/end/0/c</v>
      </c>
    </row>
    <row r="1189" spans="1:8" x14ac:dyDescent="0.25">
      <c r="A1189">
        <v>144265</v>
      </c>
      <c r="B1189" t="s">
        <v>1991</v>
      </c>
      <c r="C1189" t="s">
        <v>1992</v>
      </c>
      <c r="D1189" t="s">
        <v>10</v>
      </c>
      <c r="E1189" t="s">
        <v>1327</v>
      </c>
      <c r="F1189" t="s">
        <v>12</v>
      </c>
      <c r="G1189" t="str">
        <f>HYPERLINK(_xlfn.CONCAT("https://tablet.otzar.org/",CHAR(35),"/book/144265/p/-1/t/1/fs/0/start/0/end/0/c"),"מאמרי השתטחות")</f>
        <v>מאמרי השתטחות</v>
      </c>
      <c r="H1189" t="str">
        <f>_xlfn.CONCAT("https://tablet.otzar.org/",CHAR(35),"/book/144265/p/-1/t/1/fs/0/start/0/end/0/c")</f>
        <v>https://tablet.otzar.org/#/book/144265/p/-1/t/1/fs/0/start/0/end/0/c</v>
      </c>
    </row>
    <row r="1190" spans="1:8" x14ac:dyDescent="0.25">
      <c r="A1190">
        <v>196124</v>
      </c>
      <c r="B1190" t="s">
        <v>1993</v>
      </c>
      <c r="C1190" t="s">
        <v>53</v>
      </c>
      <c r="D1190" t="s">
        <v>37</v>
      </c>
      <c r="E1190" t="s">
        <v>99</v>
      </c>
      <c r="F1190" t="s">
        <v>12</v>
      </c>
      <c r="G1190" t="str">
        <f>HYPERLINK(_xlfn.CONCAT("https://tablet.otzar.org/",CHAR(35),"/book/196124/p/-1/t/1/fs/0/start/0/end/0/c"),"מאמרי חסידות")</f>
        <v>מאמרי חסידות</v>
      </c>
      <c r="H1190" t="str">
        <f>_xlfn.CONCAT("https://tablet.otzar.org/",CHAR(35),"/book/196124/p/-1/t/1/fs/0/start/0/end/0/c")</f>
        <v>https://tablet.otzar.org/#/book/196124/p/-1/t/1/fs/0/start/0/end/0/c</v>
      </c>
    </row>
    <row r="1191" spans="1:8" x14ac:dyDescent="0.25">
      <c r="A1191">
        <v>622496</v>
      </c>
      <c r="B1191" t="s">
        <v>1993</v>
      </c>
      <c r="C1191" t="s">
        <v>1994</v>
      </c>
      <c r="D1191" t="s">
        <v>37</v>
      </c>
      <c r="E1191" t="s">
        <v>115</v>
      </c>
      <c r="F1191" t="s">
        <v>12</v>
      </c>
      <c r="G1191" t="str">
        <f>HYPERLINK(_xlfn.CONCAT("https://tablet.otzar.org/",CHAR(35),"/book/622496/p/-1/t/1/fs/0/start/0/end/0/c"),"מאמרי חסידות")</f>
        <v>מאמרי חסידות</v>
      </c>
      <c r="H1191" t="str">
        <f>_xlfn.CONCAT("https://tablet.otzar.org/",CHAR(35),"/book/622496/p/-1/t/1/fs/0/start/0/end/0/c")</f>
        <v>https://tablet.otzar.org/#/book/622496/p/-1/t/1/fs/0/start/0/end/0/c</v>
      </c>
    </row>
    <row r="1192" spans="1:8" x14ac:dyDescent="0.25">
      <c r="A1192">
        <v>145767</v>
      </c>
      <c r="B1192" t="s">
        <v>1995</v>
      </c>
      <c r="C1192" t="s">
        <v>1996</v>
      </c>
      <c r="D1192" t="s">
        <v>10</v>
      </c>
      <c r="E1192" t="s">
        <v>192</v>
      </c>
      <c r="F1192" t="s">
        <v>12</v>
      </c>
      <c r="G1192" t="str">
        <f>HYPERLINK(_xlfn.CONCAT("https://tablet.otzar.org/",CHAR(35),"/book/145767/p/-1/t/1/fs/0/start/0/end/0/c"),"מאמרי חתונה עם פירוש חסידות מבוארת")</f>
        <v>מאמרי חתונה עם פירוש חסידות מבוארת</v>
      </c>
      <c r="H1192" t="str">
        <f>_xlfn.CONCAT("https://tablet.otzar.org/",CHAR(35),"/book/145767/p/-1/t/1/fs/0/start/0/end/0/c")</f>
        <v>https://tablet.otzar.org/#/book/145767/p/-1/t/1/fs/0/start/0/end/0/c</v>
      </c>
    </row>
    <row r="1193" spans="1:8" x14ac:dyDescent="0.25">
      <c r="A1193">
        <v>628553</v>
      </c>
      <c r="B1193" t="s">
        <v>1997</v>
      </c>
      <c r="C1193" t="s">
        <v>102</v>
      </c>
      <c r="D1193" t="s">
        <v>15</v>
      </c>
      <c r="E1193" t="s">
        <v>226</v>
      </c>
      <c r="F1193" t="s">
        <v>12</v>
      </c>
      <c r="G1193" t="str">
        <f>HYPERLINK(_xlfn.CONCAT("https://tablet.otzar.org/",CHAR(35),"/book/628553/p/-1/t/1/fs/0/start/0/end/0/c"),"מאמרי כ""""ק אדמו""""ר מליובאוויטש - א")</f>
        <v>מאמרי כ""ק אדמו""ר מליובאוויטש - א</v>
      </c>
      <c r="H1193" t="str">
        <f>_xlfn.CONCAT("https://tablet.otzar.org/",CHAR(35),"/book/628553/p/-1/t/1/fs/0/start/0/end/0/c")</f>
        <v>https://tablet.otzar.org/#/book/628553/p/-1/t/1/fs/0/start/0/end/0/c</v>
      </c>
    </row>
    <row r="1194" spans="1:8" x14ac:dyDescent="0.25">
      <c r="A1194">
        <v>614803</v>
      </c>
      <c r="B1194" t="s">
        <v>1998</v>
      </c>
      <c r="C1194" t="s">
        <v>59</v>
      </c>
      <c r="D1194" t="s">
        <v>10</v>
      </c>
      <c r="E1194" t="s">
        <v>1999</v>
      </c>
      <c r="F1194" t="s">
        <v>12</v>
      </c>
      <c r="G1194" t="str">
        <f>HYPERLINK(_xlfn.CONCAT("https://tablet.otzar.org/",CHAR(35),"/book/614803/p/-1/t/1/fs/0/start/0/end/0/c"),"מאמרי קודש פון כ""""ק אדמו""""ר שליט""""א")</f>
        <v>מאמרי קודש פון כ""ק אדמו""ר שליט""א</v>
      </c>
      <c r="H1194" t="str">
        <f>_xlfn.CONCAT("https://tablet.otzar.org/",CHAR(35),"/book/614803/p/-1/t/1/fs/0/start/0/end/0/c")</f>
        <v>https://tablet.otzar.org/#/book/614803/p/-1/t/1/fs/0/start/0/end/0/c</v>
      </c>
    </row>
    <row r="1195" spans="1:8" x14ac:dyDescent="0.25">
      <c r="A1195">
        <v>141574</v>
      </c>
      <c r="B1195" t="s">
        <v>2000</v>
      </c>
      <c r="C1195" t="s">
        <v>72</v>
      </c>
      <c r="D1195" t="s">
        <v>10</v>
      </c>
      <c r="E1195" t="s">
        <v>107</v>
      </c>
      <c r="G1195" t="str">
        <f>HYPERLINK(_xlfn.CONCAT("https://tablet.otzar.org/",CHAR(35),"/book/141574/p/-1/t/1/fs/0/start/0/end/0/c"),"מאמרים - יפה שעה אחת בתשובה ומעש""""ט. להבין מארז""""ל מפני מה ת""""ח כו'")</f>
        <v>מאמרים - יפה שעה אחת בתשובה ומעש""ט. להבין מארז""ל מפני מה ת""ח כו'</v>
      </c>
      <c r="H1195" t="str">
        <f>_xlfn.CONCAT("https://tablet.otzar.org/",CHAR(35),"/book/141574/p/-1/t/1/fs/0/start/0/end/0/c")</f>
        <v>https://tablet.otzar.org/#/book/141574/p/-1/t/1/fs/0/start/0/end/0/c</v>
      </c>
    </row>
    <row r="1196" spans="1:8" x14ac:dyDescent="0.25">
      <c r="A1196">
        <v>147743</v>
      </c>
      <c r="B1196" t="s">
        <v>2001</v>
      </c>
      <c r="C1196" t="s">
        <v>59</v>
      </c>
      <c r="D1196" t="s">
        <v>10</v>
      </c>
      <c r="E1196" t="s">
        <v>33</v>
      </c>
      <c r="F1196" t="s">
        <v>12</v>
      </c>
      <c r="G1196" t="str">
        <f>HYPERLINK(_xlfn.CONCAT("https://tablet.otzar.org/",CHAR(35),"/exKotar/147743"),"מאמרים מלוקטים - 3 כרכים")</f>
        <v>מאמרים מלוקטים - 3 כרכים</v>
      </c>
      <c r="H1196" t="str">
        <f>_xlfn.CONCAT("https://tablet.otzar.org/",CHAR(35),"/exKotar/147743")</f>
        <v>https://tablet.otzar.org/#/exKotar/147743</v>
      </c>
    </row>
    <row r="1197" spans="1:8" x14ac:dyDescent="0.25">
      <c r="A1197">
        <v>26913</v>
      </c>
      <c r="B1197" t="s">
        <v>2002</v>
      </c>
      <c r="C1197" t="s">
        <v>81</v>
      </c>
      <c r="D1197" t="s">
        <v>10</v>
      </c>
      <c r="E1197" t="s">
        <v>79</v>
      </c>
      <c r="F1197" t="s">
        <v>12</v>
      </c>
      <c r="G1197" t="str">
        <f>HYPERLINK(_xlfn.CONCAT("https://tablet.otzar.org/",CHAR(35),"/book/26913/p/-1/t/1/fs/0/start/0/end/0/c"),"מאמרים מלוקטים מספר ליקוטי תורה של רבנו הזקן")</f>
        <v>מאמרים מלוקטים מספר ליקוטי תורה של רבנו הזקן</v>
      </c>
      <c r="H1197" t="str">
        <f>_xlfn.CONCAT("https://tablet.otzar.org/",CHAR(35),"/book/26913/p/-1/t/1/fs/0/start/0/end/0/c")</f>
        <v>https://tablet.otzar.org/#/book/26913/p/-1/t/1/fs/0/start/0/end/0/c</v>
      </c>
    </row>
    <row r="1198" spans="1:8" x14ac:dyDescent="0.25">
      <c r="A1198">
        <v>145659</v>
      </c>
      <c r="B1198" t="s">
        <v>2003</v>
      </c>
      <c r="C1198" t="s">
        <v>59</v>
      </c>
      <c r="D1198" t="s">
        <v>10</v>
      </c>
      <c r="E1198" t="s">
        <v>1999</v>
      </c>
      <c r="F1198" t="s">
        <v>12</v>
      </c>
      <c r="G1198" t="str">
        <f>HYPERLINK(_xlfn.CONCAT("https://tablet.otzar.org/",CHAR(35),"/book/145659/p/-1/t/1/fs/0/start/0/end/0/c"),"מאמרים פון כ""""ק אדמו""""ר שליט""""א")</f>
        <v>מאמרים פון כ""ק אדמו""ר שליט""א</v>
      </c>
      <c r="H1198" t="str">
        <f>_xlfn.CONCAT("https://tablet.otzar.org/",CHAR(35),"/book/145659/p/-1/t/1/fs/0/start/0/end/0/c")</f>
        <v>https://tablet.otzar.org/#/book/145659/p/-1/t/1/fs/0/start/0/end/0/c</v>
      </c>
    </row>
    <row r="1199" spans="1:8" x14ac:dyDescent="0.25">
      <c r="A1199">
        <v>631433</v>
      </c>
      <c r="B1199" t="s">
        <v>2004</v>
      </c>
      <c r="C1199" t="s">
        <v>61</v>
      </c>
      <c r="D1199" t="s">
        <v>10</v>
      </c>
      <c r="E1199" t="s">
        <v>115</v>
      </c>
      <c r="F1199" t="s">
        <v>12</v>
      </c>
      <c r="G1199" t="str">
        <f>HYPERLINK(_xlfn.CONCAT("https://tablet.otzar.org/",CHAR(35),"/book/631433/p/-1/t/1/fs/0/start/0/end/0/c"),"מאמרים קצרים - קובץ ו")</f>
        <v>מאמרים קצרים - קובץ ו</v>
      </c>
      <c r="H1199" t="str">
        <f>_xlfn.CONCAT("https://tablet.otzar.org/",CHAR(35),"/book/631433/p/-1/t/1/fs/0/start/0/end/0/c")</f>
        <v>https://tablet.otzar.org/#/book/631433/p/-1/t/1/fs/0/start/0/end/0/c</v>
      </c>
    </row>
    <row r="1200" spans="1:8" x14ac:dyDescent="0.25">
      <c r="A1200">
        <v>164375</v>
      </c>
      <c r="B1200" t="s">
        <v>2005</v>
      </c>
      <c r="C1200" t="s">
        <v>2006</v>
      </c>
      <c r="D1200" t="s">
        <v>10</v>
      </c>
      <c r="E1200" t="s">
        <v>129</v>
      </c>
      <c r="F1200" t="s">
        <v>12</v>
      </c>
      <c r="G1200" t="str">
        <f>HYPERLINK(_xlfn.CONCAT("https://tablet.otzar.org/",CHAR(35),"/book/164375/p/-1/t/1/fs/0/start/0/end/0/c"),"מאסר וגאולת אדמו""""ר האמצעי")</f>
        <v>מאסר וגאולת אדמו""ר האמצעי</v>
      </c>
      <c r="H1200" t="str">
        <f>_xlfn.CONCAT("https://tablet.otzar.org/",CHAR(35),"/book/164375/p/-1/t/1/fs/0/start/0/end/0/c")</f>
        <v>https://tablet.otzar.org/#/book/164375/p/-1/t/1/fs/0/start/0/end/0/c</v>
      </c>
    </row>
    <row r="1201" spans="1:8" x14ac:dyDescent="0.25">
      <c r="A1201">
        <v>146416</v>
      </c>
      <c r="B1201" t="s">
        <v>2007</v>
      </c>
      <c r="C1201" t="s">
        <v>2008</v>
      </c>
      <c r="D1201" t="s">
        <v>28</v>
      </c>
      <c r="E1201" t="s">
        <v>91</v>
      </c>
      <c r="F1201" t="s">
        <v>883</v>
      </c>
      <c r="G1201" t="str">
        <f>HYPERLINK(_xlfn.CONCAT("https://tablet.otzar.org/",CHAR(35),"/book/146416/p/-1/t/1/fs/0/start/0/end/0/c"),"מבוא למסכת גיטין")</f>
        <v>מבוא למסכת גיטין</v>
      </c>
      <c r="H1201" t="str">
        <f>_xlfn.CONCAT("https://tablet.otzar.org/",CHAR(35),"/book/146416/p/-1/t/1/fs/0/start/0/end/0/c")</f>
        <v>https://tablet.otzar.org/#/book/146416/p/-1/t/1/fs/0/start/0/end/0/c</v>
      </c>
    </row>
    <row r="1202" spans="1:8" x14ac:dyDescent="0.25">
      <c r="A1202">
        <v>628554</v>
      </c>
      <c r="B1202" t="s">
        <v>2009</v>
      </c>
      <c r="C1202" t="s">
        <v>102</v>
      </c>
      <c r="D1202" t="s">
        <v>15</v>
      </c>
      <c r="E1202" t="s">
        <v>174</v>
      </c>
      <c r="F1202" t="s">
        <v>1715</v>
      </c>
      <c r="G1202" t="str">
        <f>HYPERLINK(_xlfn.CONCAT("https://tablet.otzar.org/",CHAR(35),"/book/628554/p/-1/t/1/fs/0/start/0/end/0/c"),"מבוא לקבלת האר""""י")</f>
        <v>מבוא לקבלת האר""י</v>
      </c>
      <c r="H1202" t="str">
        <f>_xlfn.CONCAT("https://tablet.otzar.org/",CHAR(35),"/book/628554/p/-1/t/1/fs/0/start/0/end/0/c")</f>
        <v>https://tablet.otzar.org/#/book/628554/p/-1/t/1/fs/0/start/0/end/0/c</v>
      </c>
    </row>
    <row r="1203" spans="1:8" x14ac:dyDescent="0.25">
      <c r="A1203">
        <v>27882</v>
      </c>
      <c r="B1203" t="s">
        <v>2010</v>
      </c>
      <c r="C1203" t="s">
        <v>2011</v>
      </c>
      <c r="D1203" t="s">
        <v>10</v>
      </c>
      <c r="E1203" t="s">
        <v>192</v>
      </c>
      <c r="F1203" t="s">
        <v>12</v>
      </c>
      <c r="G1203" t="str">
        <f>HYPERLINK(_xlfn.CONCAT("https://tablet.otzar.org/",CHAR(35),"/book/27882/p/-1/t/1/fs/0/start/0/end/0/c"),"מבוא לקריאה")</f>
        <v>מבוא לקריאה</v>
      </c>
      <c r="H1203" t="str">
        <f>_xlfn.CONCAT("https://tablet.otzar.org/",CHAR(35),"/book/27882/p/-1/t/1/fs/0/start/0/end/0/c")</f>
        <v>https://tablet.otzar.org/#/book/27882/p/-1/t/1/fs/0/start/0/end/0/c</v>
      </c>
    </row>
    <row r="1204" spans="1:8" x14ac:dyDescent="0.25">
      <c r="A1204">
        <v>141548</v>
      </c>
      <c r="B1204" t="s">
        <v>2012</v>
      </c>
      <c r="C1204" t="s">
        <v>125</v>
      </c>
      <c r="D1204" t="s">
        <v>37</v>
      </c>
      <c r="E1204" t="s">
        <v>46</v>
      </c>
      <c r="F1204" t="s">
        <v>12</v>
      </c>
      <c r="G1204" t="str">
        <f>HYPERLINK(_xlfn.CONCAT("https://tablet.otzar.org/",CHAR(35),"/book/141548/p/-1/t/1/fs/0/start/0/end/0/c"),"מבועי החסידות - א")</f>
        <v>מבועי החסידות - א</v>
      </c>
      <c r="H1204" t="str">
        <f>_xlfn.CONCAT("https://tablet.otzar.org/",CHAR(35),"/book/141548/p/-1/t/1/fs/0/start/0/end/0/c")</f>
        <v>https://tablet.otzar.org/#/book/141548/p/-1/t/1/fs/0/start/0/end/0/c</v>
      </c>
    </row>
    <row r="1205" spans="1:8" x14ac:dyDescent="0.25">
      <c r="A1205">
        <v>141516</v>
      </c>
      <c r="B1205" t="s">
        <v>2013</v>
      </c>
      <c r="C1205" t="s">
        <v>2014</v>
      </c>
      <c r="E1205" t="s">
        <v>91</v>
      </c>
      <c r="F1205" t="s">
        <v>12</v>
      </c>
      <c r="G1205" t="str">
        <f>HYPERLINK(_xlfn.CONCAT("https://tablet.otzar.org/",CHAR(35),"/book/141516/p/-1/t/1/fs/0/start/0/end/0/c"),"מבחר מאמרים למחשבת חב""""ד")</f>
        <v>מבחר מאמרים למחשבת חב""ד</v>
      </c>
      <c r="H1205" t="str">
        <f>_xlfn.CONCAT("https://tablet.otzar.org/",CHAR(35),"/book/141516/p/-1/t/1/fs/0/start/0/end/0/c")</f>
        <v>https://tablet.otzar.org/#/book/141516/p/-1/t/1/fs/0/start/0/end/0/c</v>
      </c>
    </row>
    <row r="1206" spans="1:8" x14ac:dyDescent="0.25">
      <c r="A1206">
        <v>626825</v>
      </c>
      <c r="B1206" t="s">
        <v>2015</v>
      </c>
      <c r="C1206" t="s">
        <v>102</v>
      </c>
      <c r="D1206" t="s">
        <v>15</v>
      </c>
      <c r="E1206" t="s">
        <v>1401</v>
      </c>
      <c r="F1206" t="s">
        <v>163</v>
      </c>
      <c r="G1206" t="str">
        <f>HYPERLINK(_xlfn.CONCAT("https://tablet.otzar.org/",CHAR(35),"/exKotar/626825"),"מבחר שיעורי התבוננות - 24 כרכים")</f>
        <v>מבחר שיעורי התבוננות - 24 כרכים</v>
      </c>
      <c r="H1206" t="str">
        <f>_xlfn.CONCAT("https://tablet.otzar.org/",CHAR(35),"/exKotar/626825")</f>
        <v>https://tablet.otzar.org/#/exKotar/626825</v>
      </c>
    </row>
    <row r="1207" spans="1:8" x14ac:dyDescent="0.25">
      <c r="A1207">
        <v>607977</v>
      </c>
      <c r="B1207" t="s">
        <v>2016</v>
      </c>
      <c r="C1207" t="s">
        <v>2017</v>
      </c>
      <c r="D1207" t="s">
        <v>15</v>
      </c>
      <c r="E1207" t="s">
        <v>88</v>
      </c>
      <c r="F1207" t="s">
        <v>12</v>
      </c>
      <c r="G1207" t="str">
        <f>HYPERLINK(_xlfn.CONCAT("https://tablet.otzar.org/",CHAR(35),"/book/607977/p/-1/t/1/fs/0/start/0/end/0/c"),"מבט אל החיים")</f>
        <v>מבט אל החיים</v>
      </c>
      <c r="H1207" t="str">
        <f>_xlfn.CONCAT("https://tablet.otzar.org/",CHAR(35),"/book/607977/p/-1/t/1/fs/0/start/0/end/0/c")</f>
        <v>https://tablet.otzar.org/#/book/607977/p/-1/t/1/fs/0/start/0/end/0/c</v>
      </c>
    </row>
    <row r="1208" spans="1:8" x14ac:dyDescent="0.25">
      <c r="A1208">
        <v>140844</v>
      </c>
      <c r="B1208" t="s">
        <v>2018</v>
      </c>
      <c r="C1208" t="s">
        <v>2019</v>
      </c>
      <c r="D1208" t="s">
        <v>28</v>
      </c>
      <c r="E1208" t="s">
        <v>54</v>
      </c>
      <c r="F1208" t="s">
        <v>12</v>
      </c>
      <c r="G1208" t="str">
        <f>HYPERLINK(_xlfn.CONCAT("https://tablet.otzar.org/",CHAR(35),"/book/140844/p/-1/t/1/fs/0/start/0/end/0/c"),"מבט חסידי על מועדי ישראל")</f>
        <v>מבט חסידי על מועדי ישראל</v>
      </c>
      <c r="H1208" t="str">
        <f>_xlfn.CONCAT("https://tablet.otzar.org/",CHAR(35),"/book/140844/p/-1/t/1/fs/0/start/0/end/0/c")</f>
        <v>https://tablet.otzar.org/#/book/140844/p/-1/t/1/fs/0/start/0/end/0/c</v>
      </c>
    </row>
    <row r="1209" spans="1:8" x14ac:dyDescent="0.25">
      <c r="A1209">
        <v>607472</v>
      </c>
      <c r="B1209" t="s">
        <v>2020</v>
      </c>
      <c r="C1209" t="s">
        <v>866</v>
      </c>
      <c r="D1209" t="s">
        <v>15</v>
      </c>
      <c r="E1209" t="s">
        <v>88</v>
      </c>
      <c r="F1209" t="s">
        <v>12</v>
      </c>
      <c r="G1209" t="str">
        <f>HYPERLINK(_xlfn.CONCAT("https://tablet.otzar.org/",CHAR(35),"/book/607472/p/-1/t/1/fs/0/start/0/end/0/c"),"מבט מיוחד")</f>
        <v>מבט מיוחד</v>
      </c>
      <c r="H1209" t="str">
        <f>_xlfn.CONCAT("https://tablet.otzar.org/",CHAR(35),"/book/607472/p/-1/t/1/fs/0/start/0/end/0/c")</f>
        <v>https://tablet.otzar.org/#/book/607472/p/-1/t/1/fs/0/start/0/end/0/c</v>
      </c>
    </row>
    <row r="1210" spans="1:8" x14ac:dyDescent="0.25">
      <c r="A1210">
        <v>646607</v>
      </c>
      <c r="B1210" t="s">
        <v>2021</v>
      </c>
      <c r="C1210" t="s">
        <v>2022</v>
      </c>
      <c r="D1210" t="s">
        <v>15</v>
      </c>
      <c r="E1210" t="s">
        <v>2023</v>
      </c>
      <c r="F1210" t="s">
        <v>12</v>
      </c>
      <c r="G1210" t="str">
        <f>HYPERLINK(_xlfn.CONCAT("https://tablet.otzar.org/",CHAR(35),"/exKotar/646607"),"מבית ההוראה - 4 כרכים")</f>
        <v>מבית ההוראה - 4 כרכים</v>
      </c>
      <c r="H1210" t="str">
        <f>_xlfn.CONCAT("https://tablet.otzar.org/",CHAR(35),"/exKotar/646607")</f>
        <v>https://tablet.otzar.org/#/exKotar/646607</v>
      </c>
    </row>
    <row r="1211" spans="1:8" x14ac:dyDescent="0.25">
      <c r="A1211">
        <v>622505</v>
      </c>
      <c r="B1211" t="s">
        <v>2024</v>
      </c>
      <c r="C1211" t="s">
        <v>2025</v>
      </c>
      <c r="D1211" t="s">
        <v>438</v>
      </c>
      <c r="E1211" t="s">
        <v>115</v>
      </c>
      <c r="F1211" t="s">
        <v>12</v>
      </c>
      <c r="G1211" t="str">
        <f>HYPERLINK(_xlfn.CONCAT("https://tablet.otzar.org/",CHAR(35),"/exKotar/622505"),"מבית המלכות - 2 כרכים")</f>
        <v>מבית המלכות - 2 כרכים</v>
      </c>
      <c r="H1211" t="str">
        <f>_xlfn.CONCAT("https://tablet.otzar.org/",CHAR(35),"/exKotar/622505")</f>
        <v>https://tablet.otzar.org/#/exKotar/622505</v>
      </c>
    </row>
    <row r="1212" spans="1:8" x14ac:dyDescent="0.25">
      <c r="A1212">
        <v>27172</v>
      </c>
      <c r="B1212" t="s">
        <v>2026</v>
      </c>
      <c r="C1212" t="s">
        <v>125</v>
      </c>
      <c r="D1212" t="s">
        <v>10</v>
      </c>
      <c r="E1212" t="s">
        <v>29</v>
      </c>
      <c r="F1212" t="s">
        <v>12</v>
      </c>
      <c r="G1212" t="str">
        <f>HYPERLINK(_xlfn.CONCAT("https://tablet.otzar.org/",CHAR(35),"/exKotar/27172"),"מבית חיינו - 6 כרכים")</f>
        <v>מבית חיינו - 6 כרכים</v>
      </c>
      <c r="H1212" t="str">
        <f>_xlfn.CONCAT("https://tablet.otzar.org/",CHAR(35),"/exKotar/27172")</f>
        <v>https://tablet.otzar.org/#/exKotar/27172</v>
      </c>
    </row>
    <row r="1213" spans="1:8" x14ac:dyDescent="0.25">
      <c r="A1213">
        <v>630063</v>
      </c>
      <c r="B1213" t="s">
        <v>2027</v>
      </c>
      <c r="C1213" t="s">
        <v>122</v>
      </c>
      <c r="D1213" t="s">
        <v>28</v>
      </c>
      <c r="E1213" t="s">
        <v>91</v>
      </c>
      <c r="F1213" t="s">
        <v>12</v>
      </c>
      <c r="G1213" t="str">
        <f>HYPERLINK(_xlfn.CONCAT("https://tablet.otzar.org/",CHAR(35),"/book/630063/p/-1/t/1/fs/0/start/0/end/0/c"),"מבנה התניא ורעיונות מרכזיים")</f>
        <v>מבנה התניא ורעיונות מרכזיים</v>
      </c>
      <c r="H1213" t="str">
        <f>_xlfn.CONCAT("https://tablet.otzar.org/",CHAR(35),"/book/630063/p/-1/t/1/fs/0/start/0/end/0/c")</f>
        <v>https://tablet.otzar.org/#/book/630063/p/-1/t/1/fs/0/start/0/end/0/c</v>
      </c>
    </row>
    <row r="1214" spans="1:8" x14ac:dyDescent="0.25">
      <c r="A1214">
        <v>162747</v>
      </c>
      <c r="B1214" t="s">
        <v>2028</v>
      </c>
      <c r="C1214" t="s">
        <v>2029</v>
      </c>
      <c r="D1214" t="s">
        <v>15</v>
      </c>
      <c r="E1214" t="s">
        <v>33</v>
      </c>
      <c r="F1214" t="s">
        <v>12</v>
      </c>
      <c r="G1214" t="str">
        <f>HYPERLINK(_xlfn.CONCAT("https://tablet.otzar.org/",CHAR(35),"/exKotar/162747"),"מבצע הדפסת ספר התניא - 3 כרכים")</f>
        <v>מבצע הדפסת ספר התניא - 3 כרכים</v>
      </c>
      <c r="H1214" t="str">
        <f>_xlfn.CONCAT("https://tablet.otzar.org/",CHAR(35),"/exKotar/162747")</f>
        <v>https://tablet.otzar.org/#/exKotar/162747</v>
      </c>
    </row>
    <row r="1215" spans="1:8" x14ac:dyDescent="0.25">
      <c r="A1215">
        <v>146201</v>
      </c>
      <c r="B1215" t="s">
        <v>2030</v>
      </c>
      <c r="C1215" t="s">
        <v>595</v>
      </c>
      <c r="D1215" t="s">
        <v>28</v>
      </c>
      <c r="E1215" t="s">
        <v>91</v>
      </c>
      <c r="F1215" t="s">
        <v>12</v>
      </c>
      <c r="G1215" t="str">
        <f>HYPERLINK(_xlfn.CONCAT("https://tablet.otzar.org/",CHAR(35),"/book/146201/p/-1/t/1/fs/0/start/0/end/0/c"),"מבצע תפילין")</f>
        <v>מבצע תפילין</v>
      </c>
      <c r="H1215" t="str">
        <f>_xlfn.CONCAT("https://tablet.otzar.org/",CHAR(35),"/book/146201/p/-1/t/1/fs/0/start/0/end/0/c")</f>
        <v>https://tablet.otzar.org/#/book/146201/p/-1/t/1/fs/0/start/0/end/0/c</v>
      </c>
    </row>
    <row r="1216" spans="1:8" x14ac:dyDescent="0.25">
      <c r="A1216">
        <v>146233</v>
      </c>
      <c r="B1216" t="s">
        <v>2031</v>
      </c>
      <c r="C1216" t="s">
        <v>2032</v>
      </c>
      <c r="D1216" t="s">
        <v>28</v>
      </c>
      <c r="E1216" t="s">
        <v>91</v>
      </c>
      <c r="F1216" t="s">
        <v>76</v>
      </c>
      <c r="G1216" t="str">
        <f>HYPERLINK(_xlfn.CONCAT("https://tablet.otzar.org/",CHAR(35),"/book/146233/p/-1/t/1/fs/0/start/0/end/0/c"),"מבצעון")</f>
        <v>מבצעון</v>
      </c>
      <c r="H1216" t="str">
        <f>_xlfn.CONCAT("https://tablet.otzar.org/",CHAR(35),"/book/146233/p/-1/t/1/fs/0/start/0/end/0/c")</f>
        <v>https://tablet.otzar.org/#/book/146233/p/-1/t/1/fs/0/start/0/end/0/c</v>
      </c>
    </row>
    <row r="1217" spans="1:8" x14ac:dyDescent="0.25">
      <c r="A1217">
        <v>141352</v>
      </c>
      <c r="B1217" t="s">
        <v>2033</v>
      </c>
      <c r="C1217" t="s">
        <v>2034</v>
      </c>
      <c r="D1217" t="s">
        <v>37</v>
      </c>
      <c r="E1217" t="s">
        <v>57</v>
      </c>
      <c r="F1217" t="s">
        <v>12</v>
      </c>
      <c r="G1217" t="str">
        <f>HYPERLINK(_xlfn.CONCAT("https://tablet.otzar.org/",CHAR(35),"/book/141352/p/-1/t/1/fs/0/start/0/end/0/c"),"מגבעות אשורנו")</f>
        <v>מגבעות אשורנו</v>
      </c>
      <c r="H1217" t="str">
        <f>_xlfn.CONCAT("https://tablet.otzar.org/",CHAR(35),"/book/141352/p/-1/t/1/fs/0/start/0/end/0/c")</f>
        <v>https://tablet.otzar.org/#/book/141352/p/-1/t/1/fs/0/start/0/end/0/c</v>
      </c>
    </row>
    <row r="1218" spans="1:8" x14ac:dyDescent="0.25">
      <c r="A1218">
        <v>143305</v>
      </c>
      <c r="B1218" t="s">
        <v>2035</v>
      </c>
      <c r="C1218" t="s">
        <v>2036</v>
      </c>
      <c r="D1218" t="s">
        <v>2037</v>
      </c>
      <c r="E1218" t="s">
        <v>1841</v>
      </c>
      <c r="F1218" t="s">
        <v>251</v>
      </c>
      <c r="G1218" t="str">
        <f>HYPERLINK(_xlfn.CONCAT("https://tablet.otzar.org/",CHAR(35),"/exKotar/143305"),"מגדל אור &lt;לוס אנג'לס&gt;  - 15 כרכים")</f>
        <v>מגדל אור &lt;לוס אנג'לס&gt;  - 15 כרכים</v>
      </c>
      <c r="H1218" t="str">
        <f>_xlfn.CONCAT("https://tablet.otzar.org/",CHAR(35),"/exKotar/143305")</f>
        <v>https://tablet.otzar.org/#/exKotar/143305</v>
      </c>
    </row>
    <row r="1219" spans="1:8" x14ac:dyDescent="0.25">
      <c r="A1219">
        <v>27384</v>
      </c>
      <c r="B1219" t="s">
        <v>2038</v>
      </c>
      <c r="C1219" t="s">
        <v>2039</v>
      </c>
      <c r="D1219" t="s">
        <v>440</v>
      </c>
      <c r="E1219" t="s">
        <v>1841</v>
      </c>
      <c r="F1219" t="s">
        <v>12</v>
      </c>
      <c r="G1219" t="str">
        <f>HYPERLINK(_xlfn.CONCAT("https://tablet.otzar.org/",CHAR(35),"/exKotar/27384"),"מגדל אור &lt;מגדל העמק&gt;  - 3 כרכים")</f>
        <v>מגדל אור &lt;מגדל העמק&gt;  - 3 כרכים</v>
      </c>
      <c r="H1219" t="str">
        <f>_xlfn.CONCAT("https://tablet.otzar.org/",CHAR(35),"/exKotar/27384")</f>
        <v>https://tablet.otzar.org/#/exKotar/27384</v>
      </c>
    </row>
    <row r="1220" spans="1:8" x14ac:dyDescent="0.25">
      <c r="A1220">
        <v>145625</v>
      </c>
      <c r="B1220" t="s">
        <v>2040</v>
      </c>
      <c r="C1220" t="s">
        <v>125</v>
      </c>
      <c r="D1220" t="s">
        <v>440</v>
      </c>
      <c r="E1220" t="s">
        <v>148</v>
      </c>
      <c r="F1220" t="s">
        <v>251</v>
      </c>
      <c r="G1220" t="str">
        <f>HYPERLINK(_xlfn.CONCAT("https://tablet.otzar.org/",CHAR(35),"/exKotar/145625"),"מגדל דוד - 38 כרכים")</f>
        <v>מגדל דוד - 38 כרכים</v>
      </c>
      <c r="H1220" t="str">
        <f>_xlfn.CONCAT("https://tablet.otzar.org/",CHAR(35),"/exKotar/145625")</f>
        <v>https://tablet.otzar.org/#/exKotar/145625</v>
      </c>
    </row>
    <row r="1221" spans="1:8" x14ac:dyDescent="0.25">
      <c r="A1221">
        <v>27568</v>
      </c>
      <c r="B1221" t="s">
        <v>440</v>
      </c>
      <c r="C1221" t="s">
        <v>45</v>
      </c>
      <c r="D1221" t="s">
        <v>15</v>
      </c>
      <c r="E1221" t="s">
        <v>217</v>
      </c>
      <c r="F1221" t="s">
        <v>12</v>
      </c>
      <c r="G1221" t="str">
        <f>HYPERLINK(_xlfn.CONCAT("https://tablet.otzar.org/",CHAR(35),"/book/27568/p/-1/t/1/fs/0/start/0/end/0/c"),"מגדל העמק")</f>
        <v>מגדל העמק</v>
      </c>
      <c r="H1221" t="str">
        <f>_xlfn.CONCAT("https://tablet.otzar.org/",CHAR(35),"/book/27568/p/-1/t/1/fs/0/start/0/end/0/c")</f>
        <v>https://tablet.otzar.org/#/book/27568/p/-1/t/1/fs/0/start/0/end/0/c</v>
      </c>
    </row>
    <row r="1222" spans="1:8" x14ac:dyDescent="0.25">
      <c r="A1222">
        <v>60671</v>
      </c>
      <c r="B1222" t="s">
        <v>2041</v>
      </c>
      <c r="C1222" t="s">
        <v>171</v>
      </c>
      <c r="D1222" t="s">
        <v>15</v>
      </c>
      <c r="E1222" t="s">
        <v>145</v>
      </c>
      <c r="F1222" t="s">
        <v>342</v>
      </c>
      <c r="G1222" t="str">
        <f>HYPERLINK(_xlfn.CONCAT("https://tablet.otzar.org/",CHAR(35),"/book/60671/p/-1/t/1/fs/0/start/0/end/0/c"),"מגדל עז")</f>
        <v>מגדל עז</v>
      </c>
      <c r="H1222" t="str">
        <f>_xlfn.CONCAT("https://tablet.otzar.org/",CHAR(35),"/book/60671/p/-1/t/1/fs/0/start/0/end/0/c")</f>
        <v>https://tablet.otzar.org/#/book/60671/p/-1/t/1/fs/0/start/0/end/0/c</v>
      </c>
    </row>
    <row r="1223" spans="1:8" x14ac:dyDescent="0.25">
      <c r="A1223">
        <v>26905</v>
      </c>
      <c r="B1223" t="s">
        <v>2042</v>
      </c>
      <c r="C1223" t="s">
        <v>2043</v>
      </c>
      <c r="D1223" t="s">
        <v>10</v>
      </c>
      <c r="E1223" t="s">
        <v>46</v>
      </c>
      <c r="F1223" t="s">
        <v>12</v>
      </c>
      <c r="G1223" t="str">
        <f>HYPERLINK(_xlfn.CONCAT("https://tablet.otzar.org/",CHAR(35),"/book/26905/p/-1/t/1/fs/0/start/0/end/0/c"),"מגולה לגאולה")</f>
        <v>מגולה לגאולה</v>
      </c>
      <c r="H1223" t="str">
        <f>_xlfn.CONCAT("https://tablet.otzar.org/",CHAR(35),"/book/26905/p/-1/t/1/fs/0/start/0/end/0/c")</f>
        <v>https://tablet.otzar.org/#/book/26905/p/-1/t/1/fs/0/start/0/end/0/c</v>
      </c>
    </row>
    <row r="1224" spans="1:8" x14ac:dyDescent="0.25">
      <c r="A1224">
        <v>162891</v>
      </c>
      <c r="B1224" t="s">
        <v>2044</v>
      </c>
      <c r="C1224" t="s">
        <v>257</v>
      </c>
      <c r="D1224" t="s">
        <v>10</v>
      </c>
      <c r="E1224" t="s">
        <v>49</v>
      </c>
      <c r="F1224" t="s">
        <v>12</v>
      </c>
      <c r="G1224" t="str">
        <f>HYPERLINK(_xlfn.CONCAT("https://tablet.otzar.org/",CHAR(35),"/book/162891/p/-1/t/1/fs/0/start/0/end/0/c"),"מגיד דבריו ליעקב &lt;הוצאה חדשה&gt;")</f>
        <v>מגיד דבריו ליעקב &lt;הוצאה חדשה&gt;</v>
      </c>
      <c r="H1224" t="str">
        <f>_xlfn.CONCAT("https://tablet.otzar.org/",CHAR(35),"/book/162891/p/-1/t/1/fs/0/start/0/end/0/c")</f>
        <v>https://tablet.otzar.org/#/book/162891/p/-1/t/1/fs/0/start/0/end/0/c</v>
      </c>
    </row>
    <row r="1225" spans="1:8" x14ac:dyDescent="0.25">
      <c r="A1225">
        <v>141361</v>
      </c>
      <c r="B1225" t="s">
        <v>2045</v>
      </c>
      <c r="C1225" t="s">
        <v>257</v>
      </c>
      <c r="D1225" t="s">
        <v>10</v>
      </c>
      <c r="E1225" t="s">
        <v>192</v>
      </c>
      <c r="G1225" t="str">
        <f>HYPERLINK(_xlfn.CONCAT("https://tablet.otzar.org/",CHAR(35),"/book/141361/p/-1/t/1/fs/0/start/0/end/0/c"),"מגיד דבריו ליעקב")</f>
        <v>מגיד דבריו ליעקב</v>
      </c>
      <c r="H1225" t="str">
        <f>_xlfn.CONCAT("https://tablet.otzar.org/",CHAR(35),"/book/141361/p/-1/t/1/fs/0/start/0/end/0/c")</f>
        <v>https://tablet.otzar.org/#/book/141361/p/-1/t/1/fs/0/start/0/end/0/c</v>
      </c>
    </row>
    <row r="1226" spans="1:8" x14ac:dyDescent="0.25">
      <c r="A1226">
        <v>611992</v>
      </c>
      <c r="B1226" t="s">
        <v>2046</v>
      </c>
      <c r="C1226" t="s">
        <v>2047</v>
      </c>
      <c r="D1226" t="s">
        <v>15</v>
      </c>
      <c r="E1226" t="s">
        <v>88</v>
      </c>
      <c r="F1226" t="s">
        <v>12</v>
      </c>
      <c r="G1226" t="str">
        <f>HYPERLINK(_xlfn.CONCAT("https://tablet.otzar.org/",CHAR(35),"/book/611992/p/-1/t/1/fs/0/start/0/end/0/c"),"מגיד מראשית אחרית")</f>
        <v>מגיד מראשית אחרית</v>
      </c>
      <c r="H1226" t="str">
        <f>_xlfn.CONCAT("https://tablet.otzar.org/",CHAR(35),"/book/611992/p/-1/t/1/fs/0/start/0/end/0/c")</f>
        <v>https://tablet.otzar.org/#/book/611992/p/-1/t/1/fs/0/start/0/end/0/c</v>
      </c>
    </row>
    <row r="1227" spans="1:8" x14ac:dyDescent="0.25">
      <c r="A1227">
        <v>628555</v>
      </c>
      <c r="B1227" t="s">
        <v>2046</v>
      </c>
      <c r="C1227" t="s">
        <v>102</v>
      </c>
      <c r="D1227" t="s">
        <v>15</v>
      </c>
      <c r="E1227" t="s">
        <v>88</v>
      </c>
      <c r="F1227" t="s">
        <v>175</v>
      </c>
      <c r="G1227" t="str">
        <f>HYPERLINK(_xlfn.CONCAT("https://tablet.otzar.org/",CHAR(35),"/book/628555/p/-1/t/1/fs/0/start/0/end/0/c"),"מגיד מראשית אחרית")</f>
        <v>מגיד מראשית אחרית</v>
      </c>
      <c r="H1227" t="str">
        <f>_xlfn.CONCAT("https://tablet.otzar.org/",CHAR(35),"/book/628555/p/-1/t/1/fs/0/start/0/end/0/c")</f>
        <v>https://tablet.otzar.org/#/book/628555/p/-1/t/1/fs/0/start/0/end/0/c</v>
      </c>
    </row>
    <row r="1228" spans="1:8" x14ac:dyDescent="0.25">
      <c r="A1228">
        <v>140924</v>
      </c>
      <c r="B1228" t="s">
        <v>2048</v>
      </c>
      <c r="C1228" t="s">
        <v>2049</v>
      </c>
      <c r="D1228" t="s">
        <v>10</v>
      </c>
      <c r="E1228" t="s">
        <v>91</v>
      </c>
      <c r="F1228" t="s">
        <v>12</v>
      </c>
      <c r="G1228" t="str">
        <f>HYPERLINK(_xlfn.CONCAT("https://tablet.otzar.org/",CHAR(35),"/book/140924/p/-1/t/1/fs/0/start/0/end/0/c"),"מגילת אסתר וברכת המזון עם ליקוטי ביאורים")</f>
        <v>מגילת אסתר וברכת המזון עם ליקוטי ביאורים</v>
      </c>
      <c r="H1228" t="str">
        <f>_xlfn.CONCAT("https://tablet.otzar.org/",CHAR(35),"/book/140924/p/-1/t/1/fs/0/start/0/end/0/c")</f>
        <v>https://tablet.otzar.org/#/book/140924/p/-1/t/1/fs/0/start/0/end/0/c</v>
      </c>
    </row>
    <row r="1229" spans="1:8" x14ac:dyDescent="0.25">
      <c r="A1229">
        <v>22075</v>
      </c>
      <c r="B1229" t="s">
        <v>2050</v>
      </c>
      <c r="C1229" t="s">
        <v>45</v>
      </c>
      <c r="D1229" t="s">
        <v>37</v>
      </c>
      <c r="E1229" t="s">
        <v>54</v>
      </c>
      <c r="G1229" t="str">
        <f>HYPERLINK(_xlfn.CONCAT("https://tablet.otzar.org/",CHAR(35),"/book/22075/p/-1/t/1/fs/0/start/0/end/0/c"),"מגילת אסתר עם שערי מגילה")</f>
        <v>מגילת אסתר עם שערי מגילה</v>
      </c>
      <c r="H1229" t="str">
        <f>_xlfn.CONCAT("https://tablet.otzar.org/",CHAR(35),"/book/22075/p/-1/t/1/fs/0/start/0/end/0/c")</f>
        <v>https://tablet.otzar.org/#/book/22075/p/-1/t/1/fs/0/start/0/end/0/c</v>
      </c>
    </row>
    <row r="1230" spans="1:8" x14ac:dyDescent="0.25">
      <c r="A1230">
        <v>164318</v>
      </c>
      <c r="B1230" t="s">
        <v>2051</v>
      </c>
      <c r="C1230" t="s">
        <v>2051</v>
      </c>
      <c r="D1230" t="s">
        <v>10</v>
      </c>
      <c r="E1230" t="s">
        <v>174</v>
      </c>
      <c r="F1230" t="s">
        <v>12</v>
      </c>
      <c r="G1230" t="str">
        <f>HYPERLINK(_xlfn.CONCAT("https://tablet.otzar.org/",CHAR(35),"/book/164318/p/-1/t/1/fs/0/start/0/end/0/c"),"מגילת אסתר עם תרגום רוסית")</f>
        <v>מגילת אסתר עם תרגום רוסית</v>
      </c>
      <c r="H1230" t="str">
        <f>_xlfn.CONCAT("https://tablet.otzar.org/",CHAR(35),"/book/164318/p/-1/t/1/fs/0/start/0/end/0/c")</f>
        <v>https://tablet.otzar.org/#/book/164318/p/-1/t/1/fs/0/start/0/end/0/c</v>
      </c>
    </row>
    <row r="1231" spans="1:8" x14ac:dyDescent="0.25">
      <c r="A1231">
        <v>141583</v>
      </c>
      <c r="B1231" t="s">
        <v>2052</v>
      </c>
      <c r="C1231" t="s">
        <v>2053</v>
      </c>
      <c r="D1231" t="s">
        <v>28</v>
      </c>
      <c r="E1231" t="s">
        <v>54</v>
      </c>
      <c r="F1231" t="s">
        <v>12</v>
      </c>
      <c r="G1231" t="str">
        <f>HYPERLINK(_xlfn.CONCAT("https://tablet.otzar.org/",CHAR(35),"/book/141583/p/-1/t/1/fs/0/start/0/end/0/c"),"מגילת חייו של הרב מלאדי זצ""""ל")</f>
        <v>מגילת חייו של הרב מלאדי זצ""ל</v>
      </c>
      <c r="H1231" t="str">
        <f>_xlfn.CONCAT("https://tablet.otzar.org/",CHAR(35),"/book/141583/p/-1/t/1/fs/0/start/0/end/0/c")</f>
        <v>https://tablet.otzar.org/#/book/141583/p/-1/t/1/fs/0/start/0/end/0/c</v>
      </c>
    </row>
    <row r="1232" spans="1:8" x14ac:dyDescent="0.25">
      <c r="A1232">
        <v>146002</v>
      </c>
      <c r="B1232" t="s">
        <v>2054</v>
      </c>
      <c r="C1232" t="s">
        <v>2054</v>
      </c>
      <c r="D1232" t="s">
        <v>28</v>
      </c>
      <c r="E1232" t="s">
        <v>75</v>
      </c>
      <c r="F1232" t="s">
        <v>12</v>
      </c>
      <c r="G1232" t="str">
        <f>HYPERLINK(_xlfn.CONCAT("https://tablet.otzar.org/",CHAR(35),"/book/146002/p/-1/t/1/fs/0/start/0/end/0/c"),"מגילת י""""ט כסלו")</f>
        <v>מגילת י""ט כסלו</v>
      </c>
      <c r="H1232" t="str">
        <f>_xlfn.CONCAT("https://tablet.otzar.org/",CHAR(35),"/book/146002/p/-1/t/1/fs/0/start/0/end/0/c")</f>
        <v>https://tablet.otzar.org/#/book/146002/p/-1/t/1/fs/0/start/0/end/0/c</v>
      </c>
    </row>
    <row r="1233" spans="1:8" x14ac:dyDescent="0.25">
      <c r="A1233">
        <v>611208</v>
      </c>
      <c r="B1233" t="s">
        <v>2055</v>
      </c>
      <c r="C1233" t="s">
        <v>2056</v>
      </c>
      <c r="D1233" t="s">
        <v>629</v>
      </c>
      <c r="E1233" t="s">
        <v>91</v>
      </c>
      <c r="F1233" t="s">
        <v>12</v>
      </c>
      <c r="G1233" t="str">
        <f>HYPERLINK(_xlfn.CONCAT("https://tablet.otzar.org/",CHAR(35),"/book/611208/p/-1/t/1/fs/0/start/0/end/0/c"),"מגילת ראש חודש כסלו")</f>
        <v>מגילת ראש חודש כסלו</v>
      </c>
      <c r="H1233" t="str">
        <f>_xlfn.CONCAT("https://tablet.otzar.org/",CHAR(35),"/book/611208/p/-1/t/1/fs/0/start/0/end/0/c")</f>
        <v>https://tablet.otzar.org/#/book/611208/p/-1/t/1/fs/0/start/0/end/0/c</v>
      </c>
    </row>
    <row r="1234" spans="1:8" x14ac:dyDescent="0.25">
      <c r="A1234">
        <v>146359</v>
      </c>
      <c r="B1234" t="s">
        <v>2057</v>
      </c>
      <c r="C1234" t="s">
        <v>2058</v>
      </c>
      <c r="D1234" t="s">
        <v>37</v>
      </c>
      <c r="E1234" t="s">
        <v>29</v>
      </c>
      <c r="F1234" t="s">
        <v>100</v>
      </c>
      <c r="G1234" t="str">
        <f>HYPERLINK(_xlfn.CONCAT("https://tablet.otzar.org/",CHAR(35),"/book/146359/p/-1/t/1/fs/0/start/0/end/0/c"),"מגילת רות עם ביאורים מהרבי מליובאוויטש")</f>
        <v>מגילת רות עם ביאורים מהרבי מליובאוויטש</v>
      </c>
      <c r="H1234" t="str">
        <f>_xlfn.CONCAT("https://tablet.otzar.org/",CHAR(35),"/book/146359/p/-1/t/1/fs/0/start/0/end/0/c")</f>
        <v>https://tablet.otzar.org/#/book/146359/p/-1/t/1/fs/0/start/0/end/0/c</v>
      </c>
    </row>
    <row r="1235" spans="1:8" x14ac:dyDescent="0.25">
      <c r="A1235">
        <v>146403</v>
      </c>
      <c r="B1235" t="s">
        <v>2059</v>
      </c>
      <c r="C1235" t="s">
        <v>45</v>
      </c>
      <c r="D1235" t="s">
        <v>15</v>
      </c>
      <c r="E1235" t="s">
        <v>29</v>
      </c>
      <c r="F1235" t="s">
        <v>12</v>
      </c>
      <c r="G1235" t="str">
        <f>HYPERLINK(_xlfn.CONCAT("https://tablet.otzar.org/",CHAR(35),"/book/146403/p/-1/t/1/fs/0/start/0/end/0/c"),"מדברי הרבי לילדי ישראל")</f>
        <v>מדברי הרבי לילדי ישראל</v>
      </c>
      <c r="H1235" t="str">
        <f>_xlfn.CONCAT("https://tablet.otzar.org/",CHAR(35),"/book/146403/p/-1/t/1/fs/0/start/0/end/0/c")</f>
        <v>https://tablet.otzar.org/#/book/146403/p/-1/t/1/fs/0/start/0/end/0/c</v>
      </c>
    </row>
    <row r="1236" spans="1:8" x14ac:dyDescent="0.25">
      <c r="A1236">
        <v>607965</v>
      </c>
      <c r="B1236" t="s">
        <v>2060</v>
      </c>
      <c r="C1236" t="s">
        <v>966</v>
      </c>
      <c r="D1236" t="s">
        <v>15</v>
      </c>
      <c r="E1236" t="s">
        <v>404</v>
      </c>
      <c r="F1236" t="s">
        <v>12</v>
      </c>
      <c r="G1236" t="str">
        <f>HYPERLINK(_xlfn.CONCAT("https://tablet.otzar.org/",CHAR(35),"/exKotar/607965"),"מדריך הלכתי - 2 כרכים")</f>
        <v>מדריך הלכתי - 2 כרכים</v>
      </c>
      <c r="H1236" t="str">
        <f>_xlfn.CONCAT("https://tablet.otzar.org/",CHAR(35),"/exKotar/607965")</f>
        <v>https://tablet.otzar.org/#/exKotar/607965</v>
      </c>
    </row>
    <row r="1237" spans="1:8" x14ac:dyDescent="0.25">
      <c r="A1237">
        <v>141519</v>
      </c>
      <c r="B1237" t="s">
        <v>2061</v>
      </c>
      <c r="C1237" t="s">
        <v>2062</v>
      </c>
      <c r="D1237" t="s">
        <v>15</v>
      </c>
      <c r="F1237" t="s">
        <v>12</v>
      </c>
      <c r="G1237" t="str">
        <f>HYPERLINK(_xlfn.CONCAT("https://tablet.otzar.org/",CHAR(35),"/book/141519/p/-1/t/1/fs/0/start/0/end/0/c"),"מדריך הלכתי לפסח")</f>
        <v>מדריך הלכתי לפסח</v>
      </c>
      <c r="H1237" t="str">
        <f>_xlfn.CONCAT("https://tablet.otzar.org/",CHAR(35),"/book/141519/p/-1/t/1/fs/0/start/0/end/0/c")</f>
        <v>https://tablet.otzar.org/#/book/141519/p/-1/t/1/fs/0/start/0/end/0/c</v>
      </c>
    </row>
    <row r="1238" spans="1:8" x14ac:dyDescent="0.25">
      <c r="A1238">
        <v>607957</v>
      </c>
      <c r="B1238" t="s">
        <v>2063</v>
      </c>
      <c r="C1238" t="s">
        <v>2064</v>
      </c>
      <c r="D1238" t="s">
        <v>37</v>
      </c>
      <c r="E1238" t="s">
        <v>99</v>
      </c>
      <c r="F1238" t="s">
        <v>12</v>
      </c>
      <c r="G1238" t="str">
        <f>HYPERLINK(_xlfn.CONCAT("https://tablet.otzar.org/",CHAR(35),"/book/607957/p/-1/t/1/fs/0/start/0/end/0/c"),"מדריך הסברה לסדר מהלך החתונה")</f>
        <v>מדריך הסברה לסדר מהלך החתונה</v>
      </c>
      <c r="H1238" t="str">
        <f>_xlfn.CONCAT("https://tablet.otzar.org/",CHAR(35),"/book/607957/p/-1/t/1/fs/0/start/0/end/0/c")</f>
        <v>https://tablet.otzar.org/#/book/607957/p/-1/t/1/fs/0/start/0/end/0/c</v>
      </c>
    </row>
    <row r="1239" spans="1:8" x14ac:dyDescent="0.25">
      <c r="A1239">
        <v>27834</v>
      </c>
      <c r="B1239" t="s">
        <v>2065</v>
      </c>
      <c r="C1239" t="s">
        <v>1065</v>
      </c>
      <c r="D1239" t="s">
        <v>15</v>
      </c>
      <c r="E1239" t="s">
        <v>69</v>
      </c>
      <c r="F1239" t="s">
        <v>12</v>
      </c>
      <c r="G1239" t="str">
        <f>HYPERLINK(_xlfn.CONCAT("https://tablet.otzar.org/",CHAR(35),"/book/27834/p/-1/t/1/fs/0/start/0/end/0/c"),"מדריך לאמהות בחנוך הגיל הרך")</f>
        <v>מדריך לאמהות בחנוך הגיל הרך</v>
      </c>
      <c r="H1239" t="str">
        <f>_xlfn.CONCAT("https://tablet.otzar.org/",CHAR(35),"/book/27834/p/-1/t/1/fs/0/start/0/end/0/c")</f>
        <v>https://tablet.otzar.org/#/book/27834/p/-1/t/1/fs/0/start/0/end/0/c</v>
      </c>
    </row>
    <row r="1240" spans="1:8" x14ac:dyDescent="0.25">
      <c r="A1240">
        <v>27587</v>
      </c>
      <c r="B1240" t="s">
        <v>2066</v>
      </c>
      <c r="C1240" t="s">
        <v>2067</v>
      </c>
      <c r="D1240" t="s">
        <v>10</v>
      </c>
      <c r="E1240" t="s">
        <v>64</v>
      </c>
      <c r="F1240" t="s">
        <v>12</v>
      </c>
      <c r="G1240" t="str">
        <f>HYPERLINK(_xlfn.CONCAT("https://tablet.otzar.org/",CHAR(35),"/book/27587/p/-1/t/1/fs/0/start/0/end/0/c"),"מדריך להכשרת מטבח")</f>
        <v>מדריך להכשרת מטבח</v>
      </c>
      <c r="H1240" t="str">
        <f>_xlfn.CONCAT("https://tablet.otzar.org/",CHAR(35),"/book/27587/p/-1/t/1/fs/0/start/0/end/0/c")</f>
        <v>https://tablet.otzar.org/#/book/27587/p/-1/t/1/fs/0/start/0/end/0/c</v>
      </c>
    </row>
    <row r="1241" spans="1:8" x14ac:dyDescent="0.25">
      <c r="A1241">
        <v>85199</v>
      </c>
      <c r="B1241" t="s">
        <v>2068</v>
      </c>
      <c r="C1241" t="s">
        <v>2069</v>
      </c>
      <c r="D1241" t="s">
        <v>440</v>
      </c>
      <c r="E1241" t="s">
        <v>226</v>
      </c>
      <c r="F1241" t="s">
        <v>161</v>
      </c>
      <c r="G1241" t="str">
        <f>HYPERLINK(_xlfn.CONCAT("https://tablet.otzar.org/",CHAR(35),"/book/85199/p/-1/t/1/fs/0/start/0/end/0/c"),"מדריך לטהרת המשפחה לפי שיטת חב""""ד")</f>
        <v>מדריך לטהרת המשפחה לפי שיטת חב""ד</v>
      </c>
      <c r="H1241" t="str">
        <f>_xlfn.CONCAT("https://tablet.otzar.org/",CHAR(35),"/book/85199/p/-1/t/1/fs/0/start/0/end/0/c")</f>
        <v>https://tablet.otzar.org/#/book/85199/p/-1/t/1/fs/0/start/0/end/0/c</v>
      </c>
    </row>
    <row r="1242" spans="1:8" x14ac:dyDescent="0.25">
      <c r="A1242">
        <v>27835</v>
      </c>
      <c r="B1242" t="s">
        <v>2070</v>
      </c>
      <c r="C1242" t="s">
        <v>2071</v>
      </c>
      <c r="E1242" t="s">
        <v>181</v>
      </c>
      <c r="F1242" t="s">
        <v>12</v>
      </c>
      <c r="G1242" t="str">
        <f>HYPERLINK(_xlfn.CONCAT("https://tablet.otzar.org/",CHAR(35),"/book/27835/p/-1/t/1/fs/0/start/0/end/0/c"),"מדריך תכנית העבודה לגיל הרך")</f>
        <v>מדריך תכנית העבודה לגיל הרך</v>
      </c>
      <c r="H1242" t="str">
        <f>_xlfn.CONCAT("https://tablet.otzar.org/",CHAR(35),"/book/27835/p/-1/t/1/fs/0/start/0/end/0/c")</f>
        <v>https://tablet.otzar.org/#/book/27835/p/-1/t/1/fs/0/start/0/end/0/c</v>
      </c>
    </row>
    <row r="1243" spans="1:8" x14ac:dyDescent="0.25">
      <c r="A1243">
        <v>153367</v>
      </c>
      <c r="B1243" t="s">
        <v>2072</v>
      </c>
      <c r="C1243" t="s">
        <v>2073</v>
      </c>
      <c r="D1243" t="s">
        <v>15</v>
      </c>
      <c r="E1243" t="s">
        <v>49</v>
      </c>
      <c r="F1243" t="s">
        <v>12</v>
      </c>
      <c r="G1243" t="str">
        <f>HYPERLINK(_xlfn.CONCAT("https://tablet.otzar.org/",CHAR(35),"/exKotar/153367"),"מדרכי ההשתלשלות - 2 כרכים")</f>
        <v>מדרכי ההשתלשלות - 2 כרכים</v>
      </c>
      <c r="H1243" t="str">
        <f>_xlfn.CONCAT("https://tablet.otzar.org/",CHAR(35),"/exKotar/153367")</f>
        <v>https://tablet.otzar.org/#/exKotar/153367</v>
      </c>
    </row>
    <row r="1244" spans="1:8" x14ac:dyDescent="0.25">
      <c r="A1244">
        <v>84730</v>
      </c>
      <c r="B1244" t="s">
        <v>2074</v>
      </c>
      <c r="C1244" t="s">
        <v>2075</v>
      </c>
      <c r="D1244" t="s">
        <v>1943</v>
      </c>
      <c r="E1244" t="s">
        <v>103</v>
      </c>
      <c r="F1244" t="s">
        <v>641</v>
      </c>
      <c r="G1244" t="str">
        <f>HYPERLINK(_xlfn.CONCAT("https://tablet.otzar.org/",CHAR(35),"/exKotar/84730"),"מדרכי הקונטרס - 2 כרכים")</f>
        <v>מדרכי הקונטרס - 2 כרכים</v>
      </c>
      <c r="H1244" t="str">
        <f>_xlfn.CONCAT("https://tablet.otzar.org/",CHAR(35),"/exKotar/84730")</f>
        <v>https://tablet.otzar.org/#/exKotar/84730</v>
      </c>
    </row>
    <row r="1245" spans="1:8" x14ac:dyDescent="0.25">
      <c r="A1245">
        <v>614917</v>
      </c>
      <c r="B1245" t="s">
        <v>2076</v>
      </c>
      <c r="C1245" t="s">
        <v>45</v>
      </c>
      <c r="D1245" t="s">
        <v>28</v>
      </c>
      <c r="E1245" t="s">
        <v>91</v>
      </c>
      <c r="F1245" t="s">
        <v>12</v>
      </c>
      <c r="G1245" t="str">
        <f>HYPERLINK(_xlfn.CONCAT("https://tablet.otzar.org/",CHAR(35),"/book/614917/p/-1/t/1/fs/0/start/0/end/0/c"),"מדת הבטחון")</f>
        <v>מדת הבטחון</v>
      </c>
      <c r="H1245" t="str">
        <f>_xlfn.CONCAT("https://tablet.otzar.org/",CHAR(35),"/book/614917/p/-1/t/1/fs/0/start/0/end/0/c")</f>
        <v>https://tablet.otzar.org/#/book/614917/p/-1/t/1/fs/0/start/0/end/0/c</v>
      </c>
    </row>
    <row r="1246" spans="1:8" x14ac:dyDescent="0.25">
      <c r="A1246">
        <v>27503</v>
      </c>
      <c r="B1246" t="s">
        <v>2077</v>
      </c>
      <c r="C1246" t="s">
        <v>125</v>
      </c>
      <c r="D1246" t="s">
        <v>2078</v>
      </c>
      <c r="E1246" t="s">
        <v>75</v>
      </c>
      <c r="F1246" t="s">
        <v>12</v>
      </c>
      <c r="G1246" t="str">
        <f>HYPERLINK(_xlfn.CONCAT("https://tablet.otzar.org/",CHAR(35),"/book/27503/p/-1/t/1/fs/0/start/0/end/0/c"),"מה טובו אהליך")</f>
        <v>מה טובו אהליך</v>
      </c>
      <c r="H1246" t="str">
        <f>_xlfn.CONCAT("https://tablet.otzar.org/",CHAR(35),"/book/27503/p/-1/t/1/fs/0/start/0/end/0/c")</f>
        <v>https://tablet.otzar.org/#/book/27503/p/-1/t/1/fs/0/start/0/end/0/c</v>
      </c>
    </row>
    <row r="1247" spans="1:8" x14ac:dyDescent="0.25">
      <c r="A1247">
        <v>27843</v>
      </c>
      <c r="B1247" t="s">
        <v>2079</v>
      </c>
      <c r="C1247" t="s">
        <v>1205</v>
      </c>
      <c r="D1247" t="s">
        <v>15</v>
      </c>
      <c r="E1247" t="s">
        <v>103</v>
      </c>
      <c r="F1247" t="s">
        <v>12</v>
      </c>
      <c r="G1247" t="str">
        <f>HYPERLINK(_xlfn.CONCAT("https://tablet.otzar.org/",CHAR(35),"/book/27843/p/-1/t/1/fs/0/start/0/end/0/c"),"מה ידוע לך על חב""""ד")</f>
        <v>מה ידוע לך על חב""ד</v>
      </c>
      <c r="H1247" t="str">
        <f>_xlfn.CONCAT("https://tablet.otzar.org/",CHAR(35),"/book/27843/p/-1/t/1/fs/0/start/0/end/0/c")</f>
        <v>https://tablet.otzar.org/#/book/27843/p/-1/t/1/fs/0/start/0/end/0/c</v>
      </c>
    </row>
    <row r="1248" spans="1:8" x14ac:dyDescent="0.25">
      <c r="A1248">
        <v>145936</v>
      </c>
      <c r="B1248" t="s">
        <v>2080</v>
      </c>
      <c r="C1248" t="s">
        <v>45</v>
      </c>
      <c r="D1248" t="s">
        <v>412</v>
      </c>
      <c r="E1248" t="s">
        <v>91</v>
      </c>
      <c r="F1248" t="s">
        <v>12</v>
      </c>
      <c r="G1248" t="str">
        <f>HYPERLINK(_xlfn.CONCAT("https://tablet.otzar.org/",CHAR(35),"/book/145936/p/-1/t/1/fs/0/start/0/end/0/c"),"מה עשו נשיאי ארה""""ב ורוסיה בעירו של הרבי")</f>
        <v>מה עשו נשיאי ארה""ב ורוסיה בעירו של הרבי</v>
      </c>
      <c r="H1248" t="str">
        <f>_xlfn.CONCAT("https://tablet.otzar.org/",CHAR(35),"/book/145936/p/-1/t/1/fs/0/start/0/end/0/c")</f>
        <v>https://tablet.otzar.org/#/book/145936/p/-1/t/1/fs/0/start/0/end/0/c</v>
      </c>
    </row>
    <row r="1249" spans="1:8" x14ac:dyDescent="0.25">
      <c r="A1249">
        <v>27117</v>
      </c>
      <c r="B1249" t="s">
        <v>2081</v>
      </c>
      <c r="C1249" t="s">
        <v>2082</v>
      </c>
      <c r="D1249" t="s">
        <v>37</v>
      </c>
      <c r="E1249" t="s">
        <v>29</v>
      </c>
      <c r="F1249" t="s">
        <v>12</v>
      </c>
      <c r="G1249" t="str">
        <f>HYPERLINK(_xlfn.CONCAT("https://tablet.otzar.org/",CHAR(35),"/book/27117/p/-1/t/1/fs/0/start/0/end/0/c"),"מה רבו מעשיך ה'")</f>
        <v>מה רבו מעשיך ה'</v>
      </c>
      <c r="H1249" t="str">
        <f>_xlfn.CONCAT("https://tablet.otzar.org/",CHAR(35),"/book/27117/p/-1/t/1/fs/0/start/0/end/0/c")</f>
        <v>https://tablet.otzar.org/#/book/27117/p/-1/t/1/fs/0/start/0/end/0/c</v>
      </c>
    </row>
    <row r="1250" spans="1:8" x14ac:dyDescent="0.25">
      <c r="A1250">
        <v>28809</v>
      </c>
      <c r="B1250" t="s">
        <v>2083</v>
      </c>
      <c r="C1250" t="s">
        <v>2084</v>
      </c>
      <c r="D1250" t="s">
        <v>10</v>
      </c>
      <c r="E1250" t="s">
        <v>103</v>
      </c>
      <c r="F1250" t="s">
        <v>12</v>
      </c>
      <c r="G1250" t="str">
        <f>HYPERLINK(_xlfn.CONCAT("https://tablet.otzar.org/",CHAR(35),"/exKotar/28809"),"מה שסיפר לי סבא - 4 כרכים")</f>
        <v>מה שסיפר לי סבא - 4 כרכים</v>
      </c>
      <c r="H1250" t="str">
        <f>_xlfn.CONCAT("https://tablet.otzar.org/",CHAR(35),"/exKotar/28809")</f>
        <v>https://tablet.otzar.org/#/exKotar/28809</v>
      </c>
    </row>
    <row r="1251" spans="1:8" x14ac:dyDescent="0.25">
      <c r="A1251">
        <v>27821</v>
      </c>
      <c r="B1251" t="s">
        <v>2085</v>
      </c>
      <c r="C1251" t="s">
        <v>2086</v>
      </c>
      <c r="D1251" t="s">
        <v>37</v>
      </c>
      <c r="E1251" t="s">
        <v>174</v>
      </c>
      <c r="F1251" t="s">
        <v>12</v>
      </c>
      <c r="G1251" t="str">
        <f>HYPERLINK(_xlfn.CONCAT("https://tablet.otzar.org/",CHAR(35),"/exKotar/27821"),"מה שספר לי הרבי - 3 כרכים")</f>
        <v>מה שספר לי הרבי - 3 כרכים</v>
      </c>
      <c r="H1251" t="str">
        <f>_xlfn.CONCAT("https://tablet.otzar.org/",CHAR(35),"/exKotar/27821")</f>
        <v>https://tablet.otzar.org/#/exKotar/27821</v>
      </c>
    </row>
    <row r="1252" spans="1:8" x14ac:dyDescent="0.25">
      <c r="A1252">
        <v>26951</v>
      </c>
      <c r="B1252" t="s">
        <v>2087</v>
      </c>
      <c r="C1252" t="s">
        <v>90</v>
      </c>
      <c r="D1252" t="s">
        <v>10</v>
      </c>
      <c r="E1252" t="s">
        <v>79</v>
      </c>
      <c r="F1252" t="s">
        <v>12</v>
      </c>
      <c r="G1252" t="str">
        <f>HYPERLINK(_xlfn.CONCAT("https://tablet.otzar.org/",CHAR(35),"/book/26951/p/-1/t/1/fs/0/start/0/end/0/c"),"מהותם של ישראל במשנת החסידות")</f>
        <v>מהותם של ישראל במשנת החסידות</v>
      </c>
      <c r="H1252" t="str">
        <f>_xlfn.CONCAT("https://tablet.otzar.org/",CHAR(35),"/book/26951/p/-1/t/1/fs/0/start/0/end/0/c")</f>
        <v>https://tablet.otzar.org/#/book/26951/p/-1/t/1/fs/0/start/0/end/0/c</v>
      </c>
    </row>
    <row r="1253" spans="1:8" x14ac:dyDescent="0.25">
      <c r="A1253">
        <v>628556</v>
      </c>
      <c r="B1253" t="s">
        <v>2088</v>
      </c>
      <c r="C1253" t="s">
        <v>102</v>
      </c>
      <c r="D1253" t="s">
        <v>15</v>
      </c>
      <c r="E1253" t="s">
        <v>103</v>
      </c>
      <c r="F1253" t="s">
        <v>379</v>
      </c>
      <c r="G1253" t="str">
        <f>HYPERLINK(_xlfn.CONCAT("https://tablet.otzar.org/",CHAR(35),"/book/628556/p/-1/t/1/fs/0/start/0/end/0/c"),"מודעות טבעית")</f>
        <v>מודעות טבעית</v>
      </c>
      <c r="H1253" t="str">
        <f>_xlfn.CONCAT("https://tablet.otzar.org/",CHAR(35),"/book/628556/p/-1/t/1/fs/0/start/0/end/0/c")</f>
        <v>https://tablet.otzar.org/#/book/628556/p/-1/t/1/fs/0/start/0/end/0/c</v>
      </c>
    </row>
    <row r="1254" spans="1:8" x14ac:dyDescent="0.25">
      <c r="A1254">
        <v>614802</v>
      </c>
      <c r="B1254" t="s">
        <v>2089</v>
      </c>
      <c r="C1254" t="s">
        <v>925</v>
      </c>
      <c r="D1254" t="s">
        <v>37</v>
      </c>
      <c r="E1254" t="s">
        <v>19</v>
      </c>
      <c r="F1254" t="s">
        <v>201</v>
      </c>
      <c r="G1254" t="str">
        <f>HYPERLINK(_xlfn.CONCAT("https://tablet.otzar.org/",CHAR(35),"/book/614802/p/-1/t/1/fs/0/start/0/end/0/c"),"מועדים לחסידות - ב")</f>
        <v>מועדים לחסידות - ב</v>
      </c>
      <c r="H1254" t="str">
        <f>_xlfn.CONCAT("https://tablet.otzar.org/",CHAR(35),"/book/614802/p/-1/t/1/fs/0/start/0/end/0/c")</f>
        <v>https://tablet.otzar.org/#/book/614802/p/-1/t/1/fs/0/start/0/end/0/c</v>
      </c>
    </row>
    <row r="1255" spans="1:8" x14ac:dyDescent="0.25">
      <c r="A1255">
        <v>26941</v>
      </c>
      <c r="B1255" t="s">
        <v>2090</v>
      </c>
      <c r="C1255" t="s">
        <v>45</v>
      </c>
      <c r="D1255" t="s">
        <v>15</v>
      </c>
      <c r="E1255" t="s">
        <v>192</v>
      </c>
      <c r="F1255" t="s">
        <v>12</v>
      </c>
      <c r="G1255" t="str">
        <f>HYPERLINK(_xlfn.CONCAT("https://tablet.otzar.org/",CHAR(35),"/exKotar/26941"),"מורה לדור נבוך - 3 כרכים")</f>
        <v>מורה לדור נבוך - 3 כרכים</v>
      </c>
      <c r="H1255" t="str">
        <f>_xlfn.CONCAT("https://tablet.otzar.org/",CHAR(35),"/exKotar/26941")</f>
        <v>https://tablet.otzar.org/#/exKotar/26941</v>
      </c>
    </row>
    <row r="1256" spans="1:8" x14ac:dyDescent="0.25">
      <c r="A1256">
        <v>163136</v>
      </c>
      <c r="B1256" t="s">
        <v>2091</v>
      </c>
      <c r="C1256" t="s">
        <v>2092</v>
      </c>
      <c r="D1256" t="s">
        <v>15</v>
      </c>
      <c r="E1256" t="s">
        <v>16</v>
      </c>
      <c r="G1256" t="str">
        <f>HYPERLINK(_xlfn.CONCAT("https://tablet.otzar.org/",CHAR(35),"/book/163136/p/-1/t/1/fs/0/start/0/end/0/c"),"מושל ברוחו")</f>
        <v>מושל ברוחו</v>
      </c>
      <c r="H1256" t="str">
        <f>_xlfn.CONCAT("https://tablet.otzar.org/",CHAR(35),"/book/163136/p/-1/t/1/fs/0/start/0/end/0/c")</f>
        <v>https://tablet.otzar.org/#/book/163136/p/-1/t/1/fs/0/start/0/end/0/c</v>
      </c>
    </row>
    <row r="1257" spans="1:8" x14ac:dyDescent="0.25">
      <c r="A1257">
        <v>140878</v>
      </c>
      <c r="B1257" t="s">
        <v>2093</v>
      </c>
      <c r="C1257" t="s">
        <v>2094</v>
      </c>
      <c r="D1257" t="s">
        <v>15</v>
      </c>
      <c r="E1257" t="s">
        <v>57</v>
      </c>
      <c r="F1257" t="s">
        <v>12</v>
      </c>
      <c r="G1257" t="str">
        <f>HYPERLINK(_xlfn.CONCAT("https://tablet.otzar.org/",CHAR(35),"/book/140878/p/-1/t/1/fs/0/start/0/end/0/c"),"מזוזה - עיונים הלכות מנהגים וסיפורים")</f>
        <v>מזוזה - עיונים הלכות מנהגים וסיפורים</v>
      </c>
      <c r="H1257" t="str">
        <f>_xlfn.CONCAT("https://tablet.otzar.org/",CHAR(35),"/book/140878/p/-1/t/1/fs/0/start/0/end/0/c")</f>
        <v>https://tablet.otzar.org/#/book/140878/p/-1/t/1/fs/0/start/0/end/0/c</v>
      </c>
    </row>
    <row r="1258" spans="1:8" x14ac:dyDescent="0.25">
      <c r="A1258">
        <v>146365</v>
      </c>
      <c r="B1258" t="s">
        <v>2095</v>
      </c>
      <c r="C1258" t="s">
        <v>42</v>
      </c>
      <c r="D1258" t="s">
        <v>10</v>
      </c>
      <c r="E1258" t="s">
        <v>757</v>
      </c>
      <c r="F1258" t="s">
        <v>12</v>
      </c>
      <c r="G1258" t="str">
        <f>HYPERLINK(_xlfn.CONCAT("https://tablet.otzar.org/",CHAR(35),"/book/146365/p/-1/t/1/fs/0/start/0/end/0/c"),"מזוזה")</f>
        <v>מזוזה</v>
      </c>
      <c r="H1258" t="str">
        <f>_xlfn.CONCAT("https://tablet.otzar.org/",CHAR(35),"/book/146365/p/-1/t/1/fs/0/start/0/end/0/c")</f>
        <v>https://tablet.otzar.org/#/book/146365/p/-1/t/1/fs/0/start/0/end/0/c</v>
      </c>
    </row>
    <row r="1259" spans="1:8" x14ac:dyDescent="0.25">
      <c r="A1259">
        <v>607468</v>
      </c>
      <c r="B1259" t="s">
        <v>2096</v>
      </c>
      <c r="C1259" t="s">
        <v>2097</v>
      </c>
      <c r="D1259" t="s">
        <v>10</v>
      </c>
      <c r="E1259" t="s">
        <v>192</v>
      </c>
      <c r="F1259" t="s">
        <v>229</v>
      </c>
      <c r="G1259" t="str">
        <f>HYPERLINK(_xlfn.CONCAT("https://tablet.otzar.org/",CHAR(35),"/book/607468/p/-1/t/1/fs/0/start/0/end/0/c"),"מזוזה - שמירה וברכה (באנגלית)")</f>
        <v>מזוזה - שמירה וברכה (באנגלית)</v>
      </c>
      <c r="H1259" t="str">
        <f>_xlfn.CONCAT("https://tablet.otzar.org/",CHAR(35),"/book/607468/p/-1/t/1/fs/0/start/0/end/0/c")</f>
        <v>https://tablet.otzar.org/#/book/607468/p/-1/t/1/fs/0/start/0/end/0/c</v>
      </c>
    </row>
    <row r="1260" spans="1:8" x14ac:dyDescent="0.25">
      <c r="A1260">
        <v>27175</v>
      </c>
      <c r="B1260" t="s">
        <v>2098</v>
      </c>
      <c r="C1260" t="s">
        <v>125</v>
      </c>
      <c r="D1260" t="s">
        <v>10</v>
      </c>
      <c r="E1260" t="s">
        <v>217</v>
      </c>
      <c r="F1260" t="s">
        <v>12</v>
      </c>
      <c r="G1260" t="str">
        <f>HYPERLINK(_xlfn.CONCAT("https://tablet.otzar.org/",CHAR(35),"/exKotar/27175"),"מזמור לתודה - 2 כרכים")</f>
        <v>מזמור לתודה - 2 כרכים</v>
      </c>
      <c r="H1260" t="str">
        <f>_xlfn.CONCAT("https://tablet.otzar.org/",CHAR(35),"/exKotar/27175")</f>
        <v>https://tablet.otzar.org/#/exKotar/27175</v>
      </c>
    </row>
    <row r="1261" spans="1:8" x14ac:dyDescent="0.25">
      <c r="A1261">
        <v>628557</v>
      </c>
      <c r="B1261" t="s">
        <v>2099</v>
      </c>
      <c r="C1261" t="s">
        <v>102</v>
      </c>
      <c r="D1261" t="s">
        <v>15</v>
      </c>
      <c r="E1261" t="s">
        <v>33</v>
      </c>
      <c r="F1261" t="s">
        <v>2100</v>
      </c>
      <c r="G1261" t="str">
        <f>HYPERLINK(_xlfn.CONCAT("https://tablet.otzar.org/",CHAR(35),"/book/628557/p/-1/t/1/fs/0/start/0/end/0/c"),"מחול הכרמים")</f>
        <v>מחול הכרמים</v>
      </c>
      <c r="H1261" t="str">
        <f>_xlfn.CONCAT("https://tablet.otzar.org/",CHAR(35),"/book/628557/p/-1/t/1/fs/0/start/0/end/0/c")</f>
        <v>https://tablet.otzar.org/#/book/628557/p/-1/t/1/fs/0/start/0/end/0/c</v>
      </c>
    </row>
    <row r="1262" spans="1:8" x14ac:dyDescent="0.25">
      <c r="A1262">
        <v>173559</v>
      </c>
      <c r="B1262" t="s">
        <v>2101</v>
      </c>
      <c r="C1262" t="s">
        <v>2102</v>
      </c>
      <c r="D1262" t="s">
        <v>438</v>
      </c>
      <c r="E1262" t="s">
        <v>82</v>
      </c>
      <c r="F1262" t="s">
        <v>12</v>
      </c>
      <c r="G1262" t="str">
        <f>HYPERLINK(_xlfn.CONCAT("https://tablet.otzar.org/",CHAR(35),"/book/173559/p/-1/t/1/fs/0/start/0/end/0/c"),"מחזור השלם ליוה""""כ כמנהג חב""""ד עם תרגום צרפתית")</f>
        <v>מחזור השלם ליוה""כ כמנהג חב""ד עם תרגום צרפתית</v>
      </c>
      <c r="H1262" t="str">
        <f>_xlfn.CONCAT("https://tablet.otzar.org/",CHAR(35),"/book/173559/p/-1/t/1/fs/0/start/0/end/0/c")</f>
        <v>https://tablet.otzar.org/#/book/173559/p/-1/t/1/fs/0/start/0/end/0/c</v>
      </c>
    </row>
    <row r="1263" spans="1:8" x14ac:dyDescent="0.25">
      <c r="A1263">
        <v>175906</v>
      </c>
      <c r="B1263" t="s">
        <v>2103</v>
      </c>
      <c r="C1263" t="s">
        <v>2104</v>
      </c>
      <c r="D1263" t="s">
        <v>10</v>
      </c>
      <c r="E1263" t="s">
        <v>62</v>
      </c>
      <c r="F1263" t="s">
        <v>239</v>
      </c>
      <c r="G1263" t="str">
        <f>HYPERLINK(_xlfn.CONCAT("https://tablet.otzar.org/",CHAR(35),"/book/175906/p/-1/t/1/fs/0/start/0/end/0/c"),"מחזור השלם לר""""ה ויה""""כ - מהדורה מוערת")</f>
        <v>מחזור השלם לר""ה ויה""כ - מהדורה מוערת</v>
      </c>
      <c r="H1263" t="str">
        <f>_xlfn.CONCAT("https://tablet.otzar.org/",CHAR(35),"/book/175906/p/-1/t/1/fs/0/start/0/end/0/c")</f>
        <v>https://tablet.otzar.org/#/book/175906/p/-1/t/1/fs/0/start/0/end/0/c</v>
      </c>
    </row>
    <row r="1264" spans="1:8" x14ac:dyDescent="0.25">
      <c r="A1264">
        <v>141381</v>
      </c>
      <c r="B1264" t="s">
        <v>2105</v>
      </c>
      <c r="C1264" t="s">
        <v>2106</v>
      </c>
      <c r="D1264" t="s">
        <v>10</v>
      </c>
      <c r="E1264" t="s">
        <v>174</v>
      </c>
      <c r="F1264" t="s">
        <v>12</v>
      </c>
      <c r="G1264" t="str">
        <f>HYPERLINK(_xlfn.CONCAT("https://tablet.otzar.org/",CHAR(35),"/book/141381/p/-1/t/1/fs/0/start/0/end/0/c"),"מחזור השלם לר""""ה ויוה""""כ ע""""פ מנהג חב""""ד")</f>
        <v>מחזור השלם לר""ה ויוה""כ ע""פ מנהג חב""ד</v>
      </c>
      <c r="H1264" t="str">
        <f>_xlfn.CONCAT("https://tablet.otzar.org/",CHAR(35),"/book/141381/p/-1/t/1/fs/0/start/0/end/0/c")</f>
        <v>https://tablet.otzar.org/#/book/141381/p/-1/t/1/fs/0/start/0/end/0/c</v>
      </c>
    </row>
    <row r="1265" spans="1:8" x14ac:dyDescent="0.25">
      <c r="A1265">
        <v>141386</v>
      </c>
      <c r="B1265" t="s">
        <v>2107</v>
      </c>
      <c r="C1265" t="s">
        <v>2108</v>
      </c>
      <c r="D1265" t="s">
        <v>10</v>
      </c>
      <c r="E1265" t="s">
        <v>192</v>
      </c>
      <c r="F1265" t="s">
        <v>12</v>
      </c>
      <c r="G1265" t="str">
        <f>HYPERLINK(_xlfn.CONCAT("https://tablet.otzar.org/",CHAR(35),"/book/141386/p/-1/t/1/fs/0/start/0/end/0/c"),"מחזור השלם לראש השנה עם תרגום אנגלי")</f>
        <v>מחזור השלם לראש השנה עם תרגום אנגלי</v>
      </c>
      <c r="H1265" t="str">
        <f>_xlfn.CONCAT("https://tablet.otzar.org/",CHAR(35),"/book/141386/p/-1/t/1/fs/0/start/0/end/0/c")</f>
        <v>https://tablet.otzar.org/#/book/141386/p/-1/t/1/fs/0/start/0/end/0/c</v>
      </c>
    </row>
    <row r="1266" spans="1:8" x14ac:dyDescent="0.25">
      <c r="A1266">
        <v>164315</v>
      </c>
      <c r="B1266" t="s">
        <v>2109</v>
      </c>
      <c r="C1266" t="s">
        <v>2110</v>
      </c>
      <c r="D1266" t="s">
        <v>315</v>
      </c>
      <c r="E1266" t="s">
        <v>16</v>
      </c>
      <c r="F1266" t="s">
        <v>12</v>
      </c>
      <c r="G1266" t="str">
        <f>HYPERLINK(_xlfn.CONCAT("https://tablet.otzar.org/",CHAR(35),"/book/164315/p/-1/t/1/fs/0/start/0/end/0/c"),"מחזור לראש השנה &lt;עם תרגום ספרדית&gt;")</f>
        <v>מחזור לראש השנה &lt;עם תרגום ספרדית&gt;</v>
      </c>
      <c r="H1266" t="str">
        <f>_xlfn.CONCAT("https://tablet.otzar.org/",CHAR(35),"/book/164315/p/-1/t/1/fs/0/start/0/end/0/c")</f>
        <v>https://tablet.otzar.org/#/book/164315/p/-1/t/1/fs/0/start/0/end/0/c</v>
      </c>
    </row>
    <row r="1267" spans="1:8" x14ac:dyDescent="0.25">
      <c r="A1267">
        <v>650259</v>
      </c>
      <c r="B1267" t="s">
        <v>2111</v>
      </c>
      <c r="C1267" t="s">
        <v>1679</v>
      </c>
      <c r="D1267" t="s">
        <v>23</v>
      </c>
      <c r="E1267" t="s">
        <v>24</v>
      </c>
      <c r="G1267" t="str">
        <f>HYPERLINK(_xlfn.CONCAT("https://tablet.otzar.org/",CHAR(35),"/book/650259/p/-1/t/1/fs/0/start/0/end/0/c"),"מחזור לראש השנה")</f>
        <v>מחזור לראש השנה</v>
      </c>
      <c r="H1267" t="str">
        <f>_xlfn.CONCAT("https://tablet.otzar.org/",CHAR(35),"/book/650259/p/-1/t/1/fs/0/start/0/end/0/c")</f>
        <v>https://tablet.otzar.org/#/book/650259/p/-1/t/1/fs/0/start/0/end/0/c</v>
      </c>
    </row>
    <row r="1268" spans="1:8" x14ac:dyDescent="0.25">
      <c r="A1268">
        <v>175908</v>
      </c>
      <c r="B1268" t="s">
        <v>2112</v>
      </c>
      <c r="C1268" t="s">
        <v>2113</v>
      </c>
      <c r="D1268" t="s">
        <v>10</v>
      </c>
      <c r="E1268" t="s">
        <v>62</v>
      </c>
      <c r="F1268" t="s">
        <v>2114</v>
      </c>
      <c r="G1268" t="str">
        <f>HYPERLINK(_xlfn.CONCAT("https://tablet.otzar.org/",CHAR(35),"/exKotar/175908"),"מחזור עם פירוש משולב - 2 כרכים")</f>
        <v>מחזור עם פירוש משולב - 2 כרכים</v>
      </c>
      <c r="H1268" t="str">
        <f>_xlfn.CONCAT("https://tablet.otzar.org/",CHAR(35),"/exKotar/175908")</f>
        <v>https://tablet.otzar.org/#/exKotar/175908</v>
      </c>
    </row>
    <row r="1269" spans="1:8" x14ac:dyDescent="0.25">
      <c r="A1269">
        <v>27509</v>
      </c>
      <c r="B1269" t="s">
        <v>2115</v>
      </c>
      <c r="C1269" t="s">
        <v>2116</v>
      </c>
      <c r="D1269" t="s">
        <v>15</v>
      </c>
      <c r="E1269" t="s">
        <v>38</v>
      </c>
      <c r="F1269" t="s">
        <v>12</v>
      </c>
      <c r="G1269" t="str">
        <f>HYPERLINK(_xlfn.CONCAT("https://tablet.otzar.org/",CHAR(35),"/book/27509/p/-1/t/1/fs/0/start/0/end/0/c"),"מחיל אל חיל - א")</f>
        <v>מחיל אל חיל - א</v>
      </c>
      <c r="H1269" t="str">
        <f>_xlfn.CONCAT("https://tablet.otzar.org/",CHAR(35),"/book/27509/p/-1/t/1/fs/0/start/0/end/0/c")</f>
        <v>https://tablet.otzar.org/#/book/27509/p/-1/t/1/fs/0/start/0/end/0/c</v>
      </c>
    </row>
    <row r="1270" spans="1:8" x14ac:dyDescent="0.25">
      <c r="A1270">
        <v>632039</v>
      </c>
      <c r="B1270" t="s">
        <v>2117</v>
      </c>
      <c r="C1270" t="s">
        <v>1502</v>
      </c>
      <c r="D1270" t="s">
        <v>37</v>
      </c>
      <c r="E1270" t="s">
        <v>19</v>
      </c>
      <c r="F1270" t="s">
        <v>12</v>
      </c>
      <c r="G1270" t="str">
        <f>HYPERLINK(_xlfn.CONCAT("https://tablet.otzar.org/",CHAR(35),"/book/632039/p/-1/t/1/fs/0/start/0/end/0/c"),"מחנה יוסף - עיונים בתורת רבינו - א")</f>
        <v>מחנה יוסף - עיונים בתורת רבינו - א</v>
      </c>
      <c r="H1270" t="str">
        <f>_xlfn.CONCAT("https://tablet.otzar.org/",CHAR(35),"/book/632039/p/-1/t/1/fs/0/start/0/end/0/c")</f>
        <v>https://tablet.otzar.org/#/book/632039/p/-1/t/1/fs/0/start/0/end/0/c</v>
      </c>
    </row>
    <row r="1271" spans="1:8" x14ac:dyDescent="0.25">
      <c r="A1271">
        <v>647415</v>
      </c>
      <c r="B1271" t="s">
        <v>2118</v>
      </c>
      <c r="C1271" t="s">
        <v>2119</v>
      </c>
      <c r="D1271" t="s">
        <v>37</v>
      </c>
      <c r="E1271" t="s">
        <v>353</v>
      </c>
      <c r="G1271" t="str">
        <f>HYPERLINK(_xlfn.CONCAT("https://tablet.otzar.org/",CHAR(35),"/book/647415/p/-1/t/1/fs/0/start/0/end/0/c"),"מחצבת")</f>
        <v>מחצבת</v>
      </c>
      <c r="H1271" t="str">
        <f>_xlfn.CONCAT("https://tablet.otzar.org/",CHAR(35),"/book/647415/p/-1/t/1/fs/0/start/0/end/0/c")</f>
        <v>https://tablet.otzar.org/#/book/647415/p/-1/t/1/fs/0/start/0/end/0/c</v>
      </c>
    </row>
    <row r="1272" spans="1:8" x14ac:dyDescent="0.25">
      <c r="A1272">
        <v>27604</v>
      </c>
      <c r="B1272" t="s">
        <v>2120</v>
      </c>
      <c r="C1272" t="s">
        <v>48</v>
      </c>
      <c r="D1272" t="s">
        <v>37</v>
      </c>
      <c r="E1272" t="s">
        <v>217</v>
      </c>
      <c r="F1272" t="s">
        <v>12</v>
      </c>
      <c r="G1272" t="str">
        <f>HYPERLINK(_xlfn.CONCAT("https://tablet.otzar.org/",CHAR(35),"/exKotar/27604"),"מחצבת - 2 כרכים")</f>
        <v>מחצבת - 2 כרכים</v>
      </c>
      <c r="H1272" t="str">
        <f>_xlfn.CONCAT("https://tablet.otzar.org/",CHAR(35),"/exKotar/27604")</f>
        <v>https://tablet.otzar.org/#/exKotar/27604</v>
      </c>
    </row>
    <row r="1273" spans="1:8" x14ac:dyDescent="0.25">
      <c r="A1273">
        <v>27097</v>
      </c>
      <c r="B1273" t="s">
        <v>2121</v>
      </c>
      <c r="C1273" t="s">
        <v>90</v>
      </c>
      <c r="D1273" t="s">
        <v>15</v>
      </c>
      <c r="E1273" t="s">
        <v>217</v>
      </c>
      <c r="F1273" t="s">
        <v>12</v>
      </c>
      <c r="G1273" t="str">
        <f>HYPERLINK(_xlfn.CONCAT("https://tablet.otzar.org/",CHAR(35),"/exKotar/27097"),"מחשבת החסידות - 3 כרכים")</f>
        <v>מחשבת החסידות - 3 כרכים</v>
      </c>
      <c r="H1273" t="str">
        <f>_xlfn.CONCAT("https://tablet.otzar.org/",CHAR(35),"/exKotar/27097")</f>
        <v>https://tablet.otzar.org/#/exKotar/27097</v>
      </c>
    </row>
    <row r="1274" spans="1:8" x14ac:dyDescent="0.25">
      <c r="A1274">
        <v>640933</v>
      </c>
      <c r="B1274" t="s">
        <v>2122</v>
      </c>
      <c r="C1274" t="s">
        <v>2123</v>
      </c>
      <c r="D1274" t="s">
        <v>23</v>
      </c>
      <c r="E1274" t="s">
        <v>185</v>
      </c>
      <c r="F1274" t="s">
        <v>12</v>
      </c>
      <c r="G1274" t="str">
        <f>HYPERLINK(_xlfn.CONCAT("https://tablet.otzar.org/",CHAR(35),"/book/640933/p/-1/t/1/fs/0/start/0/end/0/c"),"מחשבת התמימים")</f>
        <v>מחשבת התמימים</v>
      </c>
      <c r="H1274" t="str">
        <f>_xlfn.CONCAT("https://tablet.otzar.org/",CHAR(35),"/book/640933/p/-1/t/1/fs/0/start/0/end/0/c")</f>
        <v>https://tablet.otzar.org/#/book/640933/p/-1/t/1/fs/0/start/0/end/0/c</v>
      </c>
    </row>
    <row r="1275" spans="1:8" x14ac:dyDescent="0.25">
      <c r="A1275">
        <v>140880</v>
      </c>
      <c r="B1275" t="s">
        <v>2124</v>
      </c>
      <c r="C1275" t="s">
        <v>1165</v>
      </c>
      <c r="D1275" t="s">
        <v>15</v>
      </c>
      <c r="E1275" t="s">
        <v>91</v>
      </c>
      <c r="F1275" t="s">
        <v>12</v>
      </c>
      <c r="G1275" t="str">
        <f>HYPERLINK(_xlfn.CONCAT("https://tablet.otzar.org/",CHAR(35),"/book/140880/p/-1/t/1/fs/0/start/0/end/0/c"),"מחתרת חסידית בברית המועצות")</f>
        <v>מחתרת חסידית בברית המועצות</v>
      </c>
      <c r="H1275" t="str">
        <f>_xlfn.CONCAT("https://tablet.otzar.org/",CHAR(35),"/book/140880/p/-1/t/1/fs/0/start/0/end/0/c")</f>
        <v>https://tablet.otzar.org/#/book/140880/p/-1/t/1/fs/0/start/0/end/0/c</v>
      </c>
    </row>
    <row r="1276" spans="1:8" x14ac:dyDescent="0.25">
      <c r="A1276">
        <v>27114</v>
      </c>
      <c r="B1276" t="s">
        <v>2125</v>
      </c>
      <c r="C1276" t="s">
        <v>391</v>
      </c>
      <c r="D1276" t="s">
        <v>15</v>
      </c>
      <c r="E1276" t="s">
        <v>250</v>
      </c>
      <c r="F1276" t="s">
        <v>12</v>
      </c>
      <c r="G1276" t="str">
        <f>HYPERLINK(_xlfn.CONCAT("https://tablet.otzar.org/",CHAR(35),"/exKotar/27114"),"מטל השמים - 2 כרכים")</f>
        <v>מטל השמים - 2 כרכים</v>
      </c>
      <c r="H1276" t="str">
        <f>_xlfn.CONCAT("https://tablet.otzar.org/",CHAR(35),"/exKotar/27114")</f>
        <v>https://tablet.otzar.org/#/exKotar/27114</v>
      </c>
    </row>
    <row r="1277" spans="1:8" x14ac:dyDescent="0.25">
      <c r="A1277">
        <v>141370</v>
      </c>
      <c r="B1277" t="s">
        <v>2126</v>
      </c>
      <c r="C1277" t="s">
        <v>2127</v>
      </c>
      <c r="E1277" t="s">
        <v>1605</v>
      </c>
      <c r="F1277" t="s">
        <v>12</v>
      </c>
      <c r="G1277" t="str">
        <f>HYPERLINK(_xlfn.CONCAT("https://tablet.otzar.org/",CHAR(35),"/book/141370/p/-1/t/1/fs/0/start/0/end/0/c"),"מי מה ואימתי")</f>
        <v>מי מה ואימתי</v>
      </c>
      <c r="H1277" t="str">
        <f>_xlfn.CONCAT("https://tablet.otzar.org/",CHAR(35),"/book/141370/p/-1/t/1/fs/0/start/0/end/0/c")</f>
        <v>https://tablet.otzar.org/#/book/141370/p/-1/t/1/fs/0/start/0/end/0/c</v>
      </c>
    </row>
    <row r="1278" spans="1:8" x14ac:dyDescent="0.25">
      <c r="A1278">
        <v>11935</v>
      </c>
      <c r="B1278" t="s">
        <v>2128</v>
      </c>
      <c r="C1278" t="s">
        <v>45</v>
      </c>
      <c r="D1278" t="s">
        <v>15</v>
      </c>
      <c r="E1278" t="s">
        <v>86</v>
      </c>
      <c r="G1278" t="str">
        <f>HYPERLINK(_xlfn.CONCAT("https://tablet.otzar.org/",CHAR(35),"/book/11935/p/-1/t/1/fs/0/start/0/end/0/c"),"מיהו יהודי ועל גירות על פי ההלכה")</f>
        <v>מיהו יהודי ועל גירות על פי ההלכה</v>
      </c>
      <c r="H1278" t="str">
        <f>_xlfn.CONCAT("https://tablet.otzar.org/",CHAR(35),"/book/11935/p/-1/t/1/fs/0/start/0/end/0/c")</f>
        <v>https://tablet.otzar.org/#/book/11935/p/-1/t/1/fs/0/start/0/end/0/c</v>
      </c>
    </row>
    <row r="1279" spans="1:8" x14ac:dyDescent="0.25">
      <c r="A1279">
        <v>175890</v>
      </c>
      <c r="B1279" t="s">
        <v>2129</v>
      </c>
      <c r="C1279" t="s">
        <v>2130</v>
      </c>
      <c r="D1279" t="s">
        <v>15</v>
      </c>
      <c r="E1279" t="s">
        <v>62</v>
      </c>
      <c r="F1279" t="s">
        <v>12</v>
      </c>
      <c r="G1279" t="str">
        <f>HYPERLINK(_xlfn.CONCAT("https://tablet.otzar.org/",CHAR(35),"/book/175890/p/-1/t/1/fs/0/start/0/end/0/c"),"מיידנצ'יק הקטר של חב""""ד")</f>
        <v>מיידנצ'יק הקטר של חב""ד</v>
      </c>
      <c r="H1279" t="str">
        <f>_xlfn.CONCAT("https://tablet.otzar.org/",CHAR(35),"/book/175890/p/-1/t/1/fs/0/start/0/end/0/c")</f>
        <v>https://tablet.otzar.org/#/book/175890/p/-1/t/1/fs/0/start/0/end/0/c</v>
      </c>
    </row>
    <row r="1280" spans="1:8" x14ac:dyDescent="0.25">
      <c r="A1280">
        <v>630327</v>
      </c>
      <c r="B1280" t="s">
        <v>2131</v>
      </c>
      <c r="C1280" t="s">
        <v>2132</v>
      </c>
      <c r="D1280" t="s">
        <v>28</v>
      </c>
      <c r="E1280" t="s">
        <v>19</v>
      </c>
      <c r="F1280" t="s">
        <v>25</v>
      </c>
      <c r="G1280" t="str">
        <f>HYPERLINK(_xlfn.CONCAT("https://tablet.otzar.org/",CHAR(35),"/exKotar/630327"),"מיין גענעראל - 2 כרכים")</f>
        <v>מיין גענעראל - 2 כרכים</v>
      </c>
      <c r="H1280" t="str">
        <f>_xlfn.CONCAT("https://tablet.otzar.org/",CHAR(35),"/exKotar/630327")</f>
        <v>https://tablet.otzar.org/#/exKotar/630327</v>
      </c>
    </row>
    <row r="1281" spans="1:8" x14ac:dyDescent="0.25">
      <c r="A1281">
        <v>622204</v>
      </c>
      <c r="B1281" t="s">
        <v>2133</v>
      </c>
      <c r="C1281" t="s">
        <v>2134</v>
      </c>
      <c r="D1281" t="s">
        <v>28</v>
      </c>
      <c r="E1281" t="s">
        <v>91</v>
      </c>
      <c r="F1281" t="s">
        <v>163</v>
      </c>
      <c r="G1281" t="str">
        <f>HYPERLINK(_xlfn.CONCAT("https://tablet.otzar.org/",CHAR(35),"/book/622204/p/-1/t/1/fs/0/start/0/end/0/c"),"מיין נחמן")</f>
        <v>מיין נחמן</v>
      </c>
      <c r="H1281" t="str">
        <f>_xlfn.CONCAT("https://tablet.otzar.org/",CHAR(35),"/book/622204/p/-1/t/1/fs/0/start/0/end/0/c")</f>
        <v>https://tablet.otzar.org/#/book/622204/p/-1/t/1/fs/0/start/0/end/0/c</v>
      </c>
    </row>
    <row r="1282" spans="1:8" x14ac:dyDescent="0.25">
      <c r="A1282">
        <v>141533</v>
      </c>
      <c r="B1282" t="s">
        <v>2135</v>
      </c>
      <c r="C1282" t="s">
        <v>45</v>
      </c>
      <c r="D1282" t="s">
        <v>10</v>
      </c>
      <c r="E1282" t="s">
        <v>103</v>
      </c>
      <c r="F1282" t="s">
        <v>12</v>
      </c>
      <c r="G1282" t="str">
        <f>HYPERLINK(_xlfn.CONCAT("https://tablet.otzar.org/",CHAR(35),"/book/141533/p/-1/t/1/fs/0/start/0/end/0/c"),"מילואים לספר חידושים וביאורים במסכת גיטין")</f>
        <v>מילואים לספר חידושים וביאורים במסכת גיטין</v>
      </c>
      <c r="H1282" t="str">
        <f>_xlfn.CONCAT("https://tablet.otzar.org/",CHAR(35),"/book/141533/p/-1/t/1/fs/0/start/0/end/0/c")</f>
        <v>https://tablet.otzar.org/#/book/141533/p/-1/t/1/fs/0/start/0/end/0/c</v>
      </c>
    </row>
    <row r="1283" spans="1:8" x14ac:dyDescent="0.25">
      <c r="A1283">
        <v>141508</v>
      </c>
      <c r="B1283" t="s">
        <v>2136</v>
      </c>
      <c r="C1283" t="s">
        <v>1782</v>
      </c>
      <c r="D1283" t="s">
        <v>10</v>
      </c>
      <c r="E1283" t="s">
        <v>75</v>
      </c>
      <c r="F1283" t="s">
        <v>12</v>
      </c>
      <c r="G1283" t="str">
        <f>HYPERLINK(_xlfn.CONCAT("https://tablet.otzar.org/",CHAR(35),"/book/141508/p/-1/t/1/fs/0/start/0/end/0/c"),"מילואים לספר מראי מקומות לספר משנה תורה")</f>
        <v>מילואים לספר מראי מקומות לספר משנה תורה</v>
      </c>
      <c r="H1283" t="str">
        <f>_xlfn.CONCAT("https://tablet.otzar.org/",CHAR(35),"/book/141508/p/-1/t/1/fs/0/start/0/end/0/c")</f>
        <v>https://tablet.otzar.org/#/book/141508/p/-1/t/1/fs/0/start/0/end/0/c</v>
      </c>
    </row>
    <row r="1284" spans="1:8" x14ac:dyDescent="0.25">
      <c r="A1284">
        <v>145660</v>
      </c>
      <c r="B1284" t="s">
        <v>2137</v>
      </c>
      <c r="C1284" t="s">
        <v>2138</v>
      </c>
      <c r="D1284" t="s">
        <v>10</v>
      </c>
      <c r="E1284" t="s">
        <v>2139</v>
      </c>
      <c r="F1284" t="s">
        <v>76</v>
      </c>
      <c r="G1284" t="str">
        <f>HYPERLINK(_xlfn.CONCAT("https://tablet.otzar.org/",CHAR(35),"/book/145660/p/-1/t/1/fs/0/start/0/end/0/c"),"מילון עברי אנגלי")</f>
        <v>מילון עברי אנגלי</v>
      </c>
      <c r="H1284" t="str">
        <f>_xlfn.CONCAT("https://tablet.otzar.org/",CHAR(35),"/book/145660/p/-1/t/1/fs/0/start/0/end/0/c")</f>
        <v>https://tablet.otzar.org/#/book/145660/p/-1/t/1/fs/0/start/0/end/0/c</v>
      </c>
    </row>
    <row r="1285" spans="1:8" x14ac:dyDescent="0.25">
      <c r="A1285">
        <v>650772</v>
      </c>
      <c r="B1285" t="s">
        <v>2140</v>
      </c>
      <c r="C1285" t="s">
        <v>2141</v>
      </c>
      <c r="D1285" t="s">
        <v>2142</v>
      </c>
      <c r="E1285" t="s">
        <v>24</v>
      </c>
      <c r="F1285" t="s">
        <v>222</v>
      </c>
      <c r="G1285" t="str">
        <f>HYPERLINK(_xlfn.CONCAT("https://tablet.otzar.org/",CHAR(35),"/book/650772/p/-1/t/1/fs/0/start/0/end/0/c"),"מילי דברכות")</f>
        <v>מילי דברכות</v>
      </c>
      <c r="H1285" t="str">
        <f>_xlfn.CONCAT("https://tablet.otzar.org/",CHAR(35),"/book/650772/p/-1/t/1/fs/0/start/0/end/0/c")</f>
        <v>https://tablet.otzar.org/#/book/650772/p/-1/t/1/fs/0/start/0/end/0/c</v>
      </c>
    </row>
    <row r="1286" spans="1:8" x14ac:dyDescent="0.25">
      <c r="A1286">
        <v>27853</v>
      </c>
      <c r="B1286" t="s">
        <v>2143</v>
      </c>
      <c r="C1286" t="s">
        <v>2144</v>
      </c>
      <c r="D1286" t="s">
        <v>15</v>
      </c>
      <c r="E1286" t="s">
        <v>382</v>
      </c>
      <c r="F1286" t="s">
        <v>12</v>
      </c>
      <c r="G1286" t="str">
        <f>HYPERLINK(_xlfn.CONCAT("https://tablet.otzar.org/",CHAR(35),"/book/27853/p/-1/t/1/fs/0/start/0/end/0/c"),"מכריעים עולם באחת")</f>
        <v>מכריעים עולם באחת</v>
      </c>
      <c r="H1286" t="str">
        <f>_xlfn.CONCAT("https://tablet.otzar.org/",CHAR(35),"/book/27853/p/-1/t/1/fs/0/start/0/end/0/c")</f>
        <v>https://tablet.otzar.org/#/book/27853/p/-1/t/1/fs/0/start/0/end/0/c</v>
      </c>
    </row>
    <row r="1287" spans="1:8" x14ac:dyDescent="0.25">
      <c r="A1287">
        <v>146364</v>
      </c>
      <c r="B1287" t="s">
        <v>2145</v>
      </c>
      <c r="C1287" t="s">
        <v>59</v>
      </c>
      <c r="D1287" t="s">
        <v>28</v>
      </c>
      <c r="E1287" t="s">
        <v>2146</v>
      </c>
      <c r="G1287" t="str">
        <f>HYPERLINK(_xlfn.CONCAT("https://tablet.otzar.org/",CHAR(35),"/book/146364/p/-1/t/1/fs/0/start/0/end/0/c"),"מכתב הוד כ""""ק אדמו""""ר שליט""""א מליובאוויטש אודות ספר התניא")</f>
        <v>מכתב הוד כ""ק אדמו""ר שליט""א מליובאוויטש אודות ספר התניא</v>
      </c>
      <c r="H1287" t="str">
        <f>_xlfn.CONCAT("https://tablet.otzar.org/",CHAR(35),"/book/146364/p/-1/t/1/fs/0/start/0/end/0/c")</f>
        <v>https://tablet.otzar.org/#/book/146364/p/-1/t/1/fs/0/start/0/end/0/c</v>
      </c>
    </row>
    <row r="1288" spans="1:8" x14ac:dyDescent="0.25">
      <c r="A1288">
        <v>608497</v>
      </c>
      <c r="B1288" t="s">
        <v>2147</v>
      </c>
      <c r="C1288" t="s">
        <v>2148</v>
      </c>
      <c r="D1288" t="s">
        <v>28</v>
      </c>
      <c r="E1288" t="s">
        <v>19</v>
      </c>
      <c r="F1288" t="s">
        <v>12</v>
      </c>
      <c r="G1288" t="str">
        <f>HYPERLINK(_xlfn.CONCAT("https://tablet.otzar.org/",CHAR(35),"/book/608497/p/-1/t/1/fs/0/start/0/end/0/c"),"מכתב תשובה")</f>
        <v>מכתב תשובה</v>
      </c>
      <c r="H1288" t="str">
        <f>_xlfn.CONCAT("https://tablet.otzar.org/",CHAR(35),"/book/608497/p/-1/t/1/fs/0/start/0/end/0/c")</f>
        <v>https://tablet.otzar.org/#/book/608497/p/-1/t/1/fs/0/start/0/end/0/c</v>
      </c>
    </row>
    <row r="1289" spans="1:8" x14ac:dyDescent="0.25">
      <c r="A1289">
        <v>27646</v>
      </c>
      <c r="B1289" t="s">
        <v>2149</v>
      </c>
      <c r="C1289" t="s">
        <v>1525</v>
      </c>
      <c r="D1289" t="s">
        <v>10</v>
      </c>
      <c r="E1289" t="s">
        <v>103</v>
      </c>
      <c r="F1289" t="s">
        <v>12</v>
      </c>
      <c r="G1289" t="str">
        <f>HYPERLINK(_xlfn.CONCAT("https://tablet.otzar.org/",CHAR(35),"/book/27646/p/-1/t/1/fs/0/start/0/end/0/c"),"מכתבי החתונה")</f>
        <v>מכתבי החתונה</v>
      </c>
      <c r="H1289" t="str">
        <f>_xlfn.CONCAT("https://tablet.otzar.org/",CHAR(35),"/book/27646/p/-1/t/1/fs/0/start/0/end/0/c")</f>
        <v>https://tablet.otzar.org/#/book/27646/p/-1/t/1/fs/0/start/0/end/0/c</v>
      </c>
    </row>
    <row r="1290" spans="1:8" x14ac:dyDescent="0.25">
      <c r="A1290">
        <v>27178</v>
      </c>
      <c r="B1290" t="s">
        <v>2150</v>
      </c>
      <c r="C1290" t="s">
        <v>45</v>
      </c>
      <c r="D1290" t="s">
        <v>10</v>
      </c>
      <c r="E1290" t="s">
        <v>57</v>
      </c>
      <c r="F1290" t="s">
        <v>12</v>
      </c>
      <c r="G1290" t="str">
        <f>HYPERLINK(_xlfn.CONCAT("https://tablet.otzar.org/",CHAR(35),"/book/27178/p/-1/t/1/fs/0/start/0/end/0/c"),"מכתבים")</f>
        <v>מכתבים</v>
      </c>
      <c r="H1290" t="str">
        <f>_xlfn.CONCAT("https://tablet.otzar.org/",CHAR(35),"/book/27178/p/-1/t/1/fs/0/start/0/end/0/c")</f>
        <v>https://tablet.otzar.org/#/book/27178/p/-1/t/1/fs/0/start/0/end/0/c</v>
      </c>
    </row>
    <row r="1291" spans="1:8" x14ac:dyDescent="0.25">
      <c r="A1291">
        <v>142652</v>
      </c>
      <c r="B1291" t="s">
        <v>2151</v>
      </c>
      <c r="C1291" t="s">
        <v>2152</v>
      </c>
      <c r="D1291" t="s">
        <v>37</v>
      </c>
      <c r="E1291" t="s">
        <v>174</v>
      </c>
      <c r="F1291" t="s">
        <v>12</v>
      </c>
      <c r="G1291" t="str">
        <f>HYPERLINK(_xlfn.CONCAT("https://tablet.otzar.org/",CHAR(35),"/book/142652/p/-1/t/1/fs/0/start/0/end/0/c"),"מכתבים מבית חיינו")</f>
        <v>מכתבים מבית חיינו</v>
      </c>
      <c r="H1291" t="str">
        <f>_xlfn.CONCAT("https://tablet.otzar.org/",CHAR(35),"/book/142652/p/-1/t/1/fs/0/start/0/end/0/c")</f>
        <v>https://tablet.otzar.org/#/book/142652/p/-1/t/1/fs/0/start/0/end/0/c</v>
      </c>
    </row>
    <row r="1292" spans="1:8" x14ac:dyDescent="0.25">
      <c r="A1292">
        <v>143289</v>
      </c>
      <c r="B1292" t="s">
        <v>2153</v>
      </c>
      <c r="C1292" t="s">
        <v>125</v>
      </c>
      <c r="D1292" t="s">
        <v>882</v>
      </c>
      <c r="E1292" t="s">
        <v>441</v>
      </c>
      <c r="F1292" t="s">
        <v>143</v>
      </c>
      <c r="G1292" t="str">
        <f>HYPERLINK(_xlfn.CONCAT("https://tablet.otzar.org/",CHAR(35),"/book/143289/p/-1/t/1/fs/0/start/0/end/0/c"),"מלאה הארץ דעה")</f>
        <v>מלאה הארץ דעה</v>
      </c>
      <c r="H1292" t="str">
        <f>_xlfn.CONCAT("https://tablet.otzar.org/",CHAR(35),"/book/143289/p/-1/t/1/fs/0/start/0/end/0/c")</f>
        <v>https://tablet.otzar.org/#/book/143289/p/-1/t/1/fs/0/start/0/end/0/c</v>
      </c>
    </row>
    <row r="1293" spans="1:8" x14ac:dyDescent="0.25">
      <c r="A1293">
        <v>146513</v>
      </c>
      <c r="B1293" t="s">
        <v>2154</v>
      </c>
      <c r="C1293" t="s">
        <v>2154</v>
      </c>
      <c r="D1293" t="s">
        <v>28</v>
      </c>
      <c r="E1293" t="s">
        <v>142</v>
      </c>
      <c r="F1293" t="s">
        <v>12</v>
      </c>
      <c r="G1293" t="str">
        <f>HYPERLINK(_xlfn.CONCAT("https://tablet.otzar.org/",CHAR(35),"/book/146513/p/-1/t/1/fs/0/start/0/end/0/c"),"מלוה מלכה")</f>
        <v>מלוה מלכה</v>
      </c>
      <c r="H1293" t="str">
        <f>_xlfn.CONCAT("https://tablet.otzar.org/",CHAR(35),"/book/146513/p/-1/t/1/fs/0/start/0/end/0/c")</f>
        <v>https://tablet.otzar.org/#/book/146513/p/-1/t/1/fs/0/start/0/end/0/c</v>
      </c>
    </row>
    <row r="1294" spans="1:8" x14ac:dyDescent="0.25">
      <c r="A1294">
        <v>628558</v>
      </c>
      <c r="B1294" t="s">
        <v>2155</v>
      </c>
      <c r="C1294" t="s">
        <v>102</v>
      </c>
      <c r="D1294" t="s">
        <v>15</v>
      </c>
      <c r="E1294" t="s">
        <v>174</v>
      </c>
      <c r="F1294" t="s">
        <v>379</v>
      </c>
      <c r="G1294" t="str">
        <f>HYPERLINK(_xlfn.CONCAT("https://tablet.otzar.org/",CHAR(35),"/book/628558/p/-1/t/1/fs/0/start/0/end/0/c"),"מלך ביפיו")</f>
        <v>מלך ביפיו</v>
      </c>
      <c r="H1294" t="str">
        <f>_xlfn.CONCAT("https://tablet.otzar.org/",CHAR(35),"/book/628558/p/-1/t/1/fs/0/start/0/end/0/c")</f>
        <v>https://tablet.otzar.org/#/book/628558/p/-1/t/1/fs/0/start/0/end/0/c</v>
      </c>
    </row>
    <row r="1295" spans="1:8" x14ac:dyDescent="0.25">
      <c r="A1295">
        <v>143317</v>
      </c>
      <c r="B1295" t="s">
        <v>2156</v>
      </c>
      <c r="C1295" t="s">
        <v>2157</v>
      </c>
      <c r="D1295" t="s">
        <v>412</v>
      </c>
      <c r="E1295" t="s">
        <v>148</v>
      </c>
      <c r="F1295" t="s">
        <v>12</v>
      </c>
      <c r="G1295" t="str">
        <f>HYPERLINK(_xlfn.CONCAT("https://tablet.otzar.org/",CHAR(35),"/book/143317/p/-1/t/1/fs/0/start/0/end/0/c"),"מלך המשיח")</f>
        <v>מלך המשיח</v>
      </c>
      <c r="H1295" t="str">
        <f>_xlfn.CONCAT("https://tablet.otzar.org/",CHAR(35),"/book/143317/p/-1/t/1/fs/0/start/0/end/0/c")</f>
        <v>https://tablet.otzar.org/#/book/143317/p/-1/t/1/fs/0/start/0/end/0/c</v>
      </c>
    </row>
    <row r="1296" spans="1:8" x14ac:dyDescent="0.25">
      <c r="A1296">
        <v>626906</v>
      </c>
      <c r="B1296" t="s">
        <v>2158</v>
      </c>
      <c r="C1296" t="s">
        <v>102</v>
      </c>
      <c r="D1296" t="s">
        <v>15</v>
      </c>
      <c r="E1296" t="s">
        <v>103</v>
      </c>
      <c r="F1296" t="s">
        <v>43</v>
      </c>
      <c r="G1296" t="str">
        <f>HYPERLINK(_xlfn.CONCAT("https://tablet.otzar.org/",CHAR(35),"/exKotar/626906"),"מלכות ישראל - 6 כרכים")</f>
        <v>מלכות ישראל - 6 כרכים</v>
      </c>
      <c r="H1296" t="str">
        <f>_xlfn.CONCAT("https://tablet.otzar.org/",CHAR(35),"/exKotar/626906")</f>
        <v>https://tablet.otzar.org/#/exKotar/626906</v>
      </c>
    </row>
    <row r="1297" spans="1:8" x14ac:dyDescent="0.25">
      <c r="A1297">
        <v>27453</v>
      </c>
      <c r="B1297" t="s">
        <v>2159</v>
      </c>
      <c r="C1297" t="s">
        <v>2160</v>
      </c>
      <c r="D1297" t="s">
        <v>15</v>
      </c>
      <c r="E1297" t="s">
        <v>129</v>
      </c>
      <c r="F1297" t="s">
        <v>12</v>
      </c>
      <c r="G1297" t="str">
        <f>HYPERLINK(_xlfn.CONCAT("https://tablet.otzar.org/",CHAR(35),"/book/27453/p/-1/t/1/fs/0/start/0/end/0/c"),"מלתא דבדיחותא - אוצר חכמה וחדוד לקורא הצעיר")</f>
        <v>מלתא דבדיחותא - אוצר חכמה וחדוד לקורא הצעיר</v>
      </c>
      <c r="H1297" t="str">
        <f>_xlfn.CONCAT("https://tablet.otzar.org/",CHAR(35),"/book/27453/p/-1/t/1/fs/0/start/0/end/0/c")</f>
        <v>https://tablet.otzar.org/#/book/27453/p/-1/t/1/fs/0/start/0/end/0/c</v>
      </c>
    </row>
    <row r="1298" spans="1:8" x14ac:dyDescent="0.25">
      <c r="A1298">
        <v>639888</v>
      </c>
      <c r="B1298" t="s">
        <v>2161</v>
      </c>
      <c r="C1298" t="s">
        <v>2162</v>
      </c>
      <c r="E1298" t="s">
        <v>134</v>
      </c>
      <c r="F1298" t="s">
        <v>12</v>
      </c>
      <c r="G1298" t="str">
        <f>HYPERLINK(_xlfn.CONCAT("https://tablet.otzar.org/",CHAR(35),"/book/639888/p/-1/t/1/fs/0/start/0/end/0/c"),"ממלכת התורה")</f>
        <v>ממלכת התורה</v>
      </c>
      <c r="H1298" t="str">
        <f>_xlfn.CONCAT("https://tablet.otzar.org/",CHAR(35),"/book/639888/p/-1/t/1/fs/0/start/0/end/0/c")</f>
        <v>https://tablet.otzar.org/#/book/639888/p/-1/t/1/fs/0/start/0/end/0/c</v>
      </c>
    </row>
    <row r="1299" spans="1:8" x14ac:dyDescent="0.25">
      <c r="A1299">
        <v>600296</v>
      </c>
      <c r="B1299" t="s">
        <v>2163</v>
      </c>
      <c r="C1299" t="s">
        <v>2164</v>
      </c>
      <c r="D1299" t="s">
        <v>440</v>
      </c>
      <c r="E1299" t="s">
        <v>82</v>
      </c>
      <c r="F1299" t="s">
        <v>2165</v>
      </c>
      <c r="G1299" t="str">
        <f>HYPERLINK(_xlfn.CONCAT("https://tablet.otzar.org/",CHAR(35),"/book/600296/p/-1/t/1/fs/0/start/0/end/0/c"),"ממלכת כהנים")</f>
        <v>ממלכת כהנים</v>
      </c>
      <c r="H1299" t="str">
        <f>_xlfn.CONCAT("https://tablet.otzar.org/",CHAR(35),"/book/600296/p/-1/t/1/fs/0/start/0/end/0/c")</f>
        <v>https://tablet.otzar.org/#/book/600296/p/-1/t/1/fs/0/start/0/end/0/c</v>
      </c>
    </row>
    <row r="1300" spans="1:8" x14ac:dyDescent="0.25">
      <c r="A1300">
        <v>141336</v>
      </c>
      <c r="B1300" t="s">
        <v>2166</v>
      </c>
      <c r="C1300" t="s">
        <v>244</v>
      </c>
      <c r="D1300" t="s">
        <v>15</v>
      </c>
      <c r="E1300" t="s">
        <v>346</v>
      </c>
      <c r="F1300" t="s">
        <v>12</v>
      </c>
      <c r="G1300" t="str">
        <f>HYPERLINK(_xlfn.CONCAT("https://tablet.otzar.org/",CHAR(35),"/exKotar/141336"),"ממעיני החסידות - 2 כרכים")</f>
        <v>ממעיני החסידות - 2 כרכים</v>
      </c>
      <c r="H1300" t="str">
        <f>_xlfn.CONCAT("https://tablet.otzar.org/",CHAR(35),"/exKotar/141336")</f>
        <v>https://tablet.otzar.org/#/exKotar/141336</v>
      </c>
    </row>
    <row r="1301" spans="1:8" x14ac:dyDescent="0.25">
      <c r="A1301">
        <v>607697</v>
      </c>
      <c r="B1301" t="s">
        <v>2167</v>
      </c>
      <c r="C1301" t="s">
        <v>308</v>
      </c>
      <c r="D1301" t="s">
        <v>15</v>
      </c>
      <c r="E1301" t="s">
        <v>99</v>
      </c>
      <c r="G1301" t="str">
        <f>HYPERLINK(_xlfn.CONCAT("https://tablet.otzar.org/",CHAR(35),"/book/607697/p/-1/t/1/fs/0/start/0/end/0/c"),"מן המעין")</f>
        <v>מן המעין</v>
      </c>
      <c r="H1301" t="str">
        <f>_xlfn.CONCAT("https://tablet.otzar.org/",CHAR(35),"/book/607697/p/-1/t/1/fs/0/start/0/end/0/c")</f>
        <v>https://tablet.otzar.org/#/book/607697/p/-1/t/1/fs/0/start/0/end/0/c</v>
      </c>
    </row>
    <row r="1302" spans="1:8" x14ac:dyDescent="0.25">
      <c r="A1302">
        <v>27419</v>
      </c>
      <c r="B1302" t="s">
        <v>2168</v>
      </c>
      <c r="C1302" t="s">
        <v>2169</v>
      </c>
      <c r="D1302" t="s">
        <v>10</v>
      </c>
      <c r="E1302" t="s">
        <v>29</v>
      </c>
      <c r="F1302" t="s">
        <v>12</v>
      </c>
      <c r="G1302" t="str">
        <f>HYPERLINK(_xlfn.CONCAT("https://tablet.otzar.org/",CHAR(35),"/book/27419/p/-1/t/1/fs/0/start/0/end/0/c"),"מנגינת החיים")</f>
        <v>מנגינת החיים</v>
      </c>
      <c r="H1302" t="str">
        <f>_xlfn.CONCAT("https://tablet.otzar.org/",CHAR(35),"/book/27419/p/-1/t/1/fs/0/start/0/end/0/c")</f>
        <v>https://tablet.otzar.org/#/book/27419/p/-1/t/1/fs/0/start/0/end/0/c</v>
      </c>
    </row>
    <row r="1303" spans="1:8" x14ac:dyDescent="0.25">
      <c r="A1303">
        <v>141636</v>
      </c>
      <c r="B1303" t="s">
        <v>2170</v>
      </c>
      <c r="C1303" t="s">
        <v>2170</v>
      </c>
      <c r="D1303" t="s">
        <v>15</v>
      </c>
      <c r="E1303" t="s">
        <v>174</v>
      </c>
      <c r="F1303" t="s">
        <v>12</v>
      </c>
      <c r="G1303" t="str">
        <f>HYPERLINK(_xlfn.CONCAT("https://tablet.otzar.org/",CHAR(35),"/book/141636/p/-1/t/1/fs/0/start/0/end/0/c"),"מנהג חב""""ד בכתיבת הכתובה ובנוסח התפילה")</f>
        <v>מנהג חב""ד בכתיבת הכתובה ובנוסח התפילה</v>
      </c>
      <c r="H1303" t="str">
        <f>_xlfn.CONCAT("https://tablet.otzar.org/",CHAR(35),"/book/141636/p/-1/t/1/fs/0/start/0/end/0/c")</f>
        <v>https://tablet.otzar.org/#/book/141636/p/-1/t/1/fs/0/start/0/end/0/c</v>
      </c>
    </row>
    <row r="1304" spans="1:8" x14ac:dyDescent="0.25">
      <c r="A1304">
        <v>160623</v>
      </c>
      <c r="B1304" t="s">
        <v>2171</v>
      </c>
      <c r="C1304" t="s">
        <v>48</v>
      </c>
      <c r="D1304" t="s">
        <v>191</v>
      </c>
      <c r="E1304" t="s">
        <v>33</v>
      </c>
      <c r="F1304" t="s">
        <v>12</v>
      </c>
      <c r="G1304" t="str">
        <f>HYPERLINK(_xlfn.CONCAT("https://tablet.otzar.org/",CHAR(35),"/book/160623/p/-1/t/1/fs/0/start/0/end/0/c"),"מנחם משיב נפשי")</f>
        <v>מנחם משיב נפשי</v>
      </c>
      <c r="H1304" t="str">
        <f>_xlfn.CONCAT("https://tablet.otzar.org/",CHAR(35),"/book/160623/p/-1/t/1/fs/0/start/0/end/0/c")</f>
        <v>https://tablet.otzar.org/#/book/160623/p/-1/t/1/fs/0/start/0/end/0/c</v>
      </c>
    </row>
    <row r="1305" spans="1:8" x14ac:dyDescent="0.25">
      <c r="A1305">
        <v>613857</v>
      </c>
      <c r="B1305" t="s">
        <v>2172</v>
      </c>
      <c r="C1305" t="s">
        <v>2173</v>
      </c>
      <c r="D1305" t="s">
        <v>412</v>
      </c>
      <c r="E1305" t="s">
        <v>404</v>
      </c>
      <c r="F1305" t="s">
        <v>229</v>
      </c>
      <c r="G1305" t="str">
        <f>HYPERLINK(_xlfn.CONCAT("https://tablet.otzar.org/",CHAR(35),"/book/613857/p/-1/t/1/fs/0/start/0/end/0/c"),"מנחם משיב נפשי - מבוא להלכות טהרה")</f>
        <v>מנחם משיב נפשי - מבוא להלכות טהרה</v>
      </c>
      <c r="H1305" t="str">
        <f>_xlfn.CONCAT("https://tablet.otzar.org/",CHAR(35),"/book/613857/p/-1/t/1/fs/0/start/0/end/0/c")</f>
        <v>https://tablet.otzar.org/#/book/613857/p/-1/t/1/fs/0/start/0/end/0/c</v>
      </c>
    </row>
    <row r="1306" spans="1:8" x14ac:dyDescent="0.25">
      <c r="A1306">
        <v>169947</v>
      </c>
      <c r="B1306" t="s">
        <v>2174</v>
      </c>
      <c r="C1306" t="s">
        <v>45</v>
      </c>
      <c r="D1306" t="s">
        <v>37</v>
      </c>
      <c r="E1306" t="s">
        <v>82</v>
      </c>
      <c r="F1306" t="s">
        <v>12</v>
      </c>
      <c r="G1306" t="str">
        <f>HYPERLINK(_xlfn.CONCAT("https://tablet.otzar.org/",CHAR(35),"/exKotar/169947"),"מנחם משיב נפשי - 2 כרכים")</f>
        <v>מנחם משיב נפשי - 2 כרכים</v>
      </c>
      <c r="H1306" t="str">
        <f>_xlfn.CONCAT("https://tablet.otzar.org/",CHAR(35),"/exKotar/169947")</f>
        <v>https://tablet.otzar.org/#/exKotar/169947</v>
      </c>
    </row>
    <row r="1307" spans="1:8" x14ac:dyDescent="0.25">
      <c r="A1307">
        <v>141358</v>
      </c>
      <c r="B1307" t="s">
        <v>2175</v>
      </c>
      <c r="C1307" t="s">
        <v>125</v>
      </c>
      <c r="D1307" t="s">
        <v>859</v>
      </c>
      <c r="E1307" t="s">
        <v>79</v>
      </c>
      <c r="F1307" t="s">
        <v>12</v>
      </c>
      <c r="G1307" t="str">
        <f>HYPERLINK(_xlfn.CONCAT("https://tablet.otzar.org/",CHAR(35),"/book/141358/p/-1/t/1/fs/0/start/0/end/0/c"),"מנחת התמימים")</f>
        <v>מנחת התמימים</v>
      </c>
      <c r="H1307" t="str">
        <f>_xlfn.CONCAT("https://tablet.otzar.org/",CHAR(35),"/book/141358/p/-1/t/1/fs/0/start/0/end/0/c")</f>
        <v>https://tablet.otzar.org/#/book/141358/p/-1/t/1/fs/0/start/0/end/0/c</v>
      </c>
    </row>
    <row r="1308" spans="1:8" x14ac:dyDescent="0.25">
      <c r="A1308">
        <v>27346</v>
      </c>
      <c r="B1308" t="s">
        <v>2176</v>
      </c>
      <c r="C1308" t="s">
        <v>2177</v>
      </c>
      <c r="D1308" t="s">
        <v>10</v>
      </c>
      <c r="E1308" t="s">
        <v>260</v>
      </c>
      <c r="F1308" t="s">
        <v>12</v>
      </c>
      <c r="G1308" t="str">
        <f>HYPERLINK(_xlfn.CONCAT("https://tablet.otzar.org/",CHAR(35),"/book/27346/p/-1/t/1/fs/0/start/0/end/0/c"),"מנחת יהודה וירושלים")</f>
        <v>מנחת יהודה וירושלים</v>
      </c>
      <c r="H1308" t="str">
        <f>_xlfn.CONCAT("https://tablet.otzar.org/",CHAR(35),"/book/27346/p/-1/t/1/fs/0/start/0/end/0/c")</f>
        <v>https://tablet.otzar.org/#/book/27346/p/-1/t/1/fs/0/start/0/end/0/c</v>
      </c>
    </row>
    <row r="1309" spans="1:8" x14ac:dyDescent="0.25">
      <c r="A1309">
        <v>27354</v>
      </c>
      <c r="B1309" t="s">
        <v>2178</v>
      </c>
      <c r="C1309" t="s">
        <v>2179</v>
      </c>
      <c r="D1309" t="s">
        <v>15</v>
      </c>
      <c r="E1309" t="s">
        <v>236</v>
      </c>
      <c r="F1309" t="s">
        <v>12</v>
      </c>
      <c r="G1309" t="str">
        <f>HYPERLINK(_xlfn.CONCAT("https://tablet.otzar.org/",CHAR(35),"/book/27354/p/-1/t/1/fs/0/start/0/end/0/c"),"מנחת נחום")</f>
        <v>מנחת נחום</v>
      </c>
      <c r="H1309" t="str">
        <f>_xlfn.CONCAT("https://tablet.otzar.org/",CHAR(35),"/book/27354/p/-1/t/1/fs/0/start/0/end/0/c")</f>
        <v>https://tablet.otzar.org/#/book/27354/p/-1/t/1/fs/0/start/0/end/0/c</v>
      </c>
    </row>
    <row r="1310" spans="1:8" x14ac:dyDescent="0.25">
      <c r="A1310">
        <v>27476</v>
      </c>
      <c r="B1310" t="s">
        <v>2180</v>
      </c>
      <c r="C1310" t="s">
        <v>125</v>
      </c>
      <c r="D1310" t="s">
        <v>2181</v>
      </c>
      <c r="E1310" t="s">
        <v>54</v>
      </c>
      <c r="F1310" t="s">
        <v>12</v>
      </c>
      <c r="G1310" t="str">
        <f>HYPERLINK(_xlfn.CONCAT("https://tablet.otzar.org/",CHAR(35),"/exKotar/27476"),"מנחת תמים - 2 כרכים")</f>
        <v>מנחת תמים - 2 כרכים</v>
      </c>
      <c r="H1310" t="str">
        <f>_xlfn.CONCAT("https://tablet.otzar.org/",CHAR(35),"/exKotar/27476")</f>
        <v>https://tablet.otzar.org/#/exKotar/27476</v>
      </c>
    </row>
    <row r="1311" spans="1:8" x14ac:dyDescent="0.25">
      <c r="A1311">
        <v>143303</v>
      </c>
      <c r="B1311" t="s">
        <v>2182</v>
      </c>
      <c r="C1311" t="s">
        <v>2183</v>
      </c>
      <c r="D1311" t="s">
        <v>10</v>
      </c>
      <c r="E1311" t="s">
        <v>69</v>
      </c>
      <c r="F1311" t="s">
        <v>342</v>
      </c>
      <c r="G1311" t="str">
        <f>HYPERLINK(_xlfn.CONCAT("https://tablet.otzar.org/",CHAR(35),"/book/143303/p/-1/t/1/fs/0/start/0/end/0/c"),"מסירות נפש של יהודי בוכרה")</f>
        <v>מסירות נפש של יהודי בוכרה</v>
      </c>
      <c r="H1311" t="str">
        <f>_xlfn.CONCAT("https://tablet.otzar.org/",CHAR(35),"/book/143303/p/-1/t/1/fs/0/start/0/end/0/c")</f>
        <v>https://tablet.otzar.org/#/book/143303/p/-1/t/1/fs/0/start/0/end/0/c</v>
      </c>
    </row>
    <row r="1312" spans="1:8" x14ac:dyDescent="0.25">
      <c r="A1312">
        <v>618962</v>
      </c>
      <c r="B1312" t="s">
        <v>2184</v>
      </c>
      <c r="C1312" t="s">
        <v>1102</v>
      </c>
      <c r="D1312" t="s">
        <v>15</v>
      </c>
      <c r="E1312" t="s">
        <v>103</v>
      </c>
      <c r="F1312" t="s">
        <v>12</v>
      </c>
      <c r="G1312" t="str">
        <f>HYPERLINK(_xlfn.CONCAT("https://tablet.otzar.org/",CHAR(35),"/book/618962/p/-1/t/1/fs/0/start/0/end/0/c"),"מסע הרבי בארץ הקודש")</f>
        <v>מסע הרבי בארץ הקודש</v>
      </c>
      <c r="H1312" t="str">
        <f>_xlfn.CONCAT("https://tablet.otzar.org/",CHAR(35),"/book/618962/p/-1/t/1/fs/0/start/0/end/0/c")</f>
        <v>https://tablet.otzar.org/#/book/618962/p/-1/t/1/fs/0/start/0/end/0/c</v>
      </c>
    </row>
    <row r="1313" spans="1:8" x14ac:dyDescent="0.25">
      <c r="A1313">
        <v>643041</v>
      </c>
      <c r="B1313" t="s">
        <v>2185</v>
      </c>
      <c r="C1313" t="s">
        <v>2186</v>
      </c>
      <c r="E1313" t="s">
        <v>24</v>
      </c>
      <c r="F1313" t="s">
        <v>208</v>
      </c>
      <c r="G1313" t="str">
        <f>HYPERLINK(_xlfn.CONCAT("https://tablet.otzar.org/",CHAR(35),"/book/643041/p/-1/t/1/fs/0/start/0/end/0/c"),"מסרון מהפרשה")</f>
        <v>מסרון מהפרשה</v>
      </c>
      <c r="H1313" t="str">
        <f>_xlfn.CONCAT("https://tablet.otzar.org/",CHAR(35),"/book/643041/p/-1/t/1/fs/0/start/0/end/0/c")</f>
        <v>https://tablet.otzar.org/#/book/643041/p/-1/t/1/fs/0/start/0/end/0/c</v>
      </c>
    </row>
    <row r="1314" spans="1:8" x14ac:dyDescent="0.25">
      <c r="A1314">
        <v>607800</v>
      </c>
      <c r="B1314" t="s">
        <v>2187</v>
      </c>
      <c r="C1314" t="s">
        <v>2188</v>
      </c>
      <c r="D1314" t="s">
        <v>15</v>
      </c>
      <c r="E1314" t="s">
        <v>16</v>
      </c>
      <c r="F1314" t="s">
        <v>163</v>
      </c>
      <c r="G1314" t="str">
        <f>HYPERLINK(_xlfn.CONCAT("https://tablet.otzar.org/",CHAR(35),"/book/607800/p/-1/t/1/fs/0/start/0/end/0/c"),"מעגל השנה באור החסידות")</f>
        <v>מעגל השנה באור החסידות</v>
      </c>
      <c r="H1314" t="str">
        <f>_xlfn.CONCAT("https://tablet.otzar.org/",CHAR(35),"/book/607800/p/-1/t/1/fs/0/start/0/end/0/c")</f>
        <v>https://tablet.otzar.org/#/book/607800/p/-1/t/1/fs/0/start/0/end/0/c</v>
      </c>
    </row>
    <row r="1315" spans="1:8" x14ac:dyDescent="0.25">
      <c r="A1315">
        <v>143360</v>
      </c>
      <c r="B1315" t="s">
        <v>2189</v>
      </c>
      <c r="C1315" t="s">
        <v>2190</v>
      </c>
      <c r="D1315" t="s">
        <v>387</v>
      </c>
      <c r="E1315" t="s">
        <v>91</v>
      </c>
      <c r="F1315" t="s">
        <v>161</v>
      </c>
      <c r="G1315" t="str">
        <f>HYPERLINK(_xlfn.CONCAT("https://tablet.otzar.org/",CHAR(35),"/book/143360/p/-1/t/1/fs/0/start/0/end/0/c"),"מעגל חיים")</f>
        <v>מעגל חיים</v>
      </c>
      <c r="H1315" t="str">
        <f>_xlfn.CONCAT("https://tablet.otzar.org/",CHAR(35),"/book/143360/p/-1/t/1/fs/0/start/0/end/0/c")</f>
        <v>https://tablet.otzar.org/#/book/143360/p/-1/t/1/fs/0/start/0/end/0/c</v>
      </c>
    </row>
    <row r="1316" spans="1:8" x14ac:dyDescent="0.25">
      <c r="A1316">
        <v>173821</v>
      </c>
      <c r="B1316" t="s">
        <v>2191</v>
      </c>
      <c r="C1316" t="s">
        <v>199</v>
      </c>
      <c r="D1316" t="s">
        <v>15</v>
      </c>
      <c r="E1316" t="s">
        <v>62</v>
      </c>
      <c r="F1316" t="s">
        <v>12</v>
      </c>
      <c r="G1316" t="str">
        <f>HYPERLINK(_xlfn.CONCAT("https://tablet.otzar.org/",CHAR(35),"/book/173821/p/-1/t/1/fs/0/start/0/end/0/c"),"מעדני יום טוב")</f>
        <v>מעדני יום טוב</v>
      </c>
      <c r="H1316" t="str">
        <f>_xlfn.CONCAT("https://tablet.otzar.org/",CHAR(35),"/book/173821/p/-1/t/1/fs/0/start/0/end/0/c")</f>
        <v>https://tablet.otzar.org/#/book/173821/p/-1/t/1/fs/0/start/0/end/0/c</v>
      </c>
    </row>
    <row r="1317" spans="1:8" x14ac:dyDescent="0.25">
      <c r="A1317">
        <v>27270</v>
      </c>
      <c r="B1317" t="s">
        <v>2192</v>
      </c>
      <c r="C1317" t="s">
        <v>2193</v>
      </c>
      <c r="D1317" t="s">
        <v>387</v>
      </c>
      <c r="E1317" t="s">
        <v>181</v>
      </c>
      <c r="F1317" t="s">
        <v>12</v>
      </c>
      <c r="G1317" t="str">
        <f>HYPERLINK(_xlfn.CONCAT("https://tablet.otzar.org/",CHAR(35),"/book/27270/p/-1/t/1/fs/0/start/0/end/0/c"),"מעדני מלך - א")</f>
        <v>מעדני מלך - א</v>
      </c>
      <c r="H1317" t="str">
        <f>_xlfn.CONCAT("https://tablet.otzar.org/",CHAR(35),"/book/27270/p/-1/t/1/fs/0/start/0/end/0/c")</f>
        <v>https://tablet.otzar.org/#/book/27270/p/-1/t/1/fs/0/start/0/end/0/c</v>
      </c>
    </row>
    <row r="1318" spans="1:8" x14ac:dyDescent="0.25">
      <c r="A1318">
        <v>27496</v>
      </c>
      <c r="B1318" t="s">
        <v>2194</v>
      </c>
      <c r="C1318" t="s">
        <v>125</v>
      </c>
      <c r="D1318" t="s">
        <v>387</v>
      </c>
      <c r="E1318" t="s">
        <v>54</v>
      </c>
      <c r="F1318" t="s">
        <v>12</v>
      </c>
      <c r="G1318" t="str">
        <f>HYPERLINK(_xlfn.CONCAT("https://tablet.otzar.org/",CHAR(35),"/book/27496/p/-1/t/1/fs/0/start/0/end/0/c"),"מעדני מלך - ו")</f>
        <v>מעדני מלך - ו</v>
      </c>
      <c r="H1318" t="str">
        <f>_xlfn.CONCAT("https://tablet.otzar.org/",CHAR(35),"/book/27496/p/-1/t/1/fs/0/start/0/end/0/c")</f>
        <v>https://tablet.otzar.org/#/book/27496/p/-1/t/1/fs/0/start/0/end/0/c</v>
      </c>
    </row>
    <row r="1319" spans="1:8" x14ac:dyDescent="0.25">
      <c r="A1319">
        <v>146407</v>
      </c>
      <c r="B1319" t="s">
        <v>2195</v>
      </c>
      <c r="C1319" t="s">
        <v>125</v>
      </c>
      <c r="D1319" t="s">
        <v>315</v>
      </c>
      <c r="E1319" t="s">
        <v>54</v>
      </c>
      <c r="F1319" t="s">
        <v>319</v>
      </c>
      <c r="G1319" t="str">
        <f>HYPERLINK(_xlfn.CONCAT("https://tablet.otzar.org/",CHAR(35),"/book/146407/p/-1/t/1/fs/0/start/0/end/0/c"),"מעדני מלכות")</f>
        <v>מעדני מלכות</v>
      </c>
      <c r="H1319" t="str">
        <f>_xlfn.CONCAT("https://tablet.otzar.org/",CHAR(35),"/book/146407/p/-1/t/1/fs/0/start/0/end/0/c")</f>
        <v>https://tablet.otzar.org/#/book/146407/p/-1/t/1/fs/0/start/0/end/0/c</v>
      </c>
    </row>
    <row r="1320" spans="1:8" x14ac:dyDescent="0.25">
      <c r="A1320">
        <v>611970</v>
      </c>
      <c r="B1320" t="s">
        <v>2196</v>
      </c>
      <c r="C1320" t="s">
        <v>866</v>
      </c>
      <c r="D1320" t="s">
        <v>15</v>
      </c>
      <c r="E1320" t="s">
        <v>404</v>
      </c>
      <c r="F1320" t="s">
        <v>12</v>
      </c>
      <c r="G1320" t="str">
        <f>HYPERLINK(_xlfn.CONCAT("https://tablet.otzar.org/",CHAR(35),"/exKotar/611970"),"מעט מן האור - 3 כרכים")</f>
        <v>מעט מן האור - 3 כרכים</v>
      </c>
      <c r="H1320" t="str">
        <f>_xlfn.CONCAT("https://tablet.otzar.org/",CHAR(35),"/exKotar/611970")</f>
        <v>https://tablet.otzar.org/#/exKotar/611970</v>
      </c>
    </row>
    <row r="1321" spans="1:8" x14ac:dyDescent="0.25">
      <c r="A1321">
        <v>626898</v>
      </c>
      <c r="B1321" t="s">
        <v>2197</v>
      </c>
      <c r="C1321" t="s">
        <v>102</v>
      </c>
      <c r="D1321" t="s">
        <v>15</v>
      </c>
      <c r="E1321" t="s">
        <v>2198</v>
      </c>
      <c r="F1321" t="s">
        <v>208</v>
      </c>
      <c r="G1321" t="str">
        <f>HYPERLINK(_xlfn.CONCAT("https://tablet.otzar.org/",CHAR(35),"/exKotar/626898"),"מעיין גנים - 5 כרכים")</f>
        <v>מעיין גנים - 5 כרכים</v>
      </c>
      <c r="H1321" t="str">
        <f>_xlfn.CONCAT("https://tablet.otzar.org/",CHAR(35),"/exKotar/626898")</f>
        <v>https://tablet.otzar.org/#/exKotar/626898</v>
      </c>
    </row>
    <row r="1322" spans="1:8" x14ac:dyDescent="0.25">
      <c r="A1322">
        <v>616792</v>
      </c>
      <c r="B1322" t="s">
        <v>2199</v>
      </c>
      <c r="C1322" t="s">
        <v>2200</v>
      </c>
      <c r="D1322" t="s">
        <v>10</v>
      </c>
      <c r="E1322" t="s">
        <v>38</v>
      </c>
      <c r="F1322" t="s">
        <v>100</v>
      </c>
      <c r="G1322" t="str">
        <f>HYPERLINK(_xlfn.CONCAT("https://tablet.otzar.org/",CHAR(35),"/book/616792/p/-1/t/1/fs/0/start/0/end/0/c"),"מעיין חי - בראשית")</f>
        <v>מעיין חי - בראשית</v>
      </c>
      <c r="H1322" t="str">
        <f>_xlfn.CONCAT("https://tablet.otzar.org/",CHAR(35),"/book/616792/p/-1/t/1/fs/0/start/0/end/0/c")</f>
        <v>https://tablet.otzar.org/#/book/616792/p/-1/t/1/fs/0/start/0/end/0/c</v>
      </c>
    </row>
    <row r="1323" spans="1:8" x14ac:dyDescent="0.25">
      <c r="A1323">
        <v>651991</v>
      </c>
      <c r="B1323" t="s">
        <v>2201</v>
      </c>
      <c r="C1323" t="s">
        <v>242</v>
      </c>
      <c r="D1323" t="s">
        <v>37</v>
      </c>
      <c r="E1323" t="s">
        <v>24</v>
      </c>
      <c r="G1323" t="str">
        <f>HYPERLINK(_xlfn.CONCAT("https://tablet.otzar.org/",CHAR(35),"/exKotar/651991"),"מעיינותיך - 3 כרכים")</f>
        <v>מעיינותיך - 3 כרכים</v>
      </c>
      <c r="H1323" t="str">
        <f>_xlfn.CONCAT("https://tablet.otzar.org/",CHAR(35),"/exKotar/651991")</f>
        <v>https://tablet.otzar.org/#/exKotar/651991</v>
      </c>
    </row>
    <row r="1324" spans="1:8" x14ac:dyDescent="0.25">
      <c r="A1324">
        <v>621037</v>
      </c>
      <c r="B1324" t="s">
        <v>2202</v>
      </c>
      <c r="C1324" t="s">
        <v>242</v>
      </c>
      <c r="D1324" t="s">
        <v>37</v>
      </c>
      <c r="E1324" t="s">
        <v>91</v>
      </c>
      <c r="F1324" t="s">
        <v>12</v>
      </c>
      <c r="G1324" t="str">
        <f>HYPERLINK(_xlfn.CONCAT("https://tablet.otzar.org/",CHAR(35),"/book/621037/p/-1/t/1/fs/0/start/0/end/0/c"),"מעיינותיך חוברת לימוד - דרך מצוותיך")</f>
        <v>מעיינותיך חוברת לימוד - דרך מצוותיך</v>
      </c>
      <c r="H1324" t="str">
        <f>_xlfn.CONCAT("https://tablet.otzar.org/",CHAR(35),"/book/621037/p/-1/t/1/fs/0/start/0/end/0/c")</f>
        <v>https://tablet.otzar.org/#/book/621037/p/-1/t/1/fs/0/start/0/end/0/c</v>
      </c>
    </row>
    <row r="1325" spans="1:8" x14ac:dyDescent="0.25">
      <c r="A1325">
        <v>142716</v>
      </c>
      <c r="B1325" t="s">
        <v>2203</v>
      </c>
      <c r="C1325" t="s">
        <v>45</v>
      </c>
      <c r="D1325" t="s">
        <v>10</v>
      </c>
      <c r="E1325" t="s">
        <v>181</v>
      </c>
      <c r="F1325" t="s">
        <v>76</v>
      </c>
      <c r="G1325" t="str">
        <f>HYPERLINK(_xlfn.CONCAT("https://tablet.otzar.org/",CHAR(35),"/exKotar/142716"),"מעייני הישועה - 2 כרכים")</f>
        <v>מעייני הישועה - 2 כרכים</v>
      </c>
      <c r="H1325" t="str">
        <f>_xlfn.CONCAT("https://tablet.otzar.org/",CHAR(35),"/exKotar/142716")</f>
        <v>https://tablet.otzar.org/#/exKotar/142716</v>
      </c>
    </row>
    <row r="1326" spans="1:8" x14ac:dyDescent="0.25">
      <c r="A1326">
        <v>189074</v>
      </c>
      <c r="B1326" t="s">
        <v>2204</v>
      </c>
      <c r="C1326" t="s">
        <v>14</v>
      </c>
      <c r="D1326" t="s">
        <v>15</v>
      </c>
      <c r="E1326" t="s">
        <v>19</v>
      </c>
      <c r="F1326" t="s">
        <v>12</v>
      </c>
      <c r="G1326" t="str">
        <f>HYPERLINK(_xlfn.CONCAT("https://tablet.otzar.org/",CHAR(35),"/exKotar/189074"),"מעייני רש""""י - 2 כרכים")</f>
        <v>מעייני רש""י - 2 כרכים</v>
      </c>
      <c r="H1326" t="str">
        <f>_xlfn.CONCAT("https://tablet.otzar.org/",CHAR(35),"/exKotar/189074")</f>
        <v>https://tablet.otzar.org/#/exKotar/189074</v>
      </c>
    </row>
    <row r="1327" spans="1:8" x14ac:dyDescent="0.25">
      <c r="A1327">
        <v>628559</v>
      </c>
      <c r="B1327" t="s">
        <v>2205</v>
      </c>
      <c r="C1327" t="s">
        <v>102</v>
      </c>
      <c r="D1327" t="s">
        <v>15</v>
      </c>
      <c r="E1327" t="s">
        <v>54</v>
      </c>
      <c r="F1327" t="s">
        <v>1639</v>
      </c>
      <c r="G1327" t="str">
        <f>HYPERLINK(_xlfn.CONCAT("https://tablet.otzar.org/",CHAR(35),"/exKotar/628559"),"מעין גנים - 2 כרכים")</f>
        <v>מעין גנים - 2 כרכים</v>
      </c>
      <c r="H1327" t="str">
        <f>_xlfn.CONCAT("https://tablet.otzar.org/",CHAR(35),"/exKotar/628559")</f>
        <v>https://tablet.otzar.org/#/exKotar/628559</v>
      </c>
    </row>
    <row r="1328" spans="1:8" x14ac:dyDescent="0.25">
      <c r="A1328">
        <v>607785</v>
      </c>
      <c r="B1328" t="s">
        <v>2206</v>
      </c>
      <c r="C1328" t="s">
        <v>2207</v>
      </c>
      <c r="D1328" t="s">
        <v>28</v>
      </c>
      <c r="E1328" t="s">
        <v>82</v>
      </c>
      <c r="F1328" t="s">
        <v>12</v>
      </c>
      <c r="G1328" t="str">
        <f>HYPERLINK(_xlfn.CONCAT("https://tablet.otzar.org/",CHAR(35),"/exKotar/607785"),"מעין האוצר - 3 כרכים")</f>
        <v>מעין האוצר - 3 כרכים</v>
      </c>
      <c r="H1328" t="str">
        <f>_xlfn.CONCAT("https://tablet.otzar.org/",CHAR(35),"/exKotar/607785")</f>
        <v>https://tablet.otzar.org/#/exKotar/607785</v>
      </c>
    </row>
    <row r="1329" spans="1:8" x14ac:dyDescent="0.25">
      <c r="A1329">
        <v>182550</v>
      </c>
      <c r="B1329" t="s">
        <v>2208</v>
      </c>
      <c r="C1329" t="s">
        <v>2209</v>
      </c>
      <c r="D1329" t="s">
        <v>738</v>
      </c>
      <c r="E1329" t="s">
        <v>88</v>
      </c>
      <c r="F1329" t="s">
        <v>12</v>
      </c>
      <c r="G1329" t="str">
        <f>HYPERLINK(_xlfn.CONCAT("https://tablet.otzar.org/",CHAR(35),"/exKotar/182550"),"מעלי שבתא - 2 כרכים")</f>
        <v>מעלי שבתא - 2 כרכים</v>
      </c>
      <c r="H1329" t="str">
        <f>_xlfn.CONCAT("https://tablet.otzar.org/",CHAR(35),"/exKotar/182550")</f>
        <v>https://tablet.otzar.org/#/exKotar/182550</v>
      </c>
    </row>
    <row r="1330" spans="1:8" x14ac:dyDescent="0.25">
      <c r="A1330">
        <v>627067</v>
      </c>
      <c r="B1330" t="s">
        <v>2210</v>
      </c>
      <c r="C1330" t="s">
        <v>9</v>
      </c>
      <c r="D1330" t="s">
        <v>10</v>
      </c>
      <c r="E1330" t="s">
        <v>49</v>
      </c>
      <c r="F1330" t="s">
        <v>12</v>
      </c>
      <c r="G1330" t="str">
        <f>HYPERLINK(_xlfn.CONCAT("https://tablet.otzar.org/",CHAR(35),"/book/627067/p/-1/t/1/fs/0/start/0/end/0/c"),"מעלת מספר ששים")</f>
        <v>מעלת מספר ששים</v>
      </c>
      <c r="H1330" t="str">
        <f>_xlfn.CONCAT("https://tablet.otzar.org/",CHAR(35),"/book/627067/p/-1/t/1/fs/0/start/0/end/0/c")</f>
        <v>https://tablet.otzar.org/#/book/627067/p/-1/t/1/fs/0/start/0/end/0/c</v>
      </c>
    </row>
    <row r="1331" spans="1:8" x14ac:dyDescent="0.25">
      <c r="A1331">
        <v>622488</v>
      </c>
      <c r="B1331" t="s">
        <v>2211</v>
      </c>
      <c r="C1331" t="s">
        <v>2212</v>
      </c>
      <c r="D1331" t="s">
        <v>10</v>
      </c>
      <c r="E1331" t="s">
        <v>115</v>
      </c>
      <c r="F1331" t="s">
        <v>657</v>
      </c>
      <c r="G1331" t="str">
        <f>HYPERLINK(_xlfn.CONCAT("https://tablet.otzar.org/",CHAR(35),"/book/622488/p/-1/t/1/fs/0/start/0/end/0/c"),"מענה לשון")</f>
        <v>מענה לשון</v>
      </c>
      <c r="H1331" t="str">
        <f>_xlfn.CONCAT("https://tablet.otzar.org/",CHAR(35),"/book/622488/p/-1/t/1/fs/0/start/0/end/0/c")</f>
        <v>https://tablet.otzar.org/#/book/622488/p/-1/t/1/fs/0/start/0/end/0/c</v>
      </c>
    </row>
    <row r="1332" spans="1:8" x14ac:dyDescent="0.25">
      <c r="A1332">
        <v>27852</v>
      </c>
      <c r="B1332" t="s">
        <v>2213</v>
      </c>
      <c r="C1332" t="s">
        <v>45</v>
      </c>
      <c r="D1332" t="s">
        <v>15</v>
      </c>
      <c r="E1332" t="s">
        <v>192</v>
      </c>
      <c r="F1332" t="s">
        <v>12</v>
      </c>
      <c r="G1332" t="str">
        <f>HYPERLINK(_xlfn.CONCAT("https://tablet.otzar.org/",CHAR(35),"/book/27852/p/-1/t/1/fs/0/start/0/end/0/c"),"מענה מלך - ב")</f>
        <v>מענה מלך - ב</v>
      </c>
      <c r="H1332" t="str">
        <f>_xlfn.CONCAT("https://tablet.otzar.org/",CHAR(35),"/book/27852/p/-1/t/1/fs/0/start/0/end/0/c")</f>
        <v>https://tablet.otzar.org/#/book/27852/p/-1/t/1/fs/0/start/0/end/0/c</v>
      </c>
    </row>
    <row r="1333" spans="1:8" x14ac:dyDescent="0.25">
      <c r="A1333">
        <v>607832</v>
      </c>
      <c r="B1333" t="s">
        <v>2214</v>
      </c>
      <c r="C1333" t="s">
        <v>45</v>
      </c>
      <c r="D1333" t="s">
        <v>10</v>
      </c>
      <c r="E1333" t="s">
        <v>404</v>
      </c>
      <c r="F1333" t="s">
        <v>12</v>
      </c>
      <c r="G1333" t="str">
        <f>HYPERLINK(_xlfn.CONCAT("https://tablet.otzar.org/",CHAR(35),"/book/607832/p/-1/t/1/fs/0/start/0/end/0/c"),"מענות נדירים")</f>
        <v>מענות נדירים</v>
      </c>
      <c r="H1333" t="str">
        <f>_xlfn.CONCAT("https://tablet.otzar.org/",CHAR(35),"/book/607832/p/-1/t/1/fs/0/start/0/end/0/c")</f>
        <v>https://tablet.otzar.org/#/book/607832/p/-1/t/1/fs/0/start/0/end/0/c</v>
      </c>
    </row>
    <row r="1334" spans="1:8" x14ac:dyDescent="0.25">
      <c r="A1334">
        <v>181093</v>
      </c>
      <c r="B1334" t="s">
        <v>2215</v>
      </c>
      <c r="C1334" t="s">
        <v>1270</v>
      </c>
      <c r="D1334" t="s">
        <v>15</v>
      </c>
      <c r="E1334" t="s">
        <v>88</v>
      </c>
      <c r="F1334" t="s">
        <v>12</v>
      </c>
      <c r="G1334" t="str">
        <f>HYPERLINK(_xlfn.CONCAT("https://tablet.otzar.org/",CHAR(35),"/book/181093/p/-1/t/1/fs/0/start/0/end/0/c"),"מעשה ברבי")</f>
        <v>מעשה ברבי</v>
      </c>
      <c r="H1334" t="str">
        <f>_xlfn.CONCAT("https://tablet.otzar.org/",CHAR(35),"/book/181093/p/-1/t/1/fs/0/start/0/end/0/c")</f>
        <v>https://tablet.otzar.org/#/book/181093/p/-1/t/1/fs/0/start/0/end/0/c</v>
      </c>
    </row>
    <row r="1335" spans="1:8" x14ac:dyDescent="0.25">
      <c r="A1335">
        <v>175891</v>
      </c>
      <c r="B1335" t="s">
        <v>2216</v>
      </c>
      <c r="C1335" t="s">
        <v>2217</v>
      </c>
      <c r="D1335" t="s">
        <v>10</v>
      </c>
      <c r="E1335" t="s">
        <v>62</v>
      </c>
      <c r="F1335" t="s">
        <v>342</v>
      </c>
      <c r="G1335" t="str">
        <f>HYPERLINK(_xlfn.CONCAT("https://tablet.otzar.org/",CHAR(35),"/book/175891/p/-1/t/1/fs/0/start/0/end/0/c"),"מעשה חשב &lt;חלקי&gt;")</f>
        <v>מעשה חשב &lt;חלקי&gt;</v>
      </c>
      <c r="H1335" t="str">
        <f>_xlfn.CONCAT("https://tablet.otzar.org/",CHAR(35),"/book/175891/p/-1/t/1/fs/0/start/0/end/0/c")</f>
        <v>https://tablet.otzar.org/#/book/175891/p/-1/t/1/fs/0/start/0/end/0/c</v>
      </c>
    </row>
    <row r="1336" spans="1:8" x14ac:dyDescent="0.25">
      <c r="A1336">
        <v>164364</v>
      </c>
      <c r="B1336" t="s">
        <v>2218</v>
      </c>
      <c r="C1336" t="s">
        <v>2219</v>
      </c>
      <c r="D1336" t="s">
        <v>28</v>
      </c>
      <c r="E1336" t="s">
        <v>91</v>
      </c>
      <c r="F1336" t="s">
        <v>12</v>
      </c>
      <c r="G1336" t="str">
        <f>HYPERLINK(_xlfn.CONCAT("https://tablet.otzar.org/",CHAR(35),"/exKotar/164364"),"מעשה מלך - 2 כרכים")</f>
        <v>מעשה מלך - 2 כרכים</v>
      </c>
      <c r="H1336" t="str">
        <f>_xlfn.CONCAT("https://tablet.otzar.org/",CHAR(35),"/exKotar/164364")</f>
        <v>https://tablet.otzar.org/#/exKotar/164364</v>
      </c>
    </row>
    <row r="1337" spans="1:8" x14ac:dyDescent="0.25">
      <c r="A1337">
        <v>195734</v>
      </c>
      <c r="B1337" t="s">
        <v>2220</v>
      </c>
      <c r="C1337" t="s">
        <v>120</v>
      </c>
      <c r="D1337" t="s">
        <v>37</v>
      </c>
      <c r="E1337" t="s">
        <v>19</v>
      </c>
      <c r="F1337" t="s">
        <v>12</v>
      </c>
      <c r="G1337" t="str">
        <f>HYPERLINK(_xlfn.CONCAT("https://tablet.otzar.org/",CHAR(35),"/book/195734/p/-1/t/1/fs/0/start/0/end/0/c"),"מעשה רבי")</f>
        <v>מעשה רבי</v>
      </c>
      <c r="H1337" t="str">
        <f>_xlfn.CONCAT("https://tablet.otzar.org/",CHAR(35),"/book/195734/p/-1/t/1/fs/0/start/0/end/0/c")</f>
        <v>https://tablet.otzar.org/#/book/195734/p/-1/t/1/fs/0/start/0/end/0/c</v>
      </c>
    </row>
    <row r="1338" spans="1:8" x14ac:dyDescent="0.25">
      <c r="A1338">
        <v>162767</v>
      </c>
      <c r="B1338" t="s">
        <v>2221</v>
      </c>
      <c r="C1338" t="s">
        <v>48</v>
      </c>
      <c r="D1338" t="s">
        <v>10</v>
      </c>
      <c r="E1338" t="s">
        <v>16</v>
      </c>
      <c r="F1338" t="s">
        <v>12</v>
      </c>
      <c r="G1338" t="str">
        <f>HYPERLINK(_xlfn.CONCAT("https://tablet.otzar.org/",CHAR(35),"/book/162767/p/-1/t/1/fs/0/start/0/end/0/c"),"מפתח אינצקלופדי לתורת חסידות חב""""ד")</f>
        <v>מפתח אינצקלופדי לתורת חסידות חב""ד</v>
      </c>
      <c r="H1338" t="str">
        <f>_xlfn.CONCAT("https://tablet.otzar.org/",CHAR(35),"/book/162767/p/-1/t/1/fs/0/start/0/end/0/c")</f>
        <v>https://tablet.otzar.org/#/book/162767/p/-1/t/1/fs/0/start/0/end/0/c</v>
      </c>
    </row>
    <row r="1339" spans="1:8" x14ac:dyDescent="0.25">
      <c r="A1339">
        <v>143323</v>
      </c>
      <c r="B1339" t="s">
        <v>2222</v>
      </c>
      <c r="C1339" t="s">
        <v>2223</v>
      </c>
      <c r="D1339" t="s">
        <v>10</v>
      </c>
      <c r="E1339" t="s">
        <v>69</v>
      </c>
      <c r="F1339" t="s">
        <v>100</v>
      </c>
      <c r="G1339" t="str">
        <f>HYPERLINK(_xlfn.CONCAT("https://tablet.otzar.org/",CHAR(35),"/exKotar/143323"),"מפתח ביאורי פירוש רש""""י על התורה ונ""""ך - 2 כרכים")</f>
        <v>מפתח ביאורי פירוש רש""י על התורה ונ""ך - 2 כרכים</v>
      </c>
      <c r="H1339" t="str">
        <f>_xlfn.CONCAT("https://tablet.otzar.org/",CHAR(35),"/exKotar/143323")</f>
        <v>https://tablet.otzar.org/#/exKotar/143323</v>
      </c>
    </row>
    <row r="1340" spans="1:8" x14ac:dyDescent="0.25">
      <c r="A1340">
        <v>145648</v>
      </c>
      <c r="B1340" t="s">
        <v>2224</v>
      </c>
      <c r="C1340" t="s">
        <v>2225</v>
      </c>
      <c r="D1340" t="s">
        <v>10</v>
      </c>
      <c r="E1340" t="s">
        <v>66</v>
      </c>
      <c r="F1340" t="s">
        <v>76</v>
      </c>
      <c r="G1340" t="str">
        <f>HYPERLINK(_xlfn.CONCAT("https://tablet.otzar.org/",CHAR(35),"/book/145648/p/-1/t/1/fs/0/start/0/end/0/c"),"מפתח בעניני בית הבחירה")</f>
        <v>מפתח בעניני בית הבחירה</v>
      </c>
      <c r="H1340" t="str">
        <f>_xlfn.CONCAT("https://tablet.otzar.org/",CHAR(35),"/book/145648/p/-1/t/1/fs/0/start/0/end/0/c")</f>
        <v>https://tablet.otzar.org/#/book/145648/p/-1/t/1/fs/0/start/0/end/0/c</v>
      </c>
    </row>
    <row r="1341" spans="1:8" x14ac:dyDescent="0.25">
      <c r="A1341">
        <v>146010</v>
      </c>
      <c r="B1341" t="s">
        <v>2226</v>
      </c>
      <c r="C1341" t="s">
        <v>2227</v>
      </c>
      <c r="D1341" t="s">
        <v>10</v>
      </c>
      <c r="E1341" t="s">
        <v>40</v>
      </c>
      <c r="F1341" t="s">
        <v>76</v>
      </c>
      <c r="G1341" t="str">
        <f>HYPERLINK(_xlfn.CONCAT("https://tablet.otzar.org/",CHAR(35),"/book/146010/p/-1/t/1/fs/0/start/0/end/0/c"),"מפתח להוראות והדרכות")</f>
        <v>מפתח להוראות והדרכות</v>
      </c>
      <c r="H1341" t="str">
        <f>_xlfn.CONCAT("https://tablet.otzar.org/",CHAR(35),"/book/146010/p/-1/t/1/fs/0/start/0/end/0/c")</f>
        <v>https://tablet.otzar.org/#/book/146010/p/-1/t/1/fs/0/start/0/end/0/c</v>
      </c>
    </row>
    <row r="1342" spans="1:8" x14ac:dyDescent="0.25">
      <c r="A1342">
        <v>141464</v>
      </c>
      <c r="B1342" t="s">
        <v>2228</v>
      </c>
      <c r="C1342" t="s">
        <v>1037</v>
      </c>
      <c r="D1342" t="s">
        <v>10</v>
      </c>
      <c r="E1342" t="s">
        <v>236</v>
      </c>
      <c r="F1342" t="s">
        <v>12</v>
      </c>
      <c r="G1342" t="str">
        <f>HYPERLINK(_xlfn.CONCAT("https://tablet.otzar.org/",CHAR(35),"/book/141464/p/-1/t/1/fs/0/start/0/end/0/c"),"מפתח לפסוקים מחז""""ל וכו' אשר בספר התניא")</f>
        <v>מפתח לפסוקים מחז""ל וכו' אשר בספר התניא</v>
      </c>
      <c r="H1342" t="str">
        <f>_xlfn.CONCAT("https://tablet.otzar.org/",CHAR(35),"/book/141464/p/-1/t/1/fs/0/start/0/end/0/c")</f>
        <v>https://tablet.otzar.org/#/book/141464/p/-1/t/1/fs/0/start/0/end/0/c</v>
      </c>
    </row>
    <row r="1343" spans="1:8" x14ac:dyDescent="0.25">
      <c r="A1343">
        <v>146527</v>
      </c>
      <c r="B1343" t="s">
        <v>2229</v>
      </c>
      <c r="C1343" t="s">
        <v>1580</v>
      </c>
      <c r="D1343" t="s">
        <v>10</v>
      </c>
      <c r="E1343" t="s">
        <v>91</v>
      </c>
      <c r="F1343" t="s">
        <v>76</v>
      </c>
      <c r="G1343" t="str">
        <f>HYPERLINK(_xlfn.CONCAT("https://tablet.otzar.org/",CHAR(35),"/book/146527/p/-1/t/1/fs/0/start/0/end/0/c"),"מפתח לקונטרס עץ החיים")</f>
        <v>מפתח לקונטרס עץ החיים</v>
      </c>
      <c r="H1343" t="str">
        <f>_xlfn.CONCAT("https://tablet.otzar.org/",CHAR(35),"/book/146527/p/-1/t/1/fs/0/start/0/end/0/c")</f>
        <v>https://tablet.otzar.org/#/book/146527/p/-1/t/1/fs/0/start/0/end/0/c</v>
      </c>
    </row>
    <row r="1344" spans="1:8" x14ac:dyDescent="0.25">
      <c r="A1344">
        <v>145967</v>
      </c>
      <c r="B1344" t="s">
        <v>2230</v>
      </c>
      <c r="C1344" t="s">
        <v>2223</v>
      </c>
      <c r="D1344" t="s">
        <v>10</v>
      </c>
      <c r="E1344" t="s">
        <v>260</v>
      </c>
      <c r="F1344" t="s">
        <v>76</v>
      </c>
      <c r="G1344" t="str">
        <f>HYPERLINK(_xlfn.CONCAT("https://tablet.otzar.org/",CHAR(35),"/exKotar/145967"),"מפתח מאמרים ושיחות - 2 כרכים")</f>
        <v>מפתח מאמרים ושיחות - 2 כרכים</v>
      </c>
      <c r="H1344" t="str">
        <f>_xlfn.CONCAT("https://tablet.otzar.org/",CHAR(35),"/exKotar/145967")</f>
        <v>https://tablet.otzar.org/#/exKotar/145967</v>
      </c>
    </row>
    <row r="1345" spans="1:8" x14ac:dyDescent="0.25">
      <c r="A1345">
        <v>143278</v>
      </c>
      <c r="B1345" t="s">
        <v>2231</v>
      </c>
      <c r="C1345" t="s">
        <v>2223</v>
      </c>
      <c r="D1345" t="s">
        <v>10</v>
      </c>
      <c r="E1345" t="s">
        <v>145</v>
      </c>
      <c r="F1345" t="s">
        <v>76</v>
      </c>
      <c r="G1345" t="str">
        <f>HYPERLINK(_xlfn.CONCAT("https://tablet.otzar.org/",CHAR(35),"/book/143278/p/-1/t/1/fs/0/start/0/end/0/c"),"מפתח מאמרים שיחות ומכתבים")</f>
        <v>מפתח מאמרים שיחות ומכתבים</v>
      </c>
      <c r="H1345" t="str">
        <f>_xlfn.CONCAT("https://tablet.otzar.org/",CHAR(35),"/book/143278/p/-1/t/1/fs/0/start/0/end/0/c")</f>
        <v>https://tablet.otzar.org/#/book/143278/p/-1/t/1/fs/0/start/0/end/0/c</v>
      </c>
    </row>
    <row r="1346" spans="1:8" x14ac:dyDescent="0.25">
      <c r="A1346">
        <v>657613</v>
      </c>
      <c r="B1346" t="s">
        <v>2232</v>
      </c>
      <c r="C1346" t="s">
        <v>2233</v>
      </c>
      <c r="D1346" t="s">
        <v>10</v>
      </c>
      <c r="E1346" t="s">
        <v>166</v>
      </c>
      <c r="F1346" t="s">
        <v>12</v>
      </c>
      <c r="G1346" t="str">
        <f>HYPERLINK(_xlfn.CONCAT("https://tablet.otzar.org/",CHAR(35),"/book/657613/p/-1/t/1/fs/0/start/0/end/0/c"),"מפתח ספרי מאמרי ודרושי כ""""ק אדמו""""ר האמצעי ודפוסיהם")</f>
        <v>מפתח ספרי מאמרי ודרושי כ""ק אדמו""ר האמצעי ודפוסיהם</v>
      </c>
      <c r="H1346" t="str">
        <f>_xlfn.CONCAT("https://tablet.otzar.org/",CHAR(35),"/book/657613/p/-1/t/1/fs/0/start/0/end/0/c")</f>
        <v>https://tablet.otzar.org/#/book/657613/p/-1/t/1/fs/0/start/0/end/0/c</v>
      </c>
    </row>
    <row r="1347" spans="1:8" x14ac:dyDescent="0.25">
      <c r="A1347">
        <v>140882</v>
      </c>
      <c r="B1347" t="s">
        <v>2234</v>
      </c>
      <c r="C1347" t="s">
        <v>2235</v>
      </c>
      <c r="D1347" t="s">
        <v>28</v>
      </c>
      <c r="E1347" t="s">
        <v>260</v>
      </c>
      <c r="F1347" t="s">
        <v>12</v>
      </c>
      <c r="G1347" t="str">
        <f>HYPERLINK(_xlfn.CONCAT("https://tablet.otzar.org/",CHAR(35),"/book/140882/p/-1/t/1/fs/0/start/0/end/0/c"),"מפתח ענינים בעניני גאולה ומשיח")</f>
        <v>מפתח ענינים בעניני גאולה ומשיח</v>
      </c>
      <c r="H1347" t="str">
        <f>_xlfn.CONCAT("https://tablet.otzar.org/",CHAR(35),"/book/140882/p/-1/t/1/fs/0/start/0/end/0/c")</f>
        <v>https://tablet.otzar.org/#/book/140882/p/-1/t/1/fs/0/start/0/end/0/c</v>
      </c>
    </row>
    <row r="1348" spans="1:8" x14ac:dyDescent="0.25">
      <c r="A1348">
        <v>146371</v>
      </c>
      <c r="B1348" t="s">
        <v>2236</v>
      </c>
      <c r="C1348" t="s">
        <v>2237</v>
      </c>
      <c r="D1348" t="s">
        <v>10</v>
      </c>
      <c r="E1348" t="s">
        <v>91</v>
      </c>
      <c r="F1348" t="s">
        <v>76</v>
      </c>
      <c r="G1348" t="str">
        <f>HYPERLINK(_xlfn.CONCAT("https://tablet.otzar.org/",CHAR(35),"/book/146371/p/-1/t/1/fs/0/start/0/end/0/c"),"מפתח ענינים ומראי מקומות למאמר אנכי מגן לך תרנ""""ח")</f>
        <v>מפתח ענינים ומראי מקומות למאמר אנכי מגן לך תרנ""ח</v>
      </c>
      <c r="H1348" t="str">
        <f>_xlfn.CONCAT("https://tablet.otzar.org/",CHAR(35),"/book/146371/p/-1/t/1/fs/0/start/0/end/0/c")</f>
        <v>https://tablet.otzar.org/#/book/146371/p/-1/t/1/fs/0/start/0/end/0/c</v>
      </c>
    </row>
    <row r="1349" spans="1:8" x14ac:dyDescent="0.25">
      <c r="A1349">
        <v>145945</v>
      </c>
      <c r="B1349" t="s">
        <v>2238</v>
      </c>
      <c r="C1349" t="s">
        <v>1900</v>
      </c>
      <c r="D1349" t="s">
        <v>10</v>
      </c>
      <c r="E1349" t="s">
        <v>66</v>
      </c>
      <c r="F1349" t="s">
        <v>76</v>
      </c>
      <c r="G1349" t="str">
        <f>HYPERLINK(_xlfn.CONCAT("https://tablet.otzar.org/",CHAR(35),"/book/145945/p/-1/t/1/fs/0/start/0/end/0/c"),"מפתח ענינים למאמרי כ""""ק אדמו""""ר שלום דובער זצוקללה""""ה")</f>
        <v>מפתח ענינים למאמרי כ""ק אדמו""ר שלום דובער זצוקללה""ה</v>
      </c>
      <c r="H1349" t="str">
        <f>_xlfn.CONCAT("https://tablet.otzar.org/",CHAR(35),"/book/145945/p/-1/t/1/fs/0/start/0/end/0/c")</f>
        <v>https://tablet.otzar.org/#/book/145945/p/-1/t/1/fs/0/start/0/end/0/c</v>
      </c>
    </row>
    <row r="1350" spans="1:8" x14ac:dyDescent="0.25">
      <c r="A1350">
        <v>141517</v>
      </c>
      <c r="B1350" t="s">
        <v>2239</v>
      </c>
      <c r="C1350" t="s">
        <v>2225</v>
      </c>
      <c r="D1350" t="s">
        <v>10</v>
      </c>
      <c r="E1350" t="s">
        <v>217</v>
      </c>
      <c r="F1350" t="s">
        <v>12</v>
      </c>
      <c r="G1350" t="str">
        <f>HYPERLINK(_xlfn.CONCAT("https://tablet.otzar.org/",CHAR(35),"/book/141517/p/-1/t/1/fs/0/start/0/end/0/c"),"מפתח ענינים לרשימות")</f>
        <v>מפתח ענינים לרשימות</v>
      </c>
      <c r="H1350" t="str">
        <f>_xlfn.CONCAT("https://tablet.otzar.org/",CHAR(35),"/book/141517/p/-1/t/1/fs/0/start/0/end/0/c")</f>
        <v>https://tablet.otzar.org/#/book/141517/p/-1/t/1/fs/0/start/0/end/0/c</v>
      </c>
    </row>
    <row r="1351" spans="1:8" x14ac:dyDescent="0.25">
      <c r="A1351">
        <v>27062</v>
      </c>
      <c r="B1351" t="s">
        <v>2240</v>
      </c>
      <c r="C1351" t="s">
        <v>45</v>
      </c>
      <c r="D1351" t="s">
        <v>10</v>
      </c>
      <c r="E1351" t="s">
        <v>134</v>
      </c>
      <c r="F1351" t="s">
        <v>12</v>
      </c>
      <c r="G1351" t="str">
        <f>HYPERLINK(_xlfn.CONCAT("https://tablet.otzar.org/",CHAR(35),"/book/27062/p/-1/t/1/fs/0/start/0/end/0/c"),"מפתח ענינים לשיחות קודש - א")</f>
        <v>מפתח ענינים לשיחות קודש - א</v>
      </c>
      <c r="H1351" t="str">
        <f>_xlfn.CONCAT("https://tablet.otzar.org/",CHAR(35),"/book/27062/p/-1/t/1/fs/0/start/0/end/0/c")</f>
        <v>https://tablet.otzar.org/#/book/27062/p/-1/t/1/fs/0/start/0/end/0/c</v>
      </c>
    </row>
    <row r="1352" spans="1:8" x14ac:dyDescent="0.25">
      <c r="A1352">
        <v>28918</v>
      </c>
      <c r="B1352" t="s">
        <v>2241</v>
      </c>
      <c r="C1352" t="s">
        <v>27</v>
      </c>
      <c r="D1352" t="s">
        <v>10</v>
      </c>
      <c r="E1352" t="s">
        <v>174</v>
      </c>
      <c r="F1352" t="s">
        <v>12</v>
      </c>
      <c r="G1352" t="str">
        <f>HYPERLINK(_xlfn.CONCAT("https://tablet.otzar.org/",CHAR(35),"/book/28918/p/-1/t/1/fs/0/start/0/end/0/c"),"מפתח ענינים לשלחן ערוך אדמו""""ר הזקן")</f>
        <v>מפתח ענינים לשלחן ערוך אדמו""ר הזקן</v>
      </c>
      <c r="H1352" t="str">
        <f>_xlfn.CONCAT("https://tablet.otzar.org/",CHAR(35),"/book/28918/p/-1/t/1/fs/0/start/0/end/0/c")</f>
        <v>https://tablet.otzar.org/#/book/28918/p/-1/t/1/fs/0/start/0/end/0/c</v>
      </c>
    </row>
    <row r="1353" spans="1:8" x14ac:dyDescent="0.25">
      <c r="A1353">
        <v>145947</v>
      </c>
      <c r="B1353" t="s">
        <v>2242</v>
      </c>
      <c r="C1353" t="s">
        <v>2243</v>
      </c>
      <c r="D1353" t="s">
        <v>28</v>
      </c>
      <c r="E1353" t="s">
        <v>91</v>
      </c>
      <c r="F1353" t="s">
        <v>2244</v>
      </c>
      <c r="G1353" t="str">
        <f>HYPERLINK(_xlfn.CONCAT("https://tablet.otzar.org/",CHAR(35),"/book/145947/p/-1/t/1/fs/0/start/0/end/0/c"),"מפתח ערכים לספר כללי הפוסקים וההוראה")</f>
        <v>מפתח ערכים לספר כללי הפוסקים וההוראה</v>
      </c>
      <c r="H1353" t="str">
        <f>_xlfn.CONCAT("https://tablet.otzar.org/",CHAR(35),"/book/145947/p/-1/t/1/fs/0/start/0/end/0/c")</f>
        <v>https://tablet.otzar.org/#/book/145947/p/-1/t/1/fs/0/start/0/end/0/c</v>
      </c>
    </row>
    <row r="1354" spans="1:8" x14ac:dyDescent="0.25">
      <c r="A1354">
        <v>27275</v>
      </c>
      <c r="B1354" t="s">
        <v>2245</v>
      </c>
      <c r="C1354" t="s">
        <v>2246</v>
      </c>
      <c r="D1354" t="s">
        <v>10</v>
      </c>
      <c r="E1354" t="s">
        <v>69</v>
      </c>
      <c r="F1354" t="s">
        <v>12</v>
      </c>
      <c r="G1354" t="str">
        <f>HYPERLINK(_xlfn.CONCAT("https://tablet.otzar.org/",CHAR(35),"/book/27275/p/-1/t/1/fs/0/start/0/end/0/c"),"מפתח שמות בעלי המימרות שבפרש""""י עה""""ת")</f>
        <v>מפתח שמות בעלי המימרות שבפרש""י עה""ת</v>
      </c>
      <c r="H1354" t="str">
        <f>_xlfn.CONCAT("https://tablet.otzar.org/",CHAR(35),"/book/27275/p/-1/t/1/fs/0/start/0/end/0/c")</f>
        <v>https://tablet.otzar.org/#/book/27275/p/-1/t/1/fs/0/start/0/end/0/c</v>
      </c>
    </row>
    <row r="1355" spans="1:8" x14ac:dyDescent="0.25">
      <c r="A1355">
        <v>103532</v>
      </c>
      <c r="B1355" t="s">
        <v>2247</v>
      </c>
      <c r="C1355" t="s">
        <v>45</v>
      </c>
      <c r="D1355" t="s">
        <v>10</v>
      </c>
      <c r="E1355" t="s">
        <v>757</v>
      </c>
      <c r="F1355" t="s">
        <v>12</v>
      </c>
      <c r="G1355" t="str">
        <f>HYPERLINK(_xlfn.CONCAT("https://tablet.otzar.org/",CHAR(35),"/book/103532/p/-1/t/1/fs/0/start/0/end/0/c"),"מפתחות והערות לספר ליקוטי תורה")</f>
        <v>מפתחות והערות לספר ליקוטי תורה</v>
      </c>
      <c r="H1355" t="str">
        <f>_xlfn.CONCAT("https://tablet.otzar.org/",CHAR(35),"/book/103532/p/-1/t/1/fs/0/start/0/end/0/c")</f>
        <v>https://tablet.otzar.org/#/book/103532/p/-1/t/1/fs/0/start/0/end/0/c</v>
      </c>
    </row>
    <row r="1356" spans="1:8" x14ac:dyDescent="0.25">
      <c r="A1356">
        <v>146341</v>
      </c>
      <c r="B1356" t="s">
        <v>2248</v>
      </c>
      <c r="C1356" t="s">
        <v>1037</v>
      </c>
      <c r="D1356" t="s">
        <v>10</v>
      </c>
      <c r="E1356" t="s">
        <v>66</v>
      </c>
      <c r="F1356" t="s">
        <v>76</v>
      </c>
      <c r="G1356" t="str">
        <f>HYPERLINK(_xlfn.CONCAT("https://tablet.otzar.org/",CHAR(35),"/book/146341/p/-1/t/1/fs/0/start/0/end/0/c"),"מפתחות לספר המאמרים תרל""""ו")</f>
        <v>מפתחות לספר המאמרים תרל""ו</v>
      </c>
      <c r="H1356" t="str">
        <f>_xlfn.CONCAT("https://tablet.otzar.org/",CHAR(35),"/book/146341/p/-1/t/1/fs/0/start/0/end/0/c")</f>
        <v>https://tablet.otzar.org/#/book/146341/p/-1/t/1/fs/0/start/0/end/0/c</v>
      </c>
    </row>
    <row r="1357" spans="1:8" x14ac:dyDescent="0.25">
      <c r="A1357">
        <v>102258</v>
      </c>
      <c r="B1357" t="s">
        <v>2249</v>
      </c>
      <c r="C1357" t="s">
        <v>45</v>
      </c>
      <c r="D1357" t="s">
        <v>10</v>
      </c>
      <c r="E1357" t="s">
        <v>1140</v>
      </c>
      <c r="F1357" t="s">
        <v>12</v>
      </c>
      <c r="G1357" t="str">
        <f>HYPERLINK(_xlfn.CONCAT("https://tablet.otzar.org/",CHAR(35),"/book/102258/p/-1/t/1/fs/0/start/0/end/0/c"),"מפתחות לספר התניא")</f>
        <v>מפתחות לספר התניא</v>
      </c>
      <c r="H1357" t="str">
        <f>_xlfn.CONCAT("https://tablet.otzar.org/",CHAR(35),"/book/102258/p/-1/t/1/fs/0/start/0/end/0/c")</f>
        <v>https://tablet.otzar.org/#/book/102258/p/-1/t/1/fs/0/start/0/end/0/c</v>
      </c>
    </row>
    <row r="1358" spans="1:8" x14ac:dyDescent="0.25">
      <c r="A1358">
        <v>141507</v>
      </c>
      <c r="B1358" t="s">
        <v>2250</v>
      </c>
      <c r="C1358" t="s">
        <v>1037</v>
      </c>
      <c r="D1358" t="s">
        <v>10</v>
      </c>
      <c r="E1358" t="s">
        <v>515</v>
      </c>
      <c r="F1358" t="s">
        <v>12</v>
      </c>
      <c r="G1358" t="str">
        <f>HYPERLINK(_xlfn.CONCAT("https://tablet.otzar.org/",CHAR(35),"/book/141507/p/-1/t/1/fs/0/start/0/end/0/c"),"מפתחות לספר כתר שם טוב ולספר צוואת הריב""""ש")</f>
        <v>מפתחות לספר כתר שם טוב ולספר צוואת הריב""ש</v>
      </c>
      <c r="H1358" t="str">
        <f>_xlfn.CONCAT("https://tablet.otzar.org/",CHAR(35),"/book/141507/p/-1/t/1/fs/0/start/0/end/0/c")</f>
        <v>https://tablet.otzar.org/#/book/141507/p/-1/t/1/fs/0/start/0/end/0/c</v>
      </c>
    </row>
    <row r="1359" spans="1:8" x14ac:dyDescent="0.25">
      <c r="A1359">
        <v>85290</v>
      </c>
      <c r="B1359" t="s">
        <v>2251</v>
      </c>
      <c r="C1359" t="s">
        <v>45</v>
      </c>
      <c r="D1359" t="s">
        <v>10</v>
      </c>
      <c r="E1359" t="s">
        <v>40</v>
      </c>
      <c r="F1359" t="s">
        <v>319</v>
      </c>
      <c r="G1359" t="str">
        <f>HYPERLINK(_xlfn.CONCAT("https://tablet.otzar.org/",CHAR(35),"/exKotar/85290"),"מפתחות לספרי ליקוטי שיחות - 2 כרכים")</f>
        <v>מפתחות לספרי ליקוטי שיחות - 2 כרכים</v>
      </c>
      <c r="H1359" t="str">
        <f>_xlfn.CONCAT("https://tablet.otzar.org/",CHAR(35),"/exKotar/85290")</f>
        <v>https://tablet.otzar.org/#/exKotar/85290</v>
      </c>
    </row>
    <row r="1360" spans="1:8" x14ac:dyDescent="0.25">
      <c r="A1360">
        <v>146408</v>
      </c>
      <c r="B1360" t="s">
        <v>2252</v>
      </c>
      <c r="C1360" t="s">
        <v>45</v>
      </c>
      <c r="D1360" t="s">
        <v>191</v>
      </c>
      <c r="E1360" t="s">
        <v>145</v>
      </c>
      <c r="F1360" t="s">
        <v>12</v>
      </c>
      <c r="G1360" t="str">
        <f>HYPERLINK(_xlfn.CONCAT("https://tablet.otzar.org/",CHAR(35),"/book/146408/p/-1/t/1/fs/0/start/0/end/0/c"),"מצב חרום")</f>
        <v>מצב חרום</v>
      </c>
      <c r="H1360" t="str">
        <f>_xlfn.CONCAT("https://tablet.otzar.org/",CHAR(35),"/book/146408/p/-1/t/1/fs/0/start/0/end/0/c")</f>
        <v>https://tablet.otzar.org/#/book/146408/p/-1/t/1/fs/0/start/0/end/0/c</v>
      </c>
    </row>
    <row r="1361" spans="1:8" x14ac:dyDescent="0.25">
      <c r="A1361">
        <v>157272</v>
      </c>
      <c r="B1361" t="s">
        <v>2253</v>
      </c>
      <c r="C1361" t="s">
        <v>348</v>
      </c>
      <c r="D1361" t="s">
        <v>15</v>
      </c>
      <c r="E1361" t="s">
        <v>49</v>
      </c>
      <c r="F1361" t="s">
        <v>12</v>
      </c>
      <c r="G1361" t="str">
        <f>HYPERLINK(_xlfn.CONCAT("https://tablet.otzar.org/",CHAR(35),"/exKotar/157272"),"מצדיקי הרבים ככוכבים - 8 כרכים")</f>
        <v>מצדיקי הרבים ככוכבים - 8 כרכים</v>
      </c>
      <c r="H1361" t="str">
        <f>_xlfn.CONCAT("https://tablet.otzar.org/",CHAR(35),"/exKotar/157272")</f>
        <v>https://tablet.otzar.org/#/exKotar/157272</v>
      </c>
    </row>
    <row r="1362" spans="1:8" x14ac:dyDescent="0.25">
      <c r="A1362">
        <v>146292</v>
      </c>
      <c r="B1362" t="s">
        <v>2254</v>
      </c>
      <c r="C1362" t="s">
        <v>2255</v>
      </c>
      <c r="D1362" t="s">
        <v>15</v>
      </c>
      <c r="E1362" t="s">
        <v>181</v>
      </c>
      <c r="F1362" t="s">
        <v>2244</v>
      </c>
      <c r="G1362" t="str">
        <f>HYPERLINK(_xlfn.CONCAT("https://tablet.otzar.org/",CHAR(35),"/exKotar/146292"),"מצוה יומית - 3 כרכים")</f>
        <v>מצוה יומית - 3 כרכים</v>
      </c>
      <c r="H1362" t="str">
        <f>_xlfn.CONCAT("https://tablet.otzar.org/",CHAR(35),"/exKotar/146292")</f>
        <v>https://tablet.otzar.org/#/exKotar/146292</v>
      </c>
    </row>
    <row r="1363" spans="1:8" x14ac:dyDescent="0.25">
      <c r="A1363">
        <v>657648</v>
      </c>
      <c r="B1363" t="s">
        <v>2256</v>
      </c>
      <c r="C1363" t="s">
        <v>2257</v>
      </c>
      <c r="D1363" t="s">
        <v>37</v>
      </c>
      <c r="E1363" t="s">
        <v>2258</v>
      </c>
      <c r="F1363" t="s">
        <v>12</v>
      </c>
      <c r="G1363" t="str">
        <f>HYPERLINK(_xlfn.CONCAT("https://tablet.otzar.org/",CHAR(35),"/book/657648/p/-1/t/1/fs/0/start/0/end/0/c"),"מצוות הקהל")</f>
        <v>מצוות הקהל</v>
      </c>
      <c r="H1363" t="str">
        <f>_xlfn.CONCAT("https://tablet.otzar.org/",CHAR(35),"/book/657648/p/-1/t/1/fs/0/start/0/end/0/c")</f>
        <v>https://tablet.otzar.org/#/book/657648/p/-1/t/1/fs/0/start/0/end/0/c</v>
      </c>
    </row>
    <row r="1364" spans="1:8" x14ac:dyDescent="0.25">
      <c r="A1364">
        <v>146247</v>
      </c>
      <c r="B1364" t="s">
        <v>2259</v>
      </c>
      <c r="C1364" t="s">
        <v>2259</v>
      </c>
      <c r="D1364" t="s">
        <v>28</v>
      </c>
      <c r="E1364" t="s">
        <v>91</v>
      </c>
      <c r="F1364" t="s">
        <v>319</v>
      </c>
      <c r="G1364" t="str">
        <f>HYPERLINK(_xlfn.CONCAT("https://tablet.otzar.org/",CHAR(35),"/book/146247/p/-1/t/1/fs/0/start/0/end/0/c"),"מצוות נרות שבת קודש")</f>
        <v>מצוות נרות שבת קודש</v>
      </c>
      <c r="H1364" t="str">
        <f>_xlfn.CONCAT("https://tablet.otzar.org/",CHAR(35),"/book/146247/p/-1/t/1/fs/0/start/0/end/0/c")</f>
        <v>https://tablet.otzar.org/#/book/146247/p/-1/t/1/fs/0/start/0/end/0/c</v>
      </c>
    </row>
    <row r="1365" spans="1:8" x14ac:dyDescent="0.25">
      <c r="A1365">
        <v>141545</v>
      </c>
      <c r="B1365" t="s">
        <v>2260</v>
      </c>
      <c r="C1365" t="s">
        <v>2257</v>
      </c>
      <c r="D1365" t="s">
        <v>15</v>
      </c>
      <c r="E1365" t="s">
        <v>54</v>
      </c>
      <c r="F1365" t="s">
        <v>12</v>
      </c>
      <c r="G1365" t="str">
        <f>HYPERLINK(_xlfn.CONCAT("https://tablet.otzar.org/",CHAR(35),"/book/141545/p/-1/t/1/fs/0/start/0/end/0/c"),"מצות הקהל")</f>
        <v>מצות הקהל</v>
      </c>
      <c r="H1365" t="str">
        <f>_xlfn.CONCAT("https://tablet.otzar.org/",CHAR(35),"/book/141545/p/-1/t/1/fs/0/start/0/end/0/c")</f>
        <v>https://tablet.otzar.org/#/book/141545/p/-1/t/1/fs/0/start/0/end/0/c</v>
      </c>
    </row>
    <row r="1366" spans="1:8" x14ac:dyDescent="0.25">
      <c r="A1366">
        <v>628561</v>
      </c>
      <c r="B1366" t="s">
        <v>2261</v>
      </c>
      <c r="C1366" t="s">
        <v>102</v>
      </c>
      <c r="D1366" t="s">
        <v>15</v>
      </c>
      <c r="E1366" t="s">
        <v>82</v>
      </c>
      <c r="F1366" t="s">
        <v>2262</v>
      </c>
      <c r="G1366" t="str">
        <f>HYPERLINK(_xlfn.CONCAT("https://tablet.otzar.org/",CHAR(35),"/book/628561/p/-1/t/1/fs/0/start/0/end/0/c"),"מצות כיבוד הורים")</f>
        <v>מצות כיבוד הורים</v>
      </c>
      <c r="H1366" t="str">
        <f>_xlfn.CONCAT("https://tablet.otzar.org/",CHAR(35),"/book/628561/p/-1/t/1/fs/0/start/0/end/0/c")</f>
        <v>https://tablet.otzar.org/#/book/628561/p/-1/t/1/fs/0/start/0/end/0/c</v>
      </c>
    </row>
    <row r="1367" spans="1:8" x14ac:dyDescent="0.25">
      <c r="A1367">
        <v>146316</v>
      </c>
      <c r="B1367" t="s">
        <v>2263</v>
      </c>
      <c r="C1367" t="s">
        <v>45</v>
      </c>
      <c r="D1367" t="s">
        <v>37</v>
      </c>
      <c r="E1367" t="s">
        <v>69</v>
      </c>
      <c r="F1367" t="s">
        <v>319</v>
      </c>
      <c r="G1367" t="str">
        <f>HYPERLINK(_xlfn.CONCAT("https://tablet.otzar.org/",CHAR(35),"/book/146316/p/-1/t/1/fs/0/start/0/end/0/c"),"מצות כתיבת ספר תורה בזמננו")</f>
        <v>מצות כתיבת ספר תורה בזמננו</v>
      </c>
      <c r="H1367" t="str">
        <f>_xlfn.CONCAT("https://tablet.otzar.org/",CHAR(35),"/book/146316/p/-1/t/1/fs/0/start/0/end/0/c")</f>
        <v>https://tablet.otzar.org/#/book/146316/p/-1/t/1/fs/0/start/0/end/0/c</v>
      </c>
    </row>
    <row r="1368" spans="1:8" x14ac:dyDescent="0.25">
      <c r="A1368">
        <v>618904</v>
      </c>
      <c r="B1368" t="s">
        <v>2264</v>
      </c>
      <c r="C1368" t="s">
        <v>2265</v>
      </c>
      <c r="D1368" t="s">
        <v>15</v>
      </c>
      <c r="E1368" t="s">
        <v>115</v>
      </c>
      <c r="F1368" t="s">
        <v>43</v>
      </c>
      <c r="G1368" t="str">
        <f>HYPERLINK(_xlfn.CONCAT("https://tablet.otzar.org/",CHAR(35),"/book/618904/p/-1/t/1/fs/0/start/0/end/0/c"),"מציץ מן החרכים")</f>
        <v>מציץ מן החרכים</v>
      </c>
      <c r="H1368" t="str">
        <f>_xlfn.CONCAT("https://tablet.otzar.org/",CHAR(35),"/book/618904/p/-1/t/1/fs/0/start/0/end/0/c")</f>
        <v>https://tablet.otzar.org/#/book/618904/p/-1/t/1/fs/0/start/0/end/0/c</v>
      </c>
    </row>
    <row r="1369" spans="1:8" x14ac:dyDescent="0.25">
      <c r="A1369">
        <v>141657</v>
      </c>
      <c r="B1369" t="s">
        <v>2266</v>
      </c>
      <c r="C1369" t="s">
        <v>326</v>
      </c>
      <c r="D1369" t="s">
        <v>15</v>
      </c>
      <c r="E1369" t="s">
        <v>64</v>
      </c>
      <c r="F1369" t="s">
        <v>12</v>
      </c>
      <c r="G1369" t="str">
        <f>HYPERLINK(_xlfn.CONCAT("https://tablet.otzar.org/",CHAR(35),"/book/141657/p/-1/t/1/fs/0/start/0/end/0/c"),"מצעד האחדות")</f>
        <v>מצעד האחדות</v>
      </c>
      <c r="H1369" t="str">
        <f>_xlfn.CONCAT("https://tablet.otzar.org/",CHAR(35),"/book/141657/p/-1/t/1/fs/0/start/0/end/0/c")</f>
        <v>https://tablet.otzar.org/#/book/141657/p/-1/t/1/fs/0/start/0/end/0/c</v>
      </c>
    </row>
    <row r="1370" spans="1:8" x14ac:dyDescent="0.25">
      <c r="A1370">
        <v>141660</v>
      </c>
      <c r="B1370" t="s">
        <v>2267</v>
      </c>
      <c r="C1370" t="s">
        <v>2268</v>
      </c>
      <c r="D1370" t="s">
        <v>10</v>
      </c>
      <c r="E1370" t="s">
        <v>29</v>
      </c>
      <c r="F1370" t="s">
        <v>12</v>
      </c>
      <c r="G1370" t="str">
        <f>HYPERLINK(_xlfn.CONCAT("https://tablet.otzar.org/",CHAR(35),"/book/141660/p/-1/t/1/fs/0/start/0/end/0/c"),"מקדש ישראל")</f>
        <v>מקדש ישראל</v>
      </c>
      <c r="H1370" t="str">
        <f>_xlfn.CONCAT("https://tablet.otzar.org/",CHAR(35),"/book/141660/p/-1/t/1/fs/0/start/0/end/0/c")</f>
        <v>https://tablet.otzar.org/#/book/141660/p/-1/t/1/fs/0/start/0/end/0/c</v>
      </c>
    </row>
    <row r="1371" spans="1:8" x14ac:dyDescent="0.25">
      <c r="A1371">
        <v>27497</v>
      </c>
      <c r="B1371" t="s">
        <v>2269</v>
      </c>
      <c r="C1371" t="s">
        <v>125</v>
      </c>
      <c r="D1371" t="s">
        <v>37</v>
      </c>
      <c r="E1371" t="s">
        <v>69</v>
      </c>
      <c r="F1371" t="s">
        <v>12</v>
      </c>
      <c r="G1371" t="str">
        <f>HYPERLINK(_xlfn.CONCAT("https://tablet.otzar.org/",CHAR(35),"/book/27497/p/-1/t/1/fs/0/start/0/end/0/c"),"מקדש מלך")</f>
        <v>מקדש מלך</v>
      </c>
      <c r="H1371" t="str">
        <f>_xlfn.CONCAT("https://tablet.otzar.org/",CHAR(35),"/book/27497/p/-1/t/1/fs/0/start/0/end/0/c")</f>
        <v>https://tablet.otzar.org/#/book/27497/p/-1/t/1/fs/0/start/0/end/0/c</v>
      </c>
    </row>
    <row r="1372" spans="1:8" x14ac:dyDescent="0.25">
      <c r="A1372">
        <v>26959</v>
      </c>
      <c r="B1372" t="s">
        <v>2270</v>
      </c>
      <c r="C1372" t="s">
        <v>2271</v>
      </c>
      <c r="D1372" t="s">
        <v>15</v>
      </c>
      <c r="E1372" t="s">
        <v>250</v>
      </c>
      <c r="F1372" t="s">
        <v>12</v>
      </c>
      <c r="G1372" t="str">
        <f>HYPERLINK(_xlfn.CONCAT("https://tablet.otzar.org/",CHAR(35),"/exKotar/26959"),"מקדש מלך - 4 כרכים")</f>
        <v>מקדש מלך - 4 כרכים</v>
      </c>
      <c r="H1372" t="str">
        <f>_xlfn.CONCAT("https://tablet.otzar.org/",CHAR(35),"/exKotar/26959")</f>
        <v>https://tablet.otzar.org/#/exKotar/26959</v>
      </c>
    </row>
    <row r="1373" spans="1:8" x14ac:dyDescent="0.25">
      <c r="A1373">
        <v>146558</v>
      </c>
      <c r="B1373" t="s">
        <v>2272</v>
      </c>
      <c r="C1373" t="s">
        <v>2273</v>
      </c>
      <c r="D1373" t="s">
        <v>28</v>
      </c>
      <c r="E1373" t="s">
        <v>91</v>
      </c>
      <c r="F1373" t="s">
        <v>1253</v>
      </c>
      <c r="G1373" t="str">
        <f>HYPERLINK(_xlfn.CONCAT("https://tablet.otzar.org/",CHAR(35),"/book/146558/p/-1/t/1/fs/0/start/0/end/0/c"),"מקורות וביאורים בספר המנהגים")</f>
        <v>מקורות וביאורים בספר המנהגים</v>
      </c>
      <c r="H1373" t="str">
        <f>_xlfn.CONCAT("https://tablet.otzar.org/",CHAR(35),"/book/146558/p/-1/t/1/fs/0/start/0/end/0/c")</f>
        <v>https://tablet.otzar.org/#/book/146558/p/-1/t/1/fs/0/start/0/end/0/c</v>
      </c>
    </row>
    <row r="1374" spans="1:8" x14ac:dyDescent="0.25">
      <c r="A1374">
        <v>196245</v>
      </c>
      <c r="B1374" t="s">
        <v>2274</v>
      </c>
      <c r="C1374" t="s">
        <v>2275</v>
      </c>
      <c r="D1374" t="s">
        <v>15</v>
      </c>
      <c r="E1374" t="s">
        <v>99</v>
      </c>
      <c r="G1374" t="str">
        <f>HYPERLINK(_xlfn.CONCAT("https://tablet.otzar.org/",CHAR(35),"/book/196245/p/-1/t/1/fs/0/start/0/end/0/c"),"מקשיבים לפרשה - ב")</f>
        <v>מקשיבים לפרשה - ב</v>
      </c>
      <c r="H1374" t="str">
        <f>_xlfn.CONCAT("https://tablet.otzar.org/",CHAR(35),"/book/196245/p/-1/t/1/fs/0/start/0/end/0/c")</f>
        <v>https://tablet.otzar.org/#/book/196245/p/-1/t/1/fs/0/start/0/end/0/c</v>
      </c>
    </row>
    <row r="1375" spans="1:8" x14ac:dyDescent="0.25">
      <c r="A1375">
        <v>607641</v>
      </c>
      <c r="B1375" t="s">
        <v>2276</v>
      </c>
      <c r="C1375" t="s">
        <v>2277</v>
      </c>
      <c r="D1375" t="s">
        <v>37</v>
      </c>
      <c r="E1375" t="s">
        <v>404</v>
      </c>
      <c r="F1375" t="s">
        <v>20</v>
      </c>
      <c r="G1375" t="str">
        <f>HYPERLINK(_xlfn.CONCAT("https://tablet.otzar.org/",CHAR(35),"/book/607641/p/-1/t/1/fs/0/start/0/end/0/c"),"מרא דאתרא")</f>
        <v>מרא דאתרא</v>
      </c>
      <c r="H1375" t="str">
        <f>_xlfn.CONCAT("https://tablet.otzar.org/",CHAR(35),"/book/607641/p/-1/t/1/fs/0/start/0/end/0/c")</f>
        <v>https://tablet.otzar.org/#/book/607641/p/-1/t/1/fs/0/start/0/end/0/c</v>
      </c>
    </row>
    <row r="1376" spans="1:8" x14ac:dyDescent="0.25">
      <c r="A1376">
        <v>146556</v>
      </c>
      <c r="B1376" t="s">
        <v>2278</v>
      </c>
      <c r="C1376" t="s">
        <v>45</v>
      </c>
      <c r="D1376" t="s">
        <v>10</v>
      </c>
      <c r="E1376" t="s">
        <v>103</v>
      </c>
      <c r="F1376" t="s">
        <v>76</v>
      </c>
      <c r="G1376" t="str">
        <f>HYPERLINK(_xlfn.CONCAT("https://tablet.otzar.org/",CHAR(35),"/book/146556/p/-1/t/1/fs/0/start/0/end/0/c"),"מראה מקומות הגהות והערות קצרות - לספר של בינונים")</f>
        <v>מראה מקומות הגהות והערות קצרות - לספר של בינונים</v>
      </c>
      <c r="H1376" t="str">
        <f>_xlfn.CONCAT("https://tablet.otzar.org/",CHAR(35),"/book/146556/p/-1/t/1/fs/0/start/0/end/0/c")</f>
        <v>https://tablet.otzar.org/#/book/146556/p/-1/t/1/fs/0/start/0/end/0/c</v>
      </c>
    </row>
    <row r="1377" spans="1:8" x14ac:dyDescent="0.25">
      <c r="A1377">
        <v>640932</v>
      </c>
      <c r="B1377" t="s">
        <v>2279</v>
      </c>
      <c r="C1377" t="s">
        <v>2280</v>
      </c>
      <c r="D1377" t="s">
        <v>28</v>
      </c>
      <c r="E1377" t="s">
        <v>185</v>
      </c>
      <c r="F1377" t="s">
        <v>641</v>
      </c>
      <c r="G1377" t="str">
        <f>HYPERLINK(_xlfn.CONCAT("https://tablet.otzar.org/",CHAR(35),"/book/640932/p/-1/t/1/fs/0/start/0/end/0/c"),"מראה מקומות למשנה תורה ע""""פ ספר המצוות")</f>
        <v>מראה מקומות למשנה תורה ע""פ ספר המצוות</v>
      </c>
      <c r="H1377" t="str">
        <f>_xlfn.CONCAT("https://tablet.otzar.org/",CHAR(35),"/book/640932/p/-1/t/1/fs/0/start/0/end/0/c")</f>
        <v>https://tablet.otzar.org/#/book/640932/p/-1/t/1/fs/0/start/0/end/0/c</v>
      </c>
    </row>
    <row r="1378" spans="1:8" x14ac:dyDescent="0.25">
      <c r="A1378">
        <v>27337</v>
      </c>
      <c r="B1378" t="s">
        <v>2281</v>
      </c>
      <c r="C1378" t="s">
        <v>45</v>
      </c>
      <c r="D1378" t="s">
        <v>10</v>
      </c>
      <c r="E1378" t="s">
        <v>103</v>
      </c>
      <c r="F1378" t="s">
        <v>12</v>
      </c>
      <c r="G1378" t="str">
        <f>HYPERLINK(_xlfn.CONCAT("https://tablet.otzar.org/",CHAR(35),"/exKotar/27337"),"מראה מקומות, הגהות והערות קצרות - 8 כרכים")</f>
        <v>מראה מקומות, הגהות והערות קצרות - 8 כרכים</v>
      </c>
      <c r="H1378" t="str">
        <f>_xlfn.CONCAT("https://tablet.otzar.org/",CHAR(35),"/exKotar/27337")</f>
        <v>https://tablet.otzar.org/#/exKotar/27337</v>
      </c>
    </row>
    <row r="1379" spans="1:8" x14ac:dyDescent="0.25">
      <c r="A1379">
        <v>141531</v>
      </c>
      <c r="B1379" t="s">
        <v>2282</v>
      </c>
      <c r="C1379" t="s">
        <v>1927</v>
      </c>
      <c r="D1379" t="s">
        <v>10</v>
      </c>
      <c r="E1379" t="s">
        <v>515</v>
      </c>
      <c r="F1379" t="s">
        <v>12</v>
      </c>
      <c r="G1379" t="str">
        <f>HYPERLINK(_xlfn.CONCAT("https://tablet.otzar.org/",CHAR(35),"/book/141531/p/-1/t/1/fs/0/start/0/end/0/c"),"מראי מקומות וציונים לסדר ברכת הנהנין של אדמו""""ר הזקן")</f>
        <v>מראי מקומות וציונים לסדר ברכת הנהנין של אדמו""ר הזקן</v>
      </c>
      <c r="H1379" t="str">
        <f>_xlfn.CONCAT("https://tablet.otzar.org/",CHAR(35),"/book/141531/p/-1/t/1/fs/0/start/0/end/0/c")</f>
        <v>https://tablet.otzar.org/#/book/141531/p/-1/t/1/fs/0/start/0/end/0/c</v>
      </c>
    </row>
    <row r="1380" spans="1:8" x14ac:dyDescent="0.25">
      <c r="A1380">
        <v>141364</v>
      </c>
      <c r="B1380" t="s">
        <v>2283</v>
      </c>
      <c r="C1380" t="s">
        <v>1927</v>
      </c>
      <c r="D1380" t="s">
        <v>10</v>
      </c>
      <c r="E1380" t="s">
        <v>142</v>
      </c>
      <c r="F1380" t="s">
        <v>12</v>
      </c>
      <c r="G1380" t="str">
        <f>HYPERLINK(_xlfn.CONCAT("https://tablet.otzar.org/",CHAR(35),"/book/141364/p/-1/t/1/fs/0/start/0/end/0/c"),"מראי מקומות וציונים לשו""""ע אדמו""""ר הזקן - יו""""ד")</f>
        <v>מראי מקומות וציונים לשו""ע אדמו""ר הזקן - יו""ד</v>
      </c>
      <c r="H1380" t="str">
        <f>_xlfn.CONCAT("https://tablet.otzar.org/",CHAR(35),"/book/141364/p/-1/t/1/fs/0/start/0/end/0/c")</f>
        <v>https://tablet.otzar.org/#/book/141364/p/-1/t/1/fs/0/start/0/end/0/c</v>
      </c>
    </row>
    <row r="1381" spans="1:8" x14ac:dyDescent="0.25">
      <c r="A1381">
        <v>141372</v>
      </c>
      <c r="B1381" t="s">
        <v>2284</v>
      </c>
      <c r="C1381" t="s">
        <v>990</v>
      </c>
      <c r="D1381" t="s">
        <v>10</v>
      </c>
      <c r="E1381" t="s">
        <v>142</v>
      </c>
      <c r="F1381" t="s">
        <v>12</v>
      </c>
      <c r="G1381" t="str">
        <f>HYPERLINK(_xlfn.CONCAT("https://tablet.otzar.org/",CHAR(35),"/book/141372/p/-1/t/1/fs/0/start/0/end/0/c"),"מראי מקומות וציונים לשו""""ע אדמו""""ר הזקן - או""""ח")</f>
        <v>מראי מקומות וציונים לשו""ע אדמו""ר הזקן - או""ח</v>
      </c>
      <c r="H1381" t="str">
        <f>_xlfn.CONCAT("https://tablet.otzar.org/",CHAR(35),"/book/141372/p/-1/t/1/fs/0/start/0/end/0/c")</f>
        <v>https://tablet.otzar.org/#/book/141372/p/-1/t/1/fs/0/start/0/end/0/c</v>
      </c>
    </row>
    <row r="1382" spans="1:8" x14ac:dyDescent="0.25">
      <c r="A1382">
        <v>141522</v>
      </c>
      <c r="B1382" t="s">
        <v>2285</v>
      </c>
      <c r="C1382" t="s">
        <v>2286</v>
      </c>
      <c r="D1382" t="s">
        <v>10</v>
      </c>
      <c r="E1382" t="s">
        <v>353</v>
      </c>
      <c r="F1382" t="s">
        <v>12</v>
      </c>
      <c r="G1382" t="str">
        <f>HYPERLINK(_xlfn.CONCAT("https://tablet.otzar.org/",CHAR(35),"/exKotar/141522"),"מראי מקומות וציונים לשו""""ע אדמו""""ר הזקן - 2 כרכים")</f>
        <v>מראי מקומות וציונים לשו""ע אדמו""ר הזקן - 2 כרכים</v>
      </c>
      <c r="H1382" t="str">
        <f>_xlfn.CONCAT("https://tablet.otzar.org/",CHAR(35),"/exKotar/141522")</f>
        <v>https://tablet.otzar.org/#/exKotar/141522</v>
      </c>
    </row>
    <row r="1383" spans="1:8" x14ac:dyDescent="0.25">
      <c r="A1383">
        <v>27395</v>
      </c>
      <c r="B1383" t="s">
        <v>2287</v>
      </c>
      <c r="C1383" t="s">
        <v>1782</v>
      </c>
      <c r="D1383" t="s">
        <v>10</v>
      </c>
      <c r="E1383" t="s">
        <v>75</v>
      </c>
      <c r="F1383" t="s">
        <v>12</v>
      </c>
      <c r="G1383" t="str">
        <f>HYPERLINK(_xlfn.CONCAT("https://tablet.otzar.org/",CHAR(35),"/book/27395/p/-1/t/1/fs/0/start/0/end/0/c"),"מראי מקומות לספר משנה תורה - ספר מילואים")</f>
        <v>מראי מקומות לספר משנה תורה - ספר מילואים</v>
      </c>
      <c r="H1383" t="str">
        <f>_xlfn.CONCAT("https://tablet.otzar.org/",CHAR(35),"/book/27395/p/-1/t/1/fs/0/start/0/end/0/c")</f>
        <v>https://tablet.otzar.org/#/book/27395/p/-1/t/1/fs/0/start/0/end/0/c</v>
      </c>
    </row>
    <row r="1384" spans="1:8" x14ac:dyDescent="0.25">
      <c r="A1384">
        <v>27238</v>
      </c>
      <c r="B1384" t="s">
        <v>2287</v>
      </c>
      <c r="C1384" t="s">
        <v>2288</v>
      </c>
      <c r="D1384" t="s">
        <v>10</v>
      </c>
      <c r="E1384" t="s">
        <v>38</v>
      </c>
      <c r="F1384" t="s">
        <v>12</v>
      </c>
      <c r="G1384" t="str">
        <f>HYPERLINK(_xlfn.CONCAT("https://tablet.otzar.org/",CHAR(35),"/book/27238/p/-1/t/1/fs/0/start/0/end/0/c"),"מראי מקומות לספר משנה תורה - ספר מילואים")</f>
        <v>מראי מקומות לספר משנה תורה - ספר מילואים</v>
      </c>
      <c r="H1384" t="str">
        <f>_xlfn.CONCAT("https://tablet.otzar.org/",CHAR(35),"/book/27238/p/-1/t/1/fs/0/start/0/end/0/c")</f>
        <v>https://tablet.otzar.org/#/book/27238/p/-1/t/1/fs/0/start/0/end/0/c</v>
      </c>
    </row>
    <row r="1385" spans="1:8" x14ac:dyDescent="0.25">
      <c r="A1385">
        <v>141465</v>
      </c>
      <c r="B1385" t="s">
        <v>2289</v>
      </c>
      <c r="C1385" t="s">
        <v>1037</v>
      </c>
      <c r="D1385" t="s">
        <v>10</v>
      </c>
      <c r="E1385" t="s">
        <v>64</v>
      </c>
      <c r="F1385" t="s">
        <v>12</v>
      </c>
      <c r="G1385" t="str">
        <f>HYPERLINK(_xlfn.CONCAT("https://tablet.otzar.org/",CHAR(35),"/book/141465/p/-1/t/1/fs/0/start/0/end/0/c"),"מראי מקומות לפסוקים מחז""""ל וכו' אשר בספר התניא")</f>
        <v>מראי מקומות לפסוקים מחז""ל וכו' אשר בספר התניא</v>
      </c>
      <c r="H1385" t="str">
        <f>_xlfn.CONCAT("https://tablet.otzar.org/",CHAR(35),"/book/141465/p/-1/t/1/fs/0/start/0/end/0/c")</f>
        <v>https://tablet.otzar.org/#/book/141465/p/-1/t/1/fs/0/start/0/end/0/c</v>
      </c>
    </row>
    <row r="1386" spans="1:8" x14ac:dyDescent="0.25">
      <c r="A1386">
        <v>143263</v>
      </c>
      <c r="B1386" t="s">
        <v>2290</v>
      </c>
      <c r="C1386" t="s">
        <v>1927</v>
      </c>
      <c r="D1386" t="s">
        <v>15</v>
      </c>
      <c r="E1386" t="s">
        <v>1098</v>
      </c>
      <c r="F1386" t="s">
        <v>2244</v>
      </c>
      <c r="G1386" t="str">
        <f>HYPERLINK(_xlfn.CONCAT("https://tablet.otzar.org/",CHAR(35),"/book/143263/p/-1/t/1/fs/0/start/0/end/0/c"),"מראי מקומות לקונטרס אחרון")</f>
        <v>מראי מקומות לקונטרס אחרון</v>
      </c>
      <c r="H1386" t="str">
        <f>_xlfn.CONCAT("https://tablet.otzar.org/",CHAR(35),"/book/143263/p/-1/t/1/fs/0/start/0/end/0/c")</f>
        <v>https://tablet.otzar.org/#/book/143263/p/-1/t/1/fs/0/start/0/end/0/c</v>
      </c>
    </row>
    <row r="1387" spans="1:8" x14ac:dyDescent="0.25">
      <c r="A1387">
        <v>607882</v>
      </c>
      <c r="B1387" t="s">
        <v>2291</v>
      </c>
      <c r="C1387" t="s">
        <v>2292</v>
      </c>
      <c r="D1387" t="s">
        <v>363</v>
      </c>
      <c r="E1387" t="s">
        <v>99</v>
      </c>
      <c r="G1387" t="str">
        <f>HYPERLINK(_xlfn.CONCAT("https://tablet.otzar.org/",CHAR(35),"/book/607882/p/-1/t/1/fs/0/start/0/end/0/c"),"מרבים בשמחה")</f>
        <v>מרבים בשמחה</v>
      </c>
      <c r="H1387" t="str">
        <f>_xlfn.CONCAT("https://tablet.otzar.org/",CHAR(35),"/book/607882/p/-1/t/1/fs/0/start/0/end/0/c")</f>
        <v>https://tablet.otzar.org/#/book/607882/p/-1/t/1/fs/0/start/0/end/0/c</v>
      </c>
    </row>
    <row r="1388" spans="1:8" x14ac:dyDescent="0.25">
      <c r="A1388">
        <v>28832</v>
      </c>
      <c r="B1388" t="s">
        <v>2293</v>
      </c>
      <c r="C1388" t="s">
        <v>391</v>
      </c>
      <c r="D1388" t="s">
        <v>374</v>
      </c>
      <c r="E1388" t="s">
        <v>174</v>
      </c>
      <c r="F1388" t="s">
        <v>12</v>
      </c>
      <c r="G1388" t="str">
        <f>HYPERLINK(_xlfn.CONCAT("https://tablet.otzar.org/",CHAR(35),"/book/28832/p/-1/t/1/fs/0/start/0/end/0/c"),"מרומם ואיש עליה")</f>
        <v>מרומם ואיש עליה</v>
      </c>
      <c r="H1388" t="str">
        <f>_xlfn.CONCAT("https://tablet.otzar.org/",CHAR(35),"/book/28832/p/-1/t/1/fs/0/start/0/end/0/c")</f>
        <v>https://tablet.otzar.org/#/book/28832/p/-1/t/1/fs/0/start/0/end/0/c</v>
      </c>
    </row>
    <row r="1389" spans="1:8" x14ac:dyDescent="0.25">
      <c r="A1389">
        <v>650247</v>
      </c>
      <c r="B1389" t="s">
        <v>2294</v>
      </c>
      <c r="C1389" t="s">
        <v>2295</v>
      </c>
      <c r="E1389" t="s">
        <v>166</v>
      </c>
      <c r="G1389" t="str">
        <f>HYPERLINK(_xlfn.CONCAT("https://tablet.otzar.org/",CHAR(35),"/book/650247/p/-1/t/1/fs/0/start/0/end/0/c"),"מרחב - ג")</f>
        <v>מרחב - ג</v>
      </c>
      <c r="H1389" t="str">
        <f>_xlfn.CONCAT("https://tablet.otzar.org/",CHAR(35),"/book/650247/p/-1/t/1/fs/0/start/0/end/0/c")</f>
        <v>https://tablet.otzar.org/#/book/650247/p/-1/t/1/fs/0/start/0/end/0/c</v>
      </c>
    </row>
    <row r="1390" spans="1:8" x14ac:dyDescent="0.25">
      <c r="A1390">
        <v>140935</v>
      </c>
      <c r="B1390" t="s">
        <v>2296</v>
      </c>
      <c r="C1390" t="s">
        <v>2297</v>
      </c>
      <c r="D1390" t="s">
        <v>10</v>
      </c>
      <c r="E1390" t="s">
        <v>1999</v>
      </c>
      <c r="F1390" t="s">
        <v>12</v>
      </c>
      <c r="G1390" t="str">
        <f>HYPERLINK(_xlfn.CONCAT("https://tablet.otzar.org/",CHAR(35),"/book/140935/p/-1/t/1/fs/0/start/0/end/0/c"),"מרכז ישיבות תומכי תמימים ליובאוויטש")</f>
        <v>מרכז ישיבות תומכי תמימים ליובאוויטש</v>
      </c>
      <c r="H1390" t="str">
        <f>_xlfn.CONCAT("https://tablet.otzar.org/",CHAR(35),"/book/140935/p/-1/t/1/fs/0/start/0/end/0/c")</f>
        <v>https://tablet.otzar.org/#/book/140935/p/-1/t/1/fs/0/start/0/end/0/c</v>
      </c>
    </row>
    <row r="1391" spans="1:8" x14ac:dyDescent="0.25">
      <c r="A1391">
        <v>26945</v>
      </c>
      <c r="B1391" t="s">
        <v>2298</v>
      </c>
      <c r="C1391" t="s">
        <v>1548</v>
      </c>
      <c r="D1391" t="s">
        <v>15</v>
      </c>
      <c r="E1391" t="s">
        <v>29</v>
      </c>
      <c r="F1391" t="s">
        <v>12</v>
      </c>
      <c r="G1391" t="str">
        <f>HYPERLINK(_xlfn.CONCAT("https://tablet.otzar.org/",CHAR(35),"/book/26945/p/-1/t/1/fs/0/start/0/end/0/c"),"משבחי רבי")</f>
        <v>משבחי רבי</v>
      </c>
      <c r="H1391" t="str">
        <f>_xlfn.CONCAT("https://tablet.otzar.org/",CHAR(35),"/book/26945/p/-1/t/1/fs/0/start/0/end/0/c")</f>
        <v>https://tablet.otzar.org/#/book/26945/p/-1/t/1/fs/0/start/0/end/0/c</v>
      </c>
    </row>
    <row r="1392" spans="1:8" x14ac:dyDescent="0.25">
      <c r="A1392">
        <v>614820</v>
      </c>
      <c r="B1392" t="s">
        <v>2299</v>
      </c>
      <c r="C1392" t="s">
        <v>2300</v>
      </c>
      <c r="D1392" t="s">
        <v>191</v>
      </c>
      <c r="E1392" t="s">
        <v>46</v>
      </c>
      <c r="F1392" t="s">
        <v>43</v>
      </c>
      <c r="G1392" t="str">
        <f>HYPERLINK(_xlfn.CONCAT("https://tablet.otzar.org/",CHAR(35),"/book/614820/p/-1/t/1/fs/0/start/0/end/0/c"),"משיח שבכל דור")</f>
        <v>משיח שבכל דור</v>
      </c>
      <c r="H1392" t="str">
        <f>_xlfn.CONCAT("https://tablet.otzar.org/",CHAR(35),"/book/614820/p/-1/t/1/fs/0/start/0/end/0/c")</f>
        <v>https://tablet.otzar.org/#/book/614820/p/-1/t/1/fs/0/start/0/end/0/c</v>
      </c>
    </row>
    <row r="1393" spans="1:8" x14ac:dyDescent="0.25">
      <c r="A1393">
        <v>146524</v>
      </c>
      <c r="B1393" t="s">
        <v>2301</v>
      </c>
      <c r="C1393" t="s">
        <v>45</v>
      </c>
      <c r="D1393" t="s">
        <v>10</v>
      </c>
      <c r="E1393" t="s">
        <v>91</v>
      </c>
      <c r="F1393" t="s">
        <v>12</v>
      </c>
      <c r="G1393" t="str">
        <f>HYPERLINK(_xlfn.CONCAT("https://tablet.otzar.org/",CHAR(35),"/book/146524/p/-1/t/1/fs/0/start/0/end/0/c"),"משיחות כ""""ק אדמו""""ר שליט""""א")</f>
        <v>משיחות כ""ק אדמו""ר שליט""א</v>
      </c>
      <c r="H1393" t="str">
        <f>_xlfn.CONCAT("https://tablet.otzar.org/",CHAR(35),"/book/146524/p/-1/t/1/fs/0/start/0/end/0/c")</f>
        <v>https://tablet.otzar.org/#/book/146524/p/-1/t/1/fs/0/start/0/end/0/c</v>
      </c>
    </row>
    <row r="1394" spans="1:8" x14ac:dyDescent="0.25">
      <c r="A1394">
        <v>630308</v>
      </c>
      <c r="B1394" t="s">
        <v>2302</v>
      </c>
      <c r="C1394" t="s">
        <v>45</v>
      </c>
      <c r="D1394" t="s">
        <v>438</v>
      </c>
      <c r="E1394" t="s">
        <v>99</v>
      </c>
      <c r="F1394" t="s">
        <v>12</v>
      </c>
      <c r="G1394" t="str">
        <f>HYPERLINK(_xlfn.CONCAT("https://tablet.otzar.org/",CHAR(35),"/book/630308/p/-1/t/1/fs/0/start/0/end/0/c"),"משכן וכליו ע""""פ חסידות")</f>
        <v>משכן וכליו ע""פ חסידות</v>
      </c>
      <c r="H1394" t="str">
        <f>_xlfn.CONCAT("https://tablet.otzar.org/",CHAR(35),"/book/630308/p/-1/t/1/fs/0/start/0/end/0/c")</f>
        <v>https://tablet.otzar.org/#/book/630308/p/-1/t/1/fs/0/start/0/end/0/c</v>
      </c>
    </row>
    <row r="1395" spans="1:8" x14ac:dyDescent="0.25">
      <c r="A1395">
        <v>616782</v>
      </c>
      <c r="B1395" t="s">
        <v>2303</v>
      </c>
      <c r="C1395" t="s">
        <v>2304</v>
      </c>
      <c r="D1395" t="s">
        <v>15</v>
      </c>
      <c r="E1395" t="s">
        <v>115</v>
      </c>
      <c r="F1395" t="s">
        <v>12</v>
      </c>
      <c r="G1395" t="str">
        <f>HYPERLINK(_xlfn.CONCAT("https://tablet.otzar.org/",CHAR(35),"/book/616782/p/-1/t/1/fs/0/start/0/end/0/c"),"משל הקדמוני - סוגית תלמוד תורה")</f>
        <v>משל הקדמוני - סוגית תלמוד תורה</v>
      </c>
      <c r="H1395" t="str">
        <f>_xlfn.CONCAT("https://tablet.otzar.org/",CHAR(35),"/book/616782/p/-1/t/1/fs/0/start/0/end/0/c")</f>
        <v>https://tablet.otzar.org/#/book/616782/p/-1/t/1/fs/0/start/0/end/0/c</v>
      </c>
    </row>
    <row r="1396" spans="1:8" x14ac:dyDescent="0.25">
      <c r="A1396">
        <v>27621</v>
      </c>
      <c r="B1396" t="s">
        <v>2305</v>
      </c>
      <c r="C1396" t="s">
        <v>2306</v>
      </c>
      <c r="D1396" t="s">
        <v>28</v>
      </c>
      <c r="E1396" t="s">
        <v>91</v>
      </c>
      <c r="F1396" t="s">
        <v>12</v>
      </c>
      <c r="G1396" t="str">
        <f>HYPERLINK(_xlfn.CONCAT("https://tablet.otzar.org/",CHAR(35),"/book/27621/p/-1/t/1/fs/0/start/0/end/0/c"),"משלי חב""""ד")</f>
        <v>משלי חב""ד</v>
      </c>
      <c r="H1396" t="str">
        <f>_xlfn.CONCAT("https://tablet.otzar.org/",CHAR(35),"/book/27621/p/-1/t/1/fs/0/start/0/end/0/c")</f>
        <v>https://tablet.otzar.org/#/book/27621/p/-1/t/1/fs/0/start/0/end/0/c</v>
      </c>
    </row>
    <row r="1397" spans="1:8" x14ac:dyDescent="0.25">
      <c r="A1397">
        <v>28009</v>
      </c>
      <c r="B1397" t="s">
        <v>2307</v>
      </c>
      <c r="C1397" t="s">
        <v>45</v>
      </c>
      <c r="D1397" t="s">
        <v>28</v>
      </c>
      <c r="E1397" t="s">
        <v>192</v>
      </c>
      <c r="F1397" t="s">
        <v>12</v>
      </c>
      <c r="G1397" t="str">
        <f>HYPERLINK(_xlfn.CONCAT("https://tablet.otzar.org/",CHAR(35),"/book/28009/p/-1/t/1/fs/0/start/0/end/0/c"),"משלי רבי")</f>
        <v>משלי רבי</v>
      </c>
      <c r="H1397" t="str">
        <f>_xlfn.CONCAT("https://tablet.otzar.org/",CHAR(35),"/book/28009/p/-1/t/1/fs/0/start/0/end/0/c")</f>
        <v>https://tablet.otzar.org/#/book/28009/p/-1/t/1/fs/0/start/0/end/0/c</v>
      </c>
    </row>
    <row r="1398" spans="1:8" x14ac:dyDescent="0.25">
      <c r="A1398">
        <v>173488</v>
      </c>
      <c r="B1398" t="s">
        <v>2308</v>
      </c>
      <c r="C1398" t="s">
        <v>2309</v>
      </c>
      <c r="D1398" t="s">
        <v>15</v>
      </c>
      <c r="E1398" t="s">
        <v>62</v>
      </c>
      <c r="F1398" t="s">
        <v>12</v>
      </c>
      <c r="G1398" t="str">
        <f>HYPERLINK(_xlfn.CONCAT("https://tablet.otzar.org/",CHAR(35),"/exKotar/173488"),"משלים בחסידות - 3 כרכים")</f>
        <v>משלים בחסידות - 3 כרכים</v>
      </c>
      <c r="H1398" t="str">
        <f>_xlfn.CONCAT("https://tablet.otzar.org/",CHAR(35),"/exKotar/173488")</f>
        <v>https://tablet.otzar.org/#/exKotar/173488</v>
      </c>
    </row>
    <row r="1399" spans="1:8" x14ac:dyDescent="0.25">
      <c r="A1399">
        <v>146506</v>
      </c>
      <c r="B1399" t="s">
        <v>2310</v>
      </c>
      <c r="C1399" t="s">
        <v>2311</v>
      </c>
      <c r="D1399" t="s">
        <v>28</v>
      </c>
      <c r="E1399" t="s">
        <v>236</v>
      </c>
      <c r="F1399" t="s">
        <v>319</v>
      </c>
      <c r="G1399" t="str">
        <f>HYPERLINK(_xlfn.CONCAT("https://tablet.otzar.org/",CHAR(35),"/book/146506/p/-1/t/1/fs/0/start/0/end/0/c"),"משנה אורה")</f>
        <v>משנה אורה</v>
      </c>
      <c r="H1399" t="str">
        <f>_xlfn.CONCAT("https://tablet.otzar.org/",CHAR(35),"/book/146506/p/-1/t/1/fs/0/start/0/end/0/c")</f>
        <v>https://tablet.otzar.org/#/book/146506/p/-1/t/1/fs/0/start/0/end/0/c</v>
      </c>
    </row>
    <row r="1400" spans="1:8" x14ac:dyDescent="0.25">
      <c r="A1400">
        <v>681340</v>
      </c>
      <c r="B1400" t="s">
        <v>2312</v>
      </c>
      <c r="C1400" t="s">
        <v>2313</v>
      </c>
      <c r="D1400" t="s">
        <v>1137</v>
      </c>
      <c r="E1400" t="s">
        <v>2314</v>
      </c>
      <c r="G1400" t="str">
        <f>HYPERLINK(_xlfn.CONCAT("https://tablet.otzar.org/",CHAR(35),"/exKotar/681340"),"משנה חב""""ד - 12 כרכים")</f>
        <v>משנה חב""ד - 12 כרכים</v>
      </c>
      <c r="H1400" t="str">
        <f>_xlfn.CONCAT("https://tablet.otzar.org/",CHAR(35),"/exKotar/681340")</f>
        <v>https://tablet.otzar.org/#/exKotar/681340</v>
      </c>
    </row>
    <row r="1401" spans="1:8" x14ac:dyDescent="0.25">
      <c r="A1401">
        <v>26952</v>
      </c>
      <c r="B1401" t="s">
        <v>2315</v>
      </c>
      <c r="C1401" t="s">
        <v>2316</v>
      </c>
      <c r="D1401" t="s">
        <v>10</v>
      </c>
      <c r="E1401" t="s">
        <v>192</v>
      </c>
      <c r="F1401" t="s">
        <v>12</v>
      </c>
      <c r="G1401" t="str">
        <f>HYPERLINK(_xlfn.CONCAT("https://tablet.otzar.org/",CHAR(35),"/book/26952/p/-1/t/1/fs/0/start/0/end/0/c"),"משנה תורה (עם ביאור קצר) - הלכות תלמוד תורה")</f>
        <v>משנה תורה (עם ביאור קצר) - הלכות תלמוד תורה</v>
      </c>
      <c r="H1401" t="str">
        <f>_xlfn.CONCAT("https://tablet.otzar.org/",CHAR(35),"/book/26952/p/-1/t/1/fs/0/start/0/end/0/c")</f>
        <v>https://tablet.otzar.org/#/book/26952/p/-1/t/1/fs/0/start/0/end/0/c</v>
      </c>
    </row>
    <row r="1402" spans="1:8" x14ac:dyDescent="0.25">
      <c r="A1402">
        <v>27088</v>
      </c>
      <c r="B1402" t="s">
        <v>2317</v>
      </c>
      <c r="C1402" t="s">
        <v>45</v>
      </c>
      <c r="D1402" t="s">
        <v>37</v>
      </c>
      <c r="E1402" t="s">
        <v>192</v>
      </c>
      <c r="F1402" t="s">
        <v>12</v>
      </c>
      <c r="G1402" t="str">
        <f>HYPERLINK(_xlfn.CONCAT("https://tablet.otzar.org/",CHAR(35),"/book/27088/p/-1/t/1/fs/0/start/0/end/0/c"),"משנה תורה לרמב""""ם עם חידושים וביאורים - א (מדע)")</f>
        <v>משנה תורה לרמב""ם עם חידושים וביאורים - א (מדע)</v>
      </c>
      <c r="H1402" t="str">
        <f>_xlfn.CONCAT("https://tablet.otzar.org/",CHAR(35),"/book/27088/p/-1/t/1/fs/0/start/0/end/0/c")</f>
        <v>https://tablet.otzar.org/#/book/27088/p/-1/t/1/fs/0/start/0/end/0/c</v>
      </c>
    </row>
    <row r="1403" spans="1:8" x14ac:dyDescent="0.25">
      <c r="A1403">
        <v>169916</v>
      </c>
      <c r="B1403" t="s">
        <v>2318</v>
      </c>
      <c r="C1403" t="s">
        <v>283</v>
      </c>
      <c r="D1403" t="s">
        <v>629</v>
      </c>
      <c r="E1403" t="s">
        <v>82</v>
      </c>
      <c r="F1403" t="s">
        <v>12</v>
      </c>
      <c r="G1403" t="str">
        <f>HYPERLINK(_xlfn.CONCAT("https://tablet.otzar.org/",CHAR(35),"/book/169916/p/-1/t/1/fs/0/start/0/end/0/c"),"משנתו של הרבי מליובאוויטש")</f>
        <v>משנתו של הרבי מליובאוויטש</v>
      </c>
      <c r="H1403" t="str">
        <f>_xlfn.CONCAT("https://tablet.otzar.org/",CHAR(35),"/book/169916/p/-1/t/1/fs/0/start/0/end/0/c")</f>
        <v>https://tablet.otzar.org/#/book/169916/p/-1/t/1/fs/0/start/0/end/0/c</v>
      </c>
    </row>
    <row r="1404" spans="1:8" x14ac:dyDescent="0.25">
      <c r="A1404">
        <v>141587</v>
      </c>
      <c r="B1404" t="s">
        <v>2319</v>
      </c>
      <c r="C1404" t="s">
        <v>27</v>
      </c>
      <c r="D1404" t="s">
        <v>28</v>
      </c>
      <c r="E1404" t="s">
        <v>60</v>
      </c>
      <c r="F1404" t="s">
        <v>12</v>
      </c>
      <c r="G1404" t="str">
        <f>HYPERLINK(_xlfn.CONCAT("https://tablet.otzar.org/",CHAR(35),"/book/141587/p/-1/t/1/fs/0/start/0/end/0/c"),"משפט הספרים - דידן נצח")</f>
        <v>משפט הספרים - דידן נצח</v>
      </c>
      <c r="H1404" t="str">
        <f>_xlfn.CONCAT("https://tablet.otzar.org/",CHAR(35),"/book/141587/p/-1/t/1/fs/0/start/0/end/0/c")</f>
        <v>https://tablet.otzar.org/#/book/141587/p/-1/t/1/fs/0/start/0/end/0/c</v>
      </c>
    </row>
    <row r="1405" spans="1:8" x14ac:dyDescent="0.25">
      <c r="A1405">
        <v>653698</v>
      </c>
      <c r="B1405" t="s">
        <v>2320</v>
      </c>
      <c r="C1405" t="s">
        <v>1550</v>
      </c>
      <c r="D1405" t="s">
        <v>28</v>
      </c>
      <c r="E1405" t="s">
        <v>91</v>
      </c>
      <c r="F1405" t="s">
        <v>12</v>
      </c>
      <c r="G1405" t="str">
        <f>HYPERLINK(_xlfn.CONCAT("https://tablet.otzar.org/",CHAR(35),"/book/653698/p/-1/t/1/fs/0/start/0/end/0/c"),"משפט הספרים (נספח ב) - ספריית חב""""ד")</f>
        <v>משפט הספרים (נספח ב) - ספריית חב""ד</v>
      </c>
      <c r="H1405" t="str">
        <f>_xlfn.CONCAT("https://tablet.otzar.org/",CHAR(35),"/book/653698/p/-1/t/1/fs/0/start/0/end/0/c")</f>
        <v>https://tablet.otzar.org/#/book/653698/p/-1/t/1/fs/0/start/0/end/0/c</v>
      </c>
    </row>
    <row r="1406" spans="1:8" x14ac:dyDescent="0.25">
      <c r="A1406">
        <v>607859</v>
      </c>
      <c r="B1406" t="s">
        <v>2321</v>
      </c>
      <c r="C1406" t="s">
        <v>547</v>
      </c>
      <c r="D1406" t="s">
        <v>15</v>
      </c>
      <c r="E1406" t="s">
        <v>404</v>
      </c>
      <c r="F1406" t="s">
        <v>2322</v>
      </c>
      <c r="G1406" t="str">
        <f>HYPERLINK(_xlfn.CONCAT("https://tablet.otzar.org/",CHAR(35),"/book/607859/p/-1/t/1/fs/0/start/0/end/0/c"),"משפט סעדיה")</f>
        <v>משפט סעדיה</v>
      </c>
      <c r="H1406" t="str">
        <f>_xlfn.CONCAT("https://tablet.otzar.org/",CHAR(35),"/book/607859/p/-1/t/1/fs/0/start/0/end/0/c")</f>
        <v>https://tablet.otzar.org/#/book/607859/p/-1/t/1/fs/0/start/0/end/0/c</v>
      </c>
    </row>
    <row r="1407" spans="1:8" x14ac:dyDescent="0.25">
      <c r="A1407">
        <v>146517</v>
      </c>
      <c r="B1407" t="s">
        <v>2323</v>
      </c>
      <c r="C1407" t="s">
        <v>45</v>
      </c>
      <c r="D1407" t="s">
        <v>10</v>
      </c>
      <c r="E1407" t="s">
        <v>75</v>
      </c>
      <c r="F1407" t="s">
        <v>12</v>
      </c>
      <c r="G1407" t="str">
        <f>HYPERLINK(_xlfn.CONCAT("https://tablet.otzar.org/",CHAR(35),"/book/146517/p/-1/t/1/fs/0/start/0/end/0/c"),"משקה")</f>
        <v>משקה</v>
      </c>
      <c r="H1407" t="str">
        <f>_xlfn.CONCAT("https://tablet.otzar.org/",CHAR(35),"/book/146517/p/-1/t/1/fs/0/start/0/end/0/c")</f>
        <v>https://tablet.otzar.org/#/book/146517/p/-1/t/1/fs/0/start/0/end/0/c</v>
      </c>
    </row>
    <row r="1408" spans="1:8" x14ac:dyDescent="0.25">
      <c r="A1408">
        <v>29334</v>
      </c>
      <c r="B1408" t="s">
        <v>2324</v>
      </c>
      <c r="C1408" t="s">
        <v>45</v>
      </c>
      <c r="D1408" t="s">
        <v>10</v>
      </c>
      <c r="E1408" t="s">
        <v>79</v>
      </c>
      <c r="F1408" t="s">
        <v>12</v>
      </c>
      <c r="G1408" t="str">
        <f>HYPERLINK(_xlfn.CONCAT("https://tablet.otzar.org/",CHAR(35),"/book/29334/p/-1/t/1/fs/0/start/0/end/0/c"),"משקה המשמח")</f>
        <v>משקה המשמח</v>
      </c>
      <c r="H1408" t="str">
        <f>_xlfn.CONCAT("https://tablet.otzar.org/",CHAR(35),"/book/29334/p/-1/t/1/fs/0/start/0/end/0/c")</f>
        <v>https://tablet.otzar.org/#/book/29334/p/-1/t/1/fs/0/start/0/end/0/c</v>
      </c>
    </row>
    <row r="1409" spans="1:8" x14ac:dyDescent="0.25">
      <c r="A1409">
        <v>181121</v>
      </c>
      <c r="B1409" t="s">
        <v>2325</v>
      </c>
      <c r="C1409" t="s">
        <v>2326</v>
      </c>
      <c r="D1409" t="s">
        <v>28</v>
      </c>
      <c r="E1409" t="s">
        <v>88</v>
      </c>
      <c r="F1409" t="s">
        <v>12</v>
      </c>
      <c r="G1409" t="str">
        <f>HYPERLINK(_xlfn.CONCAT("https://tablet.otzar.org/",CHAR(35),"/book/181121/p/-1/t/1/fs/0/start/0/end/0/c"),"מתוך תורתו של הרבי 54 שיחות")</f>
        <v>מתוך תורתו של הרבי 54 שיחות</v>
      </c>
      <c r="H1409" t="str">
        <f>_xlfn.CONCAT("https://tablet.otzar.org/",CHAR(35),"/book/181121/p/-1/t/1/fs/0/start/0/end/0/c")</f>
        <v>https://tablet.otzar.org/#/book/181121/p/-1/t/1/fs/0/start/0/end/0/c</v>
      </c>
    </row>
    <row r="1410" spans="1:8" x14ac:dyDescent="0.25">
      <c r="A1410">
        <v>142728</v>
      </c>
      <c r="B1410" t="s">
        <v>2327</v>
      </c>
      <c r="C1410" t="s">
        <v>2328</v>
      </c>
      <c r="D1410" t="s">
        <v>15</v>
      </c>
      <c r="E1410" t="s">
        <v>33</v>
      </c>
      <c r="F1410" t="s">
        <v>94</v>
      </c>
      <c r="G1410" t="str">
        <f>HYPERLINK(_xlfn.CONCAT("https://tablet.otzar.org/",CHAR(35),"/book/142728/p/-1/t/1/fs/0/start/0/end/0/c"),"מתחילים תניא - פרקים א-יב")</f>
        <v>מתחילים תניא - פרקים א-יב</v>
      </c>
      <c r="H1410" t="str">
        <f>_xlfn.CONCAT("https://tablet.otzar.org/",CHAR(35),"/book/142728/p/-1/t/1/fs/0/start/0/end/0/c")</f>
        <v>https://tablet.otzar.org/#/book/142728/p/-1/t/1/fs/0/start/0/end/0/c</v>
      </c>
    </row>
    <row r="1411" spans="1:8" x14ac:dyDescent="0.25">
      <c r="A1411">
        <v>181110</v>
      </c>
      <c r="B1411" t="s">
        <v>2329</v>
      </c>
      <c r="C1411" t="s">
        <v>2330</v>
      </c>
      <c r="D1411" t="s">
        <v>37</v>
      </c>
      <c r="E1411" t="s">
        <v>62</v>
      </c>
      <c r="F1411" t="s">
        <v>351</v>
      </c>
      <c r="G1411" t="str">
        <f>HYPERLINK(_xlfn.CONCAT("https://tablet.otzar.org/",CHAR(35),"/book/181110/p/-1/t/1/fs/0/start/0/end/0/c"),"מתן בסתר")</f>
        <v>מתן בסתר</v>
      </c>
      <c r="H1411" t="str">
        <f>_xlfn.CONCAT("https://tablet.otzar.org/",CHAR(35),"/book/181110/p/-1/t/1/fs/0/start/0/end/0/c")</f>
        <v>https://tablet.otzar.org/#/book/181110/p/-1/t/1/fs/0/start/0/end/0/c</v>
      </c>
    </row>
    <row r="1412" spans="1:8" x14ac:dyDescent="0.25">
      <c r="A1412">
        <v>147688</v>
      </c>
      <c r="B1412" t="s">
        <v>2331</v>
      </c>
      <c r="C1412" t="s">
        <v>45</v>
      </c>
      <c r="D1412" t="s">
        <v>15</v>
      </c>
      <c r="E1412" t="s">
        <v>46</v>
      </c>
      <c r="F1412" t="s">
        <v>319</v>
      </c>
      <c r="G1412" t="str">
        <f>HYPERLINK(_xlfn.CONCAT("https://tablet.otzar.org/",CHAR(35),"/book/147688/p/-1/t/1/fs/0/start/0/end/0/c"),"מתן תורה באור החסידות")</f>
        <v>מתן תורה באור החסידות</v>
      </c>
      <c r="H1412" t="str">
        <f>_xlfn.CONCAT("https://tablet.otzar.org/",CHAR(35),"/book/147688/p/-1/t/1/fs/0/start/0/end/0/c")</f>
        <v>https://tablet.otzar.org/#/book/147688/p/-1/t/1/fs/0/start/0/end/0/c</v>
      </c>
    </row>
    <row r="1413" spans="1:8" x14ac:dyDescent="0.25">
      <c r="A1413">
        <v>651992</v>
      </c>
      <c r="B1413" t="s">
        <v>2332</v>
      </c>
      <c r="C1413" t="s">
        <v>1438</v>
      </c>
      <c r="E1413" t="s">
        <v>24</v>
      </c>
      <c r="G1413" t="str">
        <f>HYPERLINK(_xlfn.CONCAT("https://tablet.otzar.org/",CHAR(35),"/book/651992/p/-1/t/1/fs/0/start/0/end/0/c"),"מתניתא מלכתא")</f>
        <v>מתניתא מלכתא</v>
      </c>
      <c r="H1413" t="str">
        <f>_xlfn.CONCAT("https://tablet.otzar.org/",CHAR(35),"/book/651992/p/-1/t/1/fs/0/start/0/end/0/c")</f>
        <v>https://tablet.otzar.org/#/book/651992/p/-1/t/1/fs/0/start/0/end/0/c</v>
      </c>
    </row>
    <row r="1414" spans="1:8" x14ac:dyDescent="0.25">
      <c r="A1414">
        <v>658161</v>
      </c>
      <c r="B1414" t="s">
        <v>2333</v>
      </c>
      <c r="C1414" t="s">
        <v>2334</v>
      </c>
      <c r="D1414" t="s">
        <v>1594</v>
      </c>
      <c r="E1414" t="s">
        <v>398</v>
      </c>
      <c r="F1414" t="s">
        <v>161</v>
      </c>
      <c r="G1414" t="str">
        <f>HYPERLINK(_xlfn.CONCAT("https://tablet.otzar.org/",CHAR(35),"/book/658161/p/-1/t/1/fs/0/start/0/end/0/c"),"מתנת יין - ה")</f>
        <v>מתנת יין - ה</v>
      </c>
      <c r="H1414" t="str">
        <f>_xlfn.CONCAT("https://tablet.otzar.org/",CHAR(35),"/book/658161/p/-1/t/1/fs/0/start/0/end/0/c")</f>
        <v>https://tablet.otzar.org/#/book/658161/p/-1/t/1/fs/0/start/0/end/0/c</v>
      </c>
    </row>
    <row r="1415" spans="1:8" x14ac:dyDescent="0.25">
      <c r="A1415">
        <v>145419</v>
      </c>
      <c r="B1415" t="s">
        <v>2335</v>
      </c>
      <c r="C1415" t="s">
        <v>2336</v>
      </c>
      <c r="E1415" t="s">
        <v>33</v>
      </c>
      <c r="F1415" t="s">
        <v>239</v>
      </c>
      <c r="G1415" t="str">
        <f>HYPERLINK(_xlfn.CONCAT("https://tablet.otzar.org/",CHAR(35),"/book/145419/p/-1/t/1/fs/0/start/0/end/0/c"),"מתפלה לגאולה")</f>
        <v>מתפלה לגאולה</v>
      </c>
      <c r="H1415" t="str">
        <f>_xlfn.CONCAT("https://tablet.otzar.org/",CHAR(35),"/book/145419/p/-1/t/1/fs/0/start/0/end/0/c")</f>
        <v>https://tablet.otzar.org/#/book/145419/p/-1/t/1/fs/0/start/0/end/0/c</v>
      </c>
    </row>
    <row r="1416" spans="1:8" x14ac:dyDescent="0.25">
      <c r="A1416">
        <v>145946</v>
      </c>
      <c r="B1416" t="s">
        <v>2337</v>
      </c>
      <c r="C1416" t="s">
        <v>2338</v>
      </c>
      <c r="D1416" t="s">
        <v>37</v>
      </c>
      <c r="E1416" t="s">
        <v>75</v>
      </c>
      <c r="F1416" t="s">
        <v>12</v>
      </c>
      <c r="G1416" t="str">
        <f>HYPERLINK(_xlfn.CONCAT("https://tablet.otzar.org/",CHAR(35),"/book/145946/p/-1/t/1/fs/0/start/0/end/0/c"),"נגונים חסידיים (חב""""ד)")</f>
        <v>נגונים חסידיים (חב""ד)</v>
      </c>
      <c r="H1416" t="str">
        <f>_xlfn.CONCAT("https://tablet.otzar.org/",CHAR(35),"/book/145946/p/-1/t/1/fs/0/start/0/end/0/c")</f>
        <v>https://tablet.otzar.org/#/book/145946/p/-1/t/1/fs/0/start/0/end/0/c</v>
      </c>
    </row>
    <row r="1417" spans="1:8" x14ac:dyDescent="0.25">
      <c r="A1417">
        <v>153358</v>
      </c>
      <c r="B1417" t="s">
        <v>2339</v>
      </c>
      <c r="C1417" t="s">
        <v>2340</v>
      </c>
      <c r="D1417" t="s">
        <v>1475</v>
      </c>
      <c r="E1417" t="s">
        <v>49</v>
      </c>
      <c r="F1417" t="s">
        <v>163</v>
      </c>
      <c r="G1417" t="str">
        <f>HYPERLINK(_xlfn.CONCAT("https://tablet.otzar.org/",CHAR(35),"/book/153358/p/-1/t/1/fs/0/start/0/end/0/c"),"נגינה לאור החסידות")</f>
        <v>נגינה לאור החסידות</v>
      </c>
      <c r="H1417" t="str">
        <f>_xlfn.CONCAT("https://tablet.otzar.org/",CHAR(35),"/book/153358/p/-1/t/1/fs/0/start/0/end/0/c")</f>
        <v>https://tablet.otzar.org/#/book/153358/p/-1/t/1/fs/0/start/0/end/0/c</v>
      </c>
    </row>
    <row r="1418" spans="1:8" x14ac:dyDescent="0.25">
      <c r="A1418">
        <v>160829</v>
      </c>
      <c r="B1418" t="s">
        <v>2341</v>
      </c>
      <c r="C1418" t="s">
        <v>402</v>
      </c>
      <c r="D1418" t="s">
        <v>28</v>
      </c>
      <c r="E1418" t="s">
        <v>16</v>
      </c>
      <c r="F1418" t="s">
        <v>20</v>
      </c>
      <c r="G1418" t="str">
        <f>HYPERLINK(_xlfn.CONCAT("https://tablet.otzar.org/",CHAR(35),"/book/160829/p/-1/t/1/fs/0/start/0/end/0/c"),"נודע בשיעורים")</f>
        <v>נודע בשיעורים</v>
      </c>
      <c r="H1418" t="str">
        <f>_xlfn.CONCAT("https://tablet.otzar.org/",CHAR(35),"/book/160829/p/-1/t/1/fs/0/start/0/end/0/c")</f>
        <v>https://tablet.otzar.org/#/book/160829/p/-1/t/1/fs/0/start/0/end/0/c</v>
      </c>
    </row>
    <row r="1419" spans="1:8" x14ac:dyDescent="0.25">
      <c r="A1419">
        <v>27728</v>
      </c>
      <c r="B1419" t="s">
        <v>2342</v>
      </c>
      <c r="C1419" t="s">
        <v>2342</v>
      </c>
      <c r="D1419" t="s">
        <v>2343</v>
      </c>
      <c r="E1419" t="s">
        <v>69</v>
      </c>
      <c r="F1419" t="s">
        <v>12</v>
      </c>
      <c r="G1419" t="str">
        <f>HYPERLINK(_xlfn.CONCAT("https://tablet.otzar.org/",CHAR(35),"/book/27728/p/-1/t/1/fs/0/start/0/end/0/c"),"נוה המלך")</f>
        <v>נוה המלך</v>
      </c>
      <c r="H1419" t="str">
        <f>_xlfn.CONCAT("https://tablet.otzar.org/",CHAR(35),"/book/27728/p/-1/t/1/fs/0/start/0/end/0/c")</f>
        <v>https://tablet.otzar.org/#/book/27728/p/-1/t/1/fs/0/start/0/end/0/c</v>
      </c>
    </row>
    <row r="1420" spans="1:8" x14ac:dyDescent="0.25">
      <c r="A1420">
        <v>614955</v>
      </c>
      <c r="B1420" t="s">
        <v>2344</v>
      </c>
      <c r="C1420" t="s">
        <v>2345</v>
      </c>
      <c r="D1420" t="s">
        <v>387</v>
      </c>
      <c r="E1420" t="s">
        <v>49</v>
      </c>
      <c r="F1420" t="s">
        <v>12</v>
      </c>
      <c r="G1420" t="str">
        <f>HYPERLINK(_xlfn.CONCAT("https://tablet.otzar.org/",CHAR(35),"/book/614955/p/-1/t/1/fs/0/start/0/end/0/c"),"נוסח התנאים - נוסח חב""""ד")</f>
        <v>נוסח התנאים - נוסח חב""ד</v>
      </c>
      <c r="H1420" t="str">
        <f>_xlfn.CONCAT("https://tablet.otzar.org/",CHAR(35),"/book/614955/p/-1/t/1/fs/0/start/0/end/0/c")</f>
        <v>https://tablet.otzar.org/#/book/614955/p/-1/t/1/fs/0/start/0/end/0/c</v>
      </c>
    </row>
    <row r="1421" spans="1:8" x14ac:dyDescent="0.25">
      <c r="A1421">
        <v>146322</v>
      </c>
      <c r="B1421" t="s">
        <v>2346</v>
      </c>
      <c r="C1421" t="s">
        <v>2347</v>
      </c>
      <c r="D1421" t="s">
        <v>10</v>
      </c>
      <c r="E1421" t="s">
        <v>29</v>
      </c>
      <c r="F1421" t="s">
        <v>12</v>
      </c>
      <c r="G1421" t="str">
        <f>HYPERLINK(_xlfn.CONCAT("https://tablet.otzar.org/",CHAR(35),"/book/146322/p/-1/t/1/fs/0/start/0/end/0/c"),"נוסעים לרבי - חוברת השלמה")</f>
        <v>נוסעים לרבי - חוברת השלמה</v>
      </c>
      <c r="H1421" t="str">
        <f>_xlfn.CONCAT("https://tablet.otzar.org/",CHAR(35),"/book/146322/p/-1/t/1/fs/0/start/0/end/0/c")</f>
        <v>https://tablet.otzar.org/#/book/146322/p/-1/t/1/fs/0/start/0/end/0/c</v>
      </c>
    </row>
    <row r="1422" spans="1:8" x14ac:dyDescent="0.25">
      <c r="A1422">
        <v>676543</v>
      </c>
      <c r="B1422" t="s">
        <v>2348</v>
      </c>
      <c r="C1422" t="s">
        <v>2349</v>
      </c>
      <c r="D1422" t="s">
        <v>2350</v>
      </c>
      <c r="E1422" t="s">
        <v>115</v>
      </c>
      <c r="F1422" t="s">
        <v>20</v>
      </c>
      <c r="G1422" t="str">
        <f>HYPERLINK(_xlfn.CONCAT("https://tablet.otzar.org/",CHAR(35),"/book/676543/p/-1/t/1/fs/0/start/0/end/0/c"),"נזר הבארדיטשעווער")</f>
        <v>נזר הבארדיטשעווער</v>
      </c>
      <c r="H1422" t="str">
        <f>_xlfn.CONCAT("https://tablet.otzar.org/",CHAR(35),"/book/676543/p/-1/t/1/fs/0/start/0/end/0/c")</f>
        <v>https://tablet.otzar.org/#/book/676543/p/-1/t/1/fs/0/start/0/end/0/c</v>
      </c>
    </row>
    <row r="1423" spans="1:8" x14ac:dyDescent="0.25">
      <c r="A1423">
        <v>27112</v>
      </c>
      <c r="B1423" t="s">
        <v>2351</v>
      </c>
      <c r="C1423" t="s">
        <v>348</v>
      </c>
      <c r="D1423" t="s">
        <v>15</v>
      </c>
      <c r="E1423" t="s">
        <v>217</v>
      </c>
      <c r="F1423" t="s">
        <v>12</v>
      </c>
      <c r="G1423" t="str">
        <f>HYPERLINK(_xlfn.CONCAT("https://tablet.otzar.org/",CHAR(35),"/book/27112/p/-1/t/1/fs/0/start/0/end/0/c"),"נזר הבעל שם טוב")</f>
        <v>נזר הבעל שם טוב</v>
      </c>
      <c r="H1423" t="str">
        <f>_xlfn.CONCAT("https://tablet.otzar.org/",CHAR(35),"/book/27112/p/-1/t/1/fs/0/start/0/end/0/c")</f>
        <v>https://tablet.otzar.org/#/book/27112/p/-1/t/1/fs/0/start/0/end/0/c</v>
      </c>
    </row>
    <row r="1424" spans="1:8" x14ac:dyDescent="0.25">
      <c r="A1424">
        <v>27111</v>
      </c>
      <c r="B1424" t="s">
        <v>2352</v>
      </c>
      <c r="C1424" t="s">
        <v>348</v>
      </c>
      <c r="D1424" t="s">
        <v>15</v>
      </c>
      <c r="E1424" t="s">
        <v>217</v>
      </c>
      <c r="F1424" t="s">
        <v>12</v>
      </c>
      <c r="G1424" t="str">
        <f>HYPERLINK(_xlfn.CONCAT("https://tablet.otzar.org/",CHAR(35),"/book/27111/p/-1/t/1/fs/0/start/0/end/0/c"),"נזר המגיד ממעזריטש")</f>
        <v>נזר המגיד ממעזריטש</v>
      </c>
      <c r="H1424" t="str">
        <f>_xlfn.CONCAT("https://tablet.otzar.org/",CHAR(35),"/book/27111/p/-1/t/1/fs/0/start/0/end/0/c")</f>
        <v>https://tablet.otzar.org/#/book/27111/p/-1/t/1/fs/0/start/0/end/0/c</v>
      </c>
    </row>
    <row r="1425" spans="1:8" x14ac:dyDescent="0.25">
      <c r="A1425">
        <v>53089</v>
      </c>
      <c r="B1425" t="s">
        <v>2353</v>
      </c>
      <c r="C1425" t="s">
        <v>348</v>
      </c>
      <c r="D1425" t="s">
        <v>15</v>
      </c>
      <c r="E1425" t="s">
        <v>60</v>
      </c>
      <c r="F1425" t="s">
        <v>12</v>
      </c>
      <c r="G1425" t="str">
        <f>HYPERLINK(_xlfn.CONCAT("https://tablet.otzar.org/",CHAR(35),"/exKotar/53089"),"נזר התניא - 7 כרכים")</f>
        <v>נזר התניא - 7 כרכים</v>
      </c>
      <c r="H1425" t="str">
        <f>_xlfn.CONCAT("https://tablet.otzar.org/",CHAR(35),"/exKotar/53089")</f>
        <v>https://tablet.otzar.org/#/exKotar/53089</v>
      </c>
    </row>
    <row r="1426" spans="1:8" x14ac:dyDescent="0.25">
      <c r="A1426">
        <v>175626</v>
      </c>
      <c r="B1426" t="s">
        <v>2354</v>
      </c>
      <c r="C1426" t="s">
        <v>48</v>
      </c>
      <c r="D1426" t="s">
        <v>15</v>
      </c>
      <c r="E1426" t="s">
        <v>33</v>
      </c>
      <c r="F1426" t="s">
        <v>12</v>
      </c>
      <c r="G1426" t="str">
        <f>HYPERLINK(_xlfn.CONCAT("https://tablet.otzar.org/",CHAR(35),"/book/175626/p/-1/t/1/fs/0/start/0/end/0/c"),"נחלת הר חב""""ד")</f>
        <v>נחלת הר חב""ד</v>
      </c>
      <c r="H1426" t="str">
        <f>_xlfn.CONCAT("https://tablet.otzar.org/",CHAR(35),"/book/175626/p/-1/t/1/fs/0/start/0/end/0/c")</f>
        <v>https://tablet.otzar.org/#/book/175626/p/-1/t/1/fs/0/start/0/end/0/c</v>
      </c>
    </row>
    <row r="1427" spans="1:8" x14ac:dyDescent="0.25">
      <c r="A1427">
        <v>652437</v>
      </c>
      <c r="B1427" t="s">
        <v>2355</v>
      </c>
      <c r="C1427" t="s">
        <v>1126</v>
      </c>
      <c r="E1427" t="s">
        <v>593</v>
      </c>
      <c r="G1427" t="str">
        <f>HYPERLINK(_xlfn.CONCAT("https://tablet.otzar.org/",CHAR(35),"/book/652437/p/-1/t/1/fs/0/start/0/end/0/c"),"נחלת נשיא הדור")</f>
        <v>נחלת נשיא הדור</v>
      </c>
      <c r="H1427" t="str">
        <f>_xlfn.CONCAT("https://tablet.otzar.org/",CHAR(35),"/book/652437/p/-1/t/1/fs/0/start/0/end/0/c")</f>
        <v>https://tablet.otzar.org/#/book/652437/p/-1/t/1/fs/0/start/0/end/0/c</v>
      </c>
    </row>
    <row r="1428" spans="1:8" x14ac:dyDescent="0.25">
      <c r="A1428">
        <v>160878</v>
      </c>
      <c r="B1428" t="s">
        <v>2356</v>
      </c>
      <c r="C1428" t="s">
        <v>1289</v>
      </c>
      <c r="D1428" t="s">
        <v>28</v>
      </c>
      <c r="E1428" t="s">
        <v>54</v>
      </c>
      <c r="F1428" t="s">
        <v>428</v>
      </c>
      <c r="G1428" t="str">
        <f>HYPERLINK(_xlfn.CONCAT("https://tablet.otzar.org/",CHAR(35),"/book/160878/p/-1/t/1/fs/0/start/0/end/0/c"),"נטע שעשועים")</f>
        <v>נטע שעשועים</v>
      </c>
      <c r="H1428" t="str">
        <f>_xlfn.CONCAT("https://tablet.otzar.org/",CHAR(35),"/book/160878/p/-1/t/1/fs/0/start/0/end/0/c")</f>
        <v>https://tablet.otzar.org/#/book/160878/p/-1/t/1/fs/0/start/0/end/0/c</v>
      </c>
    </row>
    <row r="1429" spans="1:8" x14ac:dyDescent="0.25">
      <c r="A1429">
        <v>196243</v>
      </c>
      <c r="B1429" t="s">
        <v>2357</v>
      </c>
      <c r="C1429" t="s">
        <v>2340</v>
      </c>
      <c r="D1429" t="s">
        <v>15</v>
      </c>
      <c r="E1429" t="s">
        <v>99</v>
      </c>
      <c r="F1429" t="s">
        <v>12</v>
      </c>
      <c r="G1429" t="str">
        <f>HYPERLINK(_xlfn.CONCAT("https://tablet.otzar.org/",CHAR(35),"/book/196243/p/-1/t/1/fs/0/start/0/end/0/c"),"ניגון ארבע בבות")</f>
        <v>ניגון ארבע בבות</v>
      </c>
      <c r="H1429" t="str">
        <f>_xlfn.CONCAT("https://tablet.otzar.org/",CHAR(35),"/book/196243/p/-1/t/1/fs/0/start/0/end/0/c")</f>
        <v>https://tablet.otzar.org/#/book/196243/p/-1/t/1/fs/0/start/0/end/0/c</v>
      </c>
    </row>
    <row r="1430" spans="1:8" x14ac:dyDescent="0.25">
      <c r="A1430">
        <v>145938</v>
      </c>
      <c r="B1430" t="s">
        <v>2358</v>
      </c>
      <c r="C1430" t="s">
        <v>2359</v>
      </c>
      <c r="D1430" t="s">
        <v>37</v>
      </c>
      <c r="E1430" t="s">
        <v>46</v>
      </c>
      <c r="F1430" t="s">
        <v>94</v>
      </c>
      <c r="G1430" t="str">
        <f>HYPERLINK(_xlfn.CONCAT("https://tablet.otzar.org/",CHAR(35),"/book/145938/p/-1/t/1/fs/0/start/0/end/0/c"),"ניגון ביגון")</f>
        <v>ניגון ביגון</v>
      </c>
      <c r="H1430" t="str">
        <f>_xlfn.CONCAT("https://tablet.otzar.org/",CHAR(35),"/book/145938/p/-1/t/1/fs/0/start/0/end/0/c")</f>
        <v>https://tablet.otzar.org/#/book/145938/p/-1/t/1/fs/0/start/0/end/0/c</v>
      </c>
    </row>
    <row r="1431" spans="1:8" x14ac:dyDescent="0.25">
      <c r="A1431">
        <v>146311</v>
      </c>
      <c r="B1431" t="s">
        <v>2360</v>
      </c>
      <c r="C1431" t="s">
        <v>2361</v>
      </c>
      <c r="D1431" t="s">
        <v>28</v>
      </c>
      <c r="E1431" t="s">
        <v>91</v>
      </c>
      <c r="F1431" t="s">
        <v>12</v>
      </c>
      <c r="G1431" t="str">
        <f>HYPERLINK(_xlfn.CONCAT("https://tablet.otzar.org/",CHAR(35),"/exKotar/146311"),"ניגוני הרבי - 2 כרכים")</f>
        <v>ניגוני הרבי - 2 כרכים</v>
      </c>
      <c r="H1431" t="str">
        <f>_xlfn.CONCAT("https://tablet.otzar.org/",CHAR(35),"/exKotar/146311")</f>
        <v>https://tablet.otzar.org/#/exKotar/146311</v>
      </c>
    </row>
    <row r="1432" spans="1:8" x14ac:dyDescent="0.25">
      <c r="A1432">
        <v>27560</v>
      </c>
      <c r="B1432" t="s">
        <v>2362</v>
      </c>
      <c r="C1432" t="s">
        <v>2363</v>
      </c>
      <c r="D1432" t="s">
        <v>10</v>
      </c>
      <c r="E1432" t="s">
        <v>79</v>
      </c>
      <c r="F1432" t="s">
        <v>12</v>
      </c>
      <c r="G1432" t="str">
        <f>HYPERLINK(_xlfn.CONCAT("https://tablet.otzar.org/",CHAR(35),"/exKotar/27560"),"ניגוני התוועדויות הרבי - 2 כרכים")</f>
        <v>ניגוני התוועדויות הרבי - 2 כרכים</v>
      </c>
      <c r="H1432" t="str">
        <f>_xlfn.CONCAT("https://tablet.otzar.org/",CHAR(35),"/exKotar/27560")</f>
        <v>https://tablet.otzar.org/#/exKotar/27560</v>
      </c>
    </row>
    <row r="1433" spans="1:8" x14ac:dyDescent="0.25">
      <c r="A1433">
        <v>27866</v>
      </c>
      <c r="B1433" t="s">
        <v>2364</v>
      </c>
      <c r="C1433" t="s">
        <v>2365</v>
      </c>
      <c r="D1433" t="s">
        <v>10</v>
      </c>
      <c r="E1433" t="s">
        <v>103</v>
      </c>
      <c r="F1433" t="s">
        <v>12</v>
      </c>
      <c r="G1433" t="str">
        <f>HYPERLINK(_xlfn.CONCAT("https://tablet.otzar.org/",CHAR(35),"/book/27866/p/-1/t/1/fs/0/start/0/end/0/c"),"ניצוצי אור")</f>
        <v>ניצוצי אור</v>
      </c>
      <c r="H1433" t="str">
        <f>_xlfn.CONCAT("https://tablet.otzar.org/",CHAR(35),"/book/27866/p/-1/t/1/fs/0/start/0/end/0/c")</f>
        <v>https://tablet.otzar.org/#/book/27866/p/-1/t/1/fs/0/start/0/end/0/c</v>
      </c>
    </row>
    <row r="1434" spans="1:8" x14ac:dyDescent="0.25">
      <c r="A1434">
        <v>635031</v>
      </c>
      <c r="B1434" t="s">
        <v>2366</v>
      </c>
      <c r="C1434" t="s">
        <v>866</v>
      </c>
      <c r="D1434" t="s">
        <v>10</v>
      </c>
      <c r="E1434" t="s">
        <v>185</v>
      </c>
      <c r="F1434" t="s">
        <v>12</v>
      </c>
      <c r="G1434" t="str">
        <f>HYPERLINK(_xlfn.CONCAT("https://tablet.otzar.org/",CHAR(35),"/book/635031/p/-1/t/1/fs/0/start/0/end/0/c"),"ניצוצי לוי יצחק")</f>
        <v>ניצוצי לוי יצחק</v>
      </c>
      <c r="H1434" t="str">
        <f>_xlfn.CONCAT("https://tablet.otzar.org/",CHAR(35),"/book/635031/p/-1/t/1/fs/0/start/0/end/0/c")</f>
        <v>https://tablet.otzar.org/#/book/635031/p/-1/t/1/fs/0/start/0/end/0/c</v>
      </c>
    </row>
    <row r="1435" spans="1:8" x14ac:dyDescent="0.25">
      <c r="A1435">
        <v>141460</v>
      </c>
      <c r="B1435" t="s">
        <v>2367</v>
      </c>
      <c r="C1435" t="s">
        <v>2368</v>
      </c>
      <c r="D1435" t="s">
        <v>15</v>
      </c>
      <c r="E1435" t="s">
        <v>181</v>
      </c>
      <c r="F1435" t="s">
        <v>12</v>
      </c>
      <c r="G1435" t="str">
        <f>HYPERLINK(_xlfn.CONCAT("https://tablet.otzar.org/",CHAR(35),"/book/141460/p/-1/t/1/fs/0/start/0/end/0/c"),"נישואים אזרחיים במשנתו של הרוגוצ'ובי ז""""ל")</f>
        <v>נישואים אזרחיים במשנתו של הרוגוצ'ובי ז""ל</v>
      </c>
      <c r="H1435" t="str">
        <f>_xlfn.CONCAT("https://tablet.otzar.org/",CHAR(35),"/book/141460/p/-1/t/1/fs/0/start/0/end/0/c")</f>
        <v>https://tablet.otzar.org/#/book/141460/p/-1/t/1/fs/0/start/0/end/0/c</v>
      </c>
    </row>
    <row r="1436" spans="1:8" x14ac:dyDescent="0.25">
      <c r="A1436">
        <v>27827</v>
      </c>
      <c r="B1436" t="s">
        <v>2369</v>
      </c>
      <c r="C1436" t="s">
        <v>45</v>
      </c>
      <c r="D1436" t="s">
        <v>10</v>
      </c>
      <c r="E1436" t="s">
        <v>148</v>
      </c>
      <c r="F1436" t="s">
        <v>12</v>
      </c>
      <c r="G1436" t="str">
        <f>HYPERLINK(_xlfn.CONCAT("https://tablet.otzar.org/",CHAR(35),"/book/27827/p/-1/t/1/fs/0/start/0/end/0/c"),"נלכה באורחותיו")</f>
        <v>נלכה באורחותיו</v>
      </c>
      <c r="H1436" t="str">
        <f>_xlfn.CONCAT("https://tablet.otzar.org/",CHAR(35),"/book/27827/p/-1/t/1/fs/0/start/0/end/0/c")</f>
        <v>https://tablet.otzar.org/#/book/27827/p/-1/t/1/fs/0/start/0/end/0/c</v>
      </c>
    </row>
    <row r="1437" spans="1:8" x14ac:dyDescent="0.25">
      <c r="A1437">
        <v>651984</v>
      </c>
      <c r="B1437" t="s">
        <v>2370</v>
      </c>
      <c r="C1437" t="s">
        <v>1126</v>
      </c>
      <c r="E1437" t="s">
        <v>423</v>
      </c>
      <c r="G1437" t="str">
        <f>HYPERLINK(_xlfn.CONCAT("https://tablet.otzar.org/",CHAR(35),"/book/651984/p/-1/t/1/fs/0/start/0/end/0/c"),"נס ההצלה")</f>
        <v>נס ההצלה</v>
      </c>
      <c r="H1437" t="str">
        <f>_xlfn.CONCAT("https://tablet.otzar.org/",CHAR(35),"/book/651984/p/-1/t/1/fs/0/start/0/end/0/c")</f>
        <v>https://tablet.otzar.org/#/book/651984/p/-1/t/1/fs/0/start/0/end/0/c</v>
      </c>
    </row>
    <row r="1438" spans="1:8" x14ac:dyDescent="0.25">
      <c r="A1438">
        <v>146200</v>
      </c>
      <c r="B1438" t="s">
        <v>2371</v>
      </c>
      <c r="C1438" t="s">
        <v>45</v>
      </c>
      <c r="D1438" t="s">
        <v>15</v>
      </c>
      <c r="E1438" t="s">
        <v>86</v>
      </c>
      <c r="F1438" t="s">
        <v>76</v>
      </c>
      <c r="G1438" t="str">
        <f>HYPERLINK(_xlfn.CONCAT("https://tablet.otzar.org/",CHAR(35),"/book/146200/p/-1/t/1/fs/0/start/0/end/0/c"),"נסיגה מן השטחים, הפסקת אש, ומיהו יהודי")</f>
        <v>נסיגה מן השטחים, הפסקת אש, ומיהו יהודי</v>
      </c>
      <c r="H1438" t="str">
        <f>_xlfn.CONCAT("https://tablet.otzar.org/",CHAR(35),"/book/146200/p/-1/t/1/fs/0/start/0/end/0/c")</f>
        <v>https://tablet.otzar.org/#/book/146200/p/-1/t/1/fs/0/start/0/end/0/c</v>
      </c>
    </row>
    <row r="1439" spans="1:8" x14ac:dyDescent="0.25">
      <c r="A1439">
        <v>607719</v>
      </c>
      <c r="B1439" t="s">
        <v>2372</v>
      </c>
      <c r="C1439" t="s">
        <v>2373</v>
      </c>
      <c r="D1439" t="s">
        <v>28</v>
      </c>
      <c r="E1439" t="s">
        <v>99</v>
      </c>
      <c r="F1439" t="s">
        <v>351</v>
      </c>
      <c r="G1439" t="str">
        <f>HYPERLINK(_xlfn.CONCAT("https://tablet.otzar.org/",CHAR(35),"/book/607719/p/-1/t/1/fs/0/start/0/end/0/c"),"נפלאות הברית")</f>
        <v>נפלאות הברית</v>
      </c>
      <c r="H1439" t="str">
        <f>_xlfn.CONCAT("https://tablet.otzar.org/",CHAR(35),"/book/607719/p/-1/t/1/fs/0/start/0/end/0/c")</f>
        <v>https://tablet.otzar.org/#/book/607719/p/-1/t/1/fs/0/start/0/end/0/c</v>
      </c>
    </row>
    <row r="1440" spans="1:8" x14ac:dyDescent="0.25">
      <c r="A1440">
        <v>27837</v>
      </c>
      <c r="B1440" t="s">
        <v>2374</v>
      </c>
      <c r="C1440" t="s">
        <v>2375</v>
      </c>
      <c r="D1440" t="s">
        <v>15</v>
      </c>
      <c r="E1440" t="s">
        <v>64</v>
      </c>
      <c r="F1440" t="s">
        <v>12</v>
      </c>
      <c r="G1440" t="str">
        <f>HYPERLINK(_xlfn.CONCAT("https://tablet.otzar.org/",CHAR(35),"/exKotar/27837"),"נפלאות הטבע - 2 כרכים")</f>
        <v>נפלאות הטבע - 2 כרכים</v>
      </c>
      <c r="H1440" t="str">
        <f>_xlfn.CONCAT("https://tablet.otzar.org/",CHAR(35),"/exKotar/27837")</f>
        <v>https://tablet.otzar.org/#/exKotar/27837</v>
      </c>
    </row>
    <row r="1441" spans="1:8" x14ac:dyDescent="0.25">
      <c r="A1441">
        <v>27103</v>
      </c>
      <c r="B1441" t="s">
        <v>2376</v>
      </c>
      <c r="C1441" t="s">
        <v>2377</v>
      </c>
      <c r="D1441" t="s">
        <v>15</v>
      </c>
      <c r="E1441" t="s">
        <v>29</v>
      </c>
      <c r="F1441" t="s">
        <v>12</v>
      </c>
      <c r="G1441" t="str">
        <f>HYPERLINK(_xlfn.CONCAT("https://tablet.otzar.org/",CHAR(35),"/book/27103/p/-1/t/1/fs/0/start/0/end/0/c"),"נפלאות ממש עכשו")</f>
        <v>נפלאות ממש עכשו</v>
      </c>
      <c r="H1441" t="str">
        <f>_xlfn.CONCAT("https://tablet.otzar.org/",CHAR(35),"/book/27103/p/-1/t/1/fs/0/start/0/end/0/c")</f>
        <v>https://tablet.otzar.org/#/book/27103/p/-1/t/1/fs/0/start/0/end/0/c</v>
      </c>
    </row>
    <row r="1442" spans="1:8" x14ac:dyDescent="0.25">
      <c r="A1442">
        <v>141377</v>
      </c>
      <c r="B1442" t="s">
        <v>2378</v>
      </c>
      <c r="C1442" t="s">
        <v>547</v>
      </c>
      <c r="D1442" t="s">
        <v>15</v>
      </c>
      <c r="E1442" t="s">
        <v>91</v>
      </c>
      <c r="F1442" t="s">
        <v>12</v>
      </c>
      <c r="G1442" t="str">
        <f>HYPERLINK(_xlfn.CONCAT("https://tablet.otzar.org/",CHAR(35),"/book/141377/p/-1/t/1/fs/0/start/0/end/0/c"),"נפש תחת נפש")</f>
        <v>נפש תחת נפש</v>
      </c>
      <c r="H1442" t="str">
        <f>_xlfn.CONCAT("https://tablet.otzar.org/",CHAR(35),"/book/141377/p/-1/t/1/fs/0/start/0/end/0/c")</f>
        <v>https://tablet.otzar.org/#/book/141377/p/-1/t/1/fs/0/start/0/end/0/c</v>
      </c>
    </row>
    <row r="1443" spans="1:8" x14ac:dyDescent="0.25">
      <c r="A1443">
        <v>196256</v>
      </c>
      <c r="B1443" t="s">
        <v>2379</v>
      </c>
      <c r="C1443" t="s">
        <v>1423</v>
      </c>
      <c r="D1443" t="s">
        <v>37</v>
      </c>
      <c r="E1443" t="s">
        <v>99</v>
      </c>
      <c r="F1443" t="s">
        <v>12</v>
      </c>
      <c r="G1443" t="str">
        <f>HYPERLINK(_xlfn.CONCAT("https://tablet.otzar.org/",CHAR(35),"/book/196256/p/-1/t/1/fs/0/start/0/end/0/c"),"נפשי תערוג")</f>
        <v>נפשי תערוג</v>
      </c>
      <c r="H1443" t="str">
        <f>_xlfn.CONCAT("https://tablet.otzar.org/",CHAR(35),"/book/196256/p/-1/t/1/fs/0/start/0/end/0/c")</f>
        <v>https://tablet.otzar.org/#/book/196256/p/-1/t/1/fs/0/start/0/end/0/c</v>
      </c>
    </row>
    <row r="1444" spans="1:8" x14ac:dyDescent="0.25">
      <c r="A1444">
        <v>161301</v>
      </c>
      <c r="B1444" t="s">
        <v>2380</v>
      </c>
      <c r="C1444" t="s">
        <v>214</v>
      </c>
      <c r="D1444" t="s">
        <v>2381</v>
      </c>
      <c r="E1444" t="s">
        <v>441</v>
      </c>
      <c r="F1444" t="s">
        <v>25</v>
      </c>
      <c r="G1444" t="str">
        <f>HYPERLINK(_xlfn.CONCAT("https://tablet.otzar.org/",CHAR(35),"/book/161301/p/-1/t/1/fs/0/start/0/end/0/c"),"נצר מטעי")</f>
        <v>נצר מטעי</v>
      </c>
      <c r="H1444" t="str">
        <f>_xlfn.CONCAT("https://tablet.otzar.org/",CHAR(35),"/book/161301/p/-1/t/1/fs/0/start/0/end/0/c")</f>
        <v>https://tablet.otzar.org/#/book/161301/p/-1/t/1/fs/0/start/0/end/0/c</v>
      </c>
    </row>
    <row r="1445" spans="1:8" x14ac:dyDescent="0.25">
      <c r="A1445">
        <v>160697</v>
      </c>
      <c r="B1445" t="s">
        <v>2382</v>
      </c>
      <c r="C1445" t="s">
        <v>125</v>
      </c>
      <c r="D1445" t="s">
        <v>2383</v>
      </c>
      <c r="E1445" t="s">
        <v>33</v>
      </c>
      <c r="F1445" t="s">
        <v>25</v>
      </c>
      <c r="G1445" t="str">
        <f>HYPERLINK(_xlfn.CONCAT("https://tablet.otzar.org/",CHAR(35),"/book/160697/p/-1/t/1/fs/0/start/0/end/0/c"),"נר המערבי - ב")</f>
        <v>נר המערבי - ב</v>
      </c>
      <c r="H1445" t="str">
        <f>_xlfn.CONCAT("https://tablet.otzar.org/",CHAR(35),"/book/160697/p/-1/t/1/fs/0/start/0/end/0/c")</f>
        <v>https://tablet.otzar.org/#/book/160697/p/-1/t/1/fs/0/start/0/end/0/c</v>
      </c>
    </row>
    <row r="1446" spans="1:8" x14ac:dyDescent="0.25">
      <c r="A1446">
        <v>27479</v>
      </c>
      <c r="B1446" t="s">
        <v>2384</v>
      </c>
      <c r="C1446" t="s">
        <v>125</v>
      </c>
      <c r="D1446" t="s">
        <v>882</v>
      </c>
      <c r="E1446" t="s">
        <v>54</v>
      </c>
      <c r="F1446" t="s">
        <v>12</v>
      </c>
      <c r="G1446" t="str">
        <f>HYPERLINK(_xlfn.CONCAT("https://tablet.otzar.org/",CHAR(35),"/book/27479/p/-1/t/1/fs/0/start/0/end/0/c"),"נר למאה - ח")</f>
        <v>נר למאה - ח</v>
      </c>
      <c r="H1446" t="str">
        <f>_xlfn.CONCAT("https://tablet.otzar.org/",CHAR(35),"/book/27479/p/-1/t/1/fs/0/start/0/end/0/c")</f>
        <v>https://tablet.otzar.org/#/book/27479/p/-1/t/1/fs/0/start/0/end/0/c</v>
      </c>
    </row>
    <row r="1447" spans="1:8" x14ac:dyDescent="0.25">
      <c r="A1447">
        <v>167696</v>
      </c>
      <c r="B1447" t="s">
        <v>2385</v>
      </c>
      <c r="C1447" t="s">
        <v>48</v>
      </c>
      <c r="D1447" t="s">
        <v>28</v>
      </c>
      <c r="E1447" t="s">
        <v>82</v>
      </c>
      <c r="F1447" t="s">
        <v>12</v>
      </c>
      <c r="G1447" t="str">
        <f>HYPERLINK(_xlfn.CONCAT("https://tablet.otzar.org/",CHAR(35),"/book/167696/p/-1/t/1/fs/0/start/0/end/0/c"),"נר למשיחי")</f>
        <v>נר למשיחי</v>
      </c>
      <c r="H1447" t="str">
        <f>_xlfn.CONCAT("https://tablet.otzar.org/",CHAR(35),"/book/167696/p/-1/t/1/fs/0/start/0/end/0/c")</f>
        <v>https://tablet.otzar.org/#/book/167696/p/-1/t/1/fs/0/start/0/end/0/c</v>
      </c>
    </row>
    <row r="1448" spans="1:8" x14ac:dyDescent="0.25">
      <c r="A1448">
        <v>657645</v>
      </c>
      <c r="B1448" t="s">
        <v>2386</v>
      </c>
      <c r="C1448" t="s">
        <v>339</v>
      </c>
      <c r="D1448" t="s">
        <v>37</v>
      </c>
      <c r="E1448" t="s">
        <v>185</v>
      </c>
      <c r="F1448" t="s">
        <v>12</v>
      </c>
      <c r="G1448" t="str">
        <f>HYPERLINK(_xlfn.CONCAT("https://tablet.otzar.org/",CHAR(35),"/exKotar/657645"),"נר למשיחי - 2 כרכים")</f>
        <v>נר למשיחי - 2 כרכים</v>
      </c>
      <c r="H1448" t="str">
        <f>_xlfn.CONCAT("https://tablet.otzar.org/",CHAR(35),"/exKotar/657645")</f>
        <v>https://tablet.otzar.org/#/exKotar/657645</v>
      </c>
    </row>
    <row r="1449" spans="1:8" x14ac:dyDescent="0.25">
      <c r="A1449">
        <v>141692</v>
      </c>
      <c r="B1449" t="s">
        <v>2387</v>
      </c>
      <c r="C1449" t="s">
        <v>72</v>
      </c>
      <c r="D1449" t="s">
        <v>37</v>
      </c>
      <c r="E1449" t="s">
        <v>60</v>
      </c>
      <c r="G1449" t="str">
        <f>HYPERLINK(_xlfn.CONCAT("https://tablet.otzar.org/",CHAR(35),"/book/141692/p/-1/t/1/fs/0/start/0/end/0/c"),"נר מצוה &lt;טקסט&gt;")</f>
        <v>נר מצוה &lt;טקסט&gt;</v>
      </c>
      <c r="H1449" t="str">
        <f>_xlfn.CONCAT("https://tablet.otzar.org/",CHAR(35),"/book/141692/p/-1/t/1/fs/0/start/0/end/0/c")</f>
        <v>https://tablet.otzar.org/#/book/141692/p/-1/t/1/fs/0/start/0/end/0/c</v>
      </c>
    </row>
    <row r="1450" spans="1:8" x14ac:dyDescent="0.25">
      <c r="A1450">
        <v>146391</v>
      </c>
      <c r="B1450" t="s">
        <v>2388</v>
      </c>
      <c r="C1450" t="s">
        <v>1709</v>
      </c>
      <c r="D1450" t="s">
        <v>10</v>
      </c>
      <c r="E1450" t="s">
        <v>250</v>
      </c>
      <c r="F1450" t="s">
        <v>12</v>
      </c>
      <c r="G1450" t="str">
        <f>HYPERLINK(_xlfn.CONCAT("https://tablet.otzar.org/",CHAR(35),"/book/146391/p/-1/t/1/fs/0/start/0/end/0/c"),"נר מצוה")</f>
        <v>נר מצוה</v>
      </c>
      <c r="H1450" t="str">
        <f>_xlfn.CONCAT("https://tablet.otzar.org/",CHAR(35),"/book/146391/p/-1/t/1/fs/0/start/0/end/0/c")</f>
        <v>https://tablet.otzar.org/#/book/146391/p/-1/t/1/fs/0/start/0/end/0/c</v>
      </c>
    </row>
    <row r="1451" spans="1:8" x14ac:dyDescent="0.25">
      <c r="A1451">
        <v>27071</v>
      </c>
      <c r="B1451" t="s">
        <v>2389</v>
      </c>
      <c r="C1451" t="s">
        <v>72</v>
      </c>
      <c r="D1451" t="s">
        <v>10</v>
      </c>
      <c r="E1451" t="s">
        <v>79</v>
      </c>
      <c r="F1451" t="s">
        <v>12</v>
      </c>
      <c r="G1451" t="str">
        <f>HYPERLINK(_xlfn.CONCAT("https://tablet.otzar.org/",CHAR(35),"/book/27071/p/-1/t/1/fs/0/start/0/end/0/c"),"נר מצוה ותורה אור")</f>
        <v>נר מצוה ותורה אור</v>
      </c>
      <c r="H1451" t="str">
        <f>_xlfn.CONCAT("https://tablet.otzar.org/",CHAR(35),"/book/27071/p/-1/t/1/fs/0/start/0/end/0/c")</f>
        <v>https://tablet.otzar.org/#/book/27071/p/-1/t/1/fs/0/start/0/end/0/c</v>
      </c>
    </row>
    <row r="1452" spans="1:8" x14ac:dyDescent="0.25">
      <c r="A1452">
        <v>141260</v>
      </c>
      <c r="B1452" t="s">
        <v>2390</v>
      </c>
      <c r="C1452" t="s">
        <v>125</v>
      </c>
      <c r="D1452" t="s">
        <v>10</v>
      </c>
      <c r="E1452" t="s">
        <v>79</v>
      </c>
      <c r="F1452" t="s">
        <v>12</v>
      </c>
      <c r="G1452" t="str">
        <f>HYPERLINK(_xlfn.CONCAT("https://tablet.otzar.org/",CHAR(35),"/exKotar/141260"),"נראה בכבודו - 2 כרכים")</f>
        <v>נראה בכבודו - 2 כרכים</v>
      </c>
      <c r="H1452" t="str">
        <f>_xlfn.CONCAT("https://tablet.otzar.org/",CHAR(35),"/exKotar/141260")</f>
        <v>https://tablet.otzar.org/#/exKotar/141260</v>
      </c>
    </row>
    <row r="1453" spans="1:8" x14ac:dyDescent="0.25">
      <c r="A1453">
        <v>146228</v>
      </c>
      <c r="B1453" t="s">
        <v>2391</v>
      </c>
      <c r="C1453" t="s">
        <v>2392</v>
      </c>
      <c r="D1453" t="s">
        <v>15</v>
      </c>
      <c r="E1453" t="s">
        <v>148</v>
      </c>
      <c r="F1453" t="s">
        <v>12</v>
      </c>
      <c r="G1453" t="str">
        <f>HYPERLINK(_xlfn.CONCAT("https://tablet.otzar.org/",CHAR(35),"/book/146228/p/-1/t/1/fs/0/start/0/end/0/c"),"נרות להאיר - א")</f>
        <v>נרות להאיר - א</v>
      </c>
      <c r="H1453" t="str">
        <f>_xlfn.CONCAT("https://tablet.otzar.org/",CHAR(35),"/book/146228/p/-1/t/1/fs/0/start/0/end/0/c")</f>
        <v>https://tablet.otzar.org/#/book/146228/p/-1/t/1/fs/0/start/0/end/0/c</v>
      </c>
    </row>
    <row r="1454" spans="1:8" x14ac:dyDescent="0.25">
      <c r="A1454">
        <v>146089</v>
      </c>
      <c r="B1454" t="s">
        <v>2393</v>
      </c>
      <c r="C1454" t="s">
        <v>2394</v>
      </c>
      <c r="D1454" t="s">
        <v>2395</v>
      </c>
      <c r="E1454" t="s">
        <v>79</v>
      </c>
      <c r="F1454" t="s">
        <v>251</v>
      </c>
      <c r="G1454" t="str">
        <f>HYPERLINK(_xlfn.CONCAT("https://tablet.otzar.org/",CHAR(35),"/exKotar/146089"),"נרות להאיר - 2 כרכים")</f>
        <v>נרות להאיר - 2 כרכים</v>
      </c>
      <c r="H1454" t="str">
        <f>_xlfn.CONCAT("https://tablet.otzar.org/",CHAR(35),"/exKotar/146089")</f>
        <v>https://tablet.otzar.org/#/exKotar/146089</v>
      </c>
    </row>
    <row r="1455" spans="1:8" x14ac:dyDescent="0.25">
      <c r="A1455">
        <v>650233</v>
      </c>
      <c r="B1455" t="s">
        <v>2396</v>
      </c>
      <c r="C1455" t="s">
        <v>147</v>
      </c>
      <c r="D1455" t="s">
        <v>648</v>
      </c>
      <c r="E1455" t="s">
        <v>91</v>
      </c>
      <c r="G1455" t="str">
        <f>HYPERLINK(_xlfn.CONCAT("https://tablet.otzar.org/",CHAR(35),"/book/650233/p/-1/t/1/fs/0/start/0/end/0/c"),"נרות שבת קדש")</f>
        <v>נרות שבת קדש</v>
      </c>
      <c r="H1455" t="str">
        <f>_xlfn.CONCAT("https://tablet.otzar.org/",CHAR(35),"/book/650233/p/-1/t/1/fs/0/start/0/end/0/c")</f>
        <v>https://tablet.otzar.org/#/book/650233/p/-1/t/1/fs/0/start/0/end/0/c</v>
      </c>
    </row>
    <row r="1456" spans="1:8" x14ac:dyDescent="0.25">
      <c r="A1456">
        <v>145955</v>
      </c>
      <c r="B1456" t="s">
        <v>2397</v>
      </c>
      <c r="C1456" t="s">
        <v>27</v>
      </c>
      <c r="D1456" t="s">
        <v>10</v>
      </c>
      <c r="E1456" t="s">
        <v>551</v>
      </c>
      <c r="F1456" t="s">
        <v>12</v>
      </c>
      <c r="G1456" t="str">
        <f>HYPERLINK(_xlfn.CONCAT("https://tablet.otzar.org/",CHAR(35),"/exKotar/145955"),"נרות שבת קודש - 2 כרכים")</f>
        <v>נרות שבת קודש - 2 כרכים</v>
      </c>
      <c r="H1456" t="str">
        <f>_xlfn.CONCAT("https://tablet.otzar.org/",CHAR(35),"/exKotar/145955")</f>
        <v>https://tablet.otzar.org/#/exKotar/145955</v>
      </c>
    </row>
    <row r="1457" spans="1:8" x14ac:dyDescent="0.25">
      <c r="A1457">
        <v>146232</v>
      </c>
      <c r="B1457" t="s">
        <v>2398</v>
      </c>
      <c r="C1457" t="s">
        <v>1121</v>
      </c>
      <c r="D1457" t="s">
        <v>10</v>
      </c>
      <c r="E1457" t="s">
        <v>38</v>
      </c>
      <c r="F1457" t="s">
        <v>12</v>
      </c>
      <c r="G1457" t="str">
        <f>HYPERLINK(_xlfn.CONCAT("https://tablet.otzar.org/",CHAR(35),"/book/146232/p/-1/t/1/fs/0/start/0/end/0/c"),"נשואי הנשיאים")</f>
        <v>נשואי הנשיאים</v>
      </c>
      <c r="H1457" t="str">
        <f>_xlfn.CONCAT("https://tablet.otzar.org/",CHAR(35),"/book/146232/p/-1/t/1/fs/0/start/0/end/0/c")</f>
        <v>https://tablet.otzar.org/#/book/146232/p/-1/t/1/fs/0/start/0/end/0/c</v>
      </c>
    </row>
    <row r="1458" spans="1:8" x14ac:dyDescent="0.25">
      <c r="A1458">
        <v>27750</v>
      </c>
      <c r="B1458" t="s">
        <v>2399</v>
      </c>
      <c r="C1458" t="s">
        <v>2400</v>
      </c>
      <c r="D1458" t="s">
        <v>15</v>
      </c>
      <c r="E1458" t="s">
        <v>103</v>
      </c>
      <c r="F1458" t="s">
        <v>12</v>
      </c>
      <c r="G1458" t="str">
        <f>HYPERLINK(_xlfn.CONCAT("https://tablet.otzar.org/",CHAR(35),"/book/27750/p/-1/t/1/fs/0/start/0/end/0/c"),"נשיא וחסיד")</f>
        <v>נשיא וחסיד</v>
      </c>
      <c r="H1458" t="str">
        <f>_xlfn.CONCAT("https://tablet.otzar.org/",CHAR(35),"/book/27750/p/-1/t/1/fs/0/start/0/end/0/c")</f>
        <v>https://tablet.otzar.org/#/book/27750/p/-1/t/1/fs/0/start/0/end/0/c</v>
      </c>
    </row>
    <row r="1459" spans="1:8" x14ac:dyDescent="0.25">
      <c r="A1459">
        <v>141248</v>
      </c>
      <c r="B1459" t="s">
        <v>2401</v>
      </c>
      <c r="C1459" t="s">
        <v>831</v>
      </c>
      <c r="D1459" t="s">
        <v>197</v>
      </c>
      <c r="E1459" t="s">
        <v>51</v>
      </c>
      <c r="F1459" t="s">
        <v>12</v>
      </c>
      <c r="G1459" t="str">
        <f>HYPERLINK(_xlfn.CONCAT("https://tablet.otzar.org/",CHAR(35),"/book/141248/p/-1/t/1/fs/0/start/0/end/0/c"),"נשיאי חב""""ד ובני דורם")</f>
        <v>נשיאי חב""ד ובני דורם</v>
      </c>
      <c r="H1459" t="str">
        <f>_xlfn.CONCAT("https://tablet.otzar.org/",CHAR(35),"/book/141248/p/-1/t/1/fs/0/start/0/end/0/c")</f>
        <v>https://tablet.otzar.org/#/book/141248/p/-1/t/1/fs/0/start/0/end/0/c</v>
      </c>
    </row>
    <row r="1460" spans="1:8" x14ac:dyDescent="0.25">
      <c r="A1460">
        <v>193142</v>
      </c>
      <c r="B1460" t="s">
        <v>2402</v>
      </c>
      <c r="C1460" t="s">
        <v>117</v>
      </c>
      <c r="D1460" t="s">
        <v>118</v>
      </c>
      <c r="E1460" t="s">
        <v>88</v>
      </c>
      <c r="F1460" t="s">
        <v>12</v>
      </c>
      <c r="G1460" t="str">
        <f>HYPERLINK(_xlfn.CONCAT("https://tablet.otzar.org/",CHAR(35),"/book/193142/p/-1/t/1/fs/0/start/0/end/0/c"),"נשיאי חב""""ד ויהדות גרוזיה")</f>
        <v>נשיאי חב""ד ויהדות גרוזיה</v>
      </c>
      <c r="H1460" t="str">
        <f>_xlfn.CONCAT("https://tablet.otzar.org/",CHAR(35),"/book/193142/p/-1/t/1/fs/0/start/0/end/0/c")</f>
        <v>https://tablet.otzar.org/#/book/193142/p/-1/t/1/fs/0/start/0/end/0/c</v>
      </c>
    </row>
    <row r="1461" spans="1:8" x14ac:dyDescent="0.25">
      <c r="A1461">
        <v>181485</v>
      </c>
      <c r="B1461" t="s">
        <v>2403</v>
      </c>
      <c r="C1461" t="s">
        <v>2404</v>
      </c>
      <c r="D1461" t="s">
        <v>191</v>
      </c>
      <c r="E1461" t="s">
        <v>88</v>
      </c>
      <c r="F1461" t="s">
        <v>12</v>
      </c>
      <c r="G1461" t="str">
        <f>HYPERLINK(_xlfn.CONCAT("https://tablet.otzar.org/",CHAR(35),"/book/181485/p/-1/t/1/fs/0/start/0/end/0/c"),"נשיאים במאסר")</f>
        <v>נשיאים במאסר</v>
      </c>
      <c r="H1461" t="str">
        <f>_xlfn.CONCAT("https://tablet.otzar.org/",CHAR(35),"/book/181485/p/-1/t/1/fs/0/start/0/end/0/c")</f>
        <v>https://tablet.otzar.org/#/book/181485/p/-1/t/1/fs/0/start/0/end/0/c</v>
      </c>
    </row>
    <row r="1462" spans="1:8" x14ac:dyDescent="0.25">
      <c r="A1462">
        <v>603657</v>
      </c>
      <c r="B1462" t="s">
        <v>2405</v>
      </c>
      <c r="C1462" t="s">
        <v>1205</v>
      </c>
      <c r="D1462" t="s">
        <v>15</v>
      </c>
      <c r="E1462" t="s">
        <v>62</v>
      </c>
      <c r="G1462" t="str">
        <f>HYPERLINK(_xlfn.CONCAT("https://tablet.otzar.org/",CHAR(35),"/book/603657/p/-1/t/1/fs/0/start/0/end/0/c"),"נשמה עם עצמה")</f>
        <v>נשמה עם עצמה</v>
      </c>
      <c r="H1462" t="str">
        <f>_xlfn.CONCAT("https://tablet.otzar.org/",CHAR(35),"/book/603657/p/-1/t/1/fs/0/start/0/end/0/c")</f>
        <v>https://tablet.otzar.org/#/book/603657/p/-1/t/1/fs/0/start/0/end/0/c</v>
      </c>
    </row>
    <row r="1463" spans="1:8" x14ac:dyDescent="0.25">
      <c r="A1463">
        <v>611236</v>
      </c>
      <c r="B1463" t="s">
        <v>2406</v>
      </c>
      <c r="C1463" t="s">
        <v>2407</v>
      </c>
      <c r="D1463" t="s">
        <v>28</v>
      </c>
      <c r="E1463" t="s">
        <v>115</v>
      </c>
      <c r="F1463" t="s">
        <v>208</v>
      </c>
      <c r="G1463" t="str">
        <f>HYPERLINK(_xlfn.CONCAT("https://tablet.otzar.org/",CHAR(35),"/exKotar/611236"),"נשמתא דאורייתא - 2 כרכים")</f>
        <v>נשמתא דאורייתא - 2 כרכים</v>
      </c>
      <c r="H1463" t="str">
        <f>_xlfn.CONCAT("https://tablet.otzar.org/",CHAR(35),"/exKotar/611236")</f>
        <v>https://tablet.otzar.org/#/exKotar/611236</v>
      </c>
    </row>
    <row r="1464" spans="1:8" x14ac:dyDescent="0.25">
      <c r="A1464">
        <v>141338</v>
      </c>
      <c r="B1464" t="s">
        <v>2408</v>
      </c>
      <c r="C1464" t="s">
        <v>1117</v>
      </c>
      <c r="D1464" t="s">
        <v>37</v>
      </c>
      <c r="E1464" t="s">
        <v>2409</v>
      </c>
      <c r="F1464" t="s">
        <v>12</v>
      </c>
      <c r="G1464" t="str">
        <f>HYPERLINK(_xlfn.CONCAT("https://tablet.otzar.org/",CHAR(35),"/book/141338/p/-1/t/1/fs/0/start/0/end/0/c"),"נתיבות חיים")</f>
        <v>נתיבות חיים</v>
      </c>
      <c r="H1464" t="str">
        <f>_xlfn.CONCAT("https://tablet.otzar.org/",CHAR(35),"/book/141338/p/-1/t/1/fs/0/start/0/end/0/c")</f>
        <v>https://tablet.otzar.org/#/book/141338/p/-1/t/1/fs/0/start/0/end/0/c</v>
      </c>
    </row>
    <row r="1465" spans="1:8" x14ac:dyDescent="0.25">
      <c r="A1465">
        <v>647006</v>
      </c>
      <c r="B1465" t="s">
        <v>2410</v>
      </c>
      <c r="C1465" t="s">
        <v>1719</v>
      </c>
      <c r="D1465" t="s">
        <v>882</v>
      </c>
      <c r="E1465" t="s">
        <v>24</v>
      </c>
      <c r="F1465" t="s">
        <v>12</v>
      </c>
      <c r="G1465" t="str">
        <f>HYPERLINK(_xlfn.CONCAT("https://tablet.otzar.org/",CHAR(35),"/book/647006/p/-1/t/1/fs/0/start/0/end/0/c"),"נתיבים בהלכה ומנהג - י")</f>
        <v>נתיבים בהלכה ומנהג - י</v>
      </c>
      <c r="H1465" t="str">
        <f>_xlfn.CONCAT("https://tablet.otzar.org/",CHAR(35),"/book/647006/p/-1/t/1/fs/0/start/0/end/0/c")</f>
        <v>https://tablet.otzar.org/#/book/647006/p/-1/t/1/fs/0/start/0/end/0/c</v>
      </c>
    </row>
    <row r="1466" spans="1:8" x14ac:dyDescent="0.25">
      <c r="A1466">
        <v>687517</v>
      </c>
      <c r="B1466" t="s">
        <v>2411</v>
      </c>
      <c r="C1466" t="s">
        <v>1719</v>
      </c>
      <c r="D1466" t="s">
        <v>882</v>
      </c>
      <c r="E1466" t="s">
        <v>24</v>
      </c>
      <c r="F1466" t="s">
        <v>1141</v>
      </c>
      <c r="G1466" t="str">
        <f>HYPERLINK(_xlfn.CONCAT("https://tablet.otzar.org/",CHAR(35),"/exKotar/687517"),"נתיבים בשדה השליחות - 3 כרכים")</f>
        <v>נתיבים בשדה השליחות - 3 כרכים</v>
      </c>
      <c r="H1466" t="str">
        <f>_xlfn.CONCAT("https://tablet.otzar.org/",CHAR(35),"/exKotar/687517")</f>
        <v>https://tablet.otzar.org/#/exKotar/687517</v>
      </c>
    </row>
    <row r="1467" spans="1:8" x14ac:dyDescent="0.25">
      <c r="A1467">
        <v>27357</v>
      </c>
      <c r="B1467" t="s">
        <v>2412</v>
      </c>
      <c r="C1467" t="s">
        <v>36</v>
      </c>
      <c r="D1467" t="s">
        <v>37</v>
      </c>
      <c r="E1467" t="s">
        <v>103</v>
      </c>
      <c r="F1467" t="s">
        <v>12</v>
      </c>
      <c r="G1467" t="str">
        <f>HYPERLINK(_xlfn.CONCAT("https://tablet.otzar.org/",CHAR(35),"/book/27357/p/-1/t/1/fs/0/start/0/end/0/c"),"סגולת אברהם")</f>
        <v>סגולת אברהם</v>
      </c>
      <c r="H1467" t="str">
        <f>_xlfn.CONCAT("https://tablet.otzar.org/",CHAR(35),"/book/27357/p/-1/t/1/fs/0/start/0/end/0/c")</f>
        <v>https://tablet.otzar.org/#/book/27357/p/-1/t/1/fs/0/start/0/end/0/c</v>
      </c>
    </row>
    <row r="1468" spans="1:8" x14ac:dyDescent="0.25">
      <c r="A1468">
        <v>607677</v>
      </c>
      <c r="B1468" t="s">
        <v>2413</v>
      </c>
      <c r="C1468" t="s">
        <v>2414</v>
      </c>
      <c r="D1468" t="s">
        <v>10</v>
      </c>
      <c r="E1468" t="s">
        <v>19</v>
      </c>
      <c r="F1468" t="s">
        <v>12</v>
      </c>
      <c r="G1468" t="str">
        <f>HYPERLINK(_xlfn.CONCAT("https://tablet.otzar.org/",CHAR(35),"/exKotar/607677"),"סדור ע""""פ נוסח האריז""""ל עם פניני החסידות - 2 כרכים")</f>
        <v>סדור ע""פ נוסח האריז""ל עם פניני החסידות - 2 כרכים</v>
      </c>
      <c r="H1468" t="str">
        <f>_xlfn.CONCAT("https://tablet.otzar.org/",CHAR(35),"/exKotar/607677")</f>
        <v>https://tablet.otzar.org/#/exKotar/607677</v>
      </c>
    </row>
    <row r="1469" spans="1:8" x14ac:dyDescent="0.25">
      <c r="A1469">
        <v>175905</v>
      </c>
      <c r="B1469" t="s">
        <v>2415</v>
      </c>
      <c r="C1469" t="s">
        <v>2416</v>
      </c>
      <c r="D1469" t="s">
        <v>10</v>
      </c>
      <c r="E1469" t="s">
        <v>62</v>
      </c>
      <c r="F1469" t="s">
        <v>12</v>
      </c>
      <c r="G1469" t="str">
        <f>HYPERLINK(_xlfn.CONCAT("https://tablet.otzar.org/",CHAR(35),"/book/175905/p/-1/t/1/fs/0/start/0/end/0/c"),"סדור עם פניני החסידות - שחרית לימי החול")</f>
        <v>סדור עם פניני החסידות - שחרית לימי החול</v>
      </c>
      <c r="H1469" t="str">
        <f>_xlfn.CONCAT("https://tablet.otzar.org/",CHAR(35),"/book/175905/p/-1/t/1/fs/0/start/0/end/0/c")</f>
        <v>https://tablet.otzar.org/#/book/175905/p/-1/t/1/fs/0/start/0/end/0/c</v>
      </c>
    </row>
    <row r="1470" spans="1:8" x14ac:dyDescent="0.25">
      <c r="A1470">
        <v>147720</v>
      </c>
      <c r="B1470" t="s">
        <v>2417</v>
      </c>
      <c r="C1470" t="s">
        <v>2418</v>
      </c>
      <c r="D1470" t="s">
        <v>412</v>
      </c>
      <c r="E1470" t="s">
        <v>33</v>
      </c>
      <c r="F1470" t="s">
        <v>12</v>
      </c>
      <c r="G1470" t="str">
        <f>HYPERLINK(_xlfn.CONCAT("https://tablet.otzar.org/",CHAR(35),"/book/147720/p/-1/t/1/fs/0/start/0/end/0/c"),"סדור שער מנחם על פי נוסח האר""""י ז""""ל")</f>
        <v>סדור שער מנחם על פי נוסח האר""י ז""ל</v>
      </c>
      <c r="H1470" t="str">
        <f>_xlfn.CONCAT("https://tablet.otzar.org/",CHAR(35),"/book/147720/p/-1/t/1/fs/0/start/0/end/0/c")</f>
        <v>https://tablet.otzar.org/#/book/147720/p/-1/t/1/fs/0/start/0/end/0/c</v>
      </c>
    </row>
    <row r="1471" spans="1:8" x14ac:dyDescent="0.25">
      <c r="A1471">
        <v>85015</v>
      </c>
      <c r="B1471" t="s">
        <v>2419</v>
      </c>
      <c r="C1471" t="s">
        <v>2420</v>
      </c>
      <c r="D1471" t="s">
        <v>10</v>
      </c>
      <c r="E1471" t="s">
        <v>33</v>
      </c>
      <c r="F1471" t="s">
        <v>12</v>
      </c>
      <c r="G1471" t="str">
        <f>HYPERLINK(_xlfn.CONCAT("https://tablet.otzar.org/",CHAR(35),"/book/85015/p/-1/t/1/fs/0/start/0/end/0/c"),"סדור תהלת ה'")</f>
        <v>סדור תהלת ה'</v>
      </c>
      <c r="H1471" t="str">
        <f>_xlfn.CONCAT("https://tablet.otzar.org/",CHAR(35),"/book/85015/p/-1/t/1/fs/0/start/0/end/0/c")</f>
        <v>https://tablet.otzar.org/#/book/85015/p/-1/t/1/fs/0/start/0/end/0/c</v>
      </c>
    </row>
    <row r="1472" spans="1:8" x14ac:dyDescent="0.25">
      <c r="A1472">
        <v>635112</v>
      </c>
      <c r="B1472" t="s">
        <v>2421</v>
      </c>
      <c r="C1472" t="s">
        <v>2422</v>
      </c>
      <c r="D1472" t="s">
        <v>10</v>
      </c>
      <c r="E1472" t="s">
        <v>185</v>
      </c>
      <c r="G1472" t="str">
        <f>HYPERLINK(_xlfn.CONCAT("https://tablet.otzar.org/",CHAR(35),"/book/635112/p/-1/t/1/fs/0/start/0/end/0/c"),"סדור תהלת ה' - לשבועות")</f>
        <v>סדור תהלת ה' - לשבועות</v>
      </c>
      <c r="H1472" t="str">
        <f>_xlfn.CONCAT("https://tablet.otzar.org/",CHAR(35),"/book/635112/p/-1/t/1/fs/0/start/0/end/0/c")</f>
        <v>https://tablet.otzar.org/#/book/635112/p/-1/t/1/fs/0/start/0/end/0/c</v>
      </c>
    </row>
    <row r="1473" spans="1:8" x14ac:dyDescent="0.25">
      <c r="A1473">
        <v>181526</v>
      </c>
      <c r="B1473" t="s">
        <v>2423</v>
      </c>
      <c r="C1473" t="s">
        <v>2423</v>
      </c>
      <c r="D1473" t="s">
        <v>10</v>
      </c>
      <c r="E1473" t="s">
        <v>88</v>
      </c>
      <c r="F1473" t="s">
        <v>657</v>
      </c>
      <c r="G1473" t="str">
        <f>HYPERLINK(_xlfn.CONCAT("https://tablet.otzar.org/",CHAR(35),"/book/181526/p/-1/t/1/fs/0/start/0/end/0/c"),"סדור תהלת ה' עם ביאור תפילה")</f>
        <v>סדור תהלת ה' עם ביאור תפילה</v>
      </c>
      <c r="H1473" t="str">
        <f>_xlfn.CONCAT("https://tablet.otzar.org/",CHAR(35),"/book/181526/p/-1/t/1/fs/0/start/0/end/0/c")</f>
        <v>https://tablet.otzar.org/#/book/181526/p/-1/t/1/fs/0/start/0/end/0/c</v>
      </c>
    </row>
    <row r="1474" spans="1:8" x14ac:dyDescent="0.25">
      <c r="A1474">
        <v>143259</v>
      </c>
      <c r="B1474" t="s">
        <v>2424</v>
      </c>
      <c r="C1474" t="s">
        <v>2425</v>
      </c>
      <c r="D1474" t="s">
        <v>10</v>
      </c>
      <c r="E1474" t="s">
        <v>2426</v>
      </c>
      <c r="F1474" t="s">
        <v>239</v>
      </c>
      <c r="G1474" t="str">
        <f>HYPERLINK(_xlfn.CONCAT("https://tablet.otzar.org/",CHAR(35),"/book/143259/p/-1/t/1/fs/0/start/0/end/0/c"),"סדר ברכות ותפלות עם תרגום אנגלי")</f>
        <v>סדר ברכות ותפלות עם תרגום אנגלי</v>
      </c>
      <c r="H1474" t="str">
        <f>_xlfn.CONCAT("https://tablet.otzar.org/",CHAR(35),"/book/143259/p/-1/t/1/fs/0/start/0/end/0/c")</f>
        <v>https://tablet.otzar.org/#/book/143259/p/-1/t/1/fs/0/start/0/end/0/c</v>
      </c>
    </row>
    <row r="1475" spans="1:8" x14ac:dyDescent="0.25">
      <c r="A1475">
        <v>160596</v>
      </c>
      <c r="B1475" t="s">
        <v>2427</v>
      </c>
      <c r="C1475" t="s">
        <v>649</v>
      </c>
      <c r="D1475" t="s">
        <v>15</v>
      </c>
      <c r="E1475" t="s">
        <v>226</v>
      </c>
      <c r="F1475" t="s">
        <v>239</v>
      </c>
      <c r="G1475" t="str">
        <f>HYPERLINK(_xlfn.CONCAT("https://tablet.otzar.org/",CHAR(35),"/book/160596/p/-1/t/1/fs/0/start/0/end/0/c"),"סדר ברכת החמה ע""""פ מנהג חב""""ד")</f>
        <v>סדר ברכת החמה ע""פ מנהג חב""ד</v>
      </c>
      <c r="H1475" t="str">
        <f>_xlfn.CONCAT("https://tablet.otzar.org/",CHAR(35),"/book/160596/p/-1/t/1/fs/0/start/0/end/0/c")</f>
        <v>https://tablet.otzar.org/#/book/160596/p/-1/t/1/fs/0/start/0/end/0/c</v>
      </c>
    </row>
    <row r="1476" spans="1:8" x14ac:dyDescent="0.25">
      <c r="A1476">
        <v>181522</v>
      </c>
      <c r="B1476" t="s">
        <v>2428</v>
      </c>
      <c r="C1476" t="s">
        <v>2429</v>
      </c>
      <c r="D1476" t="s">
        <v>882</v>
      </c>
      <c r="E1476" t="s">
        <v>88</v>
      </c>
      <c r="F1476" t="s">
        <v>657</v>
      </c>
      <c r="G1476" t="str">
        <f>HYPERLINK(_xlfn.CONCAT("https://tablet.otzar.org/",CHAR(35),"/book/181522/p/-1/t/1/fs/0/start/0/end/0/c"),"סדר ברכת המזון עם עיוני הסדור")</f>
        <v>סדר ברכת המזון עם עיוני הסדור</v>
      </c>
      <c r="H1476" t="str">
        <f>_xlfn.CONCAT("https://tablet.otzar.org/",CHAR(35),"/book/181522/p/-1/t/1/fs/0/start/0/end/0/c")</f>
        <v>https://tablet.otzar.org/#/book/181522/p/-1/t/1/fs/0/start/0/end/0/c</v>
      </c>
    </row>
    <row r="1477" spans="1:8" x14ac:dyDescent="0.25">
      <c r="A1477">
        <v>26933</v>
      </c>
      <c r="B1477" t="s">
        <v>2430</v>
      </c>
      <c r="C1477" t="s">
        <v>1180</v>
      </c>
      <c r="D1477" t="s">
        <v>15</v>
      </c>
      <c r="E1477" t="s">
        <v>139</v>
      </c>
      <c r="F1477" t="s">
        <v>12</v>
      </c>
      <c r="G1477" t="str">
        <f>HYPERLINK(_xlfn.CONCAT("https://tablet.otzar.org/",CHAR(35),"/book/26933/p/-1/t/1/fs/0/start/0/end/0/c"),"סדר ברכת הנהנין")</f>
        <v>סדר ברכת הנהנין</v>
      </c>
      <c r="H1477" t="str">
        <f>_xlfn.CONCAT("https://tablet.otzar.org/",CHAR(35),"/book/26933/p/-1/t/1/fs/0/start/0/end/0/c")</f>
        <v>https://tablet.otzar.org/#/book/26933/p/-1/t/1/fs/0/start/0/end/0/c</v>
      </c>
    </row>
    <row r="1478" spans="1:8" x14ac:dyDescent="0.25">
      <c r="A1478">
        <v>140812</v>
      </c>
      <c r="B1478" t="s">
        <v>2430</v>
      </c>
      <c r="C1478" t="s">
        <v>81</v>
      </c>
      <c r="D1478" t="s">
        <v>10</v>
      </c>
      <c r="E1478" t="s">
        <v>174</v>
      </c>
      <c r="F1478" t="s">
        <v>12</v>
      </c>
      <c r="G1478" t="str">
        <f>HYPERLINK(_xlfn.CONCAT("https://tablet.otzar.org/",CHAR(35),"/book/140812/p/-1/t/1/fs/0/start/0/end/0/c"),"סדר ברכת הנהנין")</f>
        <v>סדר ברכת הנהנין</v>
      </c>
      <c r="H1478" t="str">
        <f>_xlfn.CONCAT("https://tablet.otzar.org/",CHAR(35),"/book/140812/p/-1/t/1/fs/0/start/0/end/0/c")</f>
        <v>https://tablet.otzar.org/#/book/140812/p/-1/t/1/fs/0/start/0/end/0/c</v>
      </c>
    </row>
    <row r="1479" spans="1:8" x14ac:dyDescent="0.25">
      <c r="A1479">
        <v>141590</v>
      </c>
      <c r="B1479" t="s">
        <v>2431</v>
      </c>
      <c r="C1479" t="s">
        <v>2432</v>
      </c>
      <c r="D1479" t="s">
        <v>15</v>
      </c>
      <c r="E1479" t="s">
        <v>250</v>
      </c>
      <c r="F1479" t="s">
        <v>12</v>
      </c>
      <c r="G1479" t="str">
        <f>HYPERLINK(_xlfn.CONCAT("https://tablet.otzar.org/",CHAR(35),"/book/141590/p/-1/t/1/fs/0/start/0/end/0/c"),"סדר הכנסת ספר תורה ע""""פ מנהג חב""""ד")</f>
        <v>סדר הכנסת ספר תורה ע""פ מנהג חב""ד</v>
      </c>
      <c r="H1479" t="str">
        <f>_xlfn.CONCAT("https://tablet.otzar.org/",CHAR(35),"/book/141590/p/-1/t/1/fs/0/start/0/end/0/c")</f>
        <v>https://tablet.otzar.org/#/book/141590/p/-1/t/1/fs/0/start/0/end/0/c</v>
      </c>
    </row>
    <row r="1480" spans="1:8" x14ac:dyDescent="0.25">
      <c r="A1480">
        <v>145765</v>
      </c>
      <c r="B1480" t="s">
        <v>2433</v>
      </c>
      <c r="C1480" t="s">
        <v>2434</v>
      </c>
      <c r="D1480" t="s">
        <v>15</v>
      </c>
      <c r="E1480" t="s">
        <v>79</v>
      </c>
      <c r="F1480" t="s">
        <v>94</v>
      </c>
      <c r="G1480" t="str">
        <f>HYPERLINK(_xlfn.CONCAT("https://tablet.otzar.org/",CHAR(35),"/exKotar/145765"),"סדר הנהגה לתלמידים - 2 כרכים")</f>
        <v>סדר הנהגה לתלמידים - 2 כרכים</v>
      </c>
      <c r="H1480" t="str">
        <f>_xlfn.CONCAT("https://tablet.otzar.org/",CHAR(35),"/exKotar/145765")</f>
        <v>https://tablet.otzar.org/#/exKotar/145765</v>
      </c>
    </row>
    <row r="1481" spans="1:8" x14ac:dyDescent="0.25">
      <c r="A1481">
        <v>146382</v>
      </c>
      <c r="B1481" t="s">
        <v>2435</v>
      </c>
      <c r="C1481" t="s">
        <v>2436</v>
      </c>
      <c r="D1481" t="s">
        <v>28</v>
      </c>
      <c r="E1481" t="s">
        <v>346</v>
      </c>
      <c r="F1481" t="s">
        <v>239</v>
      </c>
      <c r="G1481" t="str">
        <f>HYPERLINK(_xlfn.CONCAT("https://tablet.otzar.org/",CHAR(35),"/book/146382/p/-1/t/1/fs/0/start/0/end/0/c"),"סדר הקפות בשמח""""ת")</f>
        <v>סדר הקפות בשמח""ת</v>
      </c>
      <c r="H1481" t="str">
        <f>_xlfn.CONCAT("https://tablet.otzar.org/",CHAR(35),"/book/146382/p/-1/t/1/fs/0/start/0/end/0/c")</f>
        <v>https://tablet.otzar.org/#/book/146382/p/-1/t/1/fs/0/start/0/end/0/c</v>
      </c>
    </row>
    <row r="1482" spans="1:8" x14ac:dyDescent="0.25">
      <c r="A1482">
        <v>181646</v>
      </c>
      <c r="B1482" t="s">
        <v>2437</v>
      </c>
      <c r="C1482" t="s">
        <v>849</v>
      </c>
      <c r="D1482" t="s">
        <v>10</v>
      </c>
      <c r="E1482" t="s">
        <v>88</v>
      </c>
      <c r="F1482" t="s">
        <v>12</v>
      </c>
      <c r="G1482" t="str">
        <f>HYPERLINK(_xlfn.CONCAT("https://tablet.otzar.org/",CHAR(35),"/book/181646/p/-1/t/1/fs/0/start/0/end/0/c"),"סדר מכירת חמץ")</f>
        <v>סדר מכירת חמץ</v>
      </c>
      <c r="H1482" t="str">
        <f>_xlfn.CONCAT("https://tablet.otzar.org/",CHAR(35),"/book/181646/p/-1/t/1/fs/0/start/0/end/0/c")</f>
        <v>https://tablet.otzar.org/#/book/181646/p/-1/t/1/fs/0/start/0/end/0/c</v>
      </c>
    </row>
    <row r="1483" spans="1:8" x14ac:dyDescent="0.25">
      <c r="A1483">
        <v>607678</v>
      </c>
      <c r="B1483" t="s">
        <v>2438</v>
      </c>
      <c r="C1483" t="s">
        <v>2439</v>
      </c>
      <c r="D1483" t="s">
        <v>28</v>
      </c>
      <c r="E1483" t="s">
        <v>62</v>
      </c>
      <c r="F1483" t="s">
        <v>657</v>
      </c>
      <c r="G1483" t="str">
        <f>HYPERLINK(_xlfn.CONCAT("https://tablet.otzar.org/",CHAR(35),"/book/607678/p/-1/t/1/fs/0/start/0/end/0/c"),"סדר מלווה מלכה")</f>
        <v>סדר מלווה מלכה</v>
      </c>
      <c r="H1483" t="str">
        <f>_xlfn.CONCAT("https://tablet.otzar.org/",CHAR(35),"/book/607678/p/-1/t/1/fs/0/start/0/end/0/c")</f>
        <v>https://tablet.otzar.org/#/book/607678/p/-1/t/1/fs/0/start/0/end/0/c</v>
      </c>
    </row>
    <row r="1484" spans="1:8" x14ac:dyDescent="0.25">
      <c r="A1484">
        <v>146406</v>
      </c>
      <c r="B1484" t="s">
        <v>2440</v>
      </c>
      <c r="C1484" t="s">
        <v>2440</v>
      </c>
      <c r="D1484" t="s">
        <v>2441</v>
      </c>
      <c r="E1484" t="s">
        <v>192</v>
      </c>
      <c r="F1484" t="s">
        <v>12</v>
      </c>
      <c r="G1484" t="str">
        <f>HYPERLINK(_xlfn.CONCAT("https://tablet.otzar.org/",CHAR(35),"/book/146406/p/-1/t/1/fs/0/start/0/end/0/c"),"סדר עליה לתורה")</f>
        <v>סדר עליה לתורה</v>
      </c>
      <c r="H1484" t="str">
        <f>_xlfn.CONCAT("https://tablet.otzar.org/",CHAR(35),"/book/146406/p/-1/t/1/fs/0/start/0/end/0/c")</f>
        <v>https://tablet.otzar.org/#/book/146406/p/-1/t/1/fs/0/start/0/end/0/c</v>
      </c>
    </row>
    <row r="1485" spans="1:8" x14ac:dyDescent="0.25">
      <c r="A1485">
        <v>607915</v>
      </c>
      <c r="B1485" t="s">
        <v>2442</v>
      </c>
      <c r="C1485" t="s">
        <v>2443</v>
      </c>
      <c r="D1485" t="s">
        <v>15</v>
      </c>
      <c r="E1485" t="s">
        <v>99</v>
      </c>
      <c r="F1485" t="s">
        <v>12</v>
      </c>
      <c r="G1485" t="str">
        <f>HYPERLINK(_xlfn.CONCAT("https://tablet.otzar.org/",CHAR(35),"/book/607915/p/-1/t/1/fs/0/start/0/end/0/c"),"סדר צום החמישי - כמנהג חב""""ד")</f>
        <v>סדר צום החמישי - כמנהג חב""ד</v>
      </c>
      <c r="H1485" t="str">
        <f>_xlfn.CONCAT("https://tablet.otzar.org/",CHAR(35),"/book/607915/p/-1/t/1/fs/0/start/0/end/0/c")</f>
        <v>https://tablet.otzar.org/#/book/607915/p/-1/t/1/fs/0/start/0/end/0/c</v>
      </c>
    </row>
    <row r="1486" spans="1:8" x14ac:dyDescent="0.25">
      <c r="A1486">
        <v>141411</v>
      </c>
      <c r="B1486" t="s">
        <v>2444</v>
      </c>
      <c r="C1486" t="s">
        <v>2445</v>
      </c>
      <c r="D1486" t="s">
        <v>535</v>
      </c>
      <c r="E1486" t="s">
        <v>91</v>
      </c>
      <c r="F1486" t="s">
        <v>12</v>
      </c>
      <c r="G1486" t="str">
        <f>HYPERLINK(_xlfn.CONCAT("https://tablet.otzar.org/",CHAR(35),"/book/141411/p/-1/t/1/fs/0/start/0/end/0/c"),"סדר קידוש לשבת עם ביאורים")</f>
        <v>סדר קידוש לשבת עם ביאורים</v>
      </c>
      <c r="H1486" t="str">
        <f>_xlfn.CONCAT("https://tablet.otzar.org/",CHAR(35),"/book/141411/p/-1/t/1/fs/0/start/0/end/0/c")</f>
        <v>https://tablet.otzar.org/#/book/141411/p/-1/t/1/fs/0/start/0/end/0/c</v>
      </c>
    </row>
    <row r="1487" spans="1:8" x14ac:dyDescent="0.25">
      <c r="A1487">
        <v>27235</v>
      </c>
      <c r="B1487" t="s">
        <v>2446</v>
      </c>
      <c r="C1487" t="s">
        <v>31</v>
      </c>
      <c r="D1487" t="s">
        <v>10</v>
      </c>
      <c r="E1487" t="s">
        <v>382</v>
      </c>
      <c r="F1487" t="s">
        <v>12</v>
      </c>
      <c r="G1487" t="str">
        <f>HYPERLINK(_xlfn.CONCAT("https://tablet.otzar.org/",CHAR(35),"/exKotar/27235"),"סדר קידושין ונישואין - 2 כרכים")</f>
        <v>סדר קידושין ונישואין - 2 כרכים</v>
      </c>
      <c r="H1487" t="str">
        <f>_xlfn.CONCAT("https://tablet.otzar.org/",CHAR(35),"/exKotar/27235")</f>
        <v>https://tablet.otzar.org/#/exKotar/27235</v>
      </c>
    </row>
    <row r="1488" spans="1:8" x14ac:dyDescent="0.25">
      <c r="A1488">
        <v>146321</v>
      </c>
      <c r="B1488" t="s">
        <v>2447</v>
      </c>
      <c r="C1488" t="s">
        <v>2448</v>
      </c>
      <c r="D1488" t="s">
        <v>10</v>
      </c>
      <c r="E1488" t="s">
        <v>91</v>
      </c>
      <c r="F1488" t="s">
        <v>2449</v>
      </c>
      <c r="G1488" t="str">
        <f>HYPERLINK(_xlfn.CONCAT("https://tablet.otzar.org/",CHAR(35),"/book/146321/p/-1/t/1/fs/0/start/0/end/0/c"),"סדר קרבן פסח ע""""פ נוסח בעל התניא, עם תרגום אידיש")</f>
        <v>סדר קרבן פסח ע""פ נוסח בעל התניא, עם תרגום אידיש</v>
      </c>
      <c r="H1488" t="str">
        <f>_xlfn.CONCAT("https://tablet.otzar.org/",CHAR(35),"/book/146321/p/-1/t/1/fs/0/start/0/end/0/c")</f>
        <v>https://tablet.otzar.org/#/book/146321/p/-1/t/1/fs/0/start/0/end/0/c</v>
      </c>
    </row>
    <row r="1489" spans="1:8" x14ac:dyDescent="0.25">
      <c r="A1489">
        <v>26888</v>
      </c>
      <c r="B1489" t="s">
        <v>2450</v>
      </c>
      <c r="C1489" t="s">
        <v>2451</v>
      </c>
      <c r="D1489" t="s">
        <v>28</v>
      </c>
      <c r="E1489" t="s">
        <v>217</v>
      </c>
      <c r="F1489" t="s">
        <v>12</v>
      </c>
      <c r="G1489" t="str">
        <f>HYPERLINK(_xlfn.CONCAT("https://tablet.otzar.org/",CHAR(35),"/book/26888/p/-1/t/1/fs/0/start/0/end/0/c"),"סדר קריאת שמע על המיטה עפ""""י נוסח האריז""""ל")</f>
        <v>סדר קריאת שמע על המיטה עפ""י נוסח האריז""ל</v>
      </c>
      <c r="H1489" t="str">
        <f>_xlfn.CONCAT("https://tablet.otzar.org/",CHAR(35),"/book/26888/p/-1/t/1/fs/0/start/0/end/0/c")</f>
        <v>https://tablet.otzar.org/#/book/26888/p/-1/t/1/fs/0/start/0/end/0/c</v>
      </c>
    </row>
    <row r="1490" spans="1:8" x14ac:dyDescent="0.25">
      <c r="A1490">
        <v>607788</v>
      </c>
      <c r="B1490" t="s">
        <v>2452</v>
      </c>
      <c r="C1490" t="s">
        <v>27</v>
      </c>
      <c r="D1490" t="s">
        <v>10</v>
      </c>
      <c r="E1490" t="s">
        <v>404</v>
      </c>
      <c r="F1490" t="s">
        <v>12</v>
      </c>
      <c r="G1490" t="str">
        <f>HYPERLINK(_xlfn.CONCAT("https://tablet.otzar.org/",CHAR(35),"/book/607788/p/-1/t/1/fs/0/start/0/end/0/c"),"סדר תנאים אירוסין ונישואין")</f>
        <v>סדר תנאים אירוסין ונישואין</v>
      </c>
      <c r="H1490" t="str">
        <f>_xlfn.CONCAT("https://tablet.otzar.org/",CHAR(35),"/book/607788/p/-1/t/1/fs/0/start/0/end/0/c")</f>
        <v>https://tablet.otzar.org/#/book/607788/p/-1/t/1/fs/0/start/0/end/0/c</v>
      </c>
    </row>
    <row r="1491" spans="1:8" x14ac:dyDescent="0.25">
      <c r="A1491">
        <v>27145</v>
      </c>
      <c r="B1491" t="s">
        <v>2453</v>
      </c>
      <c r="C1491" t="s">
        <v>81</v>
      </c>
      <c r="D1491" t="s">
        <v>10</v>
      </c>
      <c r="E1491" t="s">
        <v>54</v>
      </c>
      <c r="F1491" t="s">
        <v>12</v>
      </c>
      <c r="G1491" t="str">
        <f>HYPERLINK(_xlfn.CONCAT("https://tablet.otzar.org/",CHAR(35),"/book/27145/p/-1/t/1/fs/0/start/0/end/0/c"),"סדר תפילות מכל השנה עם פירוש המלות עפ""""י דא""""ח")</f>
        <v>סדר תפילות מכל השנה עם פירוש המלות עפ""י דא""ח</v>
      </c>
      <c r="H1491" t="str">
        <f>_xlfn.CONCAT("https://tablet.otzar.org/",CHAR(35),"/book/27145/p/-1/t/1/fs/0/start/0/end/0/c")</f>
        <v>https://tablet.otzar.org/#/book/27145/p/-1/t/1/fs/0/start/0/end/0/c</v>
      </c>
    </row>
    <row r="1492" spans="1:8" x14ac:dyDescent="0.25">
      <c r="A1492">
        <v>142324</v>
      </c>
      <c r="B1492" t="s">
        <v>2454</v>
      </c>
      <c r="C1492" t="s">
        <v>2455</v>
      </c>
      <c r="D1492" t="s">
        <v>15</v>
      </c>
      <c r="E1492" t="s">
        <v>260</v>
      </c>
      <c r="F1492" t="s">
        <v>12</v>
      </c>
      <c r="G1492" t="str">
        <f>HYPERLINK(_xlfn.CONCAT("https://tablet.otzar.org/",CHAR(35),"/exKotar/142324"),"סדר תפלה על פי נוסח הקדוש האריז""""ל &lt;סידור מהרי""""ד&gt;  - 2 כרכים")</f>
        <v>סדר תפלה על פי נוסח הקדוש האריז""ל &lt;סידור מהרי""ד&gt;  - 2 כרכים</v>
      </c>
      <c r="H1492" t="str">
        <f>_xlfn.CONCAT("https://tablet.otzar.org/",CHAR(35),"/exKotar/142324")</f>
        <v>https://tablet.otzar.org/#/exKotar/142324</v>
      </c>
    </row>
    <row r="1493" spans="1:8" x14ac:dyDescent="0.25">
      <c r="A1493">
        <v>146395</v>
      </c>
      <c r="B1493" t="s">
        <v>2456</v>
      </c>
      <c r="C1493" t="s">
        <v>2456</v>
      </c>
      <c r="D1493" t="s">
        <v>28</v>
      </c>
      <c r="E1493" t="s">
        <v>29</v>
      </c>
      <c r="F1493" t="s">
        <v>239</v>
      </c>
      <c r="G1493" t="str">
        <f>HYPERLINK(_xlfn.CONCAT("https://tablet.otzar.org/",CHAR(35),"/book/146395/p/-1/t/1/fs/0/start/0/end/0/c"),"סדר תקוני שבת")</f>
        <v>סדר תקוני שבת</v>
      </c>
      <c r="H1493" t="str">
        <f>_xlfn.CONCAT("https://tablet.otzar.org/",CHAR(35),"/book/146395/p/-1/t/1/fs/0/start/0/end/0/c")</f>
        <v>https://tablet.otzar.org/#/book/146395/p/-1/t/1/fs/0/start/0/end/0/c</v>
      </c>
    </row>
    <row r="1494" spans="1:8" x14ac:dyDescent="0.25">
      <c r="A1494">
        <v>634873</v>
      </c>
      <c r="B1494" t="s">
        <v>2457</v>
      </c>
      <c r="C1494" t="s">
        <v>2457</v>
      </c>
      <c r="D1494" t="s">
        <v>28</v>
      </c>
      <c r="E1494" t="s">
        <v>148</v>
      </c>
      <c r="F1494" t="s">
        <v>43</v>
      </c>
      <c r="G1494" t="str">
        <f>HYPERLINK(_xlfn.CONCAT("https://tablet.otzar.org/",CHAR(35),"/book/634873/p/-1/t/1/fs/0/start/0/end/0/c"),"סוגיות בגאולה")</f>
        <v>סוגיות בגאולה</v>
      </c>
      <c r="H1494" t="str">
        <f>_xlfn.CONCAT("https://tablet.otzar.org/",CHAR(35),"/book/634873/p/-1/t/1/fs/0/start/0/end/0/c")</f>
        <v>https://tablet.otzar.org/#/book/634873/p/-1/t/1/fs/0/start/0/end/0/c</v>
      </c>
    </row>
    <row r="1495" spans="1:8" x14ac:dyDescent="0.25">
      <c r="A1495">
        <v>156447</v>
      </c>
      <c r="B1495" t="s">
        <v>2458</v>
      </c>
      <c r="C1495" t="s">
        <v>2459</v>
      </c>
      <c r="D1495" t="s">
        <v>15</v>
      </c>
      <c r="E1495" t="s">
        <v>49</v>
      </c>
      <c r="F1495" t="s">
        <v>12</v>
      </c>
      <c r="G1495" t="str">
        <f>HYPERLINK(_xlfn.CONCAT("https://tablet.otzar.org/",CHAR(35),"/book/156447/p/-1/t/1/fs/0/start/0/end/0/c"),"סוגיות בחסידות - אחדות ה'")</f>
        <v>סוגיות בחסידות - אחדות ה'</v>
      </c>
      <c r="H1495" t="str">
        <f>_xlfn.CONCAT("https://tablet.otzar.org/",CHAR(35),"/book/156447/p/-1/t/1/fs/0/start/0/end/0/c")</f>
        <v>https://tablet.otzar.org/#/book/156447/p/-1/t/1/fs/0/start/0/end/0/c</v>
      </c>
    </row>
    <row r="1496" spans="1:8" x14ac:dyDescent="0.25">
      <c r="A1496">
        <v>173502</v>
      </c>
      <c r="B1496" t="s">
        <v>2460</v>
      </c>
      <c r="C1496" t="s">
        <v>90</v>
      </c>
      <c r="D1496" t="s">
        <v>37</v>
      </c>
      <c r="E1496" t="s">
        <v>62</v>
      </c>
      <c r="F1496" t="s">
        <v>12</v>
      </c>
      <c r="G1496" t="str">
        <f>HYPERLINK(_xlfn.CONCAT("https://tablet.otzar.org/",CHAR(35),"/book/173502/p/-1/t/1/fs/0/start/0/end/0/c"),"סוגיות בחסידות")</f>
        <v>סוגיות בחסידות</v>
      </c>
      <c r="H1496" t="str">
        <f>_xlfn.CONCAT("https://tablet.otzar.org/",CHAR(35),"/book/173502/p/-1/t/1/fs/0/start/0/end/0/c")</f>
        <v>https://tablet.otzar.org/#/book/173502/p/-1/t/1/fs/0/start/0/end/0/c</v>
      </c>
    </row>
    <row r="1497" spans="1:8" x14ac:dyDescent="0.25">
      <c r="A1497">
        <v>607651</v>
      </c>
      <c r="B1497" t="s">
        <v>2461</v>
      </c>
      <c r="C1497" t="s">
        <v>2462</v>
      </c>
      <c r="D1497" t="s">
        <v>10</v>
      </c>
      <c r="E1497" t="s">
        <v>88</v>
      </c>
      <c r="F1497" t="s">
        <v>12</v>
      </c>
      <c r="G1497" t="str">
        <f>HYPERLINK(_xlfn.CONCAT("https://tablet.otzar.org/",CHAR(35),"/book/607651/p/-1/t/1/fs/0/start/0/end/0/c"),"סוגיות בעניני משיח וגאולה - א")</f>
        <v>סוגיות בעניני משיח וגאולה - א</v>
      </c>
      <c r="H1497" t="str">
        <f>_xlfn.CONCAT("https://tablet.otzar.org/",CHAR(35),"/book/607651/p/-1/t/1/fs/0/start/0/end/0/c")</f>
        <v>https://tablet.otzar.org/#/book/607651/p/-1/t/1/fs/0/start/0/end/0/c</v>
      </c>
    </row>
    <row r="1498" spans="1:8" x14ac:dyDescent="0.25">
      <c r="A1498">
        <v>173580</v>
      </c>
      <c r="B1498" t="s">
        <v>2463</v>
      </c>
      <c r="C1498" t="s">
        <v>2464</v>
      </c>
      <c r="D1498" t="s">
        <v>10</v>
      </c>
      <c r="E1498" t="s">
        <v>82</v>
      </c>
      <c r="F1498" t="s">
        <v>12</v>
      </c>
      <c r="G1498" t="str">
        <f>HYPERLINK(_xlfn.CONCAT("https://tablet.otzar.org/",CHAR(35),"/exKotar/173580"),"סוגיות בתורת החסידות - 3 כרכים")</f>
        <v>סוגיות בתורת החסידות - 3 כרכים</v>
      </c>
      <c r="H1498" t="str">
        <f>_xlfn.CONCAT("https://tablet.otzar.org/",CHAR(35),"/exKotar/173580")</f>
        <v>https://tablet.otzar.org/#/exKotar/173580</v>
      </c>
    </row>
    <row r="1499" spans="1:8" x14ac:dyDescent="0.25">
      <c r="A1499">
        <v>641282</v>
      </c>
      <c r="B1499" t="s">
        <v>2465</v>
      </c>
      <c r="C1499" t="s">
        <v>102</v>
      </c>
      <c r="D1499" t="s">
        <v>15</v>
      </c>
      <c r="E1499" t="s">
        <v>250</v>
      </c>
      <c r="F1499" t="s">
        <v>1402</v>
      </c>
      <c r="G1499" t="str">
        <f>HYPERLINK(_xlfn.CONCAT("https://tablet.otzar.org/",CHAR(35),"/book/641282/p/-1/t/1/fs/0/start/0/end/0/c"),"סוד ה' ליראיו")</f>
        <v>סוד ה' ליראיו</v>
      </c>
      <c r="H1499" t="str">
        <f>_xlfn.CONCAT("https://tablet.otzar.org/",CHAR(35),"/book/641282/p/-1/t/1/fs/0/start/0/end/0/c")</f>
        <v>https://tablet.otzar.org/#/book/641282/p/-1/t/1/fs/0/start/0/end/0/c</v>
      </c>
    </row>
    <row r="1500" spans="1:8" x14ac:dyDescent="0.25">
      <c r="A1500">
        <v>639924</v>
      </c>
      <c r="B1500" t="s">
        <v>2466</v>
      </c>
      <c r="C1500" t="s">
        <v>2467</v>
      </c>
      <c r="D1500" t="s">
        <v>1967</v>
      </c>
      <c r="E1500" t="s">
        <v>115</v>
      </c>
      <c r="F1500" t="s">
        <v>149</v>
      </c>
      <c r="G1500" t="str">
        <f>HYPERLINK(_xlfn.CONCAT("https://tablet.otzar.org/",CHAR(35),"/book/639924/p/-1/t/1/fs/0/start/0/end/0/c"),"סולם ההתקרבות - א")</f>
        <v>סולם ההתקרבות - א</v>
      </c>
      <c r="H1500" t="str">
        <f>_xlfn.CONCAT("https://tablet.otzar.org/",CHAR(35),"/book/639924/p/-1/t/1/fs/0/start/0/end/0/c")</f>
        <v>https://tablet.otzar.org/#/book/639924/p/-1/t/1/fs/0/start/0/end/0/c</v>
      </c>
    </row>
    <row r="1501" spans="1:8" x14ac:dyDescent="0.25">
      <c r="A1501">
        <v>189302</v>
      </c>
      <c r="B1501" t="s">
        <v>2468</v>
      </c>
      <c r="C1501" t="s">
        <v>391</v>
      </c>
      <c r="D1501" t="s">
        <v>215</v>
      </c>
      <c r="E1501" t="s">
        <v>192</v>
      </c>
      <c r="F1501" t="s">
        <v>12</v>
      </c>
      <c r="G1501" t="str">
        <f>HYPERLINK(_xlfn.CONCAT("https://tablet.otzar.org/",CHAR(35),"/book/189302/p/-1/t/1/fs/0/start/0/end/0/c"),"סוערות בדממה")</f>
        <v>סוערות בדממה</v>
      </c>
      <c r="H1501" t="str">
        <f>_xlfn.CONCAT("https://tablet.otzar.org/",CHAR(35),"/book/189302/p/-1/t/1/fs/0/start/0/end/0/c")</f>
        <v>https://tablet.otzar.org/#/book/189302/p/-1/t/1/fs/0/start/0/end/0/c</v>
      </c>
    </row>
    <row r="1502" spans="1:8" x14ac:dyDescent="0.25">
      <c r="A1502">
        <v>28808</v>
      </c>
      <c r="B1502" t="s">
        <v>2469</v>
      </c>
      <c r="C1502" t="s">
        <v>2008</v>
      </c>
      <c r="D1502" t="s">
        <v>10</v>
      </c>
      <c r="E1502" t="s">
        <v>192</v>
      </c>
      <c r="F1502" t="s">
        <v>12</v>
      </c>
      <c r="G1502" t="str">
        <f>HYPERLINK(_xlfn.CONCAT("https://tablet.otzar.org/",CHAR(35),"/book/28808/p/-1/t/1/fs/0/start/0/end/0/c"),"סידור המפרש תהלת ה'")</f>
        <v>סידור המפרש תהלת ה'</v>
      </c>
      <c r="H1502" t="str">
        <f>_xlfn.CONCAT("https://tablet.otzar.org/",CHAR(35),"/book/28808/p/-1/t/1/fs/0/start/0/end/0/c")</f>
        <v>https://tablet.otzar.org/#/book/28808/p/-1/t/1/fs/0/start/0/end/0/c</v>
      </c>
    </row>
    <row r="1503" spans="1:8" x14ac:dyDescent="0.25">
      <c r="A1503">
        <v>196241</v>
      </c>
      <c r="B1503" t="s">
        <v>2470</v>
      </c>
      <c r="C1503" t="s">
        <v>2471</v>
      </c>
      <c r="D1503" t="s">
        <v>15</v>
      </c>
      <c r="E1503" t="s">
        <v>99</v>
      </c>
      <c r="F1503" t="s">
        <v>12</v>
      </c>
      <c r="G1503" t="str">
        <f>HYPERLINK(_xlfn.CONCAT("https://tablet.otzar.org/",CHAR(35),"/book/196241/p/-1/t/1/fs/0/start/0/end/0/c"),"סידור טעמו וראו")</f>
        <v>סידור טעמו וראו</v>
      </c>
      <c r="H1503" t="str">
        <f>_xlfn.CONCAT("https://tablet.otzar.org/",CHAR(35),"/book/196241/p/-1/t/1/fs/0/start/0/end/0/c")</f>
        <v>https://tablet.otzar.org/#/book/196241/p/-1/t/1/fs/0/start/0/end/0/c</v>
      </c>
    </row>
    <row r="1504" spans="1:8" x14ac:dyDescent="0.25">
      <c r="A1504">
        <v>174179</v>
      </c>
      <c r="B1504" t="s">
        <v>2472</v>
      </c>
      <c r="C1504" t="s">
        <v>2473</v>
      </c>
      <c r="D1504" t="s">
        <v>2474</v>
      </c>
      <c r="E1504" t="s">
        <v>62</v>
      </c>
      <c r="F1504" t="s">
        <v>12</v>
      </c>
      <c r="G1504" t="str">
        <f>HYPERLINK(_xlfn.CONCAT("https://tablet.otzar.org/",CHAR(35),"/book/174179/p/-1/t/1/fs/0/start/0/end/0/c"),"סידור לעם עם תרגום באנגלית")</f>
        <v>סידור לעם עם תרגום באנגלית</v>
      </c>
      <c r="H1504" t="str">
        <f>_xlfn.CONCAT("https://tablet.otzar.org/",CHAR(35),"/book/174179/p/-1/t/1/fs/0/start/0/end/0/c")</f>
        <v>https://tablet.otzar.org/#/book/174179/p/-1/t/1/fs/0/start/0/end/0/c</v>
      </c>
    </row>
    <row r="1505" spans="1:8" x14ac:dyDescent="0.25">
      <c r="A1505">
        <v>27143</v>
      </c>
      <c r="B1505" t="s">
        <v>2475</v>
      </c>
      <c r="C1505" t="s">
        <v>2476</v>
      </c>
      <c r="D1505" t="s">
        <v>10</v>
      </c>
      <c r="E1505" t="s">
        <v>382</v>
      </c>
      <c r="F1505" t="s">
        <v>12</v>
      </c>
      <c r="G1505" t="str">
        <f>HYPERLINK(_xlfn.CONCAT("https://tablet.otzar.org/",CHAR(35),"/book/27143/p/-1/t/1/fs/0/start/0/end/0/c"),"סידור רבינו הזקן &lt;עם ציונים והערות&gt;")</f>
        <v>סידור רבינו הזקן &lt;עם ציונים והערות&gt;</v>
      </c>
      <c r="H1505" t="str">
        <f>_xlfn.CONCAT("https://tablet.otzar.org/",CHAR(35),"/book/27143/p/-1/t/1/fs/0/start/0/end/0/c")</f>
        <v>https://tablet.otzar.org/#/book/27143/p/-1/t/1/fs/0/start/0/end/0/c</v>
      </c>
    </row>
    <row r="1506" spans="1:8" x14ac:dyDescent="0.25">
      <c r="A1506">
        <v>141693</v>
      </c>
      <c r="B1506" t="s">
        <v>2477</v>
      </c>
      <c r="C1506" t="s">
        <v>81</v>
      </c>
      <c r="D1506" t="s">
        <v>37</v>
      </c>
      <c r="E1506" t="s">
        <v>60</v>
      </c>
      <c r="F1506" t="s">
        <v>657</v>
      </c>
      <c r="G1506" t="str">
        <f>HYPERLINK(_xlfn.CONCAT("https://tablet.otzar.org/",CHAR(35),"/book/141693/p/-1/t/1/fs/0/start/0/end/0/c"),"סידור רבינו הזקן &lt;טקסט&gt;")</f>
        <v>סידור רבינו הזקן &lt;טקסט&gt;</v>
      </c>
      <c r="H1506" t="str">
        <f>_xlfn.CONCAT("https://tablet.otzar.org/",CHAR(35),"/book/141693/p/-1/t/1/fs/0/start/0/end/0/c")</f>
        <v>https://tablet.otzar.org/#/book/141693/p/-1/t/1/fs/0/start/0/end/0/c</v>
      </c>
    </row>
    <row r="1507" spans="1:8" x14ac:dyDescent="0.25">
      <c r="A1507">
        <v>141385</v>
      </c>
      <c r="B1507" t="s">
        <v>2478</v>
      </c>
      <c r="C1507" t="s">
        <v>81</v>
      </c>
      <c r="D1507" t="s">
        <v>10</v>
      </c>
      <c r="E1507" t="s">
        <v>382</v>
      </c>
      <c r="F1507" t="s">
        <v>12</v>
      </c>
      <c r="G1507" t="str">
        <f>HYPERLINK(_xlfn.CONCAT("https://tablet.otzar.org/",CHAR(35),"/exKotar/141385"),"סידור תהלת ה' - 2 כרכים")</f>
        <v>סידור תהלת ה' - 2 כרכים</v>
      </c>
      <c r="H1507" t="str">
        <f>_xlfn.CONCAT("https://tablet.otzar.org/",CHAR(35),"/exKotar/141385")</f>
        <v>https://tablet.otzar.org/#/exKotar/141385</v>
      </c>
    </row>
    <row r="1508" spans="1:8" x14ac:dyDescent="0.25">
      <c r="A1508">
        <v>141379</v>
      </c>
      <c r="B1508" t="s">
        <v>2479</v>
      </c>
      <c r="C1508" t="s">
        <v>81</v>
      </c>
      <c r="D1508" t="s">
        <v>10</v>
      </c>
      <c r="E1508" t="s">
        <v>174</v>
      </c>
      <c r="F1508" t="s">
        <v>12</v>
      </c>
      <c r="G1508" t="str">
        <f>HYPERLINK(_xlfn.CONCAT("https://tablet.otzar.org/",CHAR(35),"/book/141379/p/-1/t/1/fs/0/start/0/end/0/c"),"סידור תהלת ה' עם תרגום אנגלי")</f>
        <v>סידור תהלת ה' עם תרגום אנגלי</v>
      </c>
      <c r="H1508" t="str">
        <f>_xlfn.CONCAT("https://tablet.otzar.org/",CHAR(35),"/book/141379/p/-1/t/1/fs/0/start/0/end/0/c")</f>
        <v>https://tablet.otzar.org/#/book/141379/p/-1/t/1/fs/0/start/0/end/0/c</v>
      </c>
    </row>
    <row r="1509" spans="1:8" x14ac:dyDescent="0.25">
      <c r="A1509">
        <v>164316</v>
      </c>
      <c r="B1509" t="s">
        <v>2480</v>
      </c>
      <c r="C1509" t="s">
        <v>81</v>
      </c>
      <c r="D1509" t="s">
        <v>315</v>
      </c>
      <c r="E1509" t="s">
        <v>16</v>
      </c>
      <c r="F1509" t="s">
        <v>12</v>
      </c>
      <c r="G1509" t="str">
        <f>HYPERLINK(_xlfn.CONCAT("https://tablet.otzar.org/",CHAR(35),"/book/164316/p/-1/t/1/fs/0/start/0/end/0/c"),"סידור תהלת ה' עם תרגום ספרדי")</f>
        <v>סידור תהלת ה' עם תרגום ספרדי</v>
      </c>
      <c r="H1509" t="str">
        <f>_xlfn.CONCAT("https://tablet.otzar.org/",CHAR(35),"/book/164316/p/-1/t/1/fs/0/start/0/end/0/c")</f>
        <v>https://tablet.otzar.org/#/book/164316/p/-1/t/1/fs/0/start/0/end/0/c</v>
      </c>
    </row>
    <row r="1510" spans="1:8" x14ac:dyDescent="0.25">
      <c r="A1510">
        <v>141382</v>
      </c>
      <c r="B1510" t="s">
        <v>2481</v>
      </c>
      <c r="C1510" t="s">
        <v>2482</v>
      </c>
      <c r="D1510" t="s">
        <v>10</v>
      </c>
      <c r="E1510" t="s">
        <v>192</v>
      </c>
      <c r="F1510" t="s">
        <v>12</v>
      </c>
      <c r="G1510" t="str">
        <f>HYPERLINK(_xlfn.CONCAT("https://tablet.otzar.org/",CHAR(35),"/book/141382/p/-1/t/1/fs/0/start/0/end/0/c"),"סידור תורה אור")</f>
        <v>סידור תורה אור</v>
      </c>
      <c r="H1510" t="str">
        <f>_xlfn.CONCAT("https://tablet.otzar.org/",CHAR(35),"/book/141382/p/-1/t/1/fs/0/start/0/end/0/c")</f>
        <v>https://tablet.otzar.org/#/book/141382/p/-1/t/1/fs/0/start/0/end/0/c</v>
      </c>
    </row>
    <row r="1511" spans="1:8" x14ac:dyDescent="0.25">
      <c r="A1511">
        <v>104354</v>
      </c>
      <c r="B1511" t="s">
        <v>2483</v>
      </c>
      <c r="C1511" t="s">
        <v>2484</v>
      </c>
      <c r="D1511" t="s">
        <v>1845</v>
      </c>
      <c r="E1511" t="s">
        <v>2485</v>
      </c>
      <c r="F1511" t="s">
        <v>657</v>
      </c>
      <c r="G1511" t="str">
        <f>HYPERLINK(_xlfn.CONCAT("https://tablet.otzar.org/",CHAR(35),"/exKotar/104354"),"סידור תפלה עם ליקוטי תורה - 2 כרכים")</f>
        <v>סידור תפלה עם ליקוטי תורה - 2 כרכים</v>
      </c>
      <c r="H1511" t="str">
        <f>_xlfn.CONCAT("https://tablet.otzar.org/",CHAR(35),"/exKotar/104354")</f>
        <v>https://tablet.otzar.org/#/exKotar/104354</v>
      </c>
    </row>
    <row r="1512" spans="1:8" x14ac:dyDescent="0.25">
      <c r="A1512">
        <v>195657</v>
      </c>
      <c r="B1512" t="s">
        <v>2486</v>
      </c>
      <c r="C1512" t="s">
        <v>2487</v>
      </c>
      <c r="D1512" t="s">
        <v>2488</v>
      </c>
      <c r="E1512" t="s">
        <v>2489</v>
      </c>
      <c r="F1512" t="s">
        <v>12</v>
      </c>
      <c r="G1512" t="str">
        <f>HYPERLINK(_xlfn.CONCAT("https://tablet.otzar.org/",CHAR(35),"/book/195657/p/-1/t/1/fs/0/start/0/end/0/c"),"סידורי חסידים ראשונים - סידור אדמו""""ר בעל התניא")</f>
        <v>סידורי חסידים ראשונים - סידור אדמו""ר בעל התניא</v>
      </c>
      <c r="H1512" t="str">
        <f>_xlfn.CONCAT("https://tablet.otzar.org/",CHAR(35),"/book/195657/p/-1/t/1/fs/0/start/0/end/0/c")</f>
        <v>https://tablet.otzar.org/#/book/195657/p/-1/t/1/fs/0/start/0/end/0/c</v>
      </c>
    </row>
    <row r="1513" spans="1:8" x14ac:dyDescent="0.25">
      <c r="A1513">
        <v>140940</v>
      </c>
      <c r="B1513" t="s">
        <v>2490</v>
      </c>
      <c r="C1513" t="s">
        <v>2490</v>
      </c>
      <c r="D1513" t="s">
        <v>197</v>
      </c>
      <c r="E1513" t="s">
        <v>129</v>
      </c>
      <c r="F1513" t="s">
        <v>12</v>
      </c>
      <c r="G1513" t="str">
        <f>HYPERLINK(_xlfn.CONCAT("https://tablet.otzar.org/",CHAR(35),"/book/140940/p/-1/t/1/fs/0/start/0/end/0/c"),"סיום והכנסת ספר תורה")</f>
        <v>סיום והכנסת ספר תורה</v>
      </c>
      <c r="H1513" t="str">
        <f>_xlfn.CONCAT("https://tablet.otzar.org/",CHAR(35),"/book/140940/p/-1/t/1/fs/0/start/0/end/0/c")</f>
        <v>https://tablet.otzar.org/#/book/140940/p/-1/t/1/fs/0/start/0/end/0/c</v>
      </c>
    </row>
    <row r="1514" spans="1:8" x14ac:dyDescent="0.25">
      <c r="A1514">
        <v>146285</v>
      </c>
      <c r="B1514" t="s">
        <v>2490</v>
      </c>
      <c r="C1514" t="s">
        <v>45</v>
      </c>
      <c r="D1514" t="s">
        <v>10</v>
      </c>
      <c r="E1514" t="s">
        <v>57</v>
      </c>
      <c r="F1514" t="s">
        <v>12</v>
      </c>
      <c r="G1514" t="str">
        <f>HYPERLINK(_xlfn.CONCAT("https://tablet.otzar.org/",CHAR(35),"/book/146285/p/-1/t/1/fs/0/start/0/end/0/c"),"סיום והכנסת ספר תורה")</f>
        <v>סיום והכנסת ספר תורה</v>
      </c>
      <c r="H1514" t="str">
        <f>_xlfn.CONCAT("https://tablet.otzar.org/",CHAR(35),"/book/146285/p/-1/t/1/fs/0/start/0/end/0/c")</f>
        <v>https://tablet.otzar.org/#/book/146285/p/-1/t/1/fs/0/start/0/end/0/c</v>
      </c>
    </row>
    <row r="1515" spans="1:8" x14ac:dyDescent="0.25">
      <c r="A1515">
        <v>607927</v>
      </c>
      <c r="B1515" t="s">
        <v>2491</v>
      </c>
      <c r="C1515" t="s">
        <v>244</v>
      </c>
      <c r="D1515" t="s">
        <v>15</v>
      </c>
      <c r="F1515" t="s">
        <v>12</v>
      </c>
      <c r="G1515" t="str">
        <f>HYPERLINK(_xlfn.CONCAT("https://tablet.otzar.org/",CHAR(35),"/book/607927/p/-1/t/1/fs/0/start/0/end/0/c"),"סיום והכנסת ספר תורה - מנהגים")</f>
        <v>סיום והכנסת ספר תורה - מנהגים</v>
      </c>
      <c r="H1515" t="str">
        <f>_xlfn.CONCAT("https://tablet.otzar.org/",CHAR(35),"/book/607927/p/-1/t/1/fs/0/start/0/end/0/c")</f>
        <v>https://tablet.otzar.org/#/book/607927/p/-1/t/1/fs/0/start/0/end/0/c</v>
      </c>
    </row>
    <row r="1516" spans="1:8" x14ac:dyDescent="0.25">
      <c r="A1516">
        <v>29260</v>
      </c>
      <c r="B1516" t="s">
        <v>2492</v>
      </c>
      <c r="C1516" t="s">
        <v>2493</v>
      </c>
      <c r="D1516" t="s">
        <v>10</v>
      </c>
      <c r="E1516" t="s">
        <v>139</v>
      </c>
      <c r="F1516" t="s">
        <v>12</v>
      </c>
      <c r="G1516" t="str">
        <f>HYPERLINK(_xlfn.CONCAT("https://tablet.otzar.org/",CHAR(35),"/book/29260/p/-1/t/1/fs/0/start/0/end/0/c"),"סיומי הרמב""""ם")</f>
        <v>סיומי הרמב""ם</v>
      </c>
      <c r="H1516" t="str">
        <f>_xlfn.CONCAT("https://tablet.otzar.org/",CHAR(35),"/book/29260/p/-1/t/1/fs/0/start/0/end/0/c")</f>
        <v>https://tablet.otzar.org/#/book/29260/p/-1/t/1/fs/0/start/0/end/0/c</v>
      </c>
    </row>
    <row r="1517" spans="1:8" x14ac:dyDescent="0.25">
      <c r="A1517">
        <v>173560</v>
      </c>
      <c r="B1517" t="s">
        <v>2494</v>
      </c>
      <c r="C1517" t="s">
        <v>2340</v>
      </c>
      <c r="D1517" t="s">
        <v>1475</v>
      </c>
      <c r="E1517" t="s">
        <v>82</v>
      </c>
      <c r="F1517" t="s">
        <v>12</v>
      </c>
      <c r="G1517" t="str">
        <f>HYPERLINK(_xlfn.CONCAT("https://tablet.otzar.org/",CHAR(35),"/book/173560/p/-1/t/1/fs/0/start/0/end/0/c"),"סיכום המשך בשעה שהקדימו תער""""ב")</f>
        <v>סיכום המשך בשעה שהקדימו תער""ב</v>
      </c>
      <c r="H1517" t="str">
        <f>_xlfn.CONCAT("https://tablet.otzar.org/",CHAR(35),"/book/173560/p/-1/t/1/fs/0/start/0/end/0/c")</f>
        <v>https://tablet.otzar.org/#/book/173560/p/-1/t/1/fs/0/start/0/end/0/c</v>
      </c>
    </row>
    <row r="1518" spans="1:8" x14ac:dyDescent="0.25">
      <c r="A1518">
        <v>677089</v>
      </c>
      <c r="B1518" t="s">
        <v>2495</v>
      </c>
      <c r="C1518" t="s">
        <v>122</v>
      </c>
      <c r="D1518" t="s">
        <v>28</v>
      </c>
      <c r="E1518" t="s">
        <v>91</v>
      </c>
      <c r="F1518" t="s">
        <v>12</v>
      </c>
      <c r="G1518" t="str">
        <f>HYPERLINK(_xlfn.CONCAT("https://tablet.otzar.org/",CHAR(35),"/book/677089/p/-1/t/1/fs/0/start/0/end/0/c"),"סיכום מאמרי הרבי")</f>
        <v>סיכום מאמרי הרבי</v>
      </c>
      <c r="H1518" t="str">
        <f>_xlfn.CONCAT("https://tablet.otzar.org/",CHAR(35),"/book/677089/p/-1/t/1/fs/0/start/0/end/0/c")</f>
        <v>https://tablet.otzar.org/#/book/677089/p/-1/t/1/fs/0/start/0/end/0/c</v>
      </c>
    </row>
    <row r="1519" spans="1:8" x14ac:dyDescent="0.25">
      <c r="A1519">
        <v>29330</v>
      </c>
      <c r="B1519" t="s">
        <v>2496</v>
      </c>
      <c r="C1519" t="s">
        <v>946</v>
      </c>
      <c r="D1519" t="s">
        <v>15</v>
      </c>
      <c r="E1519" t="s">
        <v>174</v>
      </c>
      <c r="F1519" t="s">
        <v>12</v>
      </c>
      <c r="G1519" t="str">
        <f>HYPERLINK(_xlfn.CONCAT("https://tablet.otzar.org/",CHAR(35),"/exKotar/29330"),"סיפור אישי - 2 כרכים")</f>
        <v>סיפור אישי - 2 כרכים</v>
      </c>
      <c r="H1519" t="str">
        <f>_xlfn.CONCAT("https://tablet.otzar.org/",CHAR(35),"/exKotar/29330")</f>
        <v>https://tablet.otzar.org/#/exKotar/29330</v>
      </c>
    </row>
    <row r="1520" spans="1:8" x14ac:dyDescent="0.25">
      <c r="A1520">
        <v>28799</v>
      </c>
      <c r="B1520" t="s">
        <v>2497</v>
      </c>
      <c r="C1520" t="s">
        <v>391</v>
      </c>
      <c r="D1520" t="s">
        <v>374</v>
      </c>
      <c r="E1520" t="s">
        <v>192</v>
      </c>
      <c r="F1520" t="s">
        <v>12</v>
      </c>
      <c r="G1520" t="str">
        <f>HYPERLINK(_xlfn.CONCAT("https://tablet.otzar.org/",CHAR(35),"/exKotar/28799"),"סיפור של חג - 7 כרכים")</f>
        <v>סיפור של חג - 7 כרכים</v>
      </c>
      <c r="H1520" t="str">
        <f>_xlfn.CONCAT("https://tablet.otzar.org/",CHAR(35),"/exKotar/28799")</f>
        <v>https://tablet.otzar.org/#/exKotar/28799</v>
      </c>
    </row>
    <row r="1521" spans="1:8" x14ac:dyDescent="0.25">
      <c r="A1521">
        <v>28788</v>
      </c>
      <c r="B1521" t="s">
        <v>2498</v>
      </c>
      <c r="C1521" t="s">
        <v>1548</v>
      </c>
      <c r="D1521" t="s">
        <v>15</v>
      </c>
      <c r="E1521" t="s">
        <v>441</v>
      </c>
      <c r="F1521" t="s">
        <v>12</v>
      </c>
      <c r="G1521" t="str">
        <f>HYPERLINK(_xlfn.CONCAT("https://tablet.otzar.org/",CHAR(35),"/exKotar/28788"),"סיפורה של שליחות - 2 כרכים")</f>
        <v>סיפורה של שליחות - 2 כרכים</v>
      </c>
      <c r="H1521" t="str">
        <f>_xlfn.CONCAT("https://tablet.otzar.org/",CHAR(35),"/exKotar/28788")</f>
        <v>https://tablet.otzar.org/#/exKotar/28788</v>
      </c>
    </row>
    <row r="1522" spans="1:8" x14ac:dyDescent="0.25">
      <c r="A1522">
        <v>607906</v>
      </c>
      <c r="B1522" t="s">
        <v>2499</v>
      </c>
      <c r="C1522" t="s">
        <v>2500</v>
      </c>
      <c r="D1522" t="s">
        <v>28</v>
      </c>
      <c r="E1522" t="s">
        <v>99</v>
      </c>
      <c r="F1522" t="s">
        <v>12</v>
      </c>
      <c r="G1522" t="str">
        <f>HYPERLINK(_xlfn.CONCAT("https://tablet.otzar.org/",CHAR(35),"/book/607906/p/-1/t/1/fs/0/start/0/end/0/c"),"סיפורי חסידים - א")</f>
        <v>סיפורי חסידים - א</v>
      </c>
      <c r="H1522" t="str">
        <f>_xlfn.CONCAT("https://tablet.otzar.org/",CHAR(35),"/book/607906/p/-1/t/1/fs/0/start/0/end/0/c")</f>
        <v>https://tablet.otzar.org/#/book/607906/p/-1/t/1/fs/0/start/0/end/0/c</v>
      </c>
    </row>
    <row r="1523" spans="1:8" x14ac:dyDescent="0.25">
      <c r="A1523">
        <v>141397</v>
      </c>
      <c r="B1523" t="s">
        <v>2501</v>
      </c>
      <c r="C1523" t="s">
        <v>2502</v>
      </c>
      <c r="D1523" t="s">
        <v>15</v>
      </c>
      <c r="E1523" t="s">
        <v>66</v>
      </c>
      <c r="F1523" t="s">
        <v>12</v>
      </c>
      <c r="G1523" t="str">
        <f>HYPERLINK(_xlfn.CONCAT("https://tablet.otzar.org/",CHAR(35),"/exKotar/141397"),"סיפורי חסידים לנוער - 2 כרכים")</f>
        <v>סיפורי חסידים לנוער - 2 כרכים</v>
      </c>
      <c r="H1523" t="str">
        <f>_xlfn.CONCAT("https://tablet.otzar.org/",CHAR(35),"/exKotar/141397")</f>
        <v>https://tablet.otzar.org/#/exKotar/141397</v>
      </c>
    </row>
    <row r="1524" spans="1:8" x14ac:dyDescent="0.25">
      <c r="A1524">
        <v>140837</v>
      </c>
      <c r="B1524" t="s">
        <v>2503</v>
      </c>
      <c r="C1524" t="s">
        <v>547</v>
      </c>
      <c r="D1524" t="s">
        <v>215</v>
      </c>
      <c r="E1524" t="s">
        <v>60</v>
      </c>
      <c r="F1524" t="s">
        <v>12</v>
      </c>
      <c r="G1524" t="str">
        <f>HYPERLINK(_xlfn.CONCAT("https://tablet.otzar.org/",CHAR(35),"/exKotar/140837"),"סיפורי מופת - 5 כרכים")</f>
        <v>סיפורי מופת - 5 כרכים</v>
      </c>
      <c r="H1524" t="str">
        <f>_xlfn.CONCAT("https://tablet.otzar.org/",CHAR(35),"/exKotar/140837")</f>
        <v>https://tablet.otzar.org/#/exKotar/140837</v>
      </c>
    </row>
    <row r="1525" spans="1:8" x14ac:dyDescent="0.25">
      <c r="A1525">
        <v>145788</v>
      </c>
      <c r="B1525" t="s">
        <v>2504</v>
      </c>
      <c r="C1525" t="s">
        <v>2505</v>
      </c>
      <c r="D1525" t="s">
        <v>10</v>
      </c>
      <c r="E1525" t="s">
        <v>134</v>
      </c>
      <c r="F1525" t="s">
        <v>76</v>
      </c>
      <c r="G1525" t="str">
        <f>HYPERLINK(_xlfn.CONCAT("https://tablet.otzar.org/",CHAR(35),"/book/145788/p/-1/t/1/fs/0/start/0/end/0/c"),"סיפורי מופתים וקווים לדמותו של הרבי מליובאוויטש")</f>
        <v>סיפורי מופתים וקווים לדמותו של הרבי מליובאוויטש</v>
      </c>
      <c r="H1525" t="str">
        <f>_xlfn.CONCAT("https://tablet.otzar.org/",CHAR(35),"/book/145788/p/-1/t/1/fs/0/start/0/end/0/c")</f>
        <v>https://tablet.otzar.org/#/book/145788/p/-1/t/1/fs/0/start/0/end/0/c</v>
      </c>
    </row>
    <row r="1526" spans="1:8" x14ac:dyDescent="0.25">
      <c r="A1526">
        <v>146387</v>
      </c>
      <c r="B1526" t="s">
        <v>2506</v>
      </c>
      <c r="C1526" t="s">
        <v>2507</v>
      </c>
      <c r="D1526" t="s">
        <v>37</v>
      </c>
      <c r="E1526" t="s">
        <v>60</v>
      </c>
      <c r="F1526" t="s">
        <v>12</v>
      </c>
      <c r="G1526" t="str">
        <f>HYPERLINK(_xlfn.CONCAT("https://tablet.otzar.org/",CHAR(35),"/book/146387/p/-1/t/1/fs/0/start/0/end/0/c"),"סיפורי פלא מקוריים")</f>
        <v>סיפורי פלא מקוריים</v>
      </c>
      <c r="H1526" t="str">
        <f>_xlfn.CONCAT("https://tablet.otzar.org/",CHAR(35),"/book/146387/p/-1/t/1/fs/0/start/0/end/0/c")</f>
        <v>https://tablet.otzar.org/#/book/146387/p/-1/t/1/fs/0/start/0/end/0/c</v>
      </c>
    </row>
    <row r="1527" spans="1:8" x14ac:dyDescent="0.25">
      <c r="A1527">
        <v>27242</v>
      </c>
      <c r="B1527" t="s">
        <v>2508</v>
      </c>
      <c r="C1527" t="s">
        <v>427</v>
      </c>
      <c r="D1527" t="s">
        <v>15</v>
      </c>
      <c r="E1527" t="s">
        <v>54</v>
      </c>
      <c r="F1527" t="s">
        <v>12</v>
      </c>
      <c r="G1527" t="str">
        <f>HYPERLINK(_xlfn.CONCAT("https://tablet.otzar.org/",CHAR(35),"/exKotar/27242"),"סיפורים חסידיים - 2 כרכים")</f>
        <v>סיפורים חסידיים - 2 כרכים</v>
      </c>
      <c r="H1527" t="str">
        <f>_xlfn.CONCAT("https://tablet.otzar.org/",CHAR(35),"/exKotar/27242")</f>
        <v>https://tablet.otzar.org/#/exKotar/27242</v>
      </c>
    </row>
    <row r="1528" spans="1:8" x14ac:dyDescent="0.25">
      <c r="A1528">
        <v>175927</v>
      </c>
      <c r="B1528" t="s">
        <v>2509</v>
      </c>
      <c r="C1528" t="s">
        <v>2510</v>
      </c>
      <c r="D1528" t="s">
        <v>28</v>
      </c>
      <c r="E1528" t="s">
        <v>91</v>
      </c>
      <c r="F1528" t="s">
        <v>12</v>
      </c>
      <c r="G1528" t="str">
        <f>HYPERLINK(_xlfn.CONCAT("https://tablet.otzar.org/",CHAR(35),"/exKotar/175927"),"סיפורים מבית חב""""ד - 2 כרכים")</f>
        <v>סיפורים מבית חב""ד - 2 כרכים</v>
      </c>
      <c r="H1528" t="str">
        <f>_xlfn.CONCAT("https://tablet.otzar.org/",CHAR(35),"/exKotar/175927")</f>
        <v>https://tablet.otzar.org/#/exKotar/175927</v>
      </c>
    </row>
    <row r="1529" spans="1:8" x14ac:dyDescent="0.25">
      <c r="A1529">
        <v>85198</v>
      </c>
      <c r="B1529" t="s">
        <v>2511</v>
      </c>
      <c r="C1529" t="s">
        <v>391</v>
      </c>
      <c r="D1529" t="s">
        <v>387</v>
      </c>
      <c r="E1529" t="s">
        <v>226</v>
      </c>
      <c r="F1529" t="s">
        <v>12</v>
      </c>
      <c r="G1529" t="str">
        <f>HYPERLINK(_xlfn.CONCAT("https://tablet.otzar.org/",CHAR(35),"/book/85198/p/-1/t/1/fs/0/start/0/end/0/c"),"סיפורים מחדר הרבי")</f>
        <v>סיפורים מחדר הרבי</v>
      </c>
      <c r="H1529" t="str">
        <f>_xlfn.CONCAT("https://tablet.otzar.org/",CHAR(35),"/book/85198/p/-1/t/1/fs/0/start/0/end/0/c")</f>
        <v>https://tablet.otzar.org/#/book/85198/p/-1/t/1/fs/0/start/0/end/0/c</v>
      </c>
    </row>
    <row r="1530" spans="1:8" x14ac:dyDescent="0.25">
      <c r="A1530">
        <v>29331</v>
      </c>
      <c r="B1530" t="s">
        <v>2512</v>
      </c>
      <c r="C1530" t="s">
        <v>1246</v>
      </c>
      <c r="D1530" t="s">
        <v>28</v>
      </c>
      <c r="E1530" t="s">
        <v>60</v>
      </c>
      <c r="F1530" t="s">
        <v>12</v>
      </c>
      <c r="G1530" t="str">
        <f>HYPERLINK(_xlfn.CONCAT("https://tablet.otzar.org/",CHAR(35),"/book/29331/p/-1/t/1/fs/0/start/0/end/0/c"),"סיפורים נוראים")</f>
        <v>סיפורים נוראים</v>
      </c>
      <c r="H1530" t="str">
        <f>_xlfn.CONCAT("https://tablet.otzar.org/",CHAR(35),"/book/29331/p/-1/t/1/fs/0/start/0/end/0/c")</f>
        <v>https://tablet.otzar.org/#/book/29331/p/-1/t/1/fs/0/start/0/end/0/c</v>
      </c>
    </row>
    <row r="1531" spans="1:8" x14ac:dyDescent="0.25">
      <c r="A1531">
        <v>150929</v>
      </c>
      <c r="B1531" t="s">
        <v>2513</v>
      </c>
      <c r="C1531" t="s">
        <v>2514</v>
      </c>
      <c r="D1531" t="s">
        <v>15</v>
      </c>
      <c r="E1531" t="s">
        <v>226</v>
      </c>
      <c r="F1531" t="s">
        <v>76</v>
      </c>
      <c r="G1531" t="str">
        <f>HYPERLINK(_xlfn.CONCAT("https://tablet.otzar.org/",CHAR(35),"/exKotar/150929"),"סיפורים שאהבתי לספר - 2 כרכים")</f>
        <v>סיפורים שאהבתי לספר - 2 כרכים</v>
      </c>
      <c r="H1531" t="str">
        <f>_xlfn.CONCAT("https://tablet.otzar.org/",CHAR(35),"/exKotar/150929")</f>
        <v>https://tablet.otzar.org/#/exKotar/150929</v>
      </c>
    </row>
    <row r="1532" spans="1:8" x14ac:dyDescent="0.25">
      <c r="A1532">
        <v>611919</v>
      </c>
      <c r="B1532" t="s">
        <v>2515</v>
      </c>
      <c r="C1532" t="s">
        <v>2516</v>
      </c>
      <c r="D1532" t="s">
        <v>28</v>
      </c>
      <c r="E1532" t="s">
        <v>404</v>
      </c>
      <c r="F1532" t="s">
        <v>12</v>
      </c>
      <c r="G1532" t="str">
        <f>HYPERLINK(_xlfn.CONCAT("https://tablet.otzar.org/",CHAR(35),"/book/611919/p/-1/t/1/fs/0/start/0/end/0/c"),"סיפורים שסיפר הרבי מליובאוויטש והוראות בעבודת ה'")</f>
        <v>סיפורים שסיפר הרבי מליובאוויטש והוראות בעבודת ה'</v>
      </c>
      <c r="H1532" t="str">
        <f>_xlfn.CONCAT("https://tablet.otzar.org/",CHAR(35),"/book/611919/p/-1/t/1/fs/0/start/0/end/0/c")</f>
        <v>https://tablet.otzar.org/#/book/611919/p/-1/t/1/fs/0/start/0/end/0/c</v>
      </c>
    </row>
    <row r="1533" spans="1:8" x14ac:dyDescent="0.25">
      <c r="A1533">
        <v>141380</v>
      </c>
      <c r="B1533" t="s">
        <v>2517</v>
      </c>
      <c r="C1533" t="s">
        <v>2518</v>
      </c>
      <c r="D1533" t="s">
        <v>10</v>
      </c>
      <c r="E1533" t="s">
        <v>192</v>
      </c>
      <c r="F1533" t="s">
        <v>12</v>
      </c>
      <c r="G1533" t="str">
        <f>HYPERLINK(_xlfn.CONCAT("https://tablet.otzar.org/",CHAR(35),"/exKotar/141380"),"סליחות על פי מנהג חב""""ד - 2 כרכים")</f>
        <v>סליחות על פי מנהג חב""ד - 2 כרכים</v>
      </c>
      <c r="H1533" t="str">
        <f>_xlfn.CONCAT("https://tablet.otzar.org/",CHAR(35),"/exKotar/141380")</f>
        <v>https://tablet.otzar.org/#/exKotar/141380</v>
      </c>
    </row>
    <row r="1534" spans="1:8" x14ac:dyDescent="0.25">
      <c r="A1534">
        <v>175903</v>
      </c>
      <c r="B1534" t="s">
        <v>2519</v>
      </c>
      <c r="C1534" t="s">
        <v>2148</v>
      </c>
      <c r="D1534" t="s">
        <v>15</v>
      </c>
      <c r="E1534" t="s">
        <v>62</v>
      </c>
      <c r="F1534" t="s">
        <v>12</v>
      </c>
      <c r="G1534" t="str">
        <f>HYPERLINK(_xlfn.CONCAT("https://tablet.otzar.org/",CHAR(35),"/book/175903/p/-1/t/1/fs/0/start/0/end/0/c"),"סמרקנד")</f>
        <v>סמרקנד</v>
      </c>
      <c r="H1534" t="str">
        <f>_xlfn.CONCAT("https://tablet.otzar.org/",CHAR(35),"/book/175903/p/-1/t/1/fs/0/start/0/end/0/c")</f>
        <v>https://tablet.otzar.org/#/book/175903/p/-1/t/1/fs/0/start/0/end/0/c</v>
      </c>
    </row>
    <row r="1535" spans="1:8" x14ac:dyDescent="0.25">
      <c r="A1535">
        <v>150676</v>
      </c>
      <c r="B1535" t="s">
        <v>2520</v>
      </c>
      <c r="C1535" t="s">
        <v>2521</v>
      </c>
      <c r="D1535" t="s">
        <v>197</v>
      </c>
      <c r="E1535" t="s">
        <v>33</v>
      </c>
      <c r="F1535" t="s">
        <v>12</v>
      </c>
      <c r="G1535" t="str">
        <f>HYPERLINK(_xlfn.CONCAT("https://tablet.otzar.org/",CHAR(35),"/book/150676/p/-1/t/1/fs/0/start/0/end/0/c"),"סעודה שלישית")</f>
        <v>סעודה שלישית</v>
      </c>
      <c r="H1535" t="str">
        <f>_xlfn.CONCAT("https://tablet.otzar.org/",CHAR(35),"/book/150676/p/-1/t/1/fs/0/start/0/end/0/c")</f>
        <v>https://tablet.otzar.org/#/book/150676/p/-1/t/1/fs/0/start/0/end/0/c</v>
      </c>
    </row>
    <row r="1536" spans="1:8" x14ac:dyDescent="0.25">
      <c r="A1536">
        <v>27643</v>
      </c>
      <c r="B1536" t="s">
        <v>2522</v>
      </c>
      <c r="C1536" t="s">
        <v>2523</v>
      </c>
      <c r="D1536" t="s">
        <v>10</v>
      </c>
      <c r="E1536" t="s">
        <v>129</v>
      </c>
      <c r="F1536" t="s">
        <v>12</v>
      </c>
      <c r="G1536" t="str">
        <f>HYPERLINK(_xlfn.CONCAT("https://tablet.otzar.org/",CHAR(35),"/book/27643/p/-1/t/1/fs/0/start/0/end/0/c"),"סעודת מלוה מלכה רבתי")</f>
        <v>סעודת מלוה מלכה רבתי</v>
      </c>
      <c r="H1536" t="str">
        <f>_xlfn.CONCAT("https://tablet.otzar.org/",CHAR(35),"/book/27643/p/-1/t/1/fs/0/start/0/end/0/c")</f>
        <v>https://tablet.otzar.org/#/book/27643/p/-1/t/1/fs/0/start/0/end/0/c</v>
      </c>
    </row>
    <row r="1537" spans="1:8" x14ac:dyDescent="0.25">
      <c r="A1537">
        <v>607826</v>
      </c>
      <c r="B1537" t="s">
        <v>2524</v>
      </c>
      <c r="C1537" t="s">
        <v>2525</v>
      </c>
      <c r="D1537" t="s">
        <v>15</v>
      </c>
      <c r="E1537" t="s">
        <v>404</v>
      </c>
      <c r="F1537" t="s">
        <v>12</v>
      </c>
      <c r="G1537" t="str">
        <f>HYPERLINK(_xlfn.CONCAT("https://tablet.otzar.org/",CHAR(35),"/book/607826/p/-1/t/1/fs/0/start/0/end/0/c"),"ספורי החסידי")</f>
        <v>ספורי החסידי</v>
      </c>
      <c r="H1537" t="str">
        <f>_xlfn.CONCAT("https://tablet.otzar.org/",CHAR(35),"/book/607826/p/-1/t/1/fs/0/start/0/end/0/c")</f>
        <v>https://tablet.otzar.org/#/book/607826/p/-1/t/1/fs/0/start/0/end/0/c</v>
      </c>
    </row>
    <row r="1538" spans="1:8" x14ac:dyDescent="0.25">
      <c r="A1538">
        <v>196298</v>
      </c>
      <c r="B1538" t="s">
        <v>2526</v>
      </c>
      <c r="C1538" t="s">
        <v>2527</v>
      </c>
      <c r="D1538" t="s">
        <v>10</v>
      </c>
      <c r="E1538" t="s">
        <v>99</v>
      </c>
      <c r="F1538" t="s">
        <v>12</v>
      </c>
      <c r="G1538" t="str">
        <f>HYPERLINK(_xlfn.CONCAT("https://tablet.otzar.org/",CHAR(35),"/book/196298/p/-1/t/1/fs/0/start/0/end/0/c"),"ספורי רשימת היומן")</f>
        <v>ספורי רשימת היומן</v>
      </c>
      <c r="H1538" t="str">
        <f>_xlfn.CONCAT("https://tablet.otzar.org/",CHAR(35),"/book/196298/p/-1/t/1/fs/0/start/0/end/0/c")</f>
        <v>https://tablet.otzar.org/#/book/196298/p/-1/t/1/fs/0/start/0/end/0/c</v>
      </c>
    </row>
    <row r="1539" spans="1:8" x14ac:dyDescent="0.25">
      <c r="A1539">
        <v>162735</v>
      </c>
      <c r="B1539" t="s">
        <v>2528</v>
      </c>
      <c r="C1539" t="s">
        <v>2528</v>
      </c>
      <c r="D1539" t="s">
        <v>15</v>
      </c>
      <c r="E1539" t="s">
        <v>16</v>
      </c>
      <c r="F1539" t="s">
        <v>76</v>
      </c>
      <c r="G1539" t="str">
        <f>HYPERLINK(_xlfn.CONCAT("https://tablet.otzar.org/",CHAR(35),"/book/162735/p/-1/t/1/fs/0/start/0/end/0/c"),"ספורים נפלאים")</f>
        <v>ספורים נפלאים</v>
      </c>
      <c r="H1539" t="str">
        <f>_xlfn.CONCAT("https://tablet.otzar.org/",CHAR(35),"/book/162735/p/-1/t/1/fs/0/start/0/end/0/c")</f>
        <v>https://tablet.otzar.org/#/book/162735/p/-1/t/1/fs/0/start/0/end/0/c</v>
      </c>
    </row>
    <row r="1540" spans="1:8" x14ac:dyDescent="0.25">
      <c r="A1540">
        <v>643035</v>
      </c>
      <c r="B1540" t="s">
        <v>2529</v>
      </c>
      <c r="C1540" t="s">
        <v>14</v>
      </c>
      <c r="D1540" t="s">
        <v>28</v>
      </c>
      <c r="E1540" t="s">
        <v>91</v>
      </c>
      <c r="F1540" t="s">
        <v>201</v>
      </c>
      <c r="G1540" t="str">
        <f>HYPERLINK(_xlfn.CONCAT("https://tablet.otzar.org/",CHAR(35),"/book/643035/p/-1/t/1/fs/0/start/0/end/0/c"),"ספירולוגיה בספירת העומר")</f>
        <v>ספירולוגיה בספירת העומר</v>
      </c>
      <c r="H1540" t="str">
        <f>_xlfn.CONCAT("https://tablet.otzar.org/",CHAR(35),"/book/643035/p/-1/t/1/fs/0/start/0/end/0/c")</f>
        <v>https://tablet.otzar.org/#/book/643035/p/-1/t/1/fs/0/start/0/end/0/c</v>
      </c>
    </row>
    <row r="1541" spans="1:8" x14ac:dyDescent="0.25">
      <c r="A1541">
        <v>146275</v>
      </c>
      <c r="B1541" t="s">
        <v>2530</v>
      </c>
      <c r="C1541" t="s">
        <v>2531</v>
      </c>
      <c r="D1541" t="s">
        <v>28</v>
      </c>
      <c r="E1541" t="s">
        <v>91</v>
      </c>
      <c r="F1541" t="s">
        <v>12</v>
      </c>
      <c r="G1541" t="str">
        <f>HYPERLINK(_xlfn.CONCAT("https://tablet.otzar.org/",CHAR(35),"/book/146275/p/-1/t/1/fs/0/start/0/end/0/c"),"ספירת העומר")</f>
        <v>ספירת העומר</v>
      </c>
      <c r="H1541" t="str">
        <f>_xlfn.CONCAT("https://tablet.otzar.org/",CHAR(35),"/book/146275/p/-1/t/1/fs/0/start/0/end/0/c")</f>
        <v>https://tablet.otzar.org/#/book/146275/p/-1/t/1/fs/0/start/0/end/0/c</v>
      </c>
    </row>
    <row r="1542" spans="1:8" x14ac:dyDescent="0.25">
      <c r="A1542">
        <v>141355</v>
      </c>
      <c r="B1542" t="s">
        <v>2532</v>
      </c>
      <c r="C1542" t="s">
        <v>45</v>
      </c>
      <c r="D1542" t="s">
        <v>10</v>
      </c>
      <c r="E1542" t="s">
        <v>134</v>
      </c>
      <c r="F1542" t="s">
        <v>12</v>
      </c>
      <c r="G1542" t="str">
        <f>HYPERLINK(_xlfn.CONCAT("https://tablet.otzar.org/",CHAR(35),"/book/141355/p/-1/t/1/fs/0/start/0/end/0/c"),"ספר ג' תמוז")</f>
        <v>ספר ג' תמוז</v>
      </c>
      <c r="H1542" t="str">
        <f>_xlfn.CONCAT("https://tablet.otzar.org/",CHAR(35),"/book/141355/p/-1/t/1/fs/0/start/0/end/0/c")</f>
        <v>https://tablet.otzar.org/#/book/141355/p/-1/t/1/fs/0/start/0/end/0/c</v>
      </c>
    </row>
    <row r="1543" spans="1:8" x14ac:dyDescent="0.25">
      <c r="A1543">
        <v>162741</v>
      </c>
      <c r="B1543" t="s">
        <v>2533</v>
      </c>
      <c r="C1543" t="s">
        <v>2534</v>
      </c>
      <c r="D1543" t="s">
        <v>387</v>
      </c>
      <c r="E1543" t="s">
        <v>16</v>
      </c>
      <c r="F1543" t="s">
        <v>208</v>
      </c>
      <c r="G1543" t="str">
        <f>HYPERLINK(_xlfn.CONCAT("https://tablet.otzar.org/",CHAR(35),"/exKotar/162741"),"ספר הגור - 2 כרכים")</f>
        <v>ספר הגור - 2 כרכים</v>
      </c>
      <c r="H1543" t="str">
        <f>_xlfn.CONCAT("https://tablet.otzar.org/",CHAR(35),"/exKotar/162741")</f>
        <v>https://tablet.otzar.org/#/exKotar/162741</v>
      </c>
    </row>
    <row r="1544" spans="1:8" x14ac:dyDescent="0.25">
      <c r="A1544">
        <v>28783</v>
      </c>
      <c r="B1544" t="s">
        <v>2535</v>
      </c>
      <c r="C1544" t="s">
        <v>2535</v>
      </c>
      <c r="D1544" t="s">
        <v>10</v>
      </c>
      <c r="E1544" t="s">
        <v>148</v>
      </c>
      <c r="F1544" t="s">
        <v>12</v>
      </c>
      <c r="G1544" t="str">
        <f>HYPERLINK(_xlfn.CONCAT("https://tablet.otzar.org/",CHAR(35),"/book/28783/p/-1/t/1/fs/0/start/0/end/0/c"),"ספר ההשתטחות")</f>
        <v>ספר ההשתטחות</v>
      </c>
      <c r="H1544" t="str">
        <f>_xlfn.CONCAT("https://tablet.otzar.org/",CHAR(35),"/book/28783/p/-1/t/1/fs/0/start/0/end/0/c")</f>
        <v>https://tablet.otzar.org/#/book/28783/p/-1/t/1/fs/0/start/0/end/0/c</v>
      </c>
    </row>
    <row r="1545" spans="1:8" x14ac:dyDescent="0.25">
      <c r="A1545">
        <v>145550</v>
      </c>
      <c r="B1545" t="s">
        <v>2535</v>
      </c>
      <c r="C1545" t="s">
        <v>2536</v>
      </c>
      <c r="D1545" t="s">
        <v>10</v>
      </c>
      <c r="E1545" t="s">
        <v>33</v>
      </c>
      <c r="F1545" t="s">
        <v>12</v>
      </c>
      <c r="G1545" t="str">
        <f>HYPERLINK(_xlfn.CONCAT("https://tablet.otzar.org/",CHAR(35),"/book/145550/p/-1/t/1/fs/0/start/0/end/0/c"),"ספר ההשתטחות")</f>
        <v>ספר ההשתטחות</v>
      </c>
      <c r="H1545" t="str">
        <f>_xlfn.CONCAT("https://tablet.otzar.org/",CHAR(35),"/book/145550/p/-1/t/1/fs/0/start/0/end/0/c")</f>
        <v>https://tablet.otzar.org/#/book/145550/p/-1/t/1/fs/0/start/0/end/0/c</v>
      </c>
    </row>
    <row r="1546" spans="1:8" x14ac:dyDescent="0.25">
      <c r="A1546">
        <v>146550</v>
      </c>
      <c r="B1546" t="s">
        <v>2537</v>
      </c>
      <c r="C1546" t="s">
        <v>2538</v>
      </c>
      <c r="D1546" t="s">
        <v>10</v>
      </c>
      <c r="E1546" t="s">
        <v>515</v>
      </c>
      <c r="F1546" t="s">
        <v>12</v>
      </c>
      <c r="G1546" t="str">
        <f>HYPERLINK(_xlfn.CONCAT("https://tablet.otzar.org/",CHAR(35),"/book/146550/p/-1/t/1/fs/0/start/0/end/0/c"),"ספר הזכרונות - דברי הימים")</f>
        <v>ספר הזכרונות - דברי הימים</v>
      </c>
      <c r="H1546" t="str">
        <f>_xlfn.CONCAT("https://tablet.otzar.org/",CHAR(35),"/book/146550/p/-1/t/1/fs/0/start/0/end/0/c")</f>
        <v>https://tablet.otzar.org/#/book/146550/p/-1/t/1/fs/0/start/0/end/0/c</v>
      </c>
    </row>
    <row r="1547" spans="1:8" x14ac:dyDescent="0.25">
      <c r="A1547">
        <v>26461</v>
      </c>
      <c r="B1547" t="s">
        <v>2539</v>
      </c>
      <c r="C1547" t="s">
        <v>59</v>
      </c>
      <c r="D1547" t="s">
        <v>15</v>
      </c>
      <c r="E1547" t="s">
        <v>250</v>
      </c>
      <c r="F1547" t="s">
        <v>12</v>
      </c>
      <c r="G1547" t="str">
        <f>HYPERLINK(_xlfn.CONCAT("https://tablet.otzar.org/",CHAR(35),"/exKotar/26461"),"ספר הזכרונות &lt;בלה""""ק&gt;  - 2 כרכים")</f>
        <v>ספר הזכרונות &lt;בלה""ק&gt;  - 2 כרכים</v>
      </c>
      <c r="H1547" t="str">
        <f>_xlfn.CONCAT("https://tablet.otzar.org/",CHAR(35),"/exKotar/26461")</f>
        <v>https://tablet.otzar.org/#/exKotar/26461</v>
      </c>
    </row>
    <row r="1548" spans="1:8" x14ac:dyDescent="0.25">
      <c r="A1548">
        <v>143266</v>
      </c>
      <c r="B1548" t="s">
        <v>2540</v>
      </c>
      <c r="C1548" t="s">
        <v>59</v>
      </c>
      <c r="D1548" t="s">
        <v>15</v>
      </c>
      <c r="E1548" t="s">
        <v>2541</v>
      </c>
      <c r="G1548" t="str">
        <f>HYPERLINK(_xlfn.CONCAT("https://tablet.otzar.org/",CHAR(35),"/exKotar/143266"),"ספר הזכרונות - 2 כרכים")</f>
        <v>ספר הזכרונות - 2 כרכים</v>
      </c>
      <c r="H1548" t="str">
        <f>_xlfn.CONCAT("https://tablet.otzar.org/",CHAR(35),"/exKotar/143266")</f>
        <v>https://tablet.otzar.org/#/exKotar/143266</v>
      </c>
    </row>
    <row r="1549" spans="1:8" x14ac:dyDescent="0.25">
      <c r="A1549">
        <v>27082</v>
      </c>
      <c r="B1549" t="s">
        <v>2542</v>
      </c>
      <c r="C1549" t="s">
        <v>61</v>
      </c>
      <c r="D1549" t="s">
        <v>10</v>
      </c>
      <c r="E1549" t="s">
        <v>79</v>
      </c>
      <c r="G1549" t="str">
        <f>HYPERLINK(_xlfn.CONCAT("https://tablet.otzar.org/",CHAR(35),"/book/27082/p/-1/t/1/fs/0/start/0/end/0/c"),"ספר החקירה")</f>
        <v>ספר החקירה</v>
      </c>
      <c r="H1549" t="str">
        <f>_xlfn.CONCAT("https://tablet.otzar.org/",CHAR(35),"/book/27082/p/-1/t/1/fs/0/start/0/end/0/c")</f>
        <v>https://tablet.otzar.org/#/book/27082/p/-1/t/1/fs/0/start/0/end/0/c</v>
      </c>
    </row>
    <row r="1550" spans="1:8" x14ac:dyDescent="0.25">
      <c r="A1550">
        <v>27163</v>
      </c>
      <c r="B1550" t="s">
        <v>2543</v>
      </c>
      <c r="C1550" t="s">
        <v>125</v>
      </c>
      <c r="D1550" t="s">
        <v>10</v>
      </c>
      <c r="E1550" t="s">
        <v>46</v>
      </c>
      <c r="F1550" t="s">
        <v>12</v>
      </c>
      <c r="G1550" t="str">
        <f>HYPERLINK(_xlfn.CONCAT("https://tablet.otzar.org/",CHAR(35),"/book/27163/p/-1/t/1/fs/0/start/0/end/0/c"),"ספר היובל קרנות צדי""""ק")</f>
        <v>ספר היובל קרנות צדי""ק</v>
      </c>
      <c r="H1550" t="str">
        <f>_xlfn.CONCAT("https://tablet.otzar.org/",CHAR(35),"/book/27163/p/-1/t/1/fs/0/start/0/end/0/c")</f>
        <v>https://tablet.otzar.org/#/book/27163/p/-1/t/1/fs/0/start/0/end/0/c</v>
      </c>
    </row>
    <row r="1551" spans="1:8" x14ac:dyDescent="0.25">
      <c r="A1551">
        <v>142726</v>
      </c>
      <c r="B1551" t="s">
        <v>2544</v>
      </c>
      <c r="C1551" t="s">
        <v>178</v>
      </c>
      <c r="D1551" t="s">
        <v>10</v>
      </c>
      <c r="E1551" t="s">
        <v>139</v>
      </c>
      <c r="F1551" t="s">
        <v>76</v>
      </c>
      <c r="G1551" t="str">
        <f>HYPERLINK(_xlfn.CONCAT("https://tablet.otzar.org/",CHAR(35),"/book/142726/p/-1/t/1/fs/0/start/0/end/0/c"),"ספר היחידות")</f>
        <v>ספר היחידות</v>
      </c>
      <c r="H1551" t="str">
        <f>_xlfn.CONCAT("https://tablet.otzar.org/",CHAR(35),"/book/142726/p/-1/t/1/fs/0/start/0/end/0/c")</f>
        <v>https://tablet.otzar.org/#/book/142726/p/-1/t/1/fs/0/start/0/end/0/c</v>
      </c>
    </row>
    <row r="1552" spans="1:8" x14ac:dyDescent="0.25">
      <c r="A1552">
        <v>26157</v>
      </c>
      <c r="B1552" t="s">
        <v>2545</v>
      </c>
      <c r="C1552" t="s">
        <v>61</v>
      </c>
      <c r="D1552" t="s">
        <v>10</v>
      </c>
      <c r="E1552" t="s">
        <v>66</v>
      </c>
      <c r="G1552" t="str">
        <f>HYPERLINK(_xlfn.CONCAT("https://tablet.otzar.org/",CHAR(35),"/exKotar/26157"),"ספר הליקוטים דא""""ח צמח צדק - 25 כרכים")</f>
        <v>ספר הליקוטים דא""ח צמח צדק - 25 כרכים</v>
      </c>
      <c r="H1552" t="str">
        <f>_xlfn.CONCAT("https://tablet.otzar.org/",CHAR(35),"/exKotar/26157")</f>
        <v>https://tablet.otzar.org/#/exKotar/26157</v>
      </c>
    </row>
    <row r="1553" spans="1:8" x14ac:dyDescent="0.25">
      <c r="A1553">
        <v>26265</v>
      </c>
      <c r="B1553" t="s">
        <v>2546</v>
      </c>
      <c r="C1553" t="s">
        <v>59</v>
      </c>
      <c r="D1553" t="s">
        <v>10</v>
      </c>
      <c r="E1553" t="s">
        <v>382</v>
      </c>
      <c r="G1553" t="str">
        <f>HYPERLINK(_xlfn.CONCAT("https://tablet.otzar.org/",CHAR(35),"/book/26265/p/-1/t/1/fs/0/start/0/end/0/c"),"ספר המאמרים &lt;אידיש&gt; תש""""א-תש""""ה")</f>
        <v>ספר המאמרים &lt;אידיש&gt; תש""א-תש""ה</v>
      </c>
      <c r="H1553" t="str">
        <f>_xlfn.CONCAT("https://tablet.otzar.org/",CHAR(35),"/book/26265/p/-1/t/1/fs/0/start/0/end/0/c")</f>
        <v>https://tablet.otzar.org/#/book/26265/p/-1/t/1/fs/0/start/0/end/0/c</v>
      </c>
    </row>
    <row r="1554" spans="1:8" x14ac:dyDescent="0.25">
      <c r="A1554">
        <v>141690</v>
      </c>
      <c r="B1554" t="s">
        <v>2547</v>
      </c>
      <c r="C1554" t="s">
        <v>68</v>
      </c>
      <c r="D1554" t="s">
        <v>37</v>
      </c>
      <c r="E1554" t="s">
        <v>60</v>
      </c>
      <c r="G1554" t="str">
        <f>HYPERLINK(_xlfn.CONCAT("https://tablet.otzar.org/",CHAR(35),"/book/141690/p/-1/t/1/fs/0/start/0/end/0/c"),"ספר המאמרים &lt;טקסט&gt; - המשך תרע""""ב")</f>
        <v>ספר המאמרים &lt;טקסט&gt; - המשך תרע""ב</v>
      </c>
      <c r="H1554" t="str">
        <f>_xlfn.CONCAT("https://tablet.otzar.org/",CHAR(35),"/book/141690/p/-1/t/1/fs/0/start/0/end/0/c")</f>
        <v>https://tablet.otzar.org/#/book/141690/p/-1/t/1/fs/0/start/0/end/0/c</v>
      </c>
    </row>
    <row r="1555" spans="1:8" x14ac:dyDescent="0.25">
      <c r="A1555">
        <v>141694</v>
      </c>
      <c r="B1555" t="s">
        <v>2548</v>
      </c>
      <c r="C1555" t="s">
        <v>59</v>
      </c>
      <c r="D1555" t="s">
        <v>37</v>
      </c>
      <c r="E1555" t="s">
        <v>60</v>
      </c>
      <c r="G1555" t="str">
        <f>HYPERLINK(_xlfn.CONCAT("https://tablet.otzar.org/",CHAR(35),"/book/141694/p/-1/t/1/fs/0/start/0/end/0/c"),"ספר המאמרים &lt;טקסט&gt; - תרפ""""ט")</f>
        <v>ספר המאמרים &lt;טקסט&gt; - תרפ""ט</v>
      </c>
      <c r="H1555" t="str">
        <f>_xlfn.CONCAT("https://tablet.otzar.org/",CHAR(35),"/book/141694/p/-1/t/1/fs/0/start/0/end/0/c")</f>
        <v>https://tablet.otzar.org/#/book/141694/p/-1/t/1/fs/0/start/0/end/0/c</v>
      </c>
    </row>
    <row r="1556" spans="1:8" x14ac:dyDescent="0.25">
      <c r="A1556">
        <v>164313</v>
      </c>
      <c r="B1556" t="s">
        <v>2549</v>
      </c>
      <c r="C1556" t="s">
        <v>59</v>
      </c>
      <c r="D1556" t="s">
        <v>2550</v>
      </c>
      <c r="E1556" t="s">
        <v>16</v>
      </c>
      <c r="G1556" t="str">
        <f>HYPERLINK(_xlfn.CONCAT("https://tablet.otzar.org/",CHAR(35),"/book/164313/p/-1/t/1/fs/0/start/0/end/0/c"),"ספר המאמרים &lt;בתרגום צרפתית&gt;")</f>
        <v>ספר המאמרים &lt;בתרגום צרפתית&gt;</v>
      </c>
      <c r="H1556" t="str">
        <f>_xlfn.CONCAT("https://tablet.otzar.org/",CHAR(35),"/book/164313/p/-1/t/1/fs/0/start/0/end/0/c")</f>
        <v>https://tablet.otzar.org/#/book/164313/p/-1/t/1/fs/0/start/0/end/0/c</v>
      </c>
    </row>
    <row r="1557" spans="1:8" x14ac:dyDescent="0.25">
      <c r="A1557">
        <v>167684</v>
      </c>
      <c r="B1557" t="s">
        <v>2551</v>
      </c>
      <c r="C1557" t="s">
        <v>45</v>
      </c>
      <c r="D1557" t="s">
        <v>10</v>
      </c>
      <c r="E1557" t="s">
        <v>382</v>
      </c>
      <c r="F1557" t="s">
        <v>12</v>
      </c>
      <c r="G1557" t="str">
        <f>HYPERLINK(_xlfn.CONCAT("https://tablet.otzar.org/",CHAR(35),"/book/167684/p/-1/t/1/fs/0/start/0/end/0/c"),"ספר המאמרים &lt;מלוקט&gt; - א")</f>
        <v>ספר המאמרים &lt;מלוקט&gt; - א</v>
      </c>
      <c r="H1557" t="str">
        <f>_xlfn.CONCAT("https://tablet.otzar.org/",CHAR(35),"/book/167684/p/-1/t/1/fs/0/start/0/end/0/c")</f>
        <v>https://tablet.otzar.org/#/book/167684/p/-1/t/1/fs/0/start/0/end/0/c</v>
      </c>
    </row>
    <row r="1558" spans="1:8" x14ac:dyDescent="0.25">
      <c r="A1558">
        <v>607790</v>
      </c>
      <c r="B1558" t="s">
        <v>2552</v>
      </c>
      <c r="C1558" t="s">
        <v>68</v>
      </c>
      <c r="D1558" t="s">
        <v>10</v>
      </c>
      <c r="E1558" t="s">
        <v>404</v>
      </c>
      <c r="F1558" t="s">
        <v>12</v>
      </c>
      <c r="G1558" t="str">
        <f>HYPERLINK(_xlfn.CONCAT("https://tablet.otzar.org/",CHAR(35),"/book/607790/p/-1/t/1/fs/0/start/0/end/0/c"),"ספר המאמרים &lt;מהדורה חדשה&gt; תרעז ")</f>
        <v xml:space="preserve">ספר המאמרים &lt;מהדורה חדשה&gt; תרעז </v>
      </c>
      <c r="H1558" t="str">
        <f>_xlfn.CONCAT("https://tablet.otzar.org/",CHAR(35),"/book/607790/p/-1/t/1/fs/0/start/0/end/0/c")</f>
        <v>https://tablet.otzar.org/#/book/607790/p/-1/t/1/fs/0/start/0/end/0/c</v>
      </c>
    </row>
    <row r="1559" spans="1:8" x14ac:dyDescent="0.25">
      <c r="A1559">
        <v>143310</v>
      </c>
      <c r="B1559" t="s">
        <v>2553</v>
      </c>
      <c r="C1559" t="s">
        <v>45</v>
      </c>
      <c r="D1559" t="s">
        <v>10</v>
      </c>
      <c r="E1559" t="s">
        <v>260</v>
      </c>
      <c r="F1559" t="s">
        <v>76</v>
      </c>
      <c r="G1559" t="str">
        <f>HYPERLINK(_xlfn.CONCAT("https://tablet.otzar.org/",CHAR(35),"/exKotar/143310"),"ספר המאמרים - 23 כרכים")</f>
        <v>ספר המאמרים - 23 כרכים</v>
      </c>
      <c r="H1559" t="str">
        <f>_xlfn.CONCAT("https://tablet.otzar.org/",CHAR(35),"/exKotar/143310")</f>
        <v>https://tablet.otzar.org/#/exKotar/143310</v>
      </c>
    </row>
    <row r="1560" spans="1:8" x14ac:dyDescent="0.25">
      <c r="A1560">
        <v>26264</v>
      </c>
      <c r="B1560" t="s">
        <v>2554</v>
      </c>
      <c r="C1560" t="s">
        <v>59</v>
      </c>
      <c r="D1560" t="s">
        <v>10</v>
      </c>
      <c r="E1560" t="s">
        <v>69</v>
      </c>
      <c r="G1560" t="str">
        <f>HYPERLINK(_xlfn.CONCAT("https://tablet.otzar.org/",CHAR(35),"/exKotar/26264"),"ספר המאמרים - 19 כרכים")</f>
        <v>ספר המאמרים - 19 כרכים</v>
      </c>
      <c r="H1560" t="str">
        <f>_xlfn.CONCAT("https://tablet.otzar.org/",CHAR(35),"/exKotar/26264")</f>
        <v>https://tablet.otzar.org/#/exKotar/26264</v>
      </c>
    </row>
    <row r="1561" spans="1:8" x14ac:dyDescent="0.25">
      <c r="A1561">
        <v>143283</v>
      </c>
      <c r="B1561" t="s">
        <v>2555</v>
      </c>
      <c r="C1561" t="s">
        <v>68</v>
      </c>
      <c r="D1561" t="s">
        <v>10</v>
      </c>
      <c r="E1561" t="s">
        <v>75</v>
      </c>
      <c r="F1561" t="s">
        <v>12</v>
      </c>
      <c r="G1561" t="str">
        <f>HYPERLINK(_xlfn.CONCAT("https://tablet.otzar.org/",CHAR(35),"/exKotar/143283"),"ספר המאמרים - 29 כרכים")</f>
        <v>ספר המאמרים - 29 כרכים</v>
      </c>
      <c r="H1561" t="str">
        <f>_xlfn.CONCAT("https://tablet.otzar.org/",CHAR(35),"/exKotar/143283")</f>
        <v>https://tablet.otzar.org/#/exKotar/143283</v>
      </c>
    </row>
    <row r="1562" spans="1:8" x14ac:dyDescent="0.25">
      <c r="A1562">
        <v>26272</v>
      </c>
      <c r="B1562" t="s">
        <v>2556</v>
      </c>
      <c r="C1562" t="s">
        <v>59</v>
      </c>
      <c r="D1562" t="s">
        <v>10</v>
      </c>
      <c r="E1562" t="s">
        <v>382</v>
      </c>
      <c r="G1562" t="str">
        <f>HYPERLINK(_xlfn.CONCAT("https://tablet.otzar.org/",CHAR(35),"/exKotar/26272"),"ספר המאמרים &lt;קונטרסים&gt;  - 3 כרכים")</f>
        <v>ספר המאמרים &lt;קונטרסים&gt;  - 3 כרכים</v>
      </c>
      <c r="H1562" t="str">
        <f>_xlfn.CONCAT("https://tablet.otzar.org/",CHAR(35),"/exKotar/26272")</f>
        <v>https://tablet.otzar.org/#/exKotar/26272</v>
      </c>
    </row>
    <row r="1563" spans="1:8" x14ac:dyDescent="0.25">
      <c r="A1563">
        <v>607845</v>
      </c>
      <c r="B1563" t="s">
        <v>2557</v>
      </c>
      <c r="C1563" t="s">
        <v>2558</v>
      </c>
      <c r="D1563" t="s">
        <v>10</v>
      </c>
      <c r="E1563" t="s">
        <v>404</v>
      </c>
      <c r="F1563" t="s">
        <v>12</v>
      </c>
      <c r="G1563" t="str">
        <f>HYPERLINK(_xlfn.CONCAT("https://tablet.otzar.org/",CHAR(35),"/book/607845/p/-1/t/1/fs/0/start/0/end/0/c"),"ספר המאמרים עם תרגום באנגלית")</f>
        <v>ספר המאמרים עם תרגום באנגלית</v>
      </c>
      <c r="H1563" t="str">
        <f>_xlfn.CONCAT("https://tablet.otzar.org/",CHAR(35),"/book/607845/p/-1/t/1/fs/0/start/0/end/0/c")</f>
        <v>https://tablet.otzar.org/#/book/607845/p/-1/t/1/fs/0/start/0/end/0/c</v>
      </c>
    </row>
    <row r="1564" spans="1:8" x14ac:dyDescent="0.25">
      <c r="A1564">
        <v>611985</v>
      </c>
      <c r="B1564" t="s">
        <v>2559</v>
      </c>
      <c r="C1564" t="s">
        <v>2560</v>
      </c>
      <c r="D1564" t="s">
        <v>10</v>
      </c>
      <c r="E1564" t="s">
        <v>82</v>
      </c>
      <c r="F1564" t="s">
        <v>12</v>
      </c>
      <c r="G1564" t="str">
        <f>HYPERLINK(_xlfn.CONCAT("https://tablet.otzar.org/",CHAR(35),"/book/611985/p/-1/t/1/fs/0/start/0/end/0/c"),"ספר המאמרים עת""""ר")</f>
        <v>ספר המאמרים עת""ר</v>
      </c>
      <c r="H1564" t="str">
        <f>_xlfn.CONCAT("https://tablet.otzar.org/",CHAR(35),"/book/611985/p/-1/t/1/fs/0/start/0/end/0/c")</f>
        <v>https://tablet.otzar.org/#/book/611985/p/-1/t/1/fs/0/start/0/end/0/c</v>
      </c>
    </row>
    <row r="1565" spans="1:8" x14ac:dyDescent="0.25">
      <c r="A1565">
        <v>27121</v>
      </c>
      <c r="B1565" t="s">
        <v>2561</v>
      </c>
      <c r="C1565" t="s">
        <v>2562</v>
      </c>
      <c r="D1565" t="s">
        <v>15</v>
      </c>
      <c r="E1565" t="s">
        <v>38</v>
      </c>
      <c r="F1565" t="s">
        <v>12</v>
      </c>
      <c r="G1565" t="str">
        <f>HYPERLINK(_xlfn.CONCAT("https://tablet.otzar.org/",CHAR(35),"/exKotar/27121"),"ספר המנהגים - 2 כרכים")</f>
        <v>ספר המנהגים - 2 כרכים</v>
      </c>
      <c r="H1565" t="str">
        <f>_xlfn.CONCAT("https://tablet.otzar.org/",CHAR(35),"/exKotar/27121")</f>
        <v>https://tablet.otzar.org/#/exKotar/27121</v>
      </c>
    </row>
    <row r="1566" spans="1:8" x14ac:dyDescent="0.25">
      <c r="A1566">
        <v>141461</v>
      </c>
      <c r="B1566" t="s">
        <v>2563</v>
      </c>
      <c r="C1566" t="s">
        <v>2564</v>
      </c>
      <c r="D1566" t="s">
        <v>10</v>
      </c>
      <c r="E1566" t="s">
        <v>57</v>
      </c>
      <c r="F1566" t="s">
        <v>12</v>
      </c>
      <c r="G1566" t="str">
        <f>HYPERLINK(_xlfn.CONCAT("https://tablet.otzar.org/",CHAR(35),"/book/141461/p/-1/t/1/fs/0/start/0/end/0/c"),"ספר המפתחות  לספרי דא""""ח כ""""ק אדמור הזקן - ב")</f>
        <v>ספר המפתחות  לספרי דא""ח כ""ק אדמור הזקן - ב</v>
      </c>
      <c r="H1566" t="str">
        <f>_xlfn.CONCAT("https://tablet.otzar.org/",CHAR(35),"/book/141461/p/-1/t/1/fs/0/start/0/end/0/c")</f>
        <v>https://tablet.otzar.org/#/book/141461/p/-1/t/1/fs/0/start/0/end/0/c</v>
      </c>
    </row>
    <row r="1567" spans="1:8" x14ac:dyDescent="0.25">
      <c r="A1567">
        <v>143325</v>
      </c>
      <c r="B1567" t="s">
        <v>2565</v>
      </c>
      <c r="C1567" t="s">
        <v>2566</v>
      </c>
      <c r="D1567" t="s">
        <v>10</v>
      </c>
      <c r="E1567" t="s">
        <v>66</v>
      </c>
      <c r="F1567" t="s">
        <v>76</v>
      </c>
      <c r="G1567" t="str">
        <f>HYPERLINK(_xlfn.CONCAT("https://tablet.otzar.org/",CHAR(35),"/exKotar/143325"),"ספר המפתחות לספרי כ""""ק אדמו""""ר הצמח צדק - 2 כרכים")</f>
        <v>ספר המפתחות לספרי כ""ק אדמו""ר הצמח צדק - 2 כרכים</v>
      </c>
      <c r="H1567" t="str">
        <f>_xlfn.CONCAT("https://tablet.otzar.org/",CHAR(35),"/exKotar/143325")</f>
        <v>https://tablet.otzar.org/#/exKotar/143325</v>
      </c>
    </row>
    <row r="1568" spans="1:8" x14ac:dyDescent="0.25">
      <c r="A1568">
        <v>141506</v>
      </c>
      <c r="B1568" t="s">
        <v>2567</v>
      </c>
      <c r="C1568" t="s">
        <v>2564</v>
      </c>
      <c r="D1568" t="s">
        <v>10</v>
      </c>
      <c r="E1568" t="s">
        <v>57</v>
      </c>
      <c r="F1568" t="s">
        <v>12</v>
      </c>
      <c r="G1568" t="str">
        <f>HYPERLINK(_xlfn.CONCAT("https://tablet.otzar.org/",CHAR(35),"/book/141506/p/-1/t/1/fs/0/start/0/end/0/c"),"ספר המפתחות לספרי כ""""ק אדמו""""ר מהר""""ש")</f>
        <v>ספר המפתחות לספרי כ""ק אדמו""ר מהר""ש</v>
      </c>
      <c r="H1568" t="str">
        <f>_xlfn.CONCAT("https://tablet.otzar.org/",CHAR(35),"/book/141506/p/-1/t/1/fs/0/start/0/end/0/c")</f>
        <v>https://tablet.otzar.org/#/book/141506/p/-1/t/1/fs/0/start/0/end/0/c</v>
      </c>
    </row>
    <row r="1569" spans="1:8" x14ac:dyDescent="0.25">
      <c r="A1569">
        <v>142650</v>
      </c>
      <c r="B1569" t="s">
        <v>2568</v>
      </c>
      <c r="C1569" t="s">
        <v>2564</v>
      </c>
      <c r="D1569" t="s">
        <v>10</v>
      </c>
      <c r="E1569" t="s">
        <v>60</v>
      </c>
      <c r="F1569" t="s">
        <v>12</v>
      </c>
      <c r="G1569" t="str">
        <f>HYPERLINK(_xlfn.CONCAT("https://tablet.otzar.org/",CHAR(35),"/book/142650/p/-1/t/1/fs/0/start/0/end/0/c"),"ספר המפתחות לתורת לוי יצחק וליקוטי לוי יצחק")</f>
        <v>ספר המפתחות לתורת לוי יצחק וליקוטי לוי יצחק</v>
      </c>
      <c r="H1569" t="str">
        <f>_xlfn.CONCAT("https://tablet.otzar.org/",CHAR(35),"/book/142650/p/-1/t/1/fs/0/start/0/end/0/c")</f>
        <v>https://tablet.otzar.org/#/book/142650/p/-1/t/1/fs/0/start/0/end/0/c</v>
      </c>
    </row>
    <row r="1570" spans="1:8" x14ac:dyDescent="0.25">
      <c r="A1570">
        <v>27218</v>
      </c>
      <c r="B1570" t="s">
        <v>2569</v>
      </c>
      <c r="C1570" t="s">
        <v>85</v>
      </c>
      <c r="D1570" t="s">
        <v>37</v>
      </c>
      <c r="E1570" t="s">
        <v>174</v>
      </c>
      <c r="F1570" t="s">
        <v>12</v>
      </c>
      <c r="G1570" t="str">
        <f>HYPERLINK(_xlfn.CONCAT("https://tablet.otzar.org/",CHAR(35),"/book/27218/p/-1/t/1/fs/0/start/0/end/0/c"),"ספר המצות לרמב""""ם מבואר ומנוקד")</f>
        <v>ספר המצות לרמב""ם מבואר ומנוקד</v>
      </c>
      <c r="H1570" t="str">
        <f>_xlfn.CONCAT("https://tablet.otzar.org/",CHAR(35),"/book/27218/p/-1/t/1/fs/0/start/0/end/0/c")</f>
        <v>https://tablet.otzar.org/#/book/27218/p/-1/t/1/fs/0/start/0/end/0/c</v>
      </c>
    </row>
    <row r="1571" spans="1:8" x14ac:dyDescent="0.25">
      <c r="A1571">
        <v>141457</v>
      </c>
      <c r="B1571" t="s">
        <v>2570</v>
      </c>
      <c r="C1571" t="s">
        <v>2571</v>
      </c>
      <c r="D1571" t="s">
        <v>10</v>
      </c>
      <c r="E1571" t="s">
        <v>236</v>
      </c>
      <c r="F1571" t="s">
        <v>12</v>
      </c>
      <c r="G1571" t="str">
        <f>HYPERLINK(_xlfn.CONCAT("https://tablet.otzar.org/",CHAR(35),"/exKotar/141457"),"ספר הניגונים - 2 כרכים")</f>
        <v>ספר הניגונים - 2 כרכים</v>
      </c>
      <c r="H1571" t="str">
        <f>_xlfn.CONCAT("https://tablet.otzar.org/",CHAR(35),"/exKotar/141457")</f>
        <v>https://tablet.otzar.org/#/exKotar/141457</v>
      </c>
    </row>
    <row r="1572" spans="1:8" x14ac:dyDescent="0.25">
      <c r="A1572">
        <v>141555</v>
      </c>
      <c r="B1572" t="s">
        <v>2572</v>
      </c>
      <c r="C1572" t="s">
        <v>2572</v>
      </c>
      <c r="D1572" t="s">
        <v>28</v>
      </c>
      <c r="E1572" t="s">
        <v>91</v>
      </c>
      <c r="F1572" t="s">
        <v>12</v>
      </c>
      <c r="G1572" t="str">
        <f>HYPERLINK(_xlfn.CONCAT("https://tablet.otzar.org/",CHAR(35),"/book/141555/p/-1/t/1/fs/0/start/0/end/0/c"),"ספר העצות")</f>
        <v>ספר העצות</v>
      </c>
      <c r="H1572" t="str">
        <f>_xlfn.CONCAT("https://tablet.otzar.org/",CHAR(35),"/book/141555/p/-1/t/1/fs/0/start/0/end/0/c")</f>
        <v>https://tablet.otzar.org/#/book/141555/p/-1/t/1/fs/0/start/0/end/0/c</v>
      </c>
    </row>
    <row r="1573" spans="1:8" x14ac:dyDescent="0.25">
      <c r="A1573">
        <v>26893</v>
      </c>
      <c r="B1573" t="s">
        <v>2573</v>
      </c>
      <c r="C1573" t="s">
        <v>2574</v>
      </c>
      <c r="D1573" t="s">
        <v>10</v>
      </c>
      <c r="E1573" t="s">
        <v>107</v>
      </c>
      <c r="F1573" t="s">
        <v>12</v>
      </c>
      <c r="G1573" t="str">
        <f>HYPERLINK(_xlfn.CONCAT("https://tablet.otzar.org/",CHAR(35),"/exKotar/26893"),"ספר הערכים חב""""ד - 7 כרכים")</f>
        <v>ספר הערכים חב""ד - 7 כרכים</v>
      </c>
      <c r="H1573" t="str">
        <f>_xlfn.CONCAT("https://tablet.otzar.org/",CHAR(35),"/exKotar/26893")</f>
        <v>https://tablet.otzar.org/#/exKotar/26893</v>
      </c>
    </row>
    <row r="1574" spans="1:8" x14ac:dyDescent="0.25">
      <c r="A1574">
        <v>143347</v>
      </c>
      <c r="B1574" t="s">
        <v>2575</v>
      </c>
      <c r="C1574" t="s">
        <v>2576</v>
      </c>
      <c r="D1574" t="s">
        <v>37</v>
      </c>
      <c r="E1574" t="s">
        <v>145</v>
      </c>
      <c r="F1574" t="s">
        <v>2577</v>
      </c>
      <c r="G1574" t="str">
        <f>HYPERLINK(_xlfn.CONCAT("https://tablet.otzar.org/",CHAR(35),"/book/143347/p/-1/t/1/fs/0/start/0/end/0/c"),"ספר הצאצאים של רבינו שניאור זלמן מליאדי")</f>
        <v>ספר הצאצאים של רבינו שניאור זלמן מליאדי</v>
      </c>
      <c r="H1574" t="str">
        <f>_xlfn.CONCAT("https://tablet.otzar.org/",CHAR(35),"/book/143347/p/-1/t/1/fs/0/start/0/end/0/c")</f>
        <v>https://tablet.otzar.org/#/book/143347/p/-1/t/1/fs/0/start/0/end/0/c</v>
      </c>
    </row>
    <row r="1575" spans="1:8" x14ac:dyDescent="0.25">
      <c r="A1575">
        <v>141337</v>
      </c>
      <c r="B1575" t="s">
        <v>2578</v>
      </c>
      <c r="C1575" t="s">
        <v>2578</v>
      </c>
      <c r="D1575" t="s">
        <v>37</v>
      </c>
      <c r="E1575" t="s">
        <v>1762</v>
      </c>
      <c r="F1575" t="s">
        <v>12</v>
      </c>
      <c r="G1575" t="str">
        <f>HYPERLINK(_xlfn.CONCAT("https://tablet.otzar.org/",CHAR(35),"/book/141337/p/-1/t/1/fs/0/start/0/end/0/c"),"ספר הקן")</f>
        <v>ספר הקן</v>
      </c>
      <c r="H1575" t="str">
        <f>_xlfn.CONCAT("https://tablet.otzar.org/",CHAR(35),"/book/141337/p/-1/t/1/fs/0/start/0/end/0/c")</f>
        <v>https://tablet.otzar.org/#/book/141337/p/-1/t/1/fs/0/start/0/end/0/c</v>
      </c>
    </row>
    <row r="1576" spans="1:8" x14ac:dyDescent="0.25">
      <c r="A1576">
        <v>196128</v>
      </c>
      <c r="B1576" t="s">
        <v>2579</v>
      </c>
      <c r="C1576" t="s">
        <v>59</v>
      </c>
      <c r="D1576" t="s">
        <v>10</v>
      </c>
      <c r="E1576" t="s">
        <v>88</v>
      </c>
      <c r="F1576" t="s">
        <v>12</v>
      </c>
      <c r="G1576" t="str">
        <f>HYPERLINK(_xlfn.CONCAT("https://tablet.otzar.org/",CHAR(35),"/book/196128/p/-1/t/1/fs/0/start/0/end/0/c"),"ספר השיחות &lt;מהדורה חדשה&gt; תרצו תש ")</f>
        <v xml:space="preserve">ספר השיחות &lt;מהדורה חדשה&gt; תרצו תש </v>
      </c>
      <c r="H1576" t="str">
        <f>_xlfn.CONCAT("https://tablet.otzar.org/",CHAR(35),"/book/196128/p/-1/t/1/fs/0/start/0/end/0/c")</f>
        <v>https://tablet.otzar.org/#/book/196128/p/-1/t/1/fs/0/start/0/end/0/c</v>
      </c>
    </row>
    <row r="1577" spans="1:8" x14ac:dyDescent="0.25">
      <c r="A1577">
        <v>26595</v>
      </c>
      <c r="B1577" t="s">
        <v>2580</v>
      </c>
      <c r="C1577" t="s">
        <v>45</v>
      </c>
      <c r="D1577" t="s">
        <v>10</v>
      </c>
      <c r="E1577" t="s">
        <v>79</v>
      </c>
      <c r="G1577" t="str">
        <f>HYPERLINK(_xlfn.CONCAT("https://tablet.otzar.org/",CHAR(35),"/exKotar/26595"),"ספר השיחות - 10 כרכים")</f>
        <v>ספר השיחות - 10 כרכים</v>
      </c>
      <c r="H1577" t="str">
        <f>_xlfn.CONCAT("https://tablet.otzar.org/",CHAR(35),"/exKotar/26595")</f>
        <v>https://tablet.otzar.org/#/exKotar/26595</v>
      </c>
    </row>
    <row r="1578" spans="1:8" x14ac:dyDescent="0.25">
      <c r="A1578">
        <v>26277</v>
      </c>
      <c r="B1578" t="s">
        <v>2581</v>
      </c>
      <c r="C1578" t="s">
        <v>59</v>
      </c>
      <c r="D1578" t="s">
        <v>10</v>
      </c>
      <c r="E1578" t="s">
        <v>382</v>
      </c>
      <c r="G1578" t="str">
        <f>HYPERLINK(_xlfn.CONCAT("https://tablet.otzar.org/",CHAR(35),"/exKotar/26277"),"ספר השיחות - 7 כרכים")</f>
        <v>ספר השיחות - 7 כרכים</v>
      </c>
      <c r="H1578" t="str">
        <f>_xlfn.CONCAT("https://tablet.otzar.org/",CHAR(35),"/exKotar/26277")</f>
        <v>https://tablet.otzar.org/#/exKotar/26277</v>
      </c>
    </row>
    <row r="1579" spans="1:8" x14ac:dyDescent="0.25">
      <c r="A1579">
        <v>26466</v>
      </c>
      <c r="B1579" t="s">
        <v>2582</v>
      </c>
      <c r="C1579" t="s">
        <v>2583</v>
      </c>
      <c r="D1579" t="s">
        <v>15</v>
      </c>
      <c r="E1579" t="s">
        <v>46</v>
      </c>
      <c r="F1579" t="s">
        <v>12</v>
      </c>
      <c r="G1579" t="str">
        <f>HYPERLINK(_xlfn.CONCAT("https://tablet.otzar.org/",CHAR(35),"/book/26466/p/-1/t/1/fs/0/start/0/end/0/c"),"ספר השיחות בלשון הקודש - ג (תש""""ד-תש""""ה)")</f>
        <v>ספר השיחות בלשון הקודש - ג (תש""ד-תש""ה)</v>
      </c>
      <c r="H1579" t="str">
        <f>_xlfn.CONCAT("https://tablet.otzar.org/",CHAR(35),"/book/26466/p/-1/t/1/fs/0/start/0/end/0/c")</f>
        <v>https://tablet.otzar.org/#/book/26466/p/-1/t/1/fs/0/start/0/end/0/c</v>
      </c>
    </row>
    <row r="1580" spans="1:8" x14ac:dyDescent="0.25">
      <c r="A1580">
        <v>26464</v>
      </c>
      <c r="B1580" t="s">
        <v>2584</v>
      </c>
      <c r="C1580" t="s">
        <v>2585</v>
      </c>
      <c r="D1580" t="s">
        <v>15</v>
      </c>
      <c r="E1580" t="s">
        <v>46</v>
      </c>
      <c r="G1580" t="str">
        <f>HYPERLINK(_xlfn.CONCAT("https://tablet.otzar.org/",CHAR(35),"/exKotar/26464"),"ספר השיחות בלשון הקודש - 2 כרכים")</f>
        <v>ספר השיחות בלשון הקודש - 2 כרכים</v>
      </c>
      <c r="H1580" t="str">
        <f>_xlfn.CONCAT("https://tablet.otzar.org/",CHAR(35),"/exKotar/26464")</f>
        <v>https://tablet.otzar.org/#/exKotar/26464</v>
      </c>
    </row>
    <row r="1581" spans="1:8" x14ac:dyDescent="0.25">
      <c r="A1581">
        <v>141648</v>
      </c>
      <c r="B1581" t="s">
        <v>2586</v>
      </c>
      <c r="C1581" t="s">
        <v>326</v>
      </c>
      <c r="D1581" t="s">
        <v>10</v>
      </c>
      <c r="E1581" t="s">
        <v>260</v>
      </c>
      <c r="F1581" t="s">
        <v>12</v>
      </c>
      <c r="G1581" t="str">
        <f>HYPERLINK(_xlfn.CONCAT("https://tablet.otzar.org/",CHAR(35),"/exKotar/141648"),"ספר השלוחים - 4 כרכים")</f>
        <v>ספר השלוחים - 4 כרכים</v>
      </c>
      <c r="H1581" t="str">
        <f>_xlfn.CONCAT("https://tablet.otzar.org/",CHAR(35),"/exKotar/141648")</f>
        <v>https://tablet.otzar.org/#/exKotar/141648</v>
      </c>
    </row>
    <row r="1582" spans="1:8" x14ac:dyDescent="0.25">
      <c r="A1582">
        <v>26512</v>
      </c>
      <c r="B1582" t="s">
        <v>2587</v>
      </c>
      <c r="C1582" t="s">
        <v>45</v>
      </c>
      <c r="D1582" t="s">
        <v>15</v>
      </c>
      <c r="E1582" t="s">
        <v>139</v>
      </c>
      <c r="F1582" t="s">
        <v>12</v>
      </c>
      <c r="G1582" t="str">
        <f>HYPERLINK(_xlfn.CONCAT("https://tablet.otzar.org/",CHAR(35),"/exKotar/26512"),"ספר השליחות - 3 כרכים")</f>
        <v>ספר השליחות - 3 כרכים</v>
      </c>
      <c r="H1582" t="str">
        <f>_xlfn.CONCAT("https://tablet.otzar.org/",CHAR(35),"/exKotar/26512")</f>
        <v>https://tablet.otzar.org/#/exKotar/26512</v>
      </c>
    </row>
    <row r="1583" spans="1:8" x14ac:dyDescent="0.25">
      <c r="A1583">
        <v>141350</v>
      </c>
      <c r="B1583" t="s">
        <v>2588</v>
      </c>
      <c r="C1583" t="s">
        <v>2589</v>
      </c>
      <c r="D1583" t="s">
        <v>10</v>
      </c>
      <c r="E1583" t="s">
        <v>2541</v>
      </c>
      <c r="F1583" t="s">
        <v>12</v>
      </c>
      <c r="G1583" t="str">
        <f>HYPERLINK(_xlfn.CONCAT("https://tablet.otzar.org/",CHAR(35),"/book/141350/p/-1/t/1/fs/0/start/0/end/0/c"),"ספר השנה")</f>
        <v>ספר השנה</v>
      </c>
      <c r="H1583" t="str">
        <f>_xlfn.CONCAT("https://tablet.otzar.org/",CHAR(35),"/book/141350/p/-1/t/1/fs/0/start/0/end/0/c")</f>
        <v>https://tablet.otzar.org/#/book/141350/p/-1/t/1/fs/0/start/0/end/0/c</v>
      </c>
    </row>
    <row r="1584" spans="1:8" x14ac:dyDescent="0.25">
      <c r="A1584">
        <v>26881</v>
      </c>
      <c r="B1584" t="s">
        <v>2590</v>
      </c>
      <c r="C1584" t="s">
        <v>53</v>
      </c>
      <c r="D1584" t="s">
        <v>10</v>
      </c>
      <c r="E1584" t="s">
        <v>250</v>
      </c>
      <c r="F1584" t="s">
        <v>12</v>
      </c>
      <c r="G1584" t="str">
        <f>HYPERLINK(_xlfn.CONCAT("https://tablet.otzar.org/",CHAR(35),"/book/26881/p/-1/t/1/fs/0/start/0/end/0/c"),"ספר התולדות")</f>
        <v>ספר התולדות</v>
      </c>
      <c r="H1584" t="str">
        <f>_xlfn.CONCAT("https://tablet.otzar.org/",CHAR(35),"/book/26881/p/-1/t/1/fs/0/start/0/end/0/c")</f>
        <v>https://tablet.otzar.org/#/book/26881/p/-1/t/1/fs/0/start/0/end/0/c</v>
      </c>
    </row>
    <row r="1585" spans="1:8" x14ac:dyDescent="0.25">
      <c r="A1585">
        <v>143320</v>
      </c>
      <c r="B1585" t="s">
        <v>2591</v>
      </c>
      <c r="C1585" t="s">
        <v>2592</v>
      </c>
      <c r="D1585" t="s">
        <v>10</v>
      </c>
      <c r="E1585" t="s">
        <v>1098</v>
      </c>
      <c r="F1585" t="s">
        <v>342</v>
      </c>
      <c r="G1585" t="str">
        <f>HYPERLINK(_xlfn.CONCAT("https://tablet.otzar.org/",CHAR(35),"/exKotar/143320"),"ספר התולדות - 14 כרכים")</f>
        <v>ספר התולדות - 14 כרכים</v>
      </c>
      <c r="H1585" t="str">
        <f>_xlfn.CONCAT("https://tablet.otzar.org/",CHAR(35),"/exKotar/143320")</f>
        <v>https://tablet.otzar.org/#/exKotar/143320</v>
      </c>
    </row>
    <row r="1586" spans="1:8" x14ac:dyDescent="0.25">
      <c r="A1586">
        <v>26898</v>
      </c>
      <c r="B1586" t="s">
        <v>2593</v>
      </c>
      <c r="C1586" t="s">
        <v>2594</v>
      </c>
      <c r="D1586" t="s">
        <v>10</v>
      </c>
      <c r="E1586" t="s">
        <v>260</v>
      </c>
      <c r="F1586" t="s">
        <v>12</v>
      </c>
      <c r="G1586" t="str">
        <f>HYPERLINK(_xlfn.CONCAT("https://tablet.otzar.org/",CHAR(35),"/exKotar/26898"),"ספר התמימים - 2 כרכים")</f>
        <v>ספר התמימים - 2 כרכים</v>
      </c>
      <c r="H1586" t="str">
        <f>_xlfn.CONCAT("https://tablet.otzar.org/",CHAR(35),"/exKotar/26898")</f>
        <v>https://tablet.otzar.org/#/exKotar/26898</v>
      </c>
    </row>
    <row r="1587" spans="1:8" x14ac:dyDescent="0.25">
      <c r="A1587">
        <v>607721</v>
      </c>
      <c r="B1587" t="s">
        <v>2595</v>
      </c>
      <c r="C1587" t="s">
        <v>171</v>
      </c>
      <c r="D1587" t="s">
        <v>15</v>
      </c>
      <c r="E1587" t="s">
        <v>66</v>
      </c>
      <c r="F1587" t="s">
        <v>12</v>
      </c>
      <c r="G1587" t="str">
        <f>HYPERLINK(_xlfn.CONCAT("https://tablet.otzar.org/",CHAR(35),"/book/607721/p/-1/t/1/fs/0/start/0/end/0/c"),"ספר התניא - ביבליוגרפיה")</f>
        <v>ספר התניא - ביבליוגרפיה</v>
      </c>
      <c r="H1587" t="str">
        <f>_xlfn.CONCAT("https://tablet.otzar.org/",CHAR(35),"/book/607721/p/-1/t/1/fs/0/start/0/end/0/c")</f>
        <v>https://tablet.otzar.org/#/book/607721/p/-1/t/1/fs/0/start/0/end/0/c</v>
      </c>
    </row>
    <row r="1588" spans="1:8" x14ac:dyDescent="0.25">
      <c r="A1588">
        <v>140828</v>
      </c>
      <c r="B1588" t="s">
        <v>2596</v>
      </c>
      <c r="C1588" t="s">
        <v>81</v>
      </c>
      <c r="D1588" t="s">
        <v>111</v>
      </c>
      <c r="E1588" t="s">
        <v>29</v>
      </c>
      <c r="F1588" t="s">
        <v>12</v>
      </c>
      <c r="G1588" t="str">
        <f>HYPERLINK(_xlfn.CONCAT("https://tablet.otzar.org/",CHAR(35),"/exKotar/140828"),"ספר התניא - 3 כרכים")</f>
        <v>ספר התניא - 3 כרכים</v>
      </c>
      <c r="H1588" t="str">
        <f>_xlfn.CONCAT("https://tablet.otzar.org/",CHAR(35),"/exKotar/140828")</f>
        <v>https://tablet.otzar.org/#/exKotar/140828</v>
      </c>
    </row>
    <row r="1589" spans="1:8" x14ac:dyDescent="0.25">
      <c r="A1589">
        <v>142327</v>
      </c>
      <c r="B1589" t="s">
        <v>2597</v>
      </c>
      <c r="C1589" t="s">
        <v>2598</v>
      </c>
      <c r="D1589" t="s">
        <v>37</v>
      </c>
      <c r="E1589" t="s">
        <v>346</v>
      </c>
      <c r="F1589" t="s">
        <v>12</v>
      </c>
      <c r="G1589" t="str">
        <f>HYPERLINK(_xlfn.CONCAT("https://tablet.otzar.org/",CHAR(35),"/exKotar/142327"),"ספר זכרון - 2 כרכים")</f>
        <v>ספר זכרון - 2 כרכים</v>
      </c>
      <c r="H1589" t="str">
        <f>_xlfn.CONCAT("https://tablet.otzar.org/",CHAR(35),"/exKotar/142327")</f>
        <v>https://tablet.otzar.org/#/exKotar/142327</v>
      </c>
    </row>
    <row r="1590" spans="1:8" x14ac:dyDescent="0.25">
      <c r="A1590">
        <v>180784</v>
      </c>
      <c r="B1590" t="s">
        <v>2599</v>
      </c>
      <c r="C1590" t="s">
        <v>125</v>
      </c>
      <c r="D1590" t="s">
        <v>440</v>
      </c>
      <c r="E1590" t="s">
        <v>62</v>
      </c>
      <c r="F1590" t="s">
        <v>25</v>
      </c>
      <c r="G1590" t="str">
        <f>HYPERLINK(_xlfn.CONCAT("https://tablet.otzar.org/",CHAR(35),"/exKotar/180784"),"ספר מגדל דוד - 3 כרכים")</f>
        <v>ספר מגדל דוד - 3 כרכים</v>
      </c>
      <c r="H1590" t="str">
        <f>_xlfn.CONCAT("https://tablet.otzar.org/",CHAR(35),"/exKotar/180784")</f>
        <v>https://tablet.otzar.org/#/exKotar/180784</v>
      </c>
    </row>
    <row r="1591" spans="1:8" x14ac:dyDescent="0.25">
      <c r="A1591">
        <v>141500</v>
      </c>
      <c r="B1591" t="s">
        <v>2600</v>
      </c>
      <c r="C1591" t="s">
        <v>125</v>
      </c>
      <c r="D1591" t="s">
        <v>10</v>
      </c>
      <c r="E1591" t="s">
        <v>79</v>
      </c>
      <c r="F1591" t="s">
        <v>12</v>
      </c>
      <c r="G1591" t="str">
        <f>HYPERLINK(_xlfn.CONCAT("https://tablet.otzar.org/",CHAR(35),"/book/141500/p/-1/t/1/fs/0/start/0/end/0/c"),"ספר פלפולים זכרון יוסף")</f>
        <v>ספר פלפולים זכרון יוסף</v>
      </c>
      <c r="H1591" t="str">
        <f>_xlfn.CONCAT("https://tablet.otzar.org/",CHAR(35),"/book/141500/p/-1/t/1/fs/0/start/0/end/0/c")</f>
        <v>https://tablet.otzar.org/#/book/141500/p/-1/t/1/fs/0/start/0/end/0/c</v>
      </c>
    </row>
    <row r="1592" spans="1:8" x14ac:dyDescent="0.25">
      <c r="A1592">
        <v>142181</v>
      </c>
      <c r="B1592" t="s">
        <v>2601</v>
      </c>
      <c r="C1592" t="s">
        <v>2602</v>
      </c>
      <c r="D1592" t="s">
        <v>15</v>
      </c>
      <c r="E1592" t="s">
        <v>192</v>
      </c>
      <c r="F1592" t="s">
        <v>12</v>
      </c>
      <c r="G1592" t="str">
        <f>HYPERLINK(_xlfn.CONCAT("https://tablet.otzar.org/",CHAR(35),"/book/142181/p/-1/t/1/fs/0/start/0/end/0/c"),"ספר תהלים אהל יוסף יצחק")</f>
        <v>ספר תהלים אהל יוסף יצחק</v>
      </c>
      <c r="H1592" t="str">
        <f>_xlfn.CONCAT("https://tablet.otzar.org/",CHAR(35),"/book/142181/p/-1/t/1/fs/0/start/0/end/0/c")</f>
        <v>https://tablet.otzar.org/#/book/142181/p/-1/t/1/fs/0/start/0/end/0/c</v>
      </c>
    </row>
    <row r="1593" spans="1:8" x14ac:dyDescent="0.25">
      <c r="A1593">
        <v>27084</v>
      </c>
      <c r="B1593" t="s">
        <v>2603</v>
      </c>
      <c r="C1593" t="s">
        <v>61</v>
      </c>
      <c r="D1593" t="s">
        <v>10</v>
      </c>
      <c r="E1593" t="s">
        <v>54</v>
      </c>
      <c r="F1593" t="s">
        <v>12</v>
      </c>
      <c r="G1593" t="str">
        <f>HYPERLINK(_xlfn.CONCAT("https://tablet.otzar.org/",CHAR(35),"/book/27084/p/-1/t/1/fs/0/start/0/end/0/c"),"ספר תהלים אהל יוסף יצחק (השלם)")</f>
        <v>ספר תהלים אהל יוסף יצחק (השלם)</v>
      </c>
      <c r="H1593" t="str">
        <f>_xlfn.CONCAT("https://tablet.otzar.org/",CHAR(35),"/book/27084/p/-1/t/1/fs/0/start/0/end/0/c")</f>
        <v>https://tablet.otzar.org/#/book/27084/p/-1/t/1/fs/0/start/0/end/0/c</v>
      </c>
    </row>
    <row r="1594" spans="1:8" x14ac:dyDescent="0.25">
      <c r="A1594">
        <v>154698</v>
      </c>
      <c r="B1594" t="s">
        <v>2604</v>
      </c>
      <c r="C1594" t="s">
        <v>61</v>
      </c>
      <c r="D1594" t="s">
        <v>315</v>
      </c>
      <c r="E1594" t="s">
        <v>49</v>
      </c>
      <c r="G1594" t="str">
        <f>HYPERLINK(_xlfn.CONCAT("https://tablet.otzar.org/",CHAR(35),"/book/154698/p/-1/t/1/fs/0/start/0/end/0/c"),"ספר תהלים אהל יוסף יצחק (עם תרגום ספרדית)")</f>
        <v>ספר תהלים אהל יוסף יצחק (עם תרגום ספרדית)</v>
      </c>
      <c r="H1594" t="str">
        <f>_xlfn.CONCAT("https://tablet.otzar.org/",CHAR(35),"/book/154698/p/-1/t/1/fs/0/start/0/end/0/c")</f>
        <v>https://tablet.otzar.org/#/book/154698/p/-1/t/1/fs/0/start/0/end/0/c</v>
      </c>
    </row>
    <row r="1595" spans="1:8" x14ac:dyDescent="0.25">
      <c r="A1595">
        <v>27201</v>
      </c>
      <c r="B1595" t="s">
        <v>2605</v>
      </c>
      <c r="C1595" t="s">
        <v>45</v>
      </c>
      <c r="D1595" t="s">
        <v>10</v>
      </c>
      <c r="E1595" t="s">
        <v>174</v>
      </c>
      <c r="F1595" t="s">
        <v>12</v>
      </c>
      <c r="G1595" t="str">
        <f>HYPERLINK(_xlfn.CONCAT("https://tablet.otzar.org/",CHAR(35),"/book/27201/p/-1/t/1/fs/0/start/0/end/0/c"),"ספר תהלים אהל יוסף יצחק ע""""פ תהלות מנחם")</f>
        <v>ספר תהלים אהל יוסף יצחק ע""פ תהלות מנחם</v>
      </c>
      <c r="H1595" t="str">
        <f>_xlfn.CONCAT("https://tablet.otzar.org/",CHAR(35),"/book/27201/p/-1/t/1/fs/0/start/0/end/0/c")</f>
        <v>https://tablet.otzar.org/#/book/27201/p/-1/t/1/fs/0/start/0/end/0/c</v>
      </c>
    </row>
    <row r="1596" spans="1:8" x14ac:dyDescent="0.25">
      <c r="A1596">
        <v>162903</v>
      </c>
      <c r="B1596" t="s">
        <v>2606</v>
      </c>
      <c r="C1596" t="s">
        <v>61</v>
      </c>
      <c r="D1596" t="s">
        <v>15</v>
      </c>
      <c r="E1596" t="s">
        <v>174</v>
      </c>
      <c r="G1596" t="str">
        <f>HYPERLINK(_xlfn.CONCAT("https://tablet.otzar.org/",CHAR(35),"/book/162903/p/-1/t/1/fs/0/start/0/end/0/c"),"ספר תהלים אהל יוסף יצחק עם תרגום צרפתי")</f>
        <v>ספר תהלים אהל יוסף יצחק עם תרגום צרפתי</v>
      </c>
      <c r="H1596" t="str">
        <f>_xlfn.CONCAT("https://tablet.otzar.org/",CHAR(35),"/book/162903/p/-1/t/1/fs/0/start/0/end/0/c")</f>
        <v>https://tablet.otzar.org/#/book/162903/p/-1/t/1/fs/0/start/0/end/0/c</v>
      </c>
    </row>
    <row r="1597" spans="1:8" x14ac:dyDescent="0.25">
      <c r="A1597">
        <v>607847</v>
      </c>
      <c r="B1597" t="s">
        <v>2607</v>
      </c>
      <c r="C1597" t="s">
        <v>2608</v>
      </c>
      <c r="D1597" t="s">
        <v>10</v>
      </c>
      <c r="E1597" t="s">
        <v>99</v>
      </c>
      <c r="F1597" t="s">
        <v>208</v>
      </c>
      <c r="G1597" t="str">
        <f>HYPERLINK(_xlfn.CONCAT("https://tablet.otzar.org/",CHAR(35),"/book/607847/p/-1/t/1/fs/0/start/0/end/0/c"),"ספר תהלים עם תרגום וביאור באנגלית")</f>
        <v>ספר תהלים עם תרגום וביאור באנגלית</v>
      </c>
      <c r="H1597" t="str">
        <f>_xlfn.CONCAT("https://tablet.otzar.org/",CHAR(35),"/book/607847/p/-1/t/1/fs/0/start/0/end/0/c")</f>
        <v>https://tablet.otzar.org/#/book/607847/p/-1/t/1/fs/0/start/0/end/0/c</v>
      </c>
    </row>
    <row r="1598" spans="1:8" x14ac:dyDescent="0.25">
      <c r="A1598">
        <v>181517</v>
      </c>
      <c r="B1598" t="s">
        <v>2609</v>
      </c>
      <c r="C1598" t="s">
        <v>2610</v>
      </c>
      <c r="D1598" t="s">
        <v>37</v>
      </c>
      <c r="E1598" t="s">
        <v>62</v>
      </c>
      <c r="F1598" t="s">
        <v>208</v>
      </c>
      <c r="G1598" t="str">
        <f>HYPERLINK(_xlfn.CONCAT("https://tablet.otzar.org/",CHAR(35),"/book/181517/p/-1/t/1/fs/0/start/0/end/0/c"),"ספר תהלים קול מנחם עם תרגום אנגלית")</f>
        <v>ספר תהלים קול מנחם עם תרגום אנגלית</v>
      </c>
      <c r="H1598" t="str">
        <f>_xlfn.CONCAT("https://tablet.otzar.org/",CHAR(35),"/book/181517/p/-1/t/1/fs/0/start/0/end/0/c")</f>
        <v>https://tablet.otzar.org/#/book/181517/p/-1/t/1/fs/0/start/0/end/0/c</v>
      </c>
    </row>
    <row r="1599" spans="1:8" x14ac:dyDescent="0.25">
      <c r="A1599">
        <v>647457</v>
      </c>
      <c r="B1599" t="s">
        <v>2611</v>
      </c>
      <c r="C1599" t="s">
        <v>595</v>
      </c>
      <c r="D1599" t="s">
        <v>28</v>
      </c>
      <c r="E1599" t="s">
        <v>441</v>
      </c>
      <c r="F1599" t="s">
        <v>12</v>
      </c>
      <c r="G1599" t="str">
        <f>HYPERLINK(_xlfn.CONCAT("https://tablet.otzar.org/",CHAR(35),"/book/647457/p/-1/t/1/fs/0/start/0/end/0/c"),"ספר תרי""""ג מצוות")</f>
        <v>ספר תרי""ג מצוות</v>
      </c>
      <c r="H1599" t="str">
        <f>_xlfn.CONCAT("https://tablet.otzar.org/",CHAR(35),"/book/647457/p/-1/t/1/fs/0/start/0/end/0/c")</f>
        <v>https://tablet.otzar.org/#/book/647457/p/-1/t/1/fs/0/start/0/end/0/c</v>
      </c>
    </row>
    <row r="1600" spans="1:8" x14ac:dyDescent="0.25">
      <c r="A1600">
        <v>28709</v>
      </c>
      <c r="B1600" t="s">
        <v>2612</v>
      </c>
      <c r="C1600" t="s">
        <v>27</v>
      </c>
      <c r="D1600" t="s">
        <v>10</v>
      </c>
      <c r="E1600" t="s">
        <v>38</v>
      </c>
      <c r="F1600" t="s">
        <v>12</v>
      </c>
      <c r="G1600" t="str">
        <f>HYPERLINK(_xlfn.CONCAT("https://tablet.otzar.org/",CHAR(35),"/book/28709/p/-1/t/1/fs/0/start/0/end/0/c"),"ספריית ליובאוויטש")</f>
        <v>ספריית ליובאוויטש</v>
      </c>
      <c r="H1600" t="str">
        <f>_xlfn.CONCAT("https://tablet.otzar.org/",CHAR(35),"/book/28709/p/-1/t/1/fs/0/start/0/end/0/c")</f>
        <v>https://tablet.otzar.org/#/book/28709/p/-1/t/1/fs/0/start/0/end/0/c</v>
      </c>
    </row>
    <row r="1601" spans="1:8" x14ac:dyDescent="0.25">
      <c r="A1601">
        <v>141695</v>
      </c>
      <c r="B1601" t="s">
        <v>2613</v>
      </c>
      <c r="C1601" t="s">
        <v>27</v>
      </c>
      <c r="D1601" t="s">
        <v>37</v>
      </c>
      <c r="E1601" t="s">
        <v>60</v>
      </c>
      <c r="F1601" t="s">
        <v>12</v>
      </c>
      <c r="G1601" t="str">
        <f>HYPERLINK(_xlfn.CONCAT("https://tablet.otzar.org/",CHAR(35),"/book/141695/p/-1/t/1/fs/0/start/0/end/0/c"),"ספריית ליובאוויטש &lt;טקסט&gt;")</f>
        <v>ספריית ליובאוויטש &lt;טקסט&gt;</v>
      </c>
      <c r="H1601" t="str">
        <f>_xlfn.CONCAT("https://tablet.otzar.org/",CHAR(35),"/book/141695/p/-1/t/1/fs/0/start/0/end/0/c")</f>
        <v>https://tablet.otzar.org/#/book/141695/p/-1/t/1/fs/0/start/0/end/0/c</v>
      </c>
    </row>
    <row r="1602" spans="1:8" x14ac:dyDescent="0.25">
      <c r="A1602">
        <v>26878</v>
      </c>
      <c r="B1602" t="s">
        <v>2614</v>
      </c>
      <c r="C1602" t="s">
        <v>59</v>
      </c>
      <c r="D1602" t="s">
        <v>10</v>
      </c>
      <c r="E1602" t="s">
        <v>382</v>
      </c>
      <c r="G1602" t="str">
        <f>HYPERLINK(_xlfn.CONCAT("https://tablet.otzar.org/",CHAR(35),"/exKotar/26878"),"ספרים באנגלית - 318 כרכים")</f>
        <v>ספרים באנגלית - 318 כרכים</v>
      </c>
      <c r="H1602" t="str">
        <f>_xlfn.CONCAT("https://tablet.otzar.org/",CHAR(35),"/exKotar/26878")</f>
        <v>https://tablet.otzar.org/#/exKotar/26878</v>
      </c>
    </row>
    <row r="1603" spans="1:8" x14ac:dyDescent="0.25">
      <c r="A1603">
        <v>144097</v>
      </c>
      <c r="B1603" t="s">
        <v>2615</v>
      </c>
      <c r="C1603" t="s">
        <v>2616</v>
      </c>
      <c r="D1603" t="s">
        <v>37</v>
      </c>
      <c r="E1603" t="s">
        <v>174</v>
      </c>
      <c r="F1603" t="s">
        <v>12</v>
      </c>
      <c r="G1603" t="str">
        <f>HYPERLINK(_xlfn.CONCAT("https://tablet.otzar.org/",CHAR(35),"/exKotar/144097"),"ספרים בספרדית - 5 כרכים")</f>
        <v>ספרים בספרדית - 5 כרכים</v>
      </c>
      <c r="H1603" t="str">
        <f>_xlfn.CONCAT("https://tablet.otzar.org/",CHAR(35),"/exKotar/144097")</f>
        <v>https://tablet.otzar.org/#/exKotar/144097</v>
      </c>
    </row>
    <row r="1604" spans="1:8" x14ac:dyDescent="0.25">
      <c r="A1604">
        <v>650286</v>
      </c>
      <c r="B1604" t="s">
        <v>2617</v>
      </c>
      <c r="C1604" t="s">
        <v>1126</v>
      </c>
      <c r="D1604" t="s">
        <v>1364</v>
      </c>
      <c r="E1604" t="s">
        <v>145</v>
      </c>
      <c r="F1604" t="s">
        <v>43</v>
      </c>
      <c r="G1604" t="str">
        <f>HYPERLINK(_xlfn.CONCAT("https://tablet.otzar.org/",CHAR(35),"/book/650286/p/-1/t/1/fs/0/start/0/end/0/c"),"ספרים בפורטוגזית - Fe e Ciencia")</f>
        <v>ספרים בפורטוגזית - Fe e Ciencia</v>
      </c>
      <c r="H1604" t="str">
        <f>_xlfn.CONCAT("https://tablet.otzar.org/",CHAR(35),"/book/650286/p/-1/t/1/fs/0/start/0/end/0/c")</f>
        <v>https://tablet.otzar.org/#/book/650286/p/-1/t/1/fs/0/start/0/end/0/c</v>
      </c>
    </row>
    <row r="1605" spans="1:8" x14ac:dyDescent="0.25">
      <c r="A1605">
        <v>146204</v>
      </c>
      <c r="B1605" t="s">
        <v>2618</v>
      </c>
      <c r="D1605" t="s">
        <v>2619</v>
      </c>
      <c r="E1605" t="s">
        <v>134</v>
      </c>
      <c r="F1605" t="s">
        <v>12</v>
      </c>
      <c r="G1605" t="str">
        <f>HYPERLINK(_xlfn.CONCAT("https://tablet.otzar.org/",CHAR(35),"/exKotar/146204"),"ספרים בצרפתית - 22 כרכים")</f>
        <v>ספרים בצרפתית - 22 כרכים</v>
      </c>
      <c r="H1605" t="str">
        <f>_xlfn.CONCAT("https://tablet.otzar.org/",CHAR(35),"/exKotar/146204")</f>
        <v>https://tablet.otzar.org/#/exKotar/146204</v>
      </c>
    </row>
    <row r="1606" spans="1:8" x14ac:dyDescent="0.25">
      <c r="A1606">
        <v>29240</v>
      </c>
      <c r="B1606" t="s">
        <v>2620</v>
      </c>
      <c r="C1606" t="s">
        <v>81</v>
      </c>
      <c r="D1606" t="s">
        <v>410</v>
      </c>
      <c r="E1606" t="s">
        <v>192</v>
      </c>
      <c r="F1606" t="s">
        <v>12</v>
      </c>
      <c r="G1606" t="str">
        <f>HYPERLINK(_xlfn.CONCAT("https://tablet.otzar.org/",CHAR(35),"/exKotar/29240"),"ספרים ברוסית - 65 כרכים")</f>
        <v>ספרים ברוסית - 65 כרכים</v>
      </c>
      <c r="H1606" t="str">
        <f>_xlfn.CONCAT("https://tablet.otzar.org/",CHAR(35),"/exKotar/29240")</f>
        <v>https://tablet.otzar.org/#/exKotar/29240</v>
      </c>
    </row>
    <row r="1607" spans="1:8" x14ac:dyDescent="0.25">
      <c r="A1607">
        <v>145518</v>
      </c>
      <c r="B1607" t="s">
        <v>2621</v>
      </c>
      <c r="C1607" t="s">
        <v>2589</v>
      </c>
      <c r="D1607" t="s">
        <v>10</v>
      </c>
      <c r="E1607" t="s">
        <v>515</v>
      </c>
      <c r="F1607" t="s">
        <v>12</v>
      </c>
      <c r="G1607" t="str">
        <f>HYPERLINK(_xlfn.CONCAT("https://tablet.otzar.org/",CHAR(35),"/book/145518/p/-1/t/1/fs/0/start/0/end/0/c"),"ספרנו - ב")</f>
        <v>ספרנו - ב</v>
      </c>
      <c r="H1607" t="str">
        <f>_xlfn.CONCAT("https://tablet.otzar.org/",CHAR(35),"/book/145518/p/-1/t/1/fs/0/start/0/end/0/c")</f>
        <v>https://tablet.otzar.org/#/book/145518/p/-1/t/1/fs/0/start/0/end/0/c</v>
      </c>
    </row>
    <row r="1608" spans="1:8" x14ac:dyDescent="0.25">
      <c r="A1608">
        <v>167734</v>
      </c>
      <c r="B1608" t="s">
        <v>2622</v>
      </c>
      <c r="C1608" t="s">
        <v>402</v>
      </c>
      <c r="D1608" t="s">
        <v>15</v>
      </c>
      <c r="E1608" t="s">
        <v>82</v>
      </c>
      <c r="F1608" t="s">
        <v>12</v>
      </c>
      <c r="G1608" t="str">
        <f>HYPERLINK(_xlfn.CONCAT("https://tablet.otzar.org/",CHAR(35),"/book/167734/p/-1/t/1/fs/0/start/0/end/0/c"),"עבד אברהם אנכי")</f>
        <v>עבד אברהם אנכי</v>
      </c>
      <c r="H1608" t="str">
        <f>_xlfn.CONCAT("https://tablet.otzar.org/",CHAR(35),"/book/167734/p/-1/t/1/fs/0/start/0/end/0/c")</f>
        <v>https://tablet.otzar.org/#/book/167734/p/-1/t/1/fs/0/start/0/end/0/c</v>
      </c>
    </row>
    <row r="1609" spans="1:8" x14ac:dyDescent="0.25">
      <c r="A1609">
        <v>157279</v>
      </c>
      <c r="B1609" t="s">
        <v>2623</v>
      </c>
      <c r="C1609" t="s">
        <v>1495</v>
      </c>
      <c r="D1609" t="s">
        <v>28</v>
      </c>
      <c r="E1609" t="s">
        <v>33</v>
      </c>
      <c r="F1609" t="s">
        <v>12</v>
      </c>
      <c r="G1609" t="str">
        <f>HYPERLINK(_xlfn.CONCAT("https://tablet.otzar.org/",CHAR(35),"/book/157279/p/-1/t/1/fs/0/start/0/end/0/c"),"עבד מלך")</f>
        <v>עבד מלך</v>
      </c>
      <c r="H1609" t="str">
        <f>_xlfn.CONCAT("https://tablet.otzar.org/",CHAR(35),"/book/157279/p/-1/t/1/fs/0/start/0/end/0/c")</f>
        <v>https://tablet.otzar.org/#/book/157279/p/-1/t/1/fs/0/start/0/end/0/c</v>
      </c>
    </row>
    <row r="1610" spans="1:8" x14ac:dyDescent="0.25">
      <c r="A1610">
        <v>618905</v>
      </c>
      <c r="B1610" t="s">
        <v>2624</v>
      </c>
      <c r="C1610" t="s">
        <v>2625</v>
      </c>
      <c r="D1610" t="s">
        <v>28</v>
      </c>
      <c r="E1610" t="s">
        <v>91</v>
      </c>
      <c r="F1610" t="s">
        <v>43</v>
      </c>
      <c r="G1610" t="str">
        <f>HYPERLINK(_xlfn.CONCAT("https://tablet.otzar.org/",CHAR(35),"/book/618905/p/-1/t/1/fs/0/start/0/end/0/c"),"עבדות או שליחות")</f>
        <v>עבדות או שליחות</v>
      </c>
      <c r="H1610" t="str">
        <f>_xlfn.CONCAT("https://tablet.otzar.org/",CHAR(35),"/book/618905/p/-1/t/1/fs/0/start/0/end/0/c")</f>
        <v>https://tablet.otzar.org/#/book/618905/p/-1/t/1/fs/0/start/0/end/0/c</v>
      </c>
    </row>
    <row r="1611" spans="1:8" x14ac:dyDescent="0.25">
      <c r="A1611">
        <v>675817</v>
      </c>
      <c r="B1611" t="s">
        <v>2626</v>
      </c>
      <c r="C1611" t="s">
        <v>27</v>
      </c>
      <c r="D1611" t="s">
        <v>10</v>
      </c>
      <c r="E1611" t="s">
        <v>2258</v>
      </c>
      <c r="F1611" t="s">
        <v>12</v>
      </c>
      <c r="G1611" t="str">
        <f>HYPERLINK(_xlfn.CONCAT("https://tablet.otzar.org/",CHAR(35),"/book/675817/p/-1/t/1/fs/0/start/0/end/0/c"),"עבודת הקודש אצל הרבי מליובאוויטש")</f>
        <v>עבודת הקודש אצל הרבי מליובאוויטש</v>
      </c>
      <c r="H1611" t="str">
        <f>_xlfn.CONCAT("https://tablet.otzar.org/",CHAR(35),"/book/675817/p/-1/t/1/fs/0/start/0/end/0/c")</f>
        <v>https://tablet.otzar.org/#/book/675817/p/-1/t/1/fs/0/start/0/end/0/c</v>
      </c>
    </row>
    <row r="1612" spans="1:8" x14ac:dyDescent="0.25">
      <c r="A1612">
        <v>627070</v>
      </c>
      <c r="B1612" t="s">
        <v>2627</v>
      </c>
      <c r="C1612" t="s">
        <v>2628</v>
      </c>
      <c r="D1612" t="s">
        <v>10</v>
      </c>
      <c r="F1612" t="s">
        <v>12</v>
      </c>
      <c r="G1612" t="str">
        <f>HYPERLINK(_xlfn.CONCAT("https://tablet.otzar.org/",CHAR(35),"/book/627070/p/-1/t/1/fs/0/start/0/end/0/c"),"עבודת התפילה")</f>
        <v>עבודת התפילה</v>
      </c>
      <c r="H1612" t="str">
        <f>_xlfn.CONCAT("https://tablet.otzar.org/",CHAR(35),"/book/627070/p/-1/t/1/fs/0/start/0/end/0/c")</f>
        <v>https://tablet.otzar.org/#/book/627070/p/-1/t/1/fs/0/start/0/end/0/c</v>
      </c>
    </row>
    <row r="1613" spans="1:8" x14ac:dyDescent="0.25">
      <c r="A1613">
        <v>154704</v>
      </c>
      <c r="B1613" t="s">
        <v>2629</v>
      </c>
      <c r="C1613" t="s">
        <v>2630</v>
      </c>
      <c r="D1613" t="s">
        <v>37</v>
      </c>
      <c r="E1613" t="s">
        <v>49</v>
      </c>
      <c r="F1613" t="s">
        <v>12</v>
      </c>
      <c r="G1613" t="str">
        <f>HYPERLINK(_xlfn.CONCAT("https://tablet.otzar.org/",CHAR(35),"/book/154704/p/-1/t/1/fs/0/start/0/end/0/c"),"עבודת ישראל")</f>
        <v>עבודת ישראל</v>
      </c>
      <c r="H1613" t="str">
        <f>_xlfn.CONCAT("https://tablet.otzar.org/",CHAR(35),"/book/154704/p/-1/t/1/fs/0/start/0/end/0/c")</f>
        <v>https://tablet.otzar.org/#/book/154704/p/-1/t/1/fs/0/start/0/end/0/c</v>
      </c>
    </row>
    <row r="1614" spans="1:8" x14ac:dyDescent="0.25">
      <c r="A1614">
        <v>607842</v>
      </c>
      <c r="B1614" t="s">
        <v>2631</v>
      </c>
      <c r="C1614" t="s">
        <v>2632</v>
      </c>
      <c r="D1614" t="s">
        <v>15</v>
      </c>
      <c r="E1614" t="s">
        <v>404</v>
      </c>
      <c r="G1614" t="str">
        <f>HYPERLINK(_xlfn.CONCAT("https://tablet.otzar.org/",CHAR(35),"/book/607842/p/-1/t/1/fs/0/start/0/end/0/c"),"עבודת תיקון המידות")</f>
        <v>עבודת תיקון המידות</v>
      </c>
      <c r="H1614" t="str">
        <f>_xlfn.CONCAT("https://tablet.otzar.org/",CHAR(35),"/book/607842/p/-1/t/1/fs/0/start/0/end/0/c")</f>
        <v>https://tablet.otzar.org/#/book/607842/p/-1/t/1/fs/0/start/0/end/0/c</v>
      </c>
    </row>
    <row r="1615" spans="1:8" x14ac:dyDescent="0.25">
      <c r="A1615">
        <v>628563</v>
      </c>
      <c r="B1615" t="s">
        <v>2633</v>
      </c>
      <c r="C1615" t="s">
        <v>102</v>
      </c>
      <c r="D1615" t="s">
        <v>15</v>
      </c>
      <c r="E1615" t="s">
        <v>33</v>
      </c>
      <c r="F1615" t="s">
        <v>1797</v>
      </c>
      <c r="G1615" t="str">
        <f>HYPERLINK(_xlfn.CONCAT("https://tablet.otzar.org/",CHAR(35),"/book/628563/p/-1/t/1/fs/0/start/0/end/0/c"),"עדון המידות")</f>
        <v>עדון המידות</v>
      </c>
      <c r="H1615" t="str">
        <f>_xlfn.CONCAT("https://tablet.otzar.org/",CHAR(35),"/book/628563/p/-1/t/1/fs/0/start/0/end/0/c")</f>
        <v>https://tablet.otzar.org/#/book/628563/p/-1/t/1/fs/0/start/0/end/0/c</v>
      </c>
    </row>
    <row r="1616" spans="1:8" x14ac:dyDescent="0.25">
      <c r="A1616">
        <v>607652</v>
      </c>
      <c r="B1616" t="s">
        <v>2634</v>
      </c>
      <c r="C1616" t="s">
        <v>122</v>
      </c>
      <c r="D1616" t="s">
        <v>2635</v>
      </c>
      <c r="E1616" t="s">
        <v>19</v>
      </c>
      <c r="F1616" t="s">
        <v>12</v>
      </c>
      <c r="G1616" t="str">
        <f>HYPERLINK(_xlfn.CONCAT("https://tablet.otzar.org/",CHAR(35),"/book/607652/p/-1/t/1/fs/0/start/0/end/0/c"),"עוד אבינו חי")</f>
        <v>עוד אבינו חי</v>
      </c>
      <c r="H1616" t="str">
        <f>_xlfn.CONCAT("https://tablet.otzar.org/",CHAR(35),"/book/607652/p/-1/t/1/fs/0/start/0/end/0/c")</f>
        <v>https://tablet.otzar.org/#/book/607652/p/-1/t/1/fs/0/start/0/end/0/c</v>
      </c>
    </row>
    <row r="1617" spans="1:8" x14ac:dyDescent="0.25">
      <c r="A1617">
        <v>173493</v>
      </c>
      <c r="B1617" t="s">
        <v>2636</v>
      </c>
      <c r="C1617" t="s">
        <v>2637</v>
      </c>
      <c r="D1617" t="s">
        <v>15</v>
      </c>
      <c r="E1617" t="s">
        <v>62</v>
      </c>
      <c r="F1617" t="s">
        <v>12</v>
      </c>
      <c r="G1617" t="str">
        <f>HYPERLINK(_xlfn.CONCAT("https://tablet.otzar.org/",CHAR(35),"/book/173493/p/-1/t/1/fs/0/start/0/end/0/c"),"עולם הרפואה במשנתו של הרבי מליובאוויטש")</f>
        <v>עולם הרפואה במשנתו של הרבי מליובאוויטש</v>
      </c>
      <c r="H1617" t="str">
        <f>_xlfn.CONCAT("https://tablet.otzar.org/",CHAR(35),"/book/173493/p/-1/t/1/fs/0/start/0/end/0/c")</f>
        <v>https://tablet.otzar.org/#/book/173493/p/-1/t/1/fs/0/start/0/end/0/c</v>
      </c>
    </row>
    <row r="1618" spans="1:8" x14ac:dyDescent="0.25">
      <c r="A1618">
        <v>196220</v>
      </c>
      <c r="B1618" t="s">
        <v>2638</v>
      </c>
      <c r="C1618" t="s">
        <v>45</v>
      </c>
      <c r="D1618" t="s">
        <v>28</v>
      </c>
      <c r="E1618" t="s">
        <v>99</v>
      </c>
      <c r="F1618" t="s">
        <v>12</v>
      </c>
      <c r="G1618" t="str">
        <f>HYPERLINK(_xlfn.CONCAT("https://tablet.otzar.org/",CHAR(35),"/book/196220/p/-1/t/1/fs/0/start/0/end/0/c"),"עולם ומלואו")</f>
        <v>עולם ומלואו</v>
      </c>
      <c r="H1618" t="str">
        <f>_xlfn.CONCAT("https://tablet.otzar.org/",CHAR(35),"/book/196220/p/-1/t/1/fs/0/start/0/end/0/c")</f>
        <v>https://tablet.otzar.org/#/book/196220/p/-1/t/1/fs/0/start/0/end/0/c</v>
      </c>
    </row>
    <row r="1619" spans="1:8" x14ac:dyDescent="0.25">
      <c r="A1619">
        <v>141425</v>
      </c>
      <c r="B1619" t="s">
        <v>2639</v>
      </c>
      <c r="C1619" t="s">
        <v>724</v>
      </c>
      <c r="D1619" t="s">
        <v>37</v>
      </c>
      <c r="E1619" t="s">
        <v>40</v>
      </c>
      <c r="F1619" t="s">
        <v>12</v>
      </c>
      <c r="G1619" t="str">
        <f>HYPERLINK(_xlfn.CONCAT("https://tablet.otzar.org/",CHAR(35),"/book/141425/p/-1/t/1/fs/0/start/0/end/0/c"),"עולם של יצירה")</f>
        <v>עולם של יצירה</v>
      </c>
      <c r="H1619" t="str">
        <f>_xlfn.CONCAT("https://tablet.otzar.org/",CHAR(35),"/book/141425/p/-1/t/1/fs/0/start/0/end/0/c")</f>
        <v>https://tablet.otzar.org/#/book/141425/p/-1/t/1/fs/0/start/0/end/0/c</v>
      </c>
    </row>
    <row r="1620" spans="1:8" x14ac:dyDescent="0.25">
      <c r="A1620">
        <v>651995</v>
      </c>
      <c r="B1620" t="s">
        <v>2640</v>
      </c>
      <c r="E1620" t="s">
        <v>24</v>
      </c>
      <c r="F1620" t="s">
        <v>208</v>
      </c>
      <c r="G1620" t="str">
        <f>HYPERLINK(_xlfn.CONCAT("https://tablet.otzar.org/",CHAR(35),"/exKotar/651995"),"עומק הפשט - 3 כרכים")</f>
        <v>עומק הפשט - 3 כרכים</v>
      </c>
      <c r="H1620" t="str">
        <f>_xlfn.CONCAT("https://tablet.otzar.org/",CHAR(35),"/exKotar/651995")</f>
        <v>https://tablet.otzar.org/#/exKotar/651995</v>
      </c>
    </row>
    <row r="1621" spans="1:8" x14ac:dyDescent="0.25">
      <c r="A1621">
        <v>169962</v>
      </c>
      <c r="B1621" t="s">
        <v>2641</v>
      </c>
      <c r="C1621" t="s">
        <v>48</v>
      </c>
      <c r="D1621" t="s">
        <v>37</v>
      </c>
      <c r="E1621" t="s">
        <v>82</v>
      </c>
      <c r="F1621" t="s">
        <v>12</v>
      </c>
      <c r="G1621" t="str">
        <f>HYPERLINK(_xlfn.CONCAT("https://tablet.otzar.org/",CHAR(35),"/book/169962/p/-1/t/1/fs/0/start/0/end/0/c"),"עושה אידישקייט")</f>
        <v>עושה אידישקייט</v>
      </c>
      <c r="H1621" t="str">
        <f>_xlfn.CONCAT("https://tablet.otzar.org/",CHAR(35),"/book/169962/p/-1/t/1/fs/0/start/0/end/0/c")</f>
        <v>https://tablet.otzar.org/#/book/169962/p/-1/t/1/fs/0/start/0/end/0/c</v>
      </c>
    </row>
    <row r="1622" spans="1:8" x14ac:dyDescent="0.25">
      <c r="A1622">
        <v>27332</v>
      </c>
      <c r="B1622" t="s">
        <v>2642</v>
      </c>
      <c r="C1622" t="s">
        <v>125</v>
      </c>
      <c r="D1622" t="s">
        <v>1229</v>
      </c>
      <c r="E1622" t="s">
        <v>69</v>
      </c>
      <c r="F1622" t="s">
        <v>12</v>
      </c>
      <c r="G1622" t="str">
        <f>HYPERLINK(_xlfn.CONCAT("https://tablet.otzar.org/",CHAR(35),"/exKotar/27332"),"עטרת המלך - 2 כרכים")</f>
        <v>עטרת המלך - 2 כרכים</v>
      </c>
      <c r="H1622" t="str">
        <f>_xlfn.CONCAT("https://tablet.otzar.org/",CHAR(35),"/exKotar/27332")</f>
        <v>https://tablet.otzar.org/#/exKotar/27332</v>
      </c>
    </row>
    <row r="1623" spans="1:8" x14ac:dyDescent="0.25">
      <c r="A1623">
        <v>141656</v>
      </c>
      <c r="B1623" t="s">
        <v>2643</v>
      </c>
      <c r="C1623" t="s">
        <v>2643</v>
      </c>
      <c r="D1623" t="s">
        <v>15</v>
      </c>
      <c r="E1623" t="s">
        <v>139</v>
      </c>
      <c r="F1623" t="s">
        <v>12</v>
      </c>
      <c r="G1623" t="str">
        <f>HYPERLINK(_xlfn.CONCAT("https://tablet.otzar.org/",CHAR(35),"/book/141656/p/-1/t/1/fs/0/start/0/end/0/c"),"עטרת חיה")</f>
        <v>עטרת חיה</v>
      </c>
      <c r="H1623" t="str">
        <f>_xlfn.CONCAT("https://tablet.otzar.org/",CHAR(35),"/book/141656/p/-1/t/1/fs/0/start/0/end/0/c")</f>
        <v>https://tablet.otzar.org/#/book/141656/p/-1/t/1/fs/0/start/0/end/0/c</v>
      </c>
    </row>
    <row r="1624" spans="1:8" x14ac:dyDescent="0.25">
      <c r="A1624">
        <v>27390</v>
      </c>
      <c r="B1624" t="s">
        <v>2644</v>
      </c>
      <c r="C1624" t="s">
        <v>125</v>
      </c>
      <c r="D1624" t="s">
        <v>1229</v>
      </c>
      <c r="E1624" t="s">
        <v>346</v>
      </c>
      <c r="F1624" t="s">
        <v>12</v>
      </c>
      <c r="G1624" t="str">
        <f>HYPERLINK(_xlfn.CONCAT("https://tablet.otzar.org/",CHAR(35),"/book/27390/p/-1/t/1/fs/0/start/0/end/0/c"),"עטרת חכמים")</f>
        <v>עטרת חכמים</v>
      </c>
      <c r="H1624" t="str">
        <f>_xlfn.CONCAT("https://tablet.otzar.org/",CHAR(35),"/book/27390/p/-1/t/1/fs/0/start/0/end/0/c")</f>
        <v>https://tablet.otzar.org/#/book/27390/p/-1/t/1/fs/0/start/0/end/0/c</v>
      </c>
    </row>
    <row r="1625" spans="1:8" x14ac:dyDescent="0.25">
      <c r="A1625">
        <v>630296</v>
      </c>
      <c r="B1625" t="s">
        <v>2645</v>
      </c>
      <c r="C1625" t="s">
        <v>2646</v>
      </c>
      <c r="D1625" t="s">
        <v>843</v>
      </c>
      <c r="E1625" t="s">
        <v>88</v>
      </c>
      <c r="F1625" t="s">
        <v>12</v>
      </c>
      <c r="G1625" t="str">
        <f>HYPERLINK(_xlfn.CONCAT("https://tablet.otzar.org/",CHAR(35),"/book/630296/p/-1/t/1/fs/0/start/0/end/0/c"),"עטרת לוי יצחק")</f>
        <v>עטרת לוי יצחק</v>
      </c>
      <c r="H1625" t="str">
        <f>_xlfn.CONCAT("https://tablet.otzar.org/",CHAR(35),"/book/630296/p/-1/t/1/fs/0/start/0/end/0/c")</f>
        <v>https://tablet.otzar.org/#/book/630296/p/-1/t/1/fs/0/start/0/end/0/c</v>
      </c>
    </row>
    <row r="1626" spans="1:8" x14ac:dyDescent="0.25">
      <c r="A1626">
        <v>27351</v>
      </c>
      <c r="B1626" t="s">
        <v>2647</v>
      </c>
      <c r="C1626" t="s">
        <v>125</v>
      </c>
      <c r="D1626" t="s">
        <v>1229</v>
      </c>
      <c r="E1626" t="s">
        <v>69</v>
      </c>
      <c r="F1626" t="s">
        <v>12</v>
      </c>
      <c r="G1626" t="str">
        <f>HYPERLINK(_xlfn.CONCAT("https://tablet.otzar.org/",CHAR(35),"/book/27351/p/-1/t/1/fs/0/start/0/end/0/c"),"עטרת מלך")</f>
        <v>עטרת מלך</v>
      </c>
      <c r="H1626" t="str">
        <f>_xlfn.CONCAT("https://tablet.otzar.org/",CHAR(35),"/book/27351/p/-1/t/1/fs/0/start/0/end/0/c")</f>
        <v>https://tablet.otzar.org/#/book/27351/p/-1/t/1/fs/0/start/0/end/0/c</v>
      </c>
    </row>
    <row r="1627" spans="1:8" x14ac:dyDescent="0.25">
      <c r="A1627">
        <v>27036</v>
      </c>
      <c r="B1627" t="s">
        <v>2648</v>
      </c>
      <c r="C1627" t="s">
        <v>2043</v>
      </c>
      <c r="D1627" t="s">
        <v>15</v>
      </c>
      <c r="E1627" t="s">
        <v>129</v>
      </c>
      <c r="F1627" t="s">
        <v>12</v>
      </c>
      <c r="G1627" t="str">
        <f>HYPERLINK(_xlfn.CONCAT("https://tablet.otzar.org/",CHAR(35),"/book/27036/p/-1/t/1/fs/0/start/0/end/0/c"),"עטרת מלכות")</f>
        <v>עטרת מלכות</v>
      </c>
      <c r="H1627" t="str">
        <f>_xlfn.CONCAT("https://tablet.otzar.org/",CHAR(35),"/book/27036/p/-1/t/1/fs/0/start/0/end/0/c")</f>
        <v>https://tablet.otzar.org/#/book/27036/p/-1/t/1/fs/0/start/0/end/0/c</v>
      </c>
    </row>
    <row r="1628" spans="1:8" x14ac:dyDescent="0.25">
      <c r="A1628">
        <v>27282</v>
      </c>
      <c r="B1628" t="s">
        <v>2649</v>
      </c>
      <c r="C1628" t="s">
        <v>2650</v>
      </c>
      <c r="D1628" t="s">
        <v>1229</v>
      </c>
      <c r="E1628" t="s">
        <v>441</v>
      </c>
      <c r="F1628" t="s">
        <v>12</v>
      </c>
      <c r="G1628" t="str">
        <f>HYPERLINK(_xlfn.CONCAT("https://tablet.otzar.org/",CHAR(35),"/book/27282/p/-1/t/1/fs/0/start/0/end/0/c"),"עטרת צבי")</f>
        <v>עטרת צבי</v>
      </c>
      <c r="H1628" t="str">
        <f>_xlfn.CONCAT("https://tablet.otzar.org/",CHAR(35),"/book/27282/p/-1/t/1/fs/0/start/0/end/0/c")</f>
        <v>https://tablet.otzar.org/#/book/27282/p/-1/t/1/fs/0/start/0/end/0/c</v>
      </c>
    </row>
    <row r="1629" spans="1:8" x14ac:dyDescent="0.25">
      <c r="A1629">
        <v>26655</v>
      </c>
      <c r="B1629" t="s">
        <v>2651</v>
      </c>
      <c r="C1629" t="s">
        <v>72</v>
      </c>
      <c r="D1629" t="s">
        <v>10</v>
      </c>
      <c r="E1629" t="s">
        <v>79</v>
      </c>
      <c r="F1629" t="s">
        <v>12</v>
      </c>
      <c r="G1629" t="str">
        <f>HYPERLINK(_xlfn.CONCAT("https://tablet.otzar.org/",CHAR(35),"/book/26655/p/-1/t/1/fs/0/start/0/end/0/c"),"עטרת ראש")</f>
        <v>עטרת ראש</v>
      </c>
      <c r="H1629" t="str">
        <f>_xlfn.CONCAT("https://tablet.otzar.org/",CHAR(35),"/book/26655/p/-1/t/1/fs/0/start/0/end/0/c")</f>
        <v>https://tablet.otzar.org/#/book/26655/p/-1/t/1/fs/0/start/0/end/0/c</v>
      </c>
    </row>
    <row r="1630" spans="1:8" x14ac:dyDescent="0.25">
      <c r="A1630">
        <v>146299</v>
      </c>
      <c r="B1630" t="s">
        <v>2652</v>
      </c>
      <c r="C1630" t="s">
        <v>45</v>
      </c>
      <c r="D1630" t="s">
        <v>859</v>
      </c>
      <c r="E1630" t="s">
        <v>192</v>
      </c>
      <c r="F1630" t="s">
        <v>12</v>
      </c>
      <c r="G1630" t="str">
        <f>HYPERLINK(_xlfn.CONCAT("https://tablet.otzar.org/",CHAR(35),"/book/146299/p/-1/t/1/fs/0/start/0/end/0/c"),"עיונים בתורת ארץ ישראל ובית הבחירה")</f>
        <v>עיונים בתורת ארץ ישראל ובית הבחירה</v>
      </c>
      <c r="H1630" t="str">
        <f>_xlfn.CONCAT("https://tablet.otzar.org/",CHAR(35),"/book/146299/p/-1/t/1/fs/0/start/0/end/0/c")</f>
        <v>https://tablet.otzar.org/#/book/146299/p/-1/t/1/fs/0/start/0/end/0/c</v>
      </c>
    </row>
    <row r="1631" spans="1:8" x14ac:dyDescent="0.25">
      <c r="A1631">
        <v>607959</v>
      </c>
      <c r="B1631" t="s">
        <v>2653</v>
      </c>
      <c r="C1631" t="s">
        <v>2654</v>
      </c>
      <c r="D1631" t="s">
        <v>2655</v>
      </c>
      <c r="E1631" t="s">
        <v>82</v>
      </c>
      <c r="F1631" t="s">
        <v>12</v>
      </c>
      <c r="G1631" t="str">
        <f>HYPERLINK(_xlfn.CONCAT("https://tablet.otzar.org/",CHAR(35),"/book/607959/p/-1/t/1/fs/0/start/0/end/0/c"),"עיונים וביאורים - א")</f>
        <v>עיונים וביאורים - א</v>
      </c>
      <c r="H1631" t="str">
        <f>_xlfn.CONCAT("https://tablet.otzar.org/",CHAR(35),"/book/607959/p/-1/t/1/fs/0/start/0/end/0/c")</f>
        <v>https://tablet.otzar.org/#/book/607959/p/-1/t/1/fs/0/start/0/end/0/c</v>
      </c>
    </row>
    <row r="1632" spans="1:8" x14ac:dyDescent="0.25">
      <c r="A1632">
        <v>26498</v>
      </c>
      <c r="B1632" t="s">
        <v>2656</v>
      </c>
      <c r="C1632" t="s">
        <v>1265</v>
      </c>
      <c r="D1632" t="s">
        <v>28</v>
      </c>
      <c r="E1632" t="s">
        <v>91</v>
      </c>
      <c r="F1632" t="s">
        <v>12</v>
      </c>
      <c r="G1632" t="str">
        <f>HYPERLINK(_xlfn.CONCAT("https://tablet.otzar.org/",CHAR(35),"/book/26498/p/-1/t/1/fs/0/start/0/end/0/c"),"עיונים וביאורים במגילת אסתר")</f>
        <v>עיונים וביאורים במגילת אסתר</v>
      </c>
      <c r="H1632" t="str">
        <f>_xlfn.CONCAT("https://tablet.otzar.org/",CHAR(35),"/book/26498/p/-1/t/1/fs/0/start/0/end/0/c")</f>
        <v>https://tablet.otzar.org/#/book/26498/p/-1/t/1/fs/0/start/0/end/0/c</v>
      </c>
    </row>
    <row r="1633" spans="1:8" x14ac:dyDescent="0.25">
      <c r="A1633">
        <v>628517</v>
      </c>
      <c r="B1633" t="s">
        <v>2657</v>
      </c>
      <c r="C1633" t="s">
        <v>102</v>
      </c>
      <c r="D1633" t="s">
        <v>15</v>
      </c>
      <c r="E1633" t="s">
        <v>82</v>
      </c>
      <c r="F1633" t="s">
        <v>12</v>
      </c>
      <c r="G1633" t="str">
        <f>HYPERLINK(_xlfn.CONCAT("https://tablet.otzar.org/",CHAR(35),"/book/628517/p/-1/t/1/fs/0/start/0/end/0/c"),"עיונים וביאורים מאמר איתא במדרש תילים")</f>
        <v>עיונים וביאורים מאמר איתא במדרש תילים</v>
      </c>
      <c r="H1633" t="str">
        <f>_xlfn.CONCAT("https://tablet.otzar.org/",CHAR(35),"/book/628517/p/-1/t/1/fs/0/start/0/end/0/c")</f>
        <v>https://tablet.otzar.org/#/book/628517/p/-1/t/1/fs/0/start/0/end/0/c</v>
      </c>
    </row>
    <row r="1634" spans="1:8" x14ac:dyDescent="0.25">
      <c r="A1634">
        <v>27492</v>
      </c>
      <c r="B1634" t="s">
        <v>2658</v>
      </c>
      <c r="C1634" t="s">
        <v>125</v>
      </c>
      <c r="D1634" t="s">
        <v>10</v>
      </c>
      <c r="E1634" t="s">
        <v>236</v>
      </c>
      <c r="F1634" t="s">
        <v>12</v>
      </c>
      <c r="G1634" t="str">
        <f>HYPERLINK(_xlfn.CONCAT("https://tablet.otzar.org/",CHAR(35),"/book/27492/p/-1/t/1/fs/0/start/0/end/0/c"),"עיונים והערות ברשימות קודש - א")</f>
        <v>עיונים והערות ברשימות קודש - א</v>
      </c>
      <c r="H1634" t="str">
        <f>_xlfn.CONCAT("https://tablet.otzar.org/",CHAR(35),"/book/27492/p/-1/t/1/fs/0/start/0/end/0/c")</f>
        <v>https://tablet.otzar.org/#/book/27492/p/-1/t/1/fs/0/start/0/end/0/c</v>
      </c>
    </row>
    <row r="1635" spans="1:8" x14ac:dyDescent="0.25">
      <c r="A1635">
        <v>628564</v>
      </c>
      <c r="B1635" t="s">
        <v>2659</v>
      </c>
      <c r="C1635" t="s">
        <v>102</v>
      </c>
      <c r="D1635" t="s">
        <v>15</v>
      </c>
      <c r="E1635" t="s">
        <v>16</v>
      </c>
      <c r="F1635" t="s">
        <v>2660</v>
      </c>
      <c r="G1635" t="str">
        <f>HYPERLINK(_xlfn.CONCAT("https://tablet.otzar.org/",CHAR(35),"/book/628564/p/-1/t/1/fs/0/start/0/end/0/c"),"עיניך ברכות בחשבון - א בראשית")</f>
        <v>עיניך ברכות בחשבון - א בראשית</v>
      </c>
      <c r="H1635" t="str">
        <f>_xlfn.CONCAT("https://tablet.otzar.org/",CHAR(35),"/book/628564/p/-1/t/1/fs/0/start/0/end/0/c")</f>
        <v>https://tablet.otzar.org/#/book/628564/p/-1/t/1/fs/0/start/0/end/0/c</v>
      </c>
    </row>
    <row r="1636" spans="1:8" x14ac:dyDescent="0.25">
      <c r="A1636">
        <v>27090</v>
      </c>
      <c r="B1636" t="s">
        <v>2661</v>
      </c>
      <c r="C1636" t="s">
        <v>2662</v>
      </c>
      <c r="D1636" t="s">
        <v>15</v>
      </c>
      <c r="E1636" t="s">
        <v>103</v>
      </c>
      <c r="F1636" t="s">
        <v>12</v>
      </c>
      <c r="G1636" t="str">
        <f>HYPERLINK(_xlfn.CONCAT("https://tablet.otzar.org/",CHAR(35),"/book/27090/p/-1/t/1/fs/0/start/0/end/0/c"),"על אבותינו ועל יחוסם")</f>
        <v>על אבותינו ועל יחוסם</v>
      </c>
      <c r="H1636" t="str">
        <f>_xlfn.CONCAT("https://tablet.otzar.org/",CHAR(35),"/book/27090/p/-1/t/1/fs/0/start/0/end/0/c")</f>
        <v>https://tablet.otzar.org/#/book/27090/p/-1/t/1/fs/0/start/0/end/0/c</v>
      </c>
    </row>
    <row r="1637" spans="1:8" x14ac:dyDescent="0.25">
      <c r="A1637">
        <v>145961</v>
      </c>
      <c r="B1637" t="s">
        <v>2663</v>
      </c>
      <c r="C1637" t="s">
        <v>122</v>
      </c>
      <c r="D1637" t="s">
        <v>28</v>
      </c>
      <c r="E1637" t="s">
        <v>91</v>
      </c>
      <c r="F1637" t="s">
        <v>12</v>
      </c>
      <c r="G1637" t="str">
        <f>HYPERLINK(_xlfn.CONCAT("https://tablet.otzar.org/",CHAR(35),"/book/145961/p/-1/t/1/fs/0/start/0/end/0/c"),"על הגיור כהלכה")</f>
        <v>על הגיור כהלכה</v>
      </c>
      <c r="H1637" t="str">
        <f>_xlfn.CONCAT("https://tablet.otzar.org/",CHAR(35),"/book/145961/p/-1/t/1/fs/0/start/0/end/0/c")</f>
        <v>https://tablet.otzar.org/#/book/145961/p/-1/t/1/fs/0/start/0/end/0/c</v>
      </c>
    </row>
    <row r="1638" spans="1:8" x14ac:dyDescent="0.25">
      <c r="A1638">
        <v>144160</v>
      </c>
      <c r="B1638" t="s">
        <v>2664</v>
      </c>
      <c r="C1638" t="s">
        <v>1423</v>
      </c>
      <c r="D1638" t="s">
        <v>37</v>
      </c>
      <c r="E1638" t="s">
        <v>91</v>
      </c>
      <c r="F1638" t="s">
        <v>342</v>
      </c>
      <c r="G1638" t="str">
        <f>HYPERLINK(_xlfn.CONCAT("https://tablet.otzar.org/",CHAR(35),"/book/144160/p/-1/t/1/fs/0/start/0/end/0/c"),"על הכוונת")</f>
        <v>על הכוונת</v>
      </c>
      <c r="H1638" t="str">
        <f>_xlfn.CONCAT("https://tablet.otzar.org/",CHAR(35),"/book/144160/p/-1/t/1/fs/0/start/0/end/0/c")</f>
        <v>https://tablet.otzar.org/#/book/144160/p/-1/t/1/fs/0/start/0/end/0/c</v>
      </c>
    </row>
    <row r="1639" spans="1:8" x14ac:dyDescent="0.25">
      <c r="A1639">
        <v>142182</v>
      </c>
      <c r="B1639" t="s">
        <v>2665</v>
      </c>
      <c r="C1639" t="s">
        <v>2666</v>
      </c>
      <c r="D1639" t="s">
        <v>15</v>
      </c>
      <c r="E1639" t="s">
        <v>260</v>
      </c>
      <c r="F1639" t="s">
        <v>12</v>
      </c>
      <c r="G1639" t="str">
        <f>HYPERLINK(_xlfn.CONCAT("https://tablet.otzar.org/",CHAR(35),"/exKotar/142182"),"על הצדיקים - 2 כרכים")</f>
        <v>על הצדיקים - 2 כרכים</v>
      </c>
      <c r="H1639" t="str">
        <f>_xlfn.CONCAT("https://tablet.otzar.org/",CHAR(35),"/exKotar/142182")</f>
        <v>https://tablet.otzar.org/#/exKotar/142182</v>
      </c>
    </row>
    <row r="1640" spans="1:8" x14ac:dyDescent="0.25">
      <c r="A1640">
        <v>146546</v>
      </c>
      <c r="B1640" t="s">
        <v>2667</v>
      </c>
      <c r="C1640" t="s">
        <v>45</v>
      </c>
      <c r="D1640" t="s">
        <v>28</v>
      </c>
      <c r="E1640" t="s">
        <v>181</v>
      </c>
      <c r="F1640" t="s">
        <v>76</v>
      </c>
      <c r="G1640" t="str">
        <f>HYPERLINK(_xlfn.CONCAT("https://tablet.otzar.org/",CHAR(35),"/book/146546/p/-1/t/1/fs/0/start/0/end/0/c"),"על הרי הגליל")</f>
        <v>על הרי הגליל</v>
      </c>
      <c r="H1640" t="str">
        <f>_xlfn.CONCAT("https://tablet.otzar.org/",CHAR(35),"/book/146546/p/-1/t/1/fs/0/start/0/end/0/c")</f>
        <v>https://tablet.otzar.org/#/book/146546/p/-1/t/1/fs/0/start/0/end/0/c</v>
      </c>
    </row>
    <row r="1641" spans="1:8" x14ac:dyDescent="0.25">
      <c r="A1641">
        <v>637567</v>
      </c>
      <c r="B1641" t="s">
        <v>2667</v>
      </c>
      <c r="C1641" t="s">
        <v>281</v>
      </c>
      <c r="D1641" t="s">
        <v>15</v>
      </c>
      <c r="G1641" t="str">
        <f>HYPERLINK(_xlfn.CONCAT("https://tablet.otzar.org/",CHAR(35),"/book/637567/p/-1/t/1/fs/0/start/0/end/0/c"),"על הרי הגליל")</f>
        <v>על הרי הגליל</v>
      </c>
      <c r="H1641" t="str">
        <f>_xlfn.CONCAT("https://tablet.otzar.org/",CHAR(35),"/book/637567/p/-1/t/1/fs/0/start/0/end/0/c")</f>
        <v>https://tablet.otzar.org/#/book/637567/p/-1/t/1/fs/0/start/0/end/0/c</v>
      </c>
    </row>
    <row r="1642" spans="1:8" x14ac:dyDescent="0.25">
      <c r="A1642">
        <v>629099</v>
      </c>
      <c r="B1642" t="s">
        <v>2668</v>
      </c>
      <c r="C1642" t="s">
        <v>14</v>
      </c>
      <c r="F1642" t="s">
        <v>229</v>
      </c>
      <c r="G1642" t="str">
        <f>HYPERLINK(_xlfn.CONCAT("https://tablet.otzar.org/",CHAR(35),"/book/629099/p/-1/t/1/fs/0/start/0/end/0/c"),"על חטא העיגול")</f>
        <v>על חטא העיגול</v>
      </c>
      <c r="H1642" t="str">
        <f>_xlfn.CONCAT("https://tablet.otzar.org/",CHAR(35),"/book/629099/p/-1/t/1/fs/0/start/0/end/0/c")</f>
        <v>https://tablet.otzar.org/#/book/629099/p/-1/t/1/fs/0/start/0/end/0/c</v>
      </c>
    </row>
    <row r="1643" spans="1:8" x14ac:dyDescent="0.25">
      <c r="A1643">
        <v>146239</v>
      </c>
      <c r="B1643" t="s">
        <v>2669</v>
      </c>
      <c r="C1643" t="s">
        <v>2670</v>
      </c>
      <c r="E1643" t="s">
        <v>91</v>
      </c>
      <c r="F1643" t="s">
        <v>12</v>
      </c>
      <c r="G1643" t="str">
        <f>HYPERLINK(_xlfn.CONCAT("https://tablet.otzar.org/",CHAR(35),"/book/146239/p/-1/t/1/fs/0/start/0/end/0/c"),"על חסידות חב""""ד")</f>
        <v>על חסידות חב""ד</v>
      </c>
      <c r="H1643" t="str">
        <f>_xlfn.CONCAT("https://tablet.otzar.org/",CHAR(35),"/book/146239/p/-1/t/1/fs/0/start/0/end/0/c")</f>
        <v>https://tablet.otzar.org/#/book/146239/p/-1/t/1/fs/0/start/0/end/0/c</v>
      </c>
    </row>
    <row r="1644" spans="1:8" x14ac:dyDescent="0.25">
      <c r="A1644">
        <v>146398</v>
      </c>
      <c r="B1644" t="s">
        <v>2671</v>
      </c>
      <c r="C1644" t="s">
        <v>2672</v>
      </c>
      <c r="D1644" t="s">
        <v>10</v>
      </c>
      <c r="E1644" t="s">
        <v>91</v>
      </c>
      <c r="F1644" t="s">
        <v>12</v>
      </c>
      <c r="G1644" t="str">
        <f>HYPERLINK(_xlfn.CONCAT("https://tablet.otzar.org/",CHAR(35),"/book/146398/p/-1/t/1/fs/0/start/0/end/0/c"),"על חסידות חב""""ד והיהדות")</f>
        <v>על חסידות חב""ד והיהדות</v>
      </c>
      <c r="H1644" t="str">
        <f>_xlfn.CONCAT("https://tablet.otzar.org/",CHAR(35),"/book/146398/p/-1/t/1/fs/0/start/0/end/0/c")</f>
        <v>https://tablet.otzar.org/#/book/146398/p/-1/t/1/fs/0/start/0/end/0/c</v>
      </c>
    </row>
    <row r="1645" spans="1:8" x14ac:dyDescent="0.25">
      <c r="A1645">
        <v>607901</v>
      </c>
      <c r="B1645" t="s">
        <v>2673</v>
      </c>
      <c r="C1645" t="s">
        <v>45</v>
      </c>
      <c r="D1645" t="s">
        <v>37</v>
      </c>
      <c r="E1645" t="s">
        <v>99</v>
      </c>
      <c r="F1645" t="s">
        <v>12</v>
      </c>
      <c r="G1645" t="str">
        <f>HYPERLINK(_xlfn.CONCAT("https://tablet.otzar.org/",CHAR(35),"/book/607901/p/-1/t/1/fs/0/start/0/end/0/c"),"על כולנה")</f>
        <v>על כולנה</v>
      </c>
      <c r="H1645" t="str">
        <f>_xlfn.CONCAT("https://tablet.otzar.org/",CHAR(35),"/book/607901/p/-1/t/1/fs/0/start/0/end/0/c")</f>
        <v>https://tablet.otzar.org/#/book/607901/p/-1/t/1/fs/0/start/0/end/0/c</v>
      </c>
    </row>
    <row r="1646" spans="1:8" x14ac:dyDescent="0.25">
      <c r="A1646">
        <v>615473</v>
      </c>
      <c r="B1646" t="s">
        <v>2674</v>
      </c>
      <c r="C1646" t="s">
        <v>2675</v>
      </c>
      <c r="D1646" t="s">
        <v>37</v>
      </c>
      <c r="E1646" t="s">
        <v>82</v>
      </c>
      <c r="F1646" t="s">
        <v>76</v>
      </c>
      <c r="G1646" t="str">
        <f>HYPERLINK(_xlfn.CONCAT("https://tablet.otzar.org/",CHAR(35),"/book/615473/p/-1/t/1/fs/0/start/0/end/0/c"),"על ספר זכרון ירושלים")</f>
        <v>על ספר זכרון ירושלים</v>
      </c>
      <c r="H1646" t="str">
        <f>_xlfn.CONCAT("https://tablet.otzar.org/",CHAR(35),"/book/615473/p/-1/t/1/fs/0/start/0/end/0/c")</f>
        <v>https://tablet.otzar.org/#/book/615473/p/-1/t/1/fs/0/start/0/end/0/c</v>
      </c>
    </row>
    <row r="1647" spans="1:8" x14ac:dyDescent="0.25">
      <c r="A1647">
        <v>622502</v>
      </c>
      <c r="B1647" t="s">
        <v>2676</v>
      </c>
      <c r="C1647" t="s">
        <v>14</v>
      </c>
      <c r="D1647" t="s">
        <v>37</v>
      </c>
      <c r="E1647" t="s">
        <v>11</v>
      </c>
      <c r="F1647" t="s">
        <v>12</v>
      </c>
      <c r="G1647" t="str">
        <f>HYPERLINK(_xlfn.CONCAT("https://tablet.otzar.org/",CHAR(35),"/book/622502/p/-1/t/1/fs/0/start/0/end/0/c"),"על פרשת דרכים")</f>
        <v>על פרשת דרכים</v>
      </c>
      <c r="H1647" t="str">
        <f>_xlfn.CONCAT("https://tablet.otzar.org/",CHAR(35),"/book/622502/p/-1/t/1/fs/0/start/0/end/0/c")</f>
        <v>https://tablet.otzar.org/#/book/622502/p/-1/t/1/fs/0/start/0/end/0/c</v>
      </c>
    </row>
    <row r="1648" spans="1:8" x14ac:dyDescent="0.25">
      <c r="A1648">
        <v>141426</v>
      </c>
      <c r="B1648" t="s">
        <v>2677</v>
      </c>
      <c r="C1648" t="s">
        <v>595</v>
      </c>
      <c r="D1648" t="s">
        <v>15</v>
      </c>
      <c r="E1648" t="s">
        <v>142</v>
      </c>
      <c r="F1648" t="s">
        <v>12</v>
      </c>
      <c r="G1648" t="str">
        <f>HYPERLINK(_xlfn.CONCAT("https://tablet.otzar.org/",CHAR(35),"/book/141426/p/-1/t/1/fs/0/start/0/end/0/c"),"על קדוש השם")</f>
        <v>על קדוש השם</v>
      </c>
      <c r="H1648" t="str">
        <f>_xlfn.CONCAT("https://tablet.otzar.org/",CHAR(35),"/book/141426/p/-1/t/1/fs/0/start/0/end/0/c")</f>
        <v>https://tablet.otzar.org/#/book/141426/p/-1/t/1/fs/0/start/0/end/0/c</v>
      </c>
    </row>
    <row r="1649" spans="1:8" x14ac:dyDescent="0.25">
      <c r="A1649">
        <v>140881</v>
      </c>
      <c r="B1649" t="s">
        <v>2678</v>
      </c>
      <c r="C1649" t="s">
        <v>2678</v>
      </c>
      <c r="D1649" t="s">
        <v>37</v>
      </c>
      <c r="E1649" t="s">
        <v>69</v>
      </c>
      <c r="F1649" t="s">
        <v>12</v>
      </c>
      <c r="G1649" t="str">
        <f>HYPERLINK(_xlfn.CONCAT("https://tablet.otzar.org/",CHAR(35),"/book/140881/p/-1/t/1/fs/0/start/0/end/0/c"),"עלי כבוד")</f>
        <v>עלי כבוד</v>
      </c>
      <c r="H1649" t="str">
        <f>_xlfn.CONCAT("https://tablet.otzar.org/",CHAR(35),"/book/140881/p/-1/t/1/fs/0/start/0/end/0/c")</f>
        <v>https://tablet.otzar.org/#/book/140881/p/-1/t/1/fs/0/start/0/end/0/c</v>
      </c>
    </row>
    <row r="1650" spans="1:8" x14ac:dyDescent="0.25">
      <c r="A1650">
        <v>146230</v>
      </c>
      <c r="B1650" t="s">
        <v>2679</v>
      </c>
      <c r="C1650" t="s">
        <v>125</v>
      </c>
      <c r="D1650" t="s">
        <v>28</v>
      </c>
      <c r="E1650" t="s">
        <v>29</v>
      </c>
      <c r="F1650" t="s">
        <v>251</v>
      </c>
      <c r="G1650" t="str">
        <f>HYPERLINK(_xlfn.CONCAT("https://tablet.otzar.org/",CHAR(35),"/book/146230/p/-1/t/1/fs/0/start/0/end/0/c"),"עמדו הכן")</f>
        <v>עמדו הכן</v>
      </c>
      <c r="H1650" t="str">
        <f>_xlfn.CONCAT("https://tablet.otzar.org/",CHAR(35),"/book/146230/p/-1/t/1/fs/0/start/0/end/0/c")</f>
        <v>https://tablet.otzar.org/#/book/146230/p/-1/t/1/fs/0/start/0/end/0/c</v>
      </c>
    </row>
    <row r="1651" spans="1:8" x14ac:dyDescent="0.25">
      <c r="A1651">
        <v>157274</v>
      </c>
      <c r="B1651" t="s">
        <v>2680</v>
      </c>
      <c r="C1651" t="s">
        <v>45</v>
      </c>
      <c r="D1651" t="s">
        <v>10</v>
      </c>
      <c r="E1651" t="s">
        <v>49</v>
      </c>
      <c r="F1651" t="s">
        <v>12</v>
      </c>
      <c r="G1651" t="str">
        <f>HYPERLINK(_xlfn.CONCAT("https://tablet.otzar.org/",CHAR(35),"/exKotar/157274"),"עמדו הכן כולכם - 8 כרכים")</f>
        <v>עמדו הכן כולכם - 8 כרכים</v>
      </c>
      <c r="H1651" t="str">
        <f>_xlfn.CONCAT("https://tablet.otzar.org/",CHAR(35),"/exKotar/157274")</f>
        <v>https://tablet.otzar.org/#/exKotar/157274</v>
      </c>
    </row>
    <row r="1652" spans="1:8" x14ac:dyDescent="0.25">
      <c r="A1652">
        <v>626893</v>
      </c>
      <c r="B1652" t="s">
        <v>2681</v>
      </c>
      <c r="C1652" t="s">
        <v>102</v>
      </c>
      <c r="D1652" t="s">
        <v>15</v>
      </c>
      <c r="E1652" t="s">
        <v>404</v>
      </c>
      <c r="F1652" t="s">
        <v>1639</v>
      </c>
      <c r="G1652" t="str">
        <f>HYPERLINK(_xlfn.CONCAT("https://tablet.otzar.org/",CHAR(35),"/exKotar/626893"),"עמודיה שבעה - 5 כרכים")</f>
        <v>עמודיה שבעה - 5 כרכים</v>
      </c>
      <c r="H1652" t="str">
        <f>_xlfn.CONCAT("https://tablet.otzar.org/",CHAR(35),"/exKotar/626893")</f>
        <v>https://tablet.otzar.org/#/exKotar/626893</v>
      </c>
    </row>
    <row r="1653" spans="1:8" x14ac:dyDescent="0.25">
      <c r="A1653">
        <v>628565</v>
      </c>
      <c r="B1653" t="s">
        <v>2682</v>
      </c>
      <c r="C1653" t="s">
        <v>102</v>
      </c>
      <c r="D1653" t="s">
        <v>15</v>
      </c>
      <c r="E1653" t="s">
        <v>62</v>
      </c>
      <c r="F1653" t="s">
        <v>12</v>
      </c>
      <c r="G1653" t="str">
        <f>HYPERLINK(_xlfn.CONCAT("https://tablet.otzar.org/",CHAR(35),"/book/628565/p/-1/t/1/fs/0/start/0/end/0/c"),"עניין התפילה וההתבוננות")</f>
        <v>עניין התפילה וההתבוננות</v>
      </c>
      <c r="H1653" t="str">
        <f>_xlfn.CONCAT("https://tablet.otzar.org/",CHAR(35),"/book/628565/p/-1/t/1/fs/0/start/0/end/0/c")</f>
        <v>https://tablet.otzar.org/#/book/628565/p/-1/t/1/fs/0/start/0/end/0/c</v>
      </c>
    </row>
    <row r="1654" spans="1:8" x14ac:dyDescent="0.25">
      <c r="A1654">
        <v>607645</v>
      </c>
      <c r="B1654" t="s">
        <v>2683</v>
      </c>
      <c r="C1654" t="s">
        <v>2684</v>
      </c>
      <c r="D1654" t="s">
        <v>15</v>
      </c>
      <c r="E1654" t="s">
        <v>88</v>
      </c>
      <c r="F1654" t="s">
        <v>12</v>
      </c>
      <c r="G1654" t="str">
        <f>HYPERLINK(_xlfn.CONCAT("https://tablet.otzar.org/",CHAR(35),"/book/607645/p/-1/t/1/fs/0/start/0/end/0/c"),"ענינו של תלמיד בתומכי תמימים")</f>
        <v>ענינו של תלמיד בתומכי תמימים</v>
      </c>
      <c r="H1654" t="str">
        <f>_xlfn.CONCAT("https://tablet.otzar.org/",CHAR(35),"/book/607645/p/-1/t/1/fs/0/start/0/end/0/c")</f>
        <v>https://tablet.otzar.org/#/book/607645/p/-1/t/1/fs/0/start/0/end/0/c</v>
      </c>
    </row>
    <row r="1655" spans="1:8" x14ac:dyDescent="0.25">
      <c r="A1655">
        <v>142654</v>
      </c>
      <c r="B1655" t="s">
        <v>2685</v>
      </c>
      <c r="C1655" t="s">
        <v>45</v>
      </c>
      <c r="D1655" t="s">
        <v>10</v>
      </c>
      <c r="E1655" t="s">
        <v>60</v>
      </c>
      <c r="F1655" t="s">
        <v>12</v>
      </c>
      <c r="G1655" t="str">
        <f>HYPERLINK(_xlfn.CONCAT("https://tablet.otzar.org/",CHAR(35),"/exKotar/142654"),"ענינו של תמים - 2 כרכים")</f>
        <v>ענינו של תמים - 2 כרכים</v>
      </c>
      <c r="H1655" t="str">
        <f>_xlfn.CONCAT("https://tablet.otzar.org/",CHAR(35),"/exKotar/142654")</f>
        <v>https://tablet.otzar.org/#/exKotar/142654</v>
      </c>
    </row>
    <row r="1656" spans="1:8" x14ac:dyDescent="0.25">
      <c r="A1656">
        <v>193136</v>
      </c>
      <c r="B1656" t="s">
        <v>2686</v>
      </c>
      <c r="C1656" t="s">
        <v>48</v>
      </c>
      <c r="D1656" t="s">
        <v>28</v>
      </c>
      <c r="E1656" t="s">
        <v>91</v>
      </c>
      <c r="F1656" t="s">
        <v>12</v>
      </c>
      <c r="G1656" t="str">
        <f>HYPERLINK(_xlfn.CONCAT("https://tablet.otzar.org/",CHAR(35),"/book/193136/p/-1/t/1/fs/0/start/0/end/0/c"),"עניני חופה")</f>
        <v>עניני חופה</v>
      </c>
      <c r="H1656" t="str">
        <f>_xlfn.CONCAT("https://tablet.otzar.org/",CHAR(35),"/book/193136/p/-1/t/1/fs/0/start/0/end/0/c")</f>
        <v>https://tablet.otzar.org/#/book/193136/p/-1/t/1/fs/0/start/0/end/0/c</v>
      </c>
    </row>
    <row r="1657" spans="1:8" x14ac:dyDescent="0.25">
      <c r="A1657">
        <v>183246</v>
      </c>
      <c r="B1657" t="s">
        <v>2687</v>
      </c>
      <c r="C1657" t="s">
        <v>2688</v>
      </c>
      <c r="D1657" t="s">
        <v>15</v>
      </c>
      <c r="E1657" t="s">
        <v>88</v>
      </c>
      <c r="F1657" t="s">
        <v>12</v>
      </c>
      <c r="G1657" t="str">
        <f>HYPERLINK(_xlfn.CONCAT("https://tablet.otzar.org/",CHAR(35),"/book/183246/p/-1/t/1/fs/0/start/0/end/0/c"),"עסקנות ציבורית")</f>
        <v>עסקנות ציבורית</v>
      </c>
      <c r="H1657" t="str">
        <f>_xlfn.CONCAT("https://tablet.otzar.org/",CHAR(35),"/book/183246/p/-1/t/1/fs/0/start/0/end/0/c")</f>
        <v>https://tablet.otzar.org/#/book/183246/p/-1/t/1/fs/0/start/0/end/0/c</v>
      </c>
    </row>
    <row r="1658" spans="1:8" x14ac:dyDescent="0.25">
      <c r="A1658">
        <v>628567</v>
      </c>
      <c r="B1658" t="s">
        <v>2689</v>
      </c>
      <c r="C1658" t="s">
        <v>102</v>
      </c>
      <c r="D1658" t="s">
        <v>15</v>
      </c>
      <c r="E1658" t="s">
        <v>62</v>
      </c>
      <c r="F1658" t="s">
        <v>2690</v>
      </c>
      <c r="G1658" t="str">
        <f>HYPERLINK(_xlfn.CONCAT("https://tablet.otzar.org/",CHAR(35),"/book/628567/p/-1/t/1/fs/0/start/0/end/0/c"),"עץ פרי")</f>
        <v>עץ פרי</v>
      </c>
      <c r="H1658" t="str">
        <f>_xlfn.CONCAT("https://tablet.otzar.org/",CHAR(35),"/book/628567/p/-1/t/1/fs/0/start/0/end/0/c")</f>
        <v>https://tablet.otzar.org/#/book/628567/p/-1/t/1/fs/0/start/0/end/0/c</v>
      </c>
    </row>
    <row r="1659" spans="1:8" x14ac:dyDescent="0.25">
      <c r="A1659">
        <v>162866</v>
      </c>
      <c r="B1659" t="s">
        <v>2691</v>
      </c>
      <c r="C1659" t="s">
        <v>1123</v>
      </c>
      <c r="D1659" t="s">
        <v>2692</v>
      </c>
      <c r="E1659" t="s">
        <v>16</v>
      </c>
      <c r="F1659" t="s">
        <v>12</v>
      </c>
      <c r="G1659" t="str">
        <f>HYPERLINK(_xlfn.CONCAT("https://tablet.otzar.org/",CHAR(35),"/book/162866/p/-1/t/1/fs/0/start/0/end/0/c"),"עצה סגולה וברכה")</f>
        <v>עצה סגולה וברכה</v>
      </c>
      <c r="H1659" t="str">
        <f>_xlfn.CONCAT("https://tablet.otzar.org/",CHAR(35),"/book/162866/p/-1/t/1/fs/0/start/0/end/0/c")</f>
        <v>https://tablet.otzar.org/#/book/162866/p/-1/t/1/fs/0/start/0/end/0/c</v>
      </c>
    </row>
    <row r="1660" spans="1:8" x14ac:dyDescent="0.25">
      <c r="A1660">
        <v>27108</v>
      </c>
      <c r="B1660" t="s">
        <v>2693</v>
      </c>
      <c r="C1660" t="s">
        <v>45</v>
      </c>
      <c r="D1660" t="s">
        <v>15</v>
      </c>
      <c r="E1660" t="s">
        <v>29</v>
      </c>
      <c r="F1660" t="s">
        <v>12</v>
      </c>
      <c r="G1660" t="str">
        <f>HYPERLINK(_xlfn.CONCAT("https://tablet.otzar.org/",CHAR(35),"/book/27108/p/-1/t/1/fs/0/start/0/end/0/c"),"עצות והדרכות בעבודת ה'")</f>
        <v>עצות והדרכות בעבודת ה'</v>
      </c>
      <c r="H1660" t="str">
        <f>_xlfn.CONCAT("https://tablet.otzar.org/",CHAR(35),"/book/27108/p/-1/t/1/fs/0/start/0/end/0/c")</f>
        <v>https://tablet.otzar.org/#/book/27108/p/-1/t/1/fs/0/start/0/end/0/c</v>
      </c>
    </row>
    <row r="1661" spans="1:8" x14ac:dyDescent="0.25">
      <c r="A1661">
        <v>173492</v>
      </c>
      <c r="B1661" t="s">
        <v>2694</v>
      </c>
      <c r="C1661" t="s">
        <v>2637</v>
      </c>
      <c r="D1661" t="s">
        <v>15</v>
      </c>
      <c r="E1661" t="s">
        <v>62</v>
      </c>
      <c r="F1661" t="s">
        <v>12</v>
      </c>
      <c r="G1661" t="str">
        <f>HYPERLINK(_xlfn.CONCAT("https://tablet.otzar.org/",CHAR(35),"/book/173492/p/-1/t/1/fs/0/start/0/end/0/c"),"עצות וסגולות לחיים טובים ומאושרים")</f>
        <v>עצות וסגולות לחיים טובים ומאושרים</v>
      </c>
      <c r="H1661" t="str">
        <f>_xlfn.CONCAT("https://tablet.otzar.org/",CHAR(35),"/book/173492/p/-1/t/1/fs/0/start/0/end/0/c")</f>
        <v>https://tablet.otzar.org/#/book/173492/p/-1/t/1/fs/0/start/0/end/0/c</v>
      </c>
    </row>
    <row r="1662" spans="1:8" x14ac:dyDescent="0.25">
      <c r="A1662">
        <v>27825</v>
      </c>
      <c r="B1662" t="s">
        <v>2695</v>
      </c>
      <c r="C1662" t="s">
        <v>2696</v>
      </c>
      <c r="D1662" t="s">
        <v>37</v>
      </c>
      <c r="E1662" t="s">
        <v>38</v>
      </c>
      <c r="F1662" t="s">
        <v>12</v>
      </c>
      <c r="G1662" t="str">
        <f>HYPERLINK(_xlfn.CONCAT("https://tablet.otzar.org/",CHAR(35),"/book/27825/p/-1/t/1/fs/0/start/0/end/0/c"),"עצת הרבי תנחני")</f>
        <v>עצת הרבי תנחני</v>
      </c>
      <c r="H1662" t="str">
        <f>_xlfn.CONCAT("https://tablet.otzar.org/",CHAR(35),"/book/27825/p/-1/t/1/fs/0/start/0/end/0/c")</f>
        <v>https://tablet.otzar.org/#/book/27825/p/-1/t/1/fs/0/start/0/end/0/c</v>
      </c>
    </row>
    <row r="1663" spans="1:8" x14ac:dyDescent="0.25">
      <c r="A1663">
        <v>650285</v>
      </c>
      <c r="B1663" t="s">
        <v>2697</v>
      </c>
      <c r="D1663" t="s">
        <v>23</v>
      </c>
      <c r="E1663" t="s">
        <v>166</v>
      </c>
      <c r="F1663" t="s">
        <v>12</v>
      </c>
      <c r="G1663" t="str">
        <f>HYPERLINK(_xlfn.CONCAT("https://tablet.otzar.org/",CHAR(35),"/book/650285/p/-1/t/1/fs/0/start/0/end/0/c"),"עשרת ימי תשובה")</f>
        <v>עשרת ימי תשובה</v>
      </c>
      <c r="H1663" t="str">
        <f>_xlfn.CONCAT("https://tablet.otzar.org/",CHAR(35),"/book/650285/p/-1/t/1/fs/0/start/0/end/0/c")</f>
        <v>https://tablet.otzar.org/#/book/650285/p/-1/t/1/fs/0/start/0/end/0/c</v>
      </c>
    </row>
    <row r="1664" spans="1:8" x14ac:dyDescent="0.25">
      <c r="A1664">
        <v>27594</v>
      </c>
      <c r="B1664" t="s">
        <v>2698</v>
      </c>
      <c r="C1664" t="s">
        <v>125</v>
      </c>
      <c r="D1664" t="s">
        <v>98</v>
      </c>
      <c r="E1664" t="s">
        <v>69</v>
      </c>
      <c r="F1664" t="s">
        <v>12</v>
      </c>
      <c r="G1664" t="str">
        <f>HYPERLINK(_xlfn.CONCAT("https://tablet.otzar.org/",CHAR(35),"/book/27594/p/-1/t/1/fs/0/start/0/end/0/c"),"פאר המלך")</f>
        <v>פאר המלך</v>
      </c>
      <c r="H1664" t="str">
        <f>_xlfn.CONCAT("https://tablet.otzar.org/",CHAR(35),"/book/27594/p/-1/t/1/fs/0/start/0/end/0/c")</f>
        <v>https://tablet.otzar.org/#/book/27594/p/-1/t/1/fs/0/start/0/end/0/c</v>
      </c>
    </row>
    <row r="1665" spans="1:8" x14ac:dyDescent="0.25">
      <c r="A1665">
        <v>26931</v>
      </c>
      <c r="B1665" t="s">
        <v>2699</v>
      </c>
      <c r="C1665" t="s">
        <v>348</v>
      </c>
      <c r="D1665" t="s">
        <v>15</v>
      </c>
      <c r="E1665" t="s">
        <v>54</v>
      </c>
      <c r="F1665" t="s">
        <v>12</v>
      </c>
      <c r="G1665" t="str">
        <f>HYPERLINK(_xlfn.CONCAT("https://tablet.otzar.org/",CHAR(35),"/book/26931/p/-1/t/1/fs/0/start/0/end/0/c"),"פאר לוי יצחק")</f>
        <v>פאר לוי יצחק</v>
      </c>
      <c r="H1665" t="str">
        <f>_xlfn.CONCAT("https://tablet.otzar.org/",CHAR(35),"/book/26931/p/-1/t/1/fs/0/start/0/end/0/c")</f>
        <v>https://tablet.otzar.org/#/book/26931/p/-1/t/1/fs/0/start/0/end/0/c</v>
      </c>
    </row>
    <row r="1666" spans="1:8" x14ac:dyDescent="0.25">
      <c r="A1666">
        <v>635045</v>
      </c>
      <c r="B1666" t="s">
        <v>2700</v>
      </c>
      <c r="C1666" t="s">
        <v>2701</v>
      </c>
      <c r="D1666" t="s">
        <v>37</v>
      </c>
      <c r="E1666" t="s">
        <v>11</v>
      </c>
      <c r="F1666" t="s">
        <v>12</v>
      </c>
      <c r="G1666" t="str">
        <f>HYPERLINK(_xlfn.CONCAT("https://tablet.otzar.org/",CHAR(35),"/book/635045/p/-1/t/1/fs/0/start/0/end/0/c"),"פארברענגן - באנגלית")</f>
        <v>פארברענגן - באנגלית</v>
      </c>
      <c r="H1666" t="str">
        <f>_xlfn.CONCAT("https://tablet.otzar.org/",CHAR(35),"/book/635045/p/-1/t/1/fs/0/start/0/end/0/c")</f>
        <v>https://tablet.otzar.org/#/book/635045/p/-1/t/1/fs/0/start/0/end/0/c</v>
      </c>
    </row>
    <row r="1667" spans="1:8" x14ac:dyDescent="0.25">
      <c r="A1667">
        <v>164323</v>
      </c>
      <c r="B1667" t="s">
        <v>2702</v>
      </c>
      <c r="C1667" t="s">
        <v>45</v>
      </c>
      <c r="D1667" t="s">
        <v>15</v>
      </c>
      <c r="E1667" t="s">
        <v>16</v>
      </c>
      <c r="F1667" t="s">
        <v>12</v>
      </c>
      <c r="G1667" t="str">
        <f>HYPERLINK(_xlfn.CONCAT("https://tablet.otzar.org/",CHAR(35),"/book/164323/p/-1/t/1/fs/0/start/0/end/0/c"),"פארברענגן עם הרבי - י""""ב תמוז תשמ""""ה")</f>
        <v>פארברענגן עם הרבי - י""ב תמוז תשמ""ה</v>
      </c>
      <c r="H1667" t="str">
        <f>_xlfn.CONCAT("https://tablet.otzar.org/",CHAR(35),"/book/164323/p/-1/t/1/fs/0/start/0/end/0/c")</f>
        <v>https://tablet.otzar.org/#/book/164323/p/-1/t/1/fs/0/start/0/end/0/c</v>
      </c>
    </row>
    <row r="1668" spans="1:8" x14ac:dyDescent="0.25">
      <c r="A1668">
        <v>606921</v>
      </c>
      <c r="B1668" t="s">
        <v>2703</v>
      </c>
      <c r="C1668" t="s">
        <v>45</v>
      </c>
      <c r="D1668" t="s">
        <v>15</v>
      </c>
      <c r="E1668" t="s">
        <v>91</v>
      </c>
      <c r="F1668" t="s">
        <v>12</v>
      </c>
      <c r="G1668" t="str">
        <f>HYPERLINK(_xlfn.CONCAT("https://tablet.otzar.org/",CHAR(35),"/exKotar/606921"),"פארברענגען - 2 כרכים")</f>
        <v>פארברענגען - 2 כרכים</v>
      </c>
      <c r="H1668" t="str">
        <f>_xlfn.CONCAT("https://tablet.otzar.org/",CHAR(35),"/exKotar/606921")</f>
        <v>https://tablet.otzar.org/#/exKotar/606921</v>
      </c>
    </row>
    <row r="1669" spans="1:8" x14ac:dyDescent="0.25">
      <c r="A1669">
        <v>142692</v>
      </c>
      <c r="B1669" t="s">
        <v>2704</v>
      </c>
      <c r="C1669" t="s">
        <v>45</v>
      </c>
      <c r="D1669" t="s">
        <v>10</v>
      </c>
      <c r="E1669" t="s">
        <v>79</v>
      </c>
      <c r="F1669" t="s">
        <v>12</v>
      </c>
      <c r="G1669" t="str">
        <f>HYPERLINK(_xlfn.CONCAT("https://tablet.otzar.org/",CHAR(35),"/exKotar/142692"),"פארברענגען עם הרבי - 17 כרכים")</f>
        <v>פארברענגען עם הרבי - 17 כרכים</v>
      </c>
      <c r="H1669" t="str">
        <f>_xlfn.CONCAT("https://tablet.otzar.org/",CHAR(35),"/exKotar/142692")</f>
        <v>https://tablet.otzar.org/#/exKotar/142692</v>
      </c>
    </row>
    <row r="1670" spans="1:8" x14ac:dyDescent="0.25">
      <c r="A1670">
        <v>160794</v>
      </c>
      <c r="B1670" t="s">
        <v>2705</v>
      </c>
      <c r="C1670" t="s">
        <v>2404</v>
      </c>
      <c r="D1670" t="s">
        <v>37</v>
      </c>
      <c r="E1670" t="s">
        <v>16</v>
      </c>
      <c r="F1670" t="s">
        <v>12</v>
      </c>
      <c r="G1670" t="str">
        <f>HYPERLINK(_xlfn.CONCAT("https://tablet.otzar.org/",CHAR(35),"/book/160794/p/-1/t/1/fs/0/start/0/end/0/c"),"פדה בשלום")</f>
        <v>פדה בשלום</v>
      </c>
      <c r="H1670" t="str">
        <f>_xlfn.CONCAT("https://tablet.otzar.org/",CHAR(35),"/book/160794/p/-1/t/1/fs/0/start/0/end/0/c")</f>
        <v>https://tablet.otzar.org/#/book/160794/p/-1/t/1/fs/0/start/0/end/0/c</v>
      </c>
    </row>
    <row r="1671" spans="1:8" x14ac:dyDescent="0.25">
      <c r="A1671">
        <v>140943</v>
      </c>
      <c r="B1671" t="s">
        <v>2706</v>
      </c>
      <c r="C1671" t="s">
        <v>45</v>
      </c>
      <c r="D1671" t="s">
        <v>15</v>
      </c>
      <c r="E1671" t="s">
        <v>382</v>
      </c>
      <c r="F1671" t="s">
        <v>12</v>
      </c>
      <c r="G1671" t="str">
        <f>HYPERLINK(_xlfn.CONCAT("https://tablet.otzar.org/",CHAR(35),"/book/140943/p/-1/t/1/fs/0/start/0/end/0/c"),"פועלי דיממא אנן")</f>
        <v>פועלי דיממא אנן</v>
      </c>
      <c r="H1671" t="str">
        <f>_xlfn.CONCAT("https://tablet.otzar.org/",CHAR(35),"/book/140943/p/-1/t/1/fs/0/start/0/end/0/c")</f>
        <v>https://tablet.otzar.org/#/book/140943/p/-1/t/1/fs/0/start/0/end/0/c</v>
      </c>
    </row>
    <row r="1672" spans="1:8" x14ac:dyDescent="0.25">
      <c r="A1672">
        <v>27069</v>
      </c>
      <c r="B1672" t="s">
        <v>2707</v>
      </c>
      <c r="C1672" t="s">
        <v>72</v>
      </c>
      <c r="D1672" t="s">
        <v>10</v>
      </c>
      <c r="E1672" t="s">
        <v>79</v>
      </c>
      <c r="F1672" t="s">
        <v>12</v>
      </c>
      <c r="G1672" t="str">
        <f>HYPERLINK(_xlfn.CONCAT("https://tablet.otzar.org/",CHAR(35),"/exKotar/27069"),"פוקח עורים - 2 כרכים")</f>
        <v>פוקח עורים - 2 כרכים</v>
      </c>
      <c r="H1672" t="str">
        <f>_xlfn.CONCAT("https://tablet.otzar.org/",CHAR(35),"/exKotar/27069")</f>
        <v>https://tablet.otzar.org/#/exKotar/27069</v>
      </c>
    </row>
    <row r="1673" spans="1:8" x14ac:dyDescent="0.25">
      <c r="A1673">
        <v>607853</v>
      </c>
      <c r="B1673" t="s">
        <v>2708</v>
      </c>
      <c r="C1673" t="s">
        <v>2709</v>
      </c>
      <c r="D1673" t="s">
        <v>15</v>
      </c>
      <c r="E1673" t="s">
        <v>404</v>
      </c>
      <c r="F1673" t="s">
        <v>12</v>
      </c>
      <c r="G1673" t="str">
        <f>HYPERLINK(_xlfn.CONCAT("https://tablet.otzar.org/",CHAR(35),"/book/607853/p/-1/t/1/fs/0/start/0/end/0/c"),"פורים - ענייני דיומא")</f>
        <v>פורים - ענייני דיומא</v>
      </c>
      <c r="H1673" t="str">
        <f>_xlfn.CONCAT("https://tablet.otzar.org/",CHAR(35),"/book/607853/p/-1/t/1/fs/0/start/0/end/0/c")</f>
        <v>https://tablet.otzar.org/#/book/607853/p/-1/t/1/fs/0/start/0/end/0/c</v>
      </c>
    </row>
    <row r="1674" spans="1:8" x14ac:dyDescent="0.25">
      <c r="A1674">
        <v>614927</v>
      </c>
      <c r="B1674" t="s">
        <v>2710</v>
      </c>
      <c r="C1674" t="s">
        <v>2711</v>
      </c>
      <c r="D1674" t="s">
        <v>412</v>
      </c>
      <c r="E1674" t="s">
        <v>226</v>
      </c>
      <c r="F1674" t="s">
        <v>12</v>
      </c>
      <c r="G1674" t="str">
        <f>HYPERLINK(_xlfn.CONCAT("https://tablet.otzar.org/",CHAR(35),"/book/614927/p/-1/t/1/fs/0/start/0/end/0/c"),"פורים חסידי")</f>
        <v>פורים חסידי</v>
      </c>
      <c r="H1674" t="str">
        <f>_xlfn.CONCAT("https://tablet.otzar.org/",CHAR(35),"/book/614927/p/-1/t/1/fs/0/start/0/end/0/c")</f>
        <v>https://tablet.otzar.org/#/book/614927/p/-1/t/1/fs/0/start/0/end/0/c</v>
      </c>
    </row>
    <row r="1675" spans="1:8" x14ac:dyDescent="0.25">
      <c r="A1675">
        <v>628568</v>
      </c>
      <c r="B1675" t="s">
        <v>2712</v>
      </c>
      <c r="C1675" t="s">
        <v>102</v>
      </c>
      <c r="D1675" t="s">
        <v>15</v>
      </c>
      <c r="E1675" t="s">
        <v>62</v>
      </c>
      <c r="F1675" t="s">
        <v>1253</v>
      </c>
      <c r="G1675" t="str">
        <f>HYPERLINK(_xlfn.CONCAT("https://tablet.otzar.org/",CHAR(35),"/book/628568/p/-1/t/1/fs/0/start/0/end/0/c"),"פורים לנו")</f>
        <v>פורים לנו</v>
      </c>
      <c r="H1675" t="str">
        <f>_xlfn.CONCAT("https://tablet.otzar.org/",CHAR(35),"/book/628568/p/-1/t/1/fs/0/start/0/end/0/c")</f>
        <v>https://tablet.otzar.org/#/book/628568/p/-1/t/1/fs/0/start/0/end/0/c</v>
      </c>
    </row>
    <row r="1676" spans="1:8" x14ac:dyDescent="0.25">
      <c r="A1676">
        <v>145773</v>
      </c>
      <c r="B1676" t="s">
        <v>2713</v>
      </c>
      <c r="C1676" t="s">
        <v>2714</v>
      </c>
      <c r="D1676" t="s">
        <v>681</v>
      </c>
      <c r="E1676" t="s">
        <v>260</v>
      </c>
      <c r="F1676" t="s">
        <v>2715</v>
      </c>
      <c r="G1676" t="str">
        <f>HYPERLINK(_xlfn.CONCAT("https://tablet.otzar.org/",CHAR(35),"/book/145773/p/-1/t/1/fs/0/start/0/end/0/c"),"פיטטיא דאורייתא")</f>
        <v>פיטטיא דאורייתא</v>
      </c>
      <c r="H1676" t="str">
        <f>_xlfn.CONCAT("https://tablet.otzar.org/",CHAR(35),"/book/145773/p/-1/t/1/fs/0/start/0/end/0/c")</f>
        <v>https://tablet.otzar.org/#/book/145773/p/-1/t/1/fs/0/start/0/end/0/c</v>
      </c>
    </row>
    <row r="1677" spans="1:8" x14ac:dyDescent="0.25">
      <c r="A1677">
        <v>27640</v>
      </c>
      <c r="B1677" t="s">
        <v>2716</v>
      </c>
      <c r="C1677" t="s">
        <v>2717</v>
      </c>
      <c r="E1677" t="s">
        <v>250</v>
      </c>
      <c r="F1677" t="s">
        <v>12</v>
      </c>
      <c r="G1677" t="str">
        <f>HYPERLINK(_xlfn.CONCAT("https://tablet.otzar.org/",CHAR(35),"/book/27640/p/-1/t/1/fs/0/start/0/end/0/c"),"פיקוח נפש דוחה פוליטיקה")</f>
        <v>פיקוח נפש דוחה פוליטיקה</v>
      </c>
      <c r="H1677" t="str">
        <f>_xlfn.CONCAT("https://tablet.otzar.org/",CHAR(35),"/book/27640/p/-1/t/1/fs/0/start/0/end/0/c")</f>
        <v>https://tablet.otzar.org/#/book/27640/p/-1/t/1/fs/0/start/0/end/0/c</v>
      </c>
    </row>
    <row r="1678" spans="1:8" x14ac:dyDescent="0.25">
      <c r="A1678">
        <v>141696</v>
      </c>
      <c r="B1678" t="s">
        <v>2718</v>
      </c>
      <c r="C1678" t="s">
        <v>72</v>
      </c>
      <c r="D1678" t="s">
        <v>37</v>
      </c>
      <c r="E1678" t="s">
        <v>60</v>
      </c>
      <c r="G1678" t="str">
        <f>HYPERLINK(_xlfn.CONCAT("https://tablet.otzar.org/",CHAR(35),"/book/141696/p/-1/t/1/fs/0/start/0/end/0/c"),"פירוש המלות &lt;טקסט&gt;")</f>
        <v>פירוש המלות &lt;טקסט&gt;</v>
      </c>
      <c r="H1678" t="str">
        <f>_xlfn.CONCAT("https://tablet.otzar.org/",CHAR(35),"/book/141696/p/-1/t/1/fs/0/start/0/end/0/c")</f>
        <v>https://tablet.otzar.org/#/book/141696/p/-1/t/1/fs/0/start/0/end/0/c</v>
      </c>
    </row>
    <row r="1679" spans="1:8" x14ac:dyDescent="0.25">
      <c r="A1679">
        <v>26910</v>
      </c>
      <c r="B1679" t="s">
        <v>2719</v>
      </c>
      <c r="C1679" t="s">
        <v>72</v>
      </c>
      <c r="D1679" t="s">
        <v>10</v>
      </c>
      <c r="E1679" t="s">
        <v>382</v>
      </c>
      <c r="F1679" t="s">
        <v>12</v>
      </c>
      <c r="G1679" t="str">
        <f>HYPERLINK(_xlfn.CONCAT("https://tablet.otzar.org/",CHAR(35),"/book/26910/p/-1/t/1/fs/0/start/0/end/0/c"),"פירוש המלות")</f>
        <v>פירוש המלות</v>
      </c>
      <c r="H1679" t="str">
        <f>_xlfn.CONCAT("https://tablet.otzar.org/",CHAR(35),"/book/26910/p/-1/t/1/fs/0/start/0/end/0/c")</f>
        <v>https://tablet.otzar.org/#/book/26910/p/-1/t/1/fs/0/start/0/end/0/c</v>
      </c>
    </row>
    <row r="1680" spans="1:8" x14ac:dyDescent="0.25">
      <c r="A1680">
        <v>140876</v>
      </c>
      <c r="B1680" t="s">
        <v>2720</v>
      </c>
      <c r="C1680" t="s">
        <v>244</v>
      </c>
      <c r="D1680" t="s">
        <v>28</v>
      </c>
      <c r="E1680" t="s">
        <v>91</v>
      </c>
      <c r="F1680" t="s">
        <v>12</v>
      </c>
      <c r="G1680" t="str">
        <f>HYPERLINK(_xlfn.CONCAT("https://tablet.otzar.org/",CHAR(35),"/book/140876/p/-1/t/1/fs/0/start/0/end/0/c"),"פירושים וביאורים מפרדס התורה")</f>
        <v>פירושים וביאורים מפרדס התורה</v>
      </c>
      <c r="H1680" t="str">
        <f>_xlfn.CONCAT("https://tablet.otzar.org/",CHAR(35),"/book/140876/p/-1/t/1/fs/0/start/0/end/0/c")</f>
        <v>https://tablet.otzar.org/#/book/140876/p/-1/t/1/fs/0/start/0/end/0/c</v>
      </c>
    </row>
    <row r="1681" spans="1:8" x14ac:dyDescent="0.25">
      <c r="A1681">
        <v>171729</v>
      </c>
      <c r="B1681" t="s">
        <v>2721</v>
      </c>
      <c r="C1681" t="s">
        <v>183</v>
      </c>
      <c r="D1681" t="s">
        <v>412</v>
      </c>
      <c r="E1681" t="s">
        <v>33</v>
      </c>
      <c r="F1681" t="s">
        <v>201</v>
      </c>
      <c r="G1681" t="str">
        <f>HYPERLINK(_xlfn.CONCAT("https://tablet.otzar.org/",CHAR(35),"/book/171729/p/-1/t/1/fs/0/start/0/end/0/c"),"פירושים להגדה של פסח")</f>
        <v>פירושים להגדה של פסח</v>
      </c>
      <c r="H1681" t="str">
        <f>_xlfn.CONCAT("https://tablet.otzar.org/",CHAR(35),"/book/171729/p/-1/t/1/fs/0/start/0/end/0/c")</f>
        <v>https://tablet.otzar.org/#/book/171729/p/-1/t/1/fs/0/start/0/end/0/c</v>
      </c>
    </row>
    <row r="1682" spans="1:8" x14ac:dyDescent="0.25">
      <c r="A1682">
        <v>146300</v>
      </c>
      <c r="B1682" t="s">
        <v>2722</v>
      </c>
      <c r="C1682" t="s">
        <v>254</v>
      </c>
      <c r="D1682" t="s">
        <v>28</v>
      </c>
      <c r="E1682" t="s">
        <v>346</v>
      </c>
      <c r="F1682" t="s">
        <v>12</v>
      </c>
      <c r="G1682" t="str">
        <f>HYPERLINK(_xlfn.CONCAT("https://tablet.otzar.org/",CHAR(35),"/book/146300/p/-1/t/1/fs/0/start/0/end/0/c"),"פלא הדורות")</f>
        <v>פלא הדורות</v>
      </c>
      <c r="H1682" t="str">
        <f>_xlfn.CONCAT("https://tablet.otzar.org/",CHAR(35),"/book/146300/p/-1/t/1/fs/0/start/0/end/0/c")</f>
        <v>https://tablet.otzar.org/#/book/146300/p/-1/t/1/fs/0/start/0/end/0/c</v>
      </c>
    </row>
    <row r="1683" spans="1:8" x14ac:dyDescent="0.25">
      <c r="A1683">
        <v>650276</v>
      </c>
      <c r="B1683" t="s">
        <v>2723</v>
      </c>
      <c r="C1683" t="s">
        <v>2724</v>
      </c>
      <c r="D1683" t="s">
        <v>37</v>
      </c>
      <c r="E1683" t="s">
        <v>46</v>
      </c>
      <c r="G1683" t="str">
        <f>HYPERLINK(_xlfn.CONCAT("https://tablet.otzar.org/",CHAR(35),"/book/650276/p/-1/t/1/fs/0/start/0/end/0/c"),"פלח הרימון")</f>
        <v>פלח הרימון</v>
      </c>
      <c r="H1683" t="str">
        <f>_xlfn.CONCAT("https://tablet.otzar.org/",CHAR(35),"/book/650276/p/-1/t/1/fs/0/start/0/end/0/c")</f>
        <v>https://tablet.otzar.org/#/book/650276/p/-1/t/1/fs/0/start/0/end/0/c</v>
      </c>
    </row>
    <row r="1684" spans="1:8" x14ac:dyDescent="0.25">
      <c r="A1684">
        <v>28795</v>
      </c>
      <c r="B1684" t="s">
        <v>2725</v>
      </c>
      <c r="C1684" t="s">
        <v>639</v>
      </c>
      <c r="D1684" t="s">
        <v>10</v>
      </c>
      <c r="E1684" t="s">
        <v>1140</v>
      </c>
      <c r="F1684" t="s">
        <v>12</v>
      </c>
      <c r="G1684" t="str">
        <f>HYPERLINK(_xlfn.CONCAT("https://tablet.otzar.org/",CHAR(35),"/exKotar/28795"),"פלח הרמון - 5 כרכים")</f>
        <v>פלח הרמון - 5 כרכים</v>
      </c>
      <c r="H1684" t="str">
        <f>_xlfn.CONCAT("https://tablet.otzar.org/",CHAR(35),"/exKotar/28795")</f>
        <v>https://tablet.otzar.org/#/exKotar/28795</v>
      </c>
    </row>
    <row r="1685" spans="1:8" x14ac:dyDescent="0.25">
      <c r="A1685">
        <v>141332</v>
      </c>
      <c r="B1685" t="s">
        <v>2726</v>
      </c>
      <c r="C1685" t="s">
        <v>125</v>
      </c>
      <c r="D1685" t="s">
        <v>882</v>
      </c>
      <c r="E1685" t="s">
        <v>134</v>
      </c>
      <c r="F1685" t="s">
        <v>12</v>
      </c>
      <c r="G1685" t="str">
        <f>HYPERLINK(_xlfn.CONCAT("https://tablet.otzar.org/",CHAR(35),"/book/141332/p/-1/t/1/fs/0/start/0/end/0/c"),"פלפול התלמידים &lt;לונדון&gt;")</f>
        <v>פלפול התלמידים &lt;לונדון&gt;</v>
      </c>
      <c r="H1685" t="str">
        <f>_xlfn.CONCAT("https://tablet.otzar.org/",CHAR(35),"/book/141332/p/-1/t/1/fs/0/start/0/end/0/c")</f>
        <v>https://tablet.otzar.org/#/book/141332/p/-1/t/1/fs/0/start/0/end/0/c</v>
      </c>
    </row>
    <row r="1686" spans="1:8" x14ac:dyDescent="0.25">
      <c r="A1686">
        <v>643147</v>
      </c>
      <c r="B1686" t="s">
        <v>2727</v>
      </c>
      <c r="D1686" t="s">
        <v>37</v>
      </c>
      <c r="E1686" t="s">
        <v>142</v>
      </c>
      <c r="G1686" t="str">
        <f>HYPERLINK(_xlfn.CONCAT("https://tablet.otzar.org/",CHAR(35),"/exKotar/643147"),"פלפול התלמידים - 30 כרכים")</f>
        <v>פלפול התלמידים - 30 כרכים</v>
      </c>
      <c r="H1686" t="str">
        <f>_xlfn.CONCAT("https://tablet.otzar.org/",CHAR(35),"/exKotar/643147")</f>
        <v>https://tablet.otzar.org/#/exKotar/643147</v>
      </c>
    </row>
    <row r="1687" spans="1:8" x14ac:dyDescent="0.25">
      <c r="A1687">
        <v>658314</v>
      </c>
      <c r="B1687" t="s">
        <v>2728</v>
      </c>
      <c r="C1687" t="s">
        <v>2729</v>
      </c>
      <c r="D1687" t="s">
        <v>10</v>
      </c>
      <c r="E1687" t="s">
        <v>398</v>
      </c>
      <c r="F1687" t="s">
        <v>12</v>
      </c>
      <c r="G1687" t="str">
        <f>HYPERLINK(_xlfn.CONCAT("https://tablet.otzar.org/",CHAR(35),"/exKotar/658314"),"פלפול התלמידים - 3 כרכים")</f>
        <v>פלפול התלמידים - 3 כרכים</v>
      </c>
      <c r="H1687" t="str">
        <f>_xlfn.CONCAT("https://tablet.otzar.org/",CHAR(35),"/exKotar/658314")</f>
        <v>https://tablet.otzar.org/#/exKotar/658314</v>
      </c>
    </row>
    <row r="1688" spans="1:8" x14ac:dyDescent="0.25">
      <c r="A1688">
        <v>145754</v>
      </c>
      <c r="B1688" t="s">
        <v>2730</v>
      </c>
      <c r="C1688" t="s">
        <v>2731</v>
      </c>
      <c r="D1688" t="s">
        <v>10</v>
      </c>
      <c r="E1688" t="s">
        <v>757</v>
      </c>
      <c r="F1688" t="s">
        <v>251</v>
      </c>
      <c r="G1688" t="str">
        <f>HYPERLINK(_xlfn.CONCAT("https://tablet.otzar.org/",CHAR(35),"/exKotar/145754"),"פלפול התלמידים - 14 כרכים")</f>
        <v>פלפול התלמידים - 14 כרכים</v>
      </c>
      <c r="H1688" t="str">
        <f>_xlfn.CONCAT("https://tablet.otzar.org/",CHAR(35),"/exKotar/145754")</f>
        <v>https://tablet.otzar.org/#/exKotar/145754</v>
      </c>
    </row>
    <row r="1689" spans="1:8" x14ac:dyDescent="0.25">
      <c r="A1689">
        <v>27341</v>
      </c>
      <c r="B1689" t="s">
        <v>2732</v>
      </c>
      <c r="C1689" t="s">
        <v>125</v>
      </c>
      <c r="D1689" t="s">
        <v>2733</v>
      </c>
      <c r="E1689" t="s">
        <v>142</v>
      </c>
      <c r="F1689" t="s">
        <v>12</v>
      </c>
      <c r="G1689" t="str">
        <f>HYPERLINK(_xlfn.CONCAT("https://tablet.otzar.org/",CHAR(35),"/exKotar/27341"),"פלפול התלמידים &lt;סיאטעל&gt;  - 8 כרכים")</f>
        <v>פלפול התלמידים &lt;סיאטעל&gt;  - 8 כרכים</v>
      </c>
      <c r="H1689" t="str">
        <f>_xlfn.CONCAT("https://tablet.otzar.org/",CHAR(35),"/exKotar/27341")</f>
        <v>https://tablet.otzar.org/#/exKotar/27341</v>
      </c>
    </row>
    <row r="1690" spans="1:8" x14ac:dyDescent="0.25">
      <c r="A1690">
        <v>154682</v>
      </c>
      <c r="B1690" t="s">
        <v>2734</v>
      </c>
      <c r="C1690" t="s">
        <v>125</v>
      </c>
      <c r="D1690" t="s">
        <v>10</v>
      </c>
      <c r="E1690" t="s">
        <v>515</v>
      </c>
      <c r="F1690" t="s">
        <v>12</v>
      </c>
      <c r="G1690" t="str">
        <f>HYPERLINK(_xlfn.CONCAT("https://tablet.otzar.org/",CHAR(35),"/book/154682/p/-1/t/1/fs/0/start/0/end/0/c"),"פלפול התלמידים (סינסינעטי אהייא) - ב")</f>
        <v>פלפול התלמידים (סינסינעטי אהייא) - ב</v>
      </c>
      <c r="H1690" t="str">
        <f>_xlfn.CONCAT("https://tablet.otzar.org/",CHAR(35),"/book/154682/p/-1/t/1/fs/0/start/0/end/0/c")</f>
        <v>https://tablet.otzar.org/#/book/154682/p/-1/t/1/fs/0/start/0/end/0/c</v>
      </c>
    </row>
    <row r="1691" spans="1:8" x14ac:dyDescent="0.25">
      <c r="A1691">
        <v>145738</v>
      </c>
      <c r="B1691" t="s">
        <v>2735</v>
      </c>
      <c r="C1691" t="s">
        <v>125</v>
      </c>
      <c r="D1691" t="s">
        <v>15</v>
      </c>
      <c r="E1691" t="s">
        <v>551</v>
      </c>
      <c r="F1691" t="s">
        <v>251</v>
      </c>
      <c r="G1691" t="str">
        <f>HYPERLINK(_xlfn.CONCAT("https://tablet.otzar.org/",CHAR(35),"/exKotar/145738"),"פלפול התמימים - 22 כרכים")</f>
        <v>פלפול התמימים - 22 כרכים</v>
      </c>
      <c r="H1691" t="str">
        <f>_xlfn.CONCAT("https://tablet.otzar.org/",CHAR(35),"/exKotar/145738")</f>
        <v>https://tablet.otzar.org/#/exKotar/145738</v>
      </c>
    </row>
    <row r="1692" spans="1:8" x14ac:dyDescent="0.25">
      <c r="A1692">
        <v>629101</v>
      </c>
      <c r="B1692" t="s">
        <v>2736</v>
      </c>
      <c r="C1692" t="s">
        <v>45</v>
      </c>
      <c r="D1692" t="s">
        <v>648</v>
      </c>
      <c r="F1692" t="s">
        <v>12</v>
      </c>
      <c r="G1692" t="str">
        <f>HYPERLINK(_xlfn.CONCAT("https://tablet.otzar.org/",CHAR(35),"/book/629101/p/-1/t/1/fs/0/start/0/end/0/c"),"פלפול נאה לבר המצוה")</f>
        <v>פלפול נאה לבר המצוה</v>
      </c>
      <c r="H1692" t="str">
        <f>_xlfn.CONCAT("https://tablet.otzar.org/",CHAR(35),"/book/629101/p/-1/t/1/fs/0/start/0/end/0/c")</f>
        <v>https://tablet.otzar.org/#/book/629101/p/-1/t/1/fs/0/start/0/end/0/c</v>
      </c>
    </row>
    <row r="1693" spans="1:8" x14ac:dyDescent="0.25">
      <c r="A1693">
        <v>145643</v>
      </c>
      <c r="B1693" t="s">
        <v>2737</v>
      </c>
      <c r="C1693" t="s">
        <v>2738</v>
      </c>
      <c r="D1693" t="s">
        <v>191</v>
      </c>
      <c r="E1693" t="s">
        <v>51</v>
      </c>
      <c r="F1693" t="s">
        <v>251</v>
      </c>
      <c r="G1693" t="str">
        <f>HYPERLINK(_xlfn.CONCAT("https://tablet.otzar.org/",CHAR(35),"/exKotar/145643"),"פלפולא דאורייתא - 2 כרכים")</f>
        <v>פלפולא דאורייתא - 2 כרכים</v>
      </c>
      <c r="H1693" t="str">
        <f>_xlfn.CONCAT("https://tablet.otzar.org/",CHAR(35),"/exKotar/145643")</f>
        <v>https://tablet.otzar.org/#/exKotar/145643</v>
      </c>
    </row>
    <row r="1694" spans="1:8" x14ac:dyDescent="0.25">
      <c r="A1694">
        <v>642567</v>
      </c>
      <c r="B1694" t="s">
        <v>2739</v>
      </c>
      <c r="C1694" t="s">
        <v>2740</v>
      </c>
      <c r="D1694" t="s">
        <v>2741</v>
      </c>
      <c r="E1694" t="s">
        <v>24</v>
      </c>
      <c r="F1694" t="s">
        <v>12</v>
      </c>
      <c r="G1694" t="str">
        <f>HYPERLINK(_xlfn.CONCAT("https://tablet.otzar.org/",CHAR(35),"/exKotar/642567"),"פלפולא דאורייתא - 4 כרכים")</f>
        <v>פלפולא דאורייתא - 4 כרכים</v>
      </c>
      <c r="H1694" t="str">
        <f>_xlfn.CONCAT("https://tablet.otzar.org/",CHAR(35),"/exKotar/642567")</f>
        <v>https://tablet.otzar.org/#/exKotar/642567</v>
      </c>
    </row>
    <row r="1695" spans="1:8" x14ac:dyDescent="0.25">
      <c r="A1695">
        <v>145522</v>
      </c>
      <c r="B1695" t="s">
        <v>2742</v>
      </c>
      <c r="C1695" t="s">
        <v>125</v>
      </c>
      <c r="D1695" t="s">
        <v>910</v>
      </c>
      <c r="E1695" t="s">
        <v>551</v>
      </c>
      <c r="F1695" t="s">
        <v>251</v>
      </c>
      <c r="G1695" t="str">
        <f>HYPERLINK(_xlfn.CONCAT("https://tablet.otzar.org/",CHAR(35),"/book/145522/p/-1/t/1/fs/0/start/0/end/0/c"),"פלפולי וביאורי חברת המתמידים")</f>
        <v>פלפולי וביאורי חברת המתמידים</v>
      </c>
      <c r="H1695" t="str">
        <f>_xlfn.CONCAT("https://tablet.otzar.org/",CHAR(35),"/book/145522/p/-1/t/1/fs/0/start/0/end/0/c")</f>
        <v>https://tablet.otzar.org/#/book/145522/p/-1/t/1/fs/0/start/0/end/0/c</v>
      </c>
    </row>
    <row r="1696" spans="1:8" x14ac:dyDescent="0.25">
      <c r="A1696">
        <v>140849</v>
      </c>
      <c r="B1696" t="s">
        <v>2743</v>
      </c>
      <c r="C1696" t="s">
        <v>125</v>
      </c>
      <c r="D1696" t="s">
        <v>440</v>
      </c>
      <c r="E1696" t="s">
        <v>103</v>
      </c>
      <c r="F1696" t="s">
        <v>12</v>
      </c>
      <c r="G1696" t="str">
        <f>HYPERLINK(_xlfn.CONCAT("https://tablet.otzar.org/",CHAR(35),"/book/140849/p/-1/t/1/fs/0/start/0/end/0/c"),"פלפולי תורה מגדל דוד")</f>
        <v>פלפולי תורה מגדל דוד</v>
      </c>
      <c r="H1696" t="str">
        <f>_xlfn.CONCAT("https://tablet.otzar.org/",CHAR(35),"/book/140849/p/-1/t/1/fs/0/start/0/end/0/c")</f>
        <v>https://tablet.otzar.org/#/book/140849/p/-1/t/1/fs/0/start/0/end/0/c</v>
      </c>
    </row>
    <row r="1697" spans="1:8" x14ac:dyDescent="0.25">
      <c r="A1697">
        <v>27458</v>
      </c>
      <c r="B1697" t="s">
        <v>2744</v>
      </c>
      <c r="C1697" t="s">
        <v>2745</v>
      </c>
      <c r="D1697" t="s">
        <v>15</v>
      </c>
      <c r="E1697" t="s">
        <v>181</v>
      </c>
      <c r="F1697" t="s">
        <v>12</v>
      </c>
      <c r="G1697" t="str">
        <f>HYPERLINK(_xlfn.CONCAT("https://tablet.otzar.org/",CHAR(35),"/book/27458/p/-1/t/1/fs/0/start/0/end/0/c"),"פני משה")</f>
        <v>פני משה</v>
      </c>
      <c r="H1697" t="str">
        <f>_xlfn.CONCAT("https://tablet.otzar.org/",CHAR(35),"/book/27458/p/-1/t/1/fs/0/start/0/end/0/c")</f>
        <v>https://tablet.otzar.org/#/book/27458/p/-1/t/1/fs/0/start/0/end/0/c</v>
      </c>
    </row>
    <row r="1698" spans="1:8" x14ac:dyDescent="0.25">
      <c r="A1698">
        <v>628569</v>
      </c>
      <c r="B1698" t="s">
        <v>2746</v>
      </c>
      <c r="C1698" t="s">
        <v>102</v>
      </c>
      <c r="D1698" t="s">
        <v>363</v>
      </c>
      <c r="E1698" t="s">
        <v>29</v>
      </c>
      <c r="F1698" t="s">
        <v>319</v>
      </c>
      <c r="G1698" t="str">
        <f>HYPERLINK(_xlfn.CONCAT("https://tablet.otzar.org/",CHAR(35),"/book/628569/p/-1/t/1/fs/0/start/0/end/0/c"),"פנים אל פנים")</f>
        <v>פנים אל פנים</v>
      </c>
      <c r="H1698" t="str">
        <f>_xlfn.CONCAT("https://tablet.otzar.org/",CHAR(35),"/book/628569/p/-1/t/1/fs/0/start/0/end/0/c")</f>
        <v>https://tablet.otzar.org/#/book/628569/p/-1/t/1/fs/0/start/0/end/0/c</v>
      </c>
    </row>
    <row r="1699" spans="1:8" x14ac:dyDescent="0.25">
      <c r="A1699">
        <v>643203</v>
      </c>
      <c r="B1699" t="s">
        <v>2747</v>
      </c>
      <c r="C1699" t="s">
        <v>81</v>
      </c>
      <c r="D1699" t="s">
        <v>37</v>
      </c>
      <c r="E1699" t="s">
        <v>24</v>
      </c>
      <c r="F1699" t="s">
        <v>1639</v>
      </c>
      <c r="G1699" t="str">
        <f>HYPERLINK(_xlfn.CONCAT("https://tablet.otzar.org/",CHAR(35),"/book/643203/p/-1/t/1/fs/0/start/0/end/0/c"),"פנים לתורה")</f>
        <v>פנים לתורה</v>
      </c>
      <c r="H1699" t="str">
        <f>_xlfn.CONCAT("https://tablet.otzar.org/",CHAR(35),"/book/643203/p/-1/t/1/fs/0/start/0/end/0/c")</f>
        <v>https://tablet.otzar.org/#/book/643203/p/-1/t/1/fs/0/start/0/end/0/c</v>
      </c>
    </row>
    <row r="1700" spans="1:8" x14ac:dyDescent="0.25">
      <c r="A1700">
        <v>173829</v>
      </c>
      <c r="B1700" t="s">
        <v>2748</v>
      </c>
      <c r="C1700" t="s">
        <v>495</v>
      </c>
      <c r="D1700" t="s">
        <v>10</v>
      </c>
      <c r="E1700" t="s">
        <v>82</v>
      </c>
      <c r="F1700" t="s">
        <v>12</v>
      </c>
      <c r="G1700" t="str">
        <f>HYPERLINK(_xlfn.CONCAT("https://tablet.otzar.org/",CHAR(35),"/book/173829/p/-1/t/1/fs/0/start/0/end/0/c"),"פניני אברהם אליהו")</f>
        <v>פניני אברהם אליהו</v>
      </c>
      <c r="H1700" t="str">
        <f>_xlfn.CONCAT("https://tablet.otzar.org/",CHAR(35),"/book/173829/p/-1/t/1/fs/0/start/0/end/0/c")</f>
        <v>https://tablet.otzar.org/#/book/173829/p/-1/t/1/fs/0/start/0/end/0/c</v>
      </c>
    </row>
    <row r="1701" spans="1:8" x14ac:dyDescent="0.25">
      <c r="A1701">
        <v>173558</v>
      </c>
      <c r="B1701" t="s">
        <v>2749</v>
      </c>
      <c r="C1701" t="s">
        <v>2750</v>
      </c>
      <c r="D1701" t="s">
        <v>2751</v>
      </c>
      <c r="E1701" t="s">
        <v>62</v>
      </c>
      <c r="F1701" t="s">
        <v>657</v>
      </c>
      <c r="G1701" t="str">
        <f>HYPERLINK(_xlfn.CONCAT("https://tablet.otzar.org/",CHAR(35),"/book/173558/p/-1/t/1/fs/0/start/0/end/0/c"),"פניני אור - א")</f>
        <v>פניני אור - א</v>
      </c>
      <c r="H1701" t="str">
        <f>_xlfn.CONCAT("https://tablet.otzar.org/",CHAR(35),"/book/173558/p/-1/t/1/fs/0/start/0/end/0/c")</f>
        <v>https://tablet.otzar.org/#/book/173558/p/-1/t/1/fs/0/start/0/end/0/c</v>
      </c>
    </row>
    <row r="1702" spans="1:8" x14ac:dyDescent="0.25">
      <c r="A1702">
        <v>140818</v>
      </c>
      <c r="B1702" t="s">
        <v>2752</v>
      </c>
      <c r="C1702" t="s">
        <v>1460</v>
      </c>
      <c r="D1702" t="s">
        <v>15</v>
      </c>
      <c r="E1702" t="s">
        <v>64</v>
      </c>
      <c r="F1702" t="s">
        <v>12</v>
      </c>
      <c r="G1702" t="str">
        <f>HYPERLINK(_xlfn.CONCAT("https://tablet.otzar.org/",CHAR(35),"/exKotar/140818"),"פניני הכתר - 3 כרכים")</f>
        <v>פניני הכתר - 3 כרכים</v>
      </c>
      <c r="H1702" t="str">
        <f>_xlfn.CONCAT("https://tablet.otzar.org/",CHAR(35),"/exKotar/140818")</f>
        <v>https://tablet.otzar.org/#/exKotar/140818</v>
      </c>
    </row>
    <row r="1703" spans="1:8" x14ac:dyDescent="0.25">
      <c r="A1703">
        <v>142723</v>
      </c>
      <c r="B1703" t="s">
        <v>2753</v>
      </c>
      <c r="C1703" t="s">
        <v>2754</v>
      </c>
      <c r="D1703" t="s">
        <v>2755</v>
      </c>
      <c r="E1703" t="s">
        <v>217</v>
      </c>
      <c r="F1703" t="s">
        <v>12</v>
      </c>
      <c r="G1703" t="str">
        <f>HYPERLINK(_xlfn.CONCAT("https://tablet.otzar.org/",CHAR(35),"/book/142723/p/-1/t/1/fs/0/start/0/end/0/c"),"פניני השבת")</f>
        <v>פניני השבת</v>
      </c>
      <c r="H1703" t="str">
        <f>_xlfn.CONCAT("https://tablet.otzar.org/",CHAR(35),"/book/142723/p/-1/t/1/fs/0/start/0/end/0/c")</f>
        <v>https://tablet.otzar.org/#/book/142723/p/-1/t/1/fs/0/start/0/end/0/c</v>
      </c>
    </row>
    <row r="1704" spans="1:8" x14ac:dyDescent="0.25">
      <c r="A1704">
        <v>143304</v>
      </c>
      <c r="B1704" t="s">
        <v>2756</v>
      </c>
      <c r="C1704" t="s">
        <v>1700</v>
      </c>
      <c r="D1704" t="s">
        <v>15</v>
      </c>
      <c r="E1704" t="s">
        <v>38</v>
      </c>
      <c r="F1704" t="s">
        <v>94</v>
      </c>
      <c r="G1704" t="str">
        <f>HYPERLINK(_xlfn.CONCAT("https://tablet.otzar.org/",CHAR(35),"/book/143304/p/-1/t/1/fs/0/start/0/end/0/c"),"פניני התניא")</f>
        <v>פניני התניא</v>
      </c>
      <c r="H1704" t="str">
        <f>_xlfn.CONCAT("https://tablet.otzar.org/",CHAR(35),"/book/143304/p/-1/t/1/fs/0/start/0/end/0/c")</f>
        <v>https://tablet.otzar.org/#/book/143304/p/-1/t/1/fs/0/start/0/end/0/c</v>
      </c>
    </row>
    <row r="1705" spans="1:8" x14ac:dyDescent="0.25">
      <c r="A1705">
        <v>28811</v>
      </c>
      <c r="B1705" t="s">
        <v>2757</v>
      </c>
      <c r="C1705" t="s">
        <v>1523</v>
      </c>
      <c r="D1705" t="s">
        <v>10</v>
      </c>
      <c r="E1705" t="s">
        <v>192</v>
      </c>
      <c r="F1705" t="s">
        <v>12</v>
      </c>
      <c r="G1705" t="str">
        <f>HYPERLINK(_xlfn.CONCAT("https://tablet.otzar.org/",CHAR(35),"/exKotar/28811"),"פניני לוי יצחק - 2 כרכים")</f>
        <v>פניני לוי יצחק - 2 כרכים</v>
      </c>
      <c r="H1705" t="str">
        <f>_xlfn.CONCAT("https://tablet.otzar.org/",CHAR(35),"/exKotar/28811")</f>
        <v>https://tablet.otzar.org/#/exKotar/28811</v>
      </c>
    </row>
    <row r="1706" spans="1:8" x14ac:dyDescent="0.25">
      <c r="A1706">
        <v>164344</v>
      </c>
      <c r="B1706" t="s">
        <v>2758</v>
      </c>
      <c r="C1706" t="s">
        <v>45</v>
      </c>
      <c r="D1706" t="s">
        <v>10</v>
      </c>
      <c r="E1706" t="s">
        <v>16</v>
      </c>
      <c r="F1706" t="s">
        <v>12</v>
      </c>
      <c r="G1706" t="str">
        <f>HYPERLINK(_xlfn.CONCAT("https://tablet.otzar.org/",CHAR(35),"/exKotar/164344"),"פניני מנחם - 3 כרכים")</f>
        <v>פניני מנחם - 3 כרכים</v>
      </c>
      <c r="H1706" t="str">
        <f>_xlfn.CONCAT("https://tablet.otzar.org/",CHAR(35),"/exKotar/164344")</f>
        <v>https://tablet.otzar.org/#/exKotar/164344</v>
      </c>
    </row>
    <row r="1707" spans="1:8" x14ac:dyDescent="0.25">
      <c r="A1707">
        <v>27577</v>
      </c>
      <c r="B1707" t="s">
        <v>2759</v>
      </c>
      <c r="C1707" t="s">
        <v>125</v>
      </c>
      <c r="D1707" t="s">
        <v>191</v>
      </c>
      <c r="E1707" t="s">
        <v>29</v>
      </c>
      <c r="F1707" t="s">
        <v>12</v>
      </c>
      <c r="G1707" t="str">
        <f>HYPERLINK(_xlfn.CONCAT("https://tablet.otzar.org/",CHAR(35),"/exKotar/27577"),"פניני תורה - 2 כרכים")</f>
        <v>פניני תורה - 2 כרכים</v>
      </c>
      <c r="H1707" t="str">
        <f>_xlfn.CONCAT("https://tablet.otzar.org/",CHAR(35),"/exKotar/27577")</f>
        <v>https://tablet.otzar.org/#/exKotar/27577</v>
      </c>
    </row>
    <row r="1708" spans="1:8" x14ac:dyDescent="0.25">
      <c r="A1708">
        <v>26979</v>
      </c>
      <c r="B1708" t="s">
        <v>2759</v>
      </c>
      <c r="C1708" t="s">
        <v>2760</v>
      </c>
      <c r="D1708" t="s">
        <v>37</v>
      </c>
      <c r="E1708" t="s">
        <v>192</v>
      </c>
      <c r="F1708" t="s">
        <v>12</v>
      </c>
      <c r="G1708" t="str">
        <f>HYPERLINK(_xlfn.CONCAT("https://tablet.otzar.org/",CHAR(35),"/exKotar/26979"),"פניני תורה - 2 כרכים")</f>
        <v>פניני תורה - 2 כרכים</v>
      </c>
      <c r="H1708" t="str">
        <f>_xlfn.CONCAT("https://tablet.otzar.org/",CHAR(35),"/exKotar/26979")</f>
        <v>https://tablet.otzar.org/#/exKotar/26979</v>
      </c>
    </row>
    <row r="1709" spans="1:8" x14ac:dyDescent="0.25">
      <c r="A1709">
        <v>639922</v>
      </c>
      <c r="B1709" t="s">
        <v>2761</v>
      </c>
      <c r="C1709" t="s">
        <v>2762</v>
      </c>
      <c r="D1709" t="s">
        <v>2354</v>
      </c>
      <c r="E1709" t="s">
        <v>185</v>
      </c>
      <c r="G1709" t="str">
        <f>HYPERLINK(_xlfn.CONCAT("https://tablet.otzar.org/",CHAR(35),"/book/639922/p/-1/t/1/fs/0/start/0/end/0/c"),"פנינים - אוסף סיפורים חסידיים")</f>
        <v>פנינים - אוסף סיפורים חסידיים</v>
      </c>
      <c r="H1709" t="str">
        <f>_xlfn.CONCAT("https://tablet.otzar.org/",CHAR(35),"/book/639922/p/-1/t/1/fs/0/start/0/end/0/c")</f>
        <v>https://tablet.otzar.org/#/book/639922/p/-1/t/1/fs/0/start/0/end/0/c</v>
      </c>
    </row>
    <row r="1710" spans="1:8" x14ac:dyDescent="0.25">
      <c r="A1710">
        <v>28831</v>
      </c>
      <c r="B1710" t="s">
        <v>2763</v>
      </c>
      <c r="C1710" t="s">
        <v>45</v>
      </c>
      <c r="D1710" t="s">
        <v>608</v>
      </c>
      <c r="E1710" t="s">
        <v>192</v>
      </c>
      <c r="F1710" t="s">
        <v>12</v>
      </c>
      <c r="G1710" t="str">
        <f>HYPERLINK(_xlfn.CONCAT("https://tablet.otzar.org/",CHAR(35),"/book/28831/p/-1/t/1/fs/0/start/0/end/0/c"),"פנינים על התורה והמועדים")</f>
        <v>פנינים על התורה והמועדים</v>
      </c>
      <c r="H1710" t="str">
        <f>_xlfn.CONCAT("https://tablet.otzar.org/",CHAR(35),"/book/28831/p/-1/t/1/fs/0/start/0/end/0/c")</f>
        <v>https://tablet.otzar.org/#/book/28831/p/-1/t/1/fs/0/start/0/end/0/c</v>
      </c>
    </row>
    <row r="1711" spans="1:8" x14ac:dyDescent="0.25">
      <c r="A1711">
        <v>607851</v>
      </c>
      <c r="B1711" t="s">
        <v>2764</v>
      </c>
      <c r="C1711" t="s">
        <v>2765</v>
      </c>
      <c r="D1711" t="s">
        <v>15</v>
      </c>
      <c r="E1711" t="s">
        <v>404</v>
      </c>
      <c r="F1711" t="s">
        <v>12</v>
      </c>
      <c r="G1711" t="str">
        <f>HYPERLINK(_xlfn.CONCAT("https://tablet.otzar.org/",CHAR(35),"/book/607851/p/-1/t/1/fs/0/start/0/end/0/c"),"פנסים")</f>
        <v>פנסים</v>
      </c>
      <c r="H1711" t="str">
        <f>_xlfn.CONCAT("https://tablet.otzar.org/",CHAR(35),"/book/607851/p/-1/t/1/fs/0/start/0/end/0/c")</f>
        <v>https://tablet.otzar.org/#/book/607851/p/-1/t/1/fs/0/start/0/end/0/c</v>
      </c>
    </row>
    <row r="1712" spans="1:8" x14ac:dyDescent="0.25">
      <c r="A1712">
        <v>607939</v>
      </c>
      <c r="B1712" t="s">
        <v>2766</v>
      </c>
      <c r="C1712" t="s">
        <v>595</v>
      </c>
      <c r="D1712" t="s">
        <v>15</v>
      </c>
      <c r="E1712" t="s">
        <v>99</v>
      </c>
      <c r="F1712" t="s">
        <v>12</v>
      </c>
      <c r="G1712" t="str">
        <f>HYPERLINK(_xlfn.CONCAT("https://tablet.otzar.org/",CHAR(35),"/book/607939/p/-1/t/1/fs/0/start/0/end/0/c"),"פסח - יוצאים לחירות")</f>
        <v>פסח - יוצאים לחירות</v>
      </c>
      <c r="H1712" t="str">
        <f>_xlfn.CONCAT("https://tablet.otzar.org/",CHAR(35),"/book/607939/p/-1/t/1/fs/0/start/0/end/0/c")</f>
        <v>https://tablet.otzar.org/#/book/607939/p/-1/t/1/fs/0/start/0/end/0/c</v>
      </c>
    </row>
    <row r="1713" spans="1:8" x14ac:dyDescent="0.25">
      <c r="A1713">
        <v>28739</v>
      </c>
      <c r="B1713" t="s">
        <v>2767</v>
      </c>
      <c r="C1713" t="s">
        <v>2711</v>
      </c>
      <c r="D1713" t="s">
        <v>15</v>
      </c>
      <c r="E1713" t="s">
        <v>174</v>
      </c>
      <c r="F1713" t="s">
        <v>12</v>
      </c>
      <c r="G1713" t="str">
        <f>HYPERLINK(_xlfn.CONCAT("https://tablet.otzar.org/",CHAR(35),"/exKotar/28739"),"פסח חסידי - 5 כרכים")</f>
        <v>פסח חסידי - 5 כרכים</v>
      </c>
      <c r="H1713" t="str">
        <f>_xlfn.CONCAT("https://tablet.otzar.org/",CHAR(35),"/exKotar/28739")</f>
        <v>https://tablet.otzar.org/#/exKotar/28739</v>
      </c>
    </row>
    <row r="1714" spans="1:8" x14ac:dyDescent="0.25">
      <c r="A1714">
        <v>27649</v>
      </c>
      <c r="B1714" t="s">
        <v>2768</v>
      </c>
      <c r="C1714" t="s">
        <v>541</v>
      </c>
      <c r="D1714" t="s">
        <v>118</v>
      </c>
      <c r="E1714" t="s">
        <v>29</v>
      </c>
      <c r="F1714" t="s">
        <v>12</v>
      </c>
      <c r="G1714" t="str">
        <f>HYPERLINK(_xlfn.CONCAT("https://tablet.otzar.org/",CHAR(35),"/book/27649/p/-1/t/1/fs/0/start/0/end/0/c"),"פסח כהלכתו - הגדה של פסח עם מדריך הלכתי")</f>
        <v>פסח כהלכתו - הגדה של פסח עם מדריך הלכתי</v>
      </c>
      <c r="H1714" t="str">
        <f>_xlfn.CONCAT("https://tablet.otzar.org/",CHAR(35),"/book/27649/p/-1/t/1/fs/0/start/0/end/0/c")</f>
        <v>https://tablet.otzar.org/#/book/27649/p/-1/t/1/fs/0/start/0/end/0/c</v>
      </c>
    </row>
    <row r="1715" spans="1:8" x14ac:dyDescent="0.25">
      <c r="A1715">
        <v>141589</v>
      </c>
      <c r="B1715" t="s">
        <v>2769</v>
      </c>
      <c r="C1715" t="s">
        <v>45</v>
      </c>
      <c r="D1715" t="s">
        <v>28</v>
      </c>
      <c r="E1715" t="s">
        <v>40</v>
      </c>
      <c r="F1715" t="s">
        <v>12</v>
      </c>
      <c r="G1715" t="str">
        <f>HYPERLINK(_xlfn.CONCAT("https://tablet.otzar.org/",CHAR(35),"/book/141589/p/-1/t/1/fs/0/start/0/end/0/c"),"פסח שני")</f>
        <v>פסח שני</v>
      </c>
      <c r="H1715" t="str">
        <f>_xlfn.CONCAT("https://tablet.otzar.org/",CHAR(35),"/book/141589/p/-1/t/1/fs/0/start/0/end/0/c")</f>
        <v>https://tablet.otzar.org/#/book/141589/p/-1/t/1/fs/0/start/0/end/0/c</v>
      </c>
    </row>
    <row r="1716" spans="1:8" x14ac:dyDescent="0.25">
      <c r="A1716">
        <v>181492</v>
      </c>
      <c r="B1716" t="s">
        <v>2770</v>
      </c>
      <c r="C1716" t="s">
        <v>454</v>
      </c>
      <c r="D1716" t="s">
        <v>15</v>
      </c>
      <c r="E1716" t="s">
        <v>88</v>
      </c>
      <c r="F1716" t="s">
        <v>12</v>
      </c>
      <c r="G1716" t="str">
        <f>HYPERLINK(_xlfn.CONCAT("https://tablet.otzar.org/",CHAR(35),"/book/181492/p/-1/t/1/fs/0/start/0/end/0/c"),"פסיפס")</f>
        <v>פסיפס</v>
      </c>
      <c r="H1716" t="str">
        <f>_xlfn.CONCAT("https://tablet.otzar.org/",CHAR(35),"/book/181492/p/-1/t/1/fs/0/start/0/end/0/c")</f>
        <v>https://tablet.otzar.org/#/book/181492/p/-1/t/1/fs/0/start/0/end/0/c</v>
      </c>
    </row>
    <row r="1717" spans="1:8" x14ac:dyDescent="0.25">
      <c r="A1717">
        <v>189056</v>
      </c>
      <c r="B1717" t="s">
        <v>2771</v>
      </c>
      <c r="C1717" t="s">
        <v>2772</v>
      </c>
      <c r="D1717" t="s">
        <v>10</v>
      </c>
      <c r="E1717" t="s">
        <v>19</v>
      </c>
      <c r="F1717" t="s">
        <v>1093</v>
      </c>
      <c r="G1717" t="str">
        <f>HYPERLINK(_xlfn.CONCAT("https://tablet.otzar.org/",CHAR(35),"/book/189056/p/-1/t/1/fs/0/start/0/end/0/c"),"פסקי אדמו""""ר האמצעי - גיטין פ""""א")</f>
        <v>פסקי אדמו""ר האמצעי - גיטין פ""א</v>
      </c>
      <c r="H1717" t="str">
        <f>_xlfn.CONCAT("https://tablet.otzar.org/",CHAR(35),"/book/189056/p/-1/t/1/fs/0/start/0/end/0/c")</f>
        <v>https://tablet.otzar.org/#/book/189056/p/-1/t/1/fs/0/start/0/end/0/c</v>
      </c>
    </row>
    <row r="1718" spans="1:8" x14ac:dyDescent="0.25">
      <c r="A1718">
        <v>142664</v>
      </c>
      <c r="B1718" t="s">
        <v>2773</v>
      </c>
      <c r="C1718" t="s">
        <v>2772</v>
      </c>
      <c r="D1718" t="s">
        <v>10</v>
      </c>
      <c r="E1718" t="s">
        <v>192</v>
      </c>
      <c r="F1718" t="s">
        <v>12</v>
      </c>
      <c r="G1718" t="str">
        <f>HYPERLINK(_xlfn.CONCAT("https://tablet.otzar.org/",CHAR(35),"/book/142664/p/-1/t/1/fs/0/start/0/end/0/c"),"פסקי אדמו""""ר הזקן - מסכת שבת א")</f>
        <v>פסקי אדמו""ר הזקן - מסכת שבת א</v>
      </c>
      <c r="H1718" t="str">
        <f>_xlfn.CONCAT("https://tablet.otzar.org/",CHAR(35),"/book/142664/p/-1/t/1/fs/0/start/0/end/0/c")</f>
        <v>https://tablet.otzar.org/#/book/142664/p/-1/t/1/fs/0/start/0/end/0/c</v>
      </c>
    </row>
    <row r="1719" spans="1:8" x14ac:dyDescent="0.25">
      <c r="A1719">
        <v>143300</v>
      </c>
      <c r="B1719" t="s">
        <v>2774</v>
      </c>
      <c r="C1719" t="s">
        <v>2775</v>
      </c>
      <c r="D1719" t="s">
        <v>10</v>
      </c>
      <c r="E1719" t="s">
        <v>148</v>
      </c>
      <c r="F1719" t="s">
        <v>319</v>
      </c>
      <c r="G1719" t="str">
        <f>HYPERLINK(_xlfn.CONCAT("https://tablet.otzar.org/",CHAR(35),"/exKotar/143300"),"פסקי אדמו""""ר הזקן בהלכות איסור והיתר - 2 כרכים")</f>
        <v>פסקי אדמו""ר הזקן בהלכות איסור והיתר - 2 כרכים</v>
      </c>
      <c r="H1719" t="str">
        <f>_xlfn.CONCAT("https://tablet.otzar.org/",CHAR(35),"/exKotar/143300")</f>
        <v>https://tablet.otzar.org/#/exKotar/143300</v>
      </c>
    </row>
    <row r="1720" spans="1:8" x14ac:dyDescent="0.25">
      <c r="A1720">
        <v>657633</v>
      </c>
      <c r="B1720" t="s">
        <v>2776</v>
      </c>
      <c r="C1720" t="s">
        <v>72</v>
      </c>
      <c r="D1720" t="s">
        <v>10</v>
      </c>
      <c r="E1720" t="s">
        <v>166</v>
      </c>
      <c r="F1720" t="s">
        <v>12</v>
      </c>
      <c r="G1720" t="str">
        <f>HYPERLINK(_xlfn.CONCAT("https://tablet.otzar.org/",CHAR(35),"/book/657633/p/-1/t/1/fs/0/start/0/end/0/c"),"פסקי דינים - יו""""ד אה""""ע")</f>
        <v>פסקי דינים - יו""ד אה""ע</v>
      </c>
      <c r="H1720" t="str">
        <f>_xlfn.CONCAT("https://tablet.otzar.org/",CHAR(35),"/book/657633/p/-1/t/1/fs/0/start/0/end/0/c")</f>
        <v>https://tablet.otzar.org/#/book/657633/p/-1/t/1/fs/0/start/0/end/0/c</v>
      </c>
    </row>
    <row r="1721" spans="1:8" x14ac:dyDescent="0.25">
      <c r="A1721">
        <v>146363</v>
      </c>
      <c r="B1721" t="s">
        <v>2777</v>
      </c>
      <c r="C1721" t="s">
        <v>2778</v>
      </c>
      <c r="D1721" t="s">
        <v>37</v>
      </c>
      <c r="E1721" t="s">
        <v>441</v>
      </c>
      <c r="F1721" t="s">
        <v>12</v>
      </c>
      <c r="G1721" t="str">
        <f>HYPERLINK(_xlfn.CONCAT("https://tablet.otzar.org/",CHAR(35),"/book/146363/p/-1/t/1/fs/0/start/0/end/0/c"),"פסקי הרב")</f>
        <v>פסקי הרב</v>
      </c>
      <c r="H1721" t="str">
        <f>_xlfn.CONCAT("https://tablet.otzar.org/",CHAR(35),"/book/146363/p/-1/t/1/fs/0/start/0/end/0/c")</f>
        <v>https://tablet.otzar.org/#/book/146363/p/-1/t/1/fs/0/start/0/end/0/c</v>
      </c>
    </row>
    <row r="1722" spans="1:8" x14ac:dyDescent="0.25">
      <c r="A1722">
        <v>650268</v>
      </c>
      <c r="B1722" t="s">
        <v>2779</v>
      </c>
      <c r="C1722" t="s">
        <v>2780</v>
      </c>
      <c r="D1722" t="s">
        <v>23</v>
      </c>
      <c r="E1722" t="s">
        <v>166</v>
      </c>
      <c r="G1722" t="str">
        <f>HYPERLINK(_xlfn.CONCAT("https://tablet.otzar.org/",CHAR(35),"/book/650268/p/-1/t/1/fs/0/start/0/end/0/c"),"פסקי הרב על הלכות מילה")</f>
        <v>פסקי הרב על הלכות מילה</v>
      </c>
      <c r="H1722" t="str">
        <f>_xlfn.CONCAT("https://tablet.otzar.org/",CHAR(35),"/book/650268/p/-1/t/1/fs/0/start/0/end/0/c")</f>
        <v>https://tablet.otzar.org/#/book/650268/p/-1/t/1/fs/0/start/0/end/0/c</v>
      </c>
    </row>
    <row r="1723" spans="1:8" x14ac:dyDescent="0.25">
      <c r="A1723">
        <v>28736</v>
      </c>
      <c r="B1723" t="s">
        <v>2781</v>
      </c>
      <c r="C1723" t="s">
        <v>2782</v>
      </c>
      <c r="D1723" t="s">
        <v>10</v>
      </c>
      <c r="E1723" t="s">
        <v>236</v>
      </c>
      <c r="F1723" t="s">
        <v>12</v>
      </c>
      <c r="G1723" t="str">
        <f>HYPERLINK(_xlfn.CONCAT("https://tablet.otzar.org/",CHAR(35),"/book/28736/p/-1/t/1/fs/0/start/0/end/0/c"),"פסקי פרי מגדים")</f>
        <v>פסקי פרי מגדים</v>
      </c>
      <c r="H1723" t="str">
        <f>_xlfn.CONCAT("https://tablet.otzar.org/",CHAR(35),"/book/28736/p/-1/t/1/fs/0/start/0/end/0/c")</f>
        <v>https://tablet.otzar.org/#/book/28736/p/-1/t/1/fs/0/start/0/end/0/c</v>
      </c>
    </row>
    <row r="1724" spans="1:8" x14ac:dyDescent="0.25">
      <c r="A1724">
        <v>27326</v>
      </c>
      <c r="B1724" t="s">
        <v>2783</v>
      </c>
      <c r="C1724" t="s">
        <v>1495</v>
      </c>
      <c r="D1724" t="s">
        <v>197</v>
      </c>
      <c r="E1724" t="s">
        <v>129</v>
      </c>
      <c r="F1724" t="s">
        <v>12</v>
      </c>
      <c r="G1724" t="str">
        <f>HYPERLINK(_xlfn.CONCAT("https://tablet.otzar.org/",CHAR(35),"/exKotar/27326"),"פרד""""ס שלום - 2 כרכים")</f>
        <v>פרד""ס שלום - 2 כרכים</v>
      </c>
      <c r="H1724" t="str">
        <f>_xlfn.CONCAT("https://tablet.otzar.org/",CHAR(35),"/exKotar/27326")</f>
        <v>https://tablet.otzar.org/#/exKotar/27326</v>
      </c>
    </row>
    <row r="1725" spans="1:8" x14ac:dyDescent="0.25">
      <c r="A1725">
        <v>141424</v>
      </c>
      <c r="B1725" t="s">
        <v>2784</v>
      </c>
      <c r="C1725" t="s">
        <v>125</v>
      </c>
      <c r="D1725" t="s">
        <v>118</v>
      </c>
      <c r="E1725" t="s">
        <v>1140</v>
      </c>
      <c r="F1725" t="s">
        <v>12</v>
      </c>
      <c r="G1725" t="str">
        <f>HYPERLINK(_xlfn.CONCAT("https://tablet.otzar.org/",CHAR(35),"/book/141424/p/-1/t/1/fs/0/start/0/end/0/c"),"פרדס התמים - א")</f>
        <v>פרדס התמים - א</v>
      </c>
      <c r="H1725" t="str">
        <f>_xlfn.CONCAT("https://tablet.otzar.org/",CHAR(35),"/book/141424/p/-1/t/1/fs/0/start/0/end/0/c")</f>
        <v>https://tablet.otzar.org/#/book/141424/p/-1/t/1/fs/0/start/0/end/0/c</v>
      </c>
    </row>
    <row r="1726" spans="1:8" x14ac:dyDescent="0.25">
      <c r="A1726">
        <v>27429</v>
      </c>
      <c r="B1726" t="s">
        <v>2785</v>
      </c>
      <c r="C1726" t="s">
        <v>2786</v>
      </c>
      <c r="D1726" t="s">
        <v>15</v>
      </c>
      <c r="E1726" t="s">
        <v>250</v>
      </c>
      <c r="F1726" t="s">
        <v>12</v>
      </c>
      <c r="G1726" t="str">
        <f>HYPERLINK(_xlfn.CONCAT("https://tablet.otzar.org/",CHAR(35),"/exKotar/27429"),"פרדס חב""""ד - 19 כרכים")</f>
        <v>פרדס חב""ד - 19 כרכים</v>
      </c>
      <c r="H1726" t="str">
        <f>_xlfn.CONCAT("https://tablet.otzar.org/",CHAR(35),"/exKotar/27429")</f>
        <v>https://tablet.otzar.org/#/exKotar/27429</v>
      </c>
    </row>
    <row r="1727" spans="1:8" x14ac:dyDescent="0.25">
      <c r="A1727">
        <v>173490</v>
      </c>
      <c r="B1727" t="s">
        <v>2787</v>
      </c>
      <c r="C1727" t="s">
        <v>2788</v>
      </c>
      <c r="D1727" t="s">
        <v>648</v>
      </c>
      <c r="E1727" t="s">
        <v>62</v>
      </c>
      <c r="F1727" t="s">
        <v>12</v>
      </c>
      <c r="G1727" t="str">
        <f>HYPERLINK(_xlfn.CONCAT("https://tablet.otzar.org/",CHAR(35),"/book/173490/p/-1/t/1/fs/0/start/0/end/0/c"),"פרופסור גרין שלום וברכה")</f>
        <v>פרופסור גרין שלום וברכה</v>
      </c>
      <c r="H1727" t="str">
        <f>_xlfn.CONCAT("https://tablet.otzar.org/",CHAR(35),"/book/173490/p/-1/t/1/fs/0/start/0/end/0/c")</f>
        <v>https://tablet.otzar.org/#/book/173490/p/-1/t/1/fs/0/start/0/end/0/c</v>
      </c>
    </row>
    <row r="1728" spans="1:8" x14ac:dyDescent="0.25">
      <c r="A1728">
        <v>140850</v>
      </c>
      <c r="B1728" t="s">
        <v>2789</v>
      </c>
      <c r="C1728" t="s">
        <v>125</v>
      </c>
      <c r="D1728" t="s">
        <v>440</v>
      </c>
      <c r="E1728" t="s">
        <v>129</v>
      </c>
      <c r="F1728" t="s">
        <v>12</v>
      </c>
      <c r="G1728" t="str">
        <f>HYPERLINK(_xlfn.CONCAT("https://tablet.otzar.org/",CHAR(35),"/book/140850/p/-1/t/1/fs/0/start/0/end/0/c"),"פרחי השלוחים")</f>
        <v>פרחי השלוחים</v>
      </c>
      <c r="H1728" t="str">
        <f>_xlfn.CONCAT("https://tablet.otzar.org/",CHAR(35),"/book/140850/p/-1/t/1/fs/0/start/0/end/0/c")</f>
        <v>https://tablet.otzar.org/#/book/140850/p/-1/t/1/fs/0/start/0/end/0/c</v>
      </c>
    </row>
    <row r="1729" spans="1:8" x14ac:dyDescent="0.25">
      <c r="A1729">
        <v>27373</v>
      </c>
      <c r="B1729" t="s">
        <v>2790</v>
      </c>
      <c r="C1729" t="s">
        <v>2791</v>
      </c>
      <c r="D1729" t="s">
        <v>118</v>
      </c>
      <c r="E1729" t="s">
        <v>75</v>
      </c>
      <c r="F1729" t="s">
        <v>12</v>
      </c>
      <c r="G1729" t="str">
        <f>HYPERLINK(_xlfn.CONCAT("https://tablet.otzar.org/",CHAR(35),"/book/27373/p/-1/t/1/fs/0/start/0/end/0/c"),"פרחי התמימים - א")</f>
        <v>פרחי התמימים - א</v>
      </c>
      <c r="H1729" t="str">
        <f>_xlfn.CONCAT("https://tablet.otzar.org/",CHAR(35),"/book/27373/p/-1/t/1/fs/0/start/0/end/0/c")</f>
        <v>https://tablet.otzar.org/#/book/27373/p/-1/t/1/fs/0/start/0/end/0/c</v>
      </c>
    </row>
    <row r="1730" spans="1:8" x14ac:dyDescent="0.25">
      <c r="A1730">
        <v>160947</v>
      </c>
      <c r="B1730" t="s">
        <v>2790</v>
      </c>
      <c r="C1730" t="s">
        <v>2792</v>
      </c>
      <c r="D1730" t="s">
        <v>656</v>
      </c>
      <c r="E1730" t="s">
        <v>192</v>
      </c>
      <c r="F1730" t="s">
        <v>12</v>
      </c>
      <c r="G1730" t="str">
        <f>HYPERLINK(_xlfn.CONCAT("https://tablet.otzar.org/",CHAR(35),"/book/160947/p/-1/t/1/fs/0/start/0/end/0/c"),"פרחי התמימים - א")</f>
        <v>פרחי התמימים - א</v>
      </c>
      <c r="H1730" t="str">
        <f>_xlfn.CONCAT("https://tablet.otzar.org/",CHAR(35),"/book/160947/p/-1/t/1/fs/0/start/0/end/0/c")</f>
        <v>https://tablet.otzar.org/#/book/160947/p/-1/t/1/fs/0/start/0/end/0/c</v>
      </c>
    </row>
    <row r="1731" spans="1:8" x14ac:dyDescent="0.25">
      <c r="A1731">
        <v>145742</v>
      </c>
      <c r="B1731" t="s">
        <v>2793</v>
      </c>
      <c r="C1731" t="s">
        <v>2794</v>
      </c>
      <c r="D1731" t="s">
        <v>1229</v>
      </c>
      <c r="E1731" t="s">
        <v>353</v>
      </c>
      <c r="F1731" t="s">
        <v>143</v>
      </c>
      <c r="G1731" t="str">
        <f>HYPERLINK(_xlfn.CONCAT("https://tablet.otzar.org/",CHAR(35),"/exKotar/145742"),"פרחי התמימים - 14 כרכים")</f>
        <v>פרחי התמימים - 14 כרכים</v>
      </c>
      <c r="H1731" t="str">
        <f>_xlfn.CONCAT("https://tablet.otzar.org/",CHAR(35),"/exKotar/145742")</f>
        <v>https://tablet.otzar.org/#/exKotar/145742</v>
      </c>
    </row>
    <row r="1732" spans="1:8" x14ac:dyDescent="0.25">
      <c r="A1732">
        <v>168995</v>
      </c>
      <c r="B1732" t="s">
        <v>2795</v>
      </c>
      <c r="C1732" t="s">
        <v>125</v>
      </c>
      <c r="D1732" t="s">
        <v>387</v>
      </c>
      <c r="E1732" t="s">
        <v>16</v>
      </c>
      <c r="F1732" t="s">
        <v>12</v>
      </c>
      <c r="G1732" t="str">
        <f>HYPERLINK(_xlfn.CONCAT("https://tablet.otzar.org/",CHAR(35),"/exKotar/168995"),"פרי ביכורי התמימים - 2 כרכים")</f>
        <v>פרי ביכורי התמימים - 2 כרכים</v>
      </c>
      <c r="H1732" t="str">
        <f>_xlfn.CONCAT("https://tablet.otzar.org/",CHAR(35),"/exKotar/168995")</f>
        <v>https://tablet.otzar.org/#/exKotar/168995</v>
      </c>
    </row>
    <row r="1733" spans="1:8" x14ac:dyDescent="0.25">
      <c r="A1733">
        <v>653709</v>
      </c>
      <c r="B1733" t="s">
        <v>2796</v>
      </c>
      <c r="C1733" t="s">
        <v>1550</v>
      </c>
      <c r="D1733" t="s">
        <v>10</v>
      </c>
      <c r="E1733" t="s">
        <v>166</v>
      </c>
      <c r="G1733" t="str">
        <f>HYPERLINK(_xlfn.CONCAT("https://tablet.otzar.org/",CHAR(35),"/exKotar/653709"),"פרסום ראשון - 14 כרכים")</f>
        <v>פרסום ראשון - 14 כרכים</v>
      </c>
      <c r="H1733" t="str">
        <f>_xlfn.CONCAT("https://tablet.otzar.org/",CHAR(35),"/exKotar/653709")</f>
        <v>https://tablet.otzar.org/#/exKotar/653709</v>
      </c>
    </row>
    <row r="1734" spans="1:8" x14ac:dyDescent="0.25">
      <c r="A1734">
        <v>146223</v>
      </c>
      <c r="B1734" t="s">
        <v>2797</v>
      </c>
      <c r="C1734" t="s">
        <v>2798</v>
      </c>
      <c r="D1734" t="s">
        <v>215</v>
      </c>
      <c r="E1734" t="s">
        <v>148</v>
      </c>
      <c r="F1734" t="s">
        <v>12</v>
      </c>
      <c r="G1734" t="str">
        <f>HYPERLINK(_xlfn.CONCAT("https://tablet.otzar.org/",CHAR(35),"/book/146223/p/-1/t/1/fs/0/start/0/end/0/c"),"פרק תענוג - מתוך ספר משנת חב""""ד")</f>
        <v>פרק תענוג - מתוך ספר משנת חב""ד</v>
      </c>
      <c r="H1734" t="str">
        <f>_xlfn.CONCAT("https://tablet.otzar.org/",CHAR(35),"/book/146223/p/-1/t/1/fs/0/start/0/end/0/c")</f>
        <v>https://tablet.otzar.org/#/book/146223/p/-1/t/1/fs/0/start/0/end/0/c</v>
      </c>
    </row>
    <row r="1735" spans="1:8" x14ac:dyDescent="0.25">
      <c r="A1735">
        <v>142690</v>
      </c>
      <c r="B1735" t="s">
        <v>2799</v>
      </c>
      <c r="C1735" t="s">
        <v>2800</v>
      </c>
      <c r="D1735" t="s">
        <v>28</v>
      </c>
      <c r="E1735" t="s">
        <v>91</v>
      </c>
      <c r="F1735" t="s">
        <v>342</v>
      </c>
      <c r="G1735" t="str">
        <f>HYPERLINK(_xlfn.CONCAT("https://tablet.otzar.org/",CHAR(35),"/book/142690/p/-1/t/1/fs/0/start/0/end/0/c"),"פרקי יומן")</f>
        <v>פרקי יומן</v>
      </c>
      <c r="H1735" t="str">
        <f>_xlfn.CONCAT("https://tablet.otzar.org/",CHAR(35),"/book/142690/p/-1/t/1/fs/0/start/0/end/0/c")</f>
        <v>https://tablet.otzar.org/#/book/142690/p/-1/t/1/fs/0/start/0/end/0/c</v>
      </c>
    </row>
    <row r="1736" spans="1:8" x14ac:dyDescent="0.25">
      <c r="A1736">
        <v>146383</v>
      </c>
      <c r="B1736" t="s">
        <v>2801</v>
      </c>
      <c r="C1736" t="s">
        <v>2802</v>
      </c>
      <c r="D1736" t="s">
        <v>28</v>
      </c>
      <c r="E1736" t="s">
        <v>515</v>
      </c>
      <c r="F1736" t="s">
        <v>342</v>
      </c>
      <c r="G1736" t="str">
        <f>HYPERLINK(_xlfn.CONCAT("https://tablet.otzar.org/",CHAR(35),"/book/146383/p/-1/t/1/fs/0/start/0/end/0/c"),"פרקים על כ""""ק אדמו""""ר שליט""""א")</f>
        <v>פרקים על כ""ק אדמו""ר שליט""א</v>
      </c>
      <c r="H1736" t="str">
        <f>_xlfn.CONCAT("https://tablet.otzar.org/",CHAR(35),"/book/146383/p/-1/t/1/fs/0/start/0/end/0/c")</f>
        <v>https://tablet.otzar.org/#/book/146383/p/-1/t/1/fs/0/start/0/end/0/c</v>
      </c>
    </row>
    <row r="1737" spans="1:8" x14ac:dyDescent="0.25">
      <c r="A1737">
        <v>189077</v>
      </c>
      <c r="B1737" t="s">
        <v>2803</v>
      </c>
      <c r="C1737" t="s">
        <v>2804</v>
      </c>
      <c r="D1737" t="s">
        <v>374</v>
      </c>
      <c r="E1737" t="s">
        <v>19</v>
      </c>
      <c r="F1737" t="s">
        <v>12</v>
      </c>
      <c r="G1737" t="str">
        <f>HYPERLINK(_xlfn.CONCAT("https://tablet.otzar.org/",CHAR(35),"/exKotar/189077"),"פרשה באהבה - 2 כרכים")</f>
        <v>פרשה באהבה - 2 כרכים</v>
      </c>
      <c r="H1737" t="str">
        <f>_xlfn.CONCAT("https://tablet.otzar.org/",CHAR(35),"/exKotar/189077")</f>
        <v>https://tablet.otzar.org/#/exKotar/189077</v>
      </c>
    </row>
    <row r="1738" spans="1:8" x14ac:dyDescent="0.25">
      <c r="A1738">
        <v>189109</v>
      </c>
      <c r="B1738" t="s">
        <v>2805</v>
      </c>
      <c r="C1738" t="s">
        <v>1270</v>
      </c>
      <c r="D1738" t="s">
        <v>15</v>
      </c>
      <c r="E1738" t="s">
        <v>19</v>
      </c>
      <c r="F1738" t="s">
        <v>12</v>
      </c>
      <c r="G1738" t="str">
        <f>HYPERLINK(_xlfn.CONCAT("https://tablet.otzar.org/",CHAR(35),"/exKotar/189109"),"פרשיות עם הרבי - 5 כרכים")</f>
        <v>פרשיות עם הרבי - 5 כרכים</v>
      </c>
      <c r="H1738" t="str">
        <f>_xlfn.CONCAT("https://tablet.otzar.org/",CHAR(35),"/exKotar/189109")</f>
        <v>https://tablet.otzar.org/#/exKotar/189109</v>
      </c>
    </row>
    <row r="1739" spans="1:8" x14ac:dyDescent="0.25">
      <c r="A1739">
        <v>639868</v>
      </c>
      <c r="B1739" t="s">
        <v>2806</v>
      </c>
      <c r="C1739" t="s">
        <v>2807</v>
      </c>
      <c r="E1739" t="s">
        <v>11</v>
      </c>
      <c r="F1739" t="s">
        <v>163</v>
      </c>
      <c r="G1739" t="str">
        <f>HYPERLINK(_xlfn.CONCAT("https://tablet.otzar.org/",CHAR(35),"/book/639868/p/-1/t/1/fs/0/start/0/end/0/c"),"פשוט חסידות")</f>
        <v>פשוט חסידות</v>
      </c>
      <c r="H1739" t="str">
        <f>_xlfn.CONCAT("https://tablet.otzar.org/",CHAR(35),"/book/639868/p/-1/t/1/fs/0/start/0/end/0/c")</f>
        <v>https://tablet.otzar.org/#/book/639868/p/-1/t/1/fs/0/start/0/end/0/c</v>
      </c>
    </row>
    <row r="1740" spans="1:8" x14ac:dyDescent="0.25">
      <c r="A1740">
        <v>28729</v>
      </c>
      <c r="B1740" t="s">
        <v>2808</v>
      </c>
      <c r="C1740" t="s">
        <v>2809</v>
      </c>
      <c r="D1740" t="s">
        <v>37</v>
      </c>
      <c r="E1740" t="s">
        <v>217</v>
      </c>
      <c r="F1740" t="s">
        <v>12</v>
      </c>
      <c r="G1740" t="str">
        <f>HYPERLINK(_xlfn.CONCAT("https://tablet.otzar.org/",CHAR(35),"/exKotar/28729"),"פשוטו של מקרא - 2 כרכים")</f>
        <v>פשוטו של מקרא - 2 כרכים</v>
      </c>
      <c r="H1740" t="str">
        <f>_xlfn.CONCAT("https://tablet.otzar.org/",CHAR(35),"/exKotar/28729")</f>
        <v>https://tablet.otzar.org/#/exKotar/28729</v>
      </c>
    </row>
    <row r="1741" spans="1:8" x14ac:dyDescent="0.25">
      <c r="A1741">
        <v>27542</v>
      </c>
      <c r="B1741" t="s">
        <v>2810</v>
      </c>
      <c r="C1741" t="s">
        <v>2811</v>
      </c>
      <c r="D1741" t="s">
        <v>15</v>
      </c>
      <c r="E1741" t="s">
        <v>129</v>
      </c>
      <c r="F1741" t="s">
        <v>12</v>
      </c>
      <c r="G1741" t="str">
        <f>HYPERLINK(_xlfn.CONCAT("https://tablet.otzar.org/",CHAR(35),"/book/27542/p/-1/t/1/fs/0/start/0/end/0/c"),"פתגמי הבעש""""ט")</f>
        <v>פתגמי הבעש""ט</v>
      </c>
      <c r="H1741" t="str">
        <f>_xlfn.CONCAT("https://tablet.otzar.org/",CHAR(35),"/book/27542/p/-1/t/1/fs/0/start/0/end/0/c")</f>
        <v>https://tablet.otzar.org/#/book/27542/p/-1/t/1/fs/0/start/0/end/0/c</v>
      </c>
    </row>
    <row r="1742" spans="1:8" x14ac:dyDescent="0.25">
      <c r="A1742">
        <v>167737</v>
      </c>
      <c r="B1742" t="s">
        <v>2812</v>
      </c>
      <c r="C1742" t="s">
        <v>48</v>
      </c>
      <c r="D1742" t="s">
        <v>15</v>
      </c>
      <c r="E1742" t="s">
        <v>49</v>
      </c>
      <c r="F1742" t="s">
        <v>12</v>
      </c>
      <c r="G1742" t="str">
        <f>HYPERLINK(_xlfn.CONCAT("https://tablet.otzar.org/",CHAR(35),"/book/167737/p/-1/t/1/fs/0/start/0/end/0/c"),"פתגמי הרבי")</f>
        <v>פתגמי הרבי</v>
      </c>
      <c r="H1742" t="str">
        <f>_xlfn.CONCAT("https://tablet.otzar.org/",CHAR(35),"/book/167737/p/-1/t/1/fs/0/start/0/end/0/c")</f>
        <v>https://tablet.otzar.org/#/book/167737/p/-1/t/1/fs/0/start/0/end/0/c</v>
      </c>
    </row>
    <row r="1743" spans="1:8" x14ac:dyDescent="0.25">
      <c r="A1743">
        <v>630288</v>
      </c>
      <c r="B1743" t="s">
        <v>2813</v>
      </c>
      <c r="C1743" t="s">
        <v>2814</v>
      </c>
      <c r="D1743" t="s">
        <v>1229</v>
      </c>
      <c r="E1743" t="s">
        <v>11</v>
      </c>
      <c r="F1743" t="s">
        <v>12</v>
      </c>
      <c r="G1743" t="str">
        <f>HYPERLINK(_xlfn.CONCAT("https://tablet.otzar.org/",CHAR(35),"/book/630288/p/-1/t/1/fs/0/start/0/end/0/c"),"פתיחה - ביקורי רבותינו במאריסטאון")</f>
        <v>פתיחה - ביקורי רבותינו במאריסטאון</v>
      </c>
      <c r="H1743" t="str">
        <f>_xlfn.CONCAT("https://tablet.otzar.org/",CHAR(35),"/book/630288/p/-1/t/1/fs/0/start/0/end/0/c")</f>
        <v>https://tablet.otzar.org/#/book/630288/p/-1/t/1/fs/0/start/0/end/0/c</v>
      </c>
    </row>
    <row r="1744" spans="1:8" x14ac:dyDescent="0.25">
      <c r="A1744">
        <v>607699</v>
      </c>
      <c r="B1744" t="s">
        <v>2815</v>
      </c>
      <c r="C1744" t="s">
        <v>45</v>
      </c>
      <c r="D1744" t="s">
        <v>10</v>
      </c>
      <c r="E1744" t="s">
        <v>115</v>
      </c>
      <c r="F1744" t="s">
        <v>12</v>
      </c>
      <c r="G1744" t="str">
        <f>HYPERLINK(_xlfn.CONCAT("https://tablet.otzar.org/",CHAR(35),"/exKotar/607699"),"פתקים משלחנו של הרבי - 3 כרכים")</f>
        <v>פתקים משלחנו של הרבי - 3 כרכים</v>
      </c>
      <c r="H1744" t="str">
        <f>_xlfn.CONCAT("https://tablet.otzar.org/",CHAR(35),"/exKotar/607699")</f>
        <v>https://tablet.otzar.org/#/exKotar/607699</v>
      </c>
    </row>
    <row r="1745" spans="1:8" x14ac:dyDescent="0.25">
      <c r="A1745">
        <v>141444</v>
      </c>
      <c r="B1745" t="s">
        <v>2816</v>
      </c>
      <c r="C1745" t="s">
        <v>2816</v>
      </c>
      <c r="E1745" t="s">
        <v>129</v>
      </c>
      <c r="F1745" t="s">
        <v>12</v>
      </c>
      <c r="G1745" t="str">
        <f>HYPERLINK(_xlfn.CONCAT("https://tablet.otzar.org/",CHAR(35),"/book/141444/p/-1/t/1/fs/0/start/0/end/0/c"),"צ""""ח ניצוצי אור")</f>
        <v>צ""ח ניצוצי אור</v>
      </c>
      <c r="H1745" t="str">
        <f>_xlfn.CONCAT("https://tablet.otzar.org/",CHAR(35),"/book/141444/p/-1/t/1/fs/0/start/0/end/0/c")</f>
        <v>https://tablet.otzar.org/#/book/141444/p/-1/t/1/fs/0/start/0/end/0/c</v>
      </c>
    </row>
    <row r="1746" spans="1:8" x14ac:dyDescent="0.25">
      <c r="A1746">
        <v>651988</v>
      </c>
      <c r="B1746" t="s">
        <v>2817</v>
      </c>
      <c r="C1746" t="s">
        <v>2818</v>
      </c>
      <c r="E1746" t="s">
        <v>11</v>
      </c>
      <c r="G1746" t="str">
        <f>HYPERLINK(_xlfn.CONCAT("https://tablet.otzar.org/",CHAR(35),"/book/651988/p/-1/t/1/fs/0/start/0/end/0/c"),"צאצאיה כן פקוד")</f>
        <v>צאצאיה כן פקוד</v>
      </c>
      <c r="H1746" t="str">
        <f>_xlfn.CONCAT("https://tablet.otzar.org/",CHAR(35),"/book/651988/p/-1/t/1/fs/0/start/0/end/0/c")</f>
        <v>https://tablet.otzar.org/#/book/651988/p/-1/t/1/fs/0/start/0/end/0/c</v>
      </c>
    </row>
    <row r="1747" spans="1:8" x14ac:dyDescent="0.25">
      <c r="A1747">
        <v>141262</v>
      </c>
      <c r="B1747" t="s">
        <v>2819</v>
      </c>
      <c r="C1747" t="s">
        <v>45</v>
      </c>
      <c r="D1747" t="s">
        <v>15</v>
      </c>
      <c r="E1747" t="s">
        <v>46</v>
      </c>
      <c r="F1747" t="s">
        <v>12</v>
      </c>
      <c r="G1747" t="str">
        <f>HYPERLINK(_xlfn.CONCAT("https://tablet.otzar.org/",CHAR(35),"/exKotar/141262"),"צדי""""ק למלך - 7 כרכים")</f>
        <v>צדי""ק למלך - 7 כרכים</v>
      </c>
      <c r="H1747" t="str">
        <f>_xlfn.CONCAT("https://tablet.otzar.org/",CHAR(35),"/exKotar/141262")</f>
        <v>https://tablet.otzar.org/#/exKotar/141262</v>
      </c>
    </row>
    <row r="1748" spans="1:8" x14ac:dyDescent="0.25">
      <c r="A1748">
        <v>607992</v>
      </c>
      <c r="B1748" t="s">
        <v>2820</v>
      </c>
      <c r="C1748" t="s">
        <v>113</v>
      </c>
      <c r="D1748" t="s">
        <v>15</v>
      </c>
      <c r="E1748" t="s">
        <v>99</v>
      </c>
      <c r="F1748" t="s">
        <v>12</v>
      </c>
      <c r="G1748" t="str">
        <f>HYPERLINK(_xlfn.CONCAT("https://tablet.otzar.org/",CHAR(35),"/book/607992/p/-1/t/1/fs/0/start/0/end/0/c"),"צדיק הדור מנחיל אמונה")</f>
        <v>צדיק הדור מנחיל אמונה</v>
      </c>
      <c r="H1748" t="str">
        <f>_xlfn.CONCAT("https://tablet.otzar.org/",CHAR(35),"/book/607992/p/-1/t/1/fs/0/start/0/end/0/c")</f>
        <v>https://tablet.otzar.org/#/book/607992/p/-1/t/1/fs/0/start/0/end/0/c</v>
      </c>
    </row>
    <row r="1749" spans="1:8" x14ac:dyDescent="0.25">
      <c r="A1749">
        <v>141642</v>
      </c>
      <c r="B1749" t="s">
        <v>2821</v>
      </c>
      <c r="C1749" t="s">
        <v>326</v>
      </c>
      <c r="D1749" t="s">
        <v>15</v>
      </c>
      <c r="E1749" t="s">
        <v>69</v>
      </c>
      <c r="F1749" t="s">
        <v>12</v>
      </c>
      <c r="G1749" t="str">
        <f>HYPERLINK(_xlfn.CONCAT("https://tablet.otzar.org/",CHAR(35),"/book/141642/p/-1/t/1/fs/0/start/0/end/0/c"),"צדיק יסוד עולם")</f>
        <v>צדיק יסוד עולם</v>
      </c>
      <c r="H1749" t="str">
        <f>_xlfn.CONCAT("https://tablet.otzar.org/",CHAR(35),"/book/141642/p/-1/t/1/fs/0/start/0/end/0/c")</f>
        <v>https://tablet.otzar.org/#/book/141642/p/-1/t/1/fs/0/start/0/end/0/c</v>
      </c>
    </row>
    <row r="1750" spans="1:8" x14ac:dyDescent="0.25">
      <c r="A1750">
        <v>607756</v>
      </c>
      <c r="B1750" t="s">
        <v>2822</v>
      </c>
      <c r="C1750" t="s">
        <v>136</v>
      </c>
      <c r="D1750" t="s">
        <v>15</v>
      </c>
      <c r="E1750" t="s">
        <v>404</v>
      </c>
      <c r="F1750" t="s">
        <v>12</v>
      </c>
      <c r="G1750" t="str">
        <f>HYPERLINK(_xlfn.CONCAT("https://tablet.otzar.org/",CHAR(35),"/book/607756/p/-1/t/1/fs/0/start/0/end/0/c"),"צדיקים וידידים")</f>
        <v>צדיקים וידידים</v>
      </c>
      <c r="H1750" t="str">
        <f>_xlfn.CONCAT("https://tablet.otzar.org/",CHAR(35),"/book/607756/p/-1/t/1/fs/0/start/0/end/0/c")</f>
        <v>https://tablet.otzar.org/#/book/607756/p/-1/t/1/fs/0/start/0/end/0/c</v>
      </c>
    </row>
    <row r="1751" spans="1:8" x14ac:dyDescent="0.25">
      <c r="A1751">
        <v>610591</v>
      </c>
      <c r="B1751" t="s">
        <v>2823</v>
      </c>
      <c r="C1751" t="s">
        <v>1205</v>
      </c>
      <c r="D1751" t="s">
        <v>15</v>
      </c>
      <c r="E1751" t="s">
        <v>62</v>
      </c>
      <c r="F1751" t="s">
        <v>12</v>
      </c>
      <c r="G1751" t="str">
        <f>HYPERLINK(_xlfn.CONCAT("https://tablet.otzar.org/",CHAR(35),"/exKotar/610591"),"צדיקים למופת - 2 כרכים")</f>
        <v>צדיקים למופת - 2 כרכים</v>
      </c>
      <c r="H1751" t="str">
        <f>_xlfn.CONCAT("https://tablet.otzar.org/",CHAR(35),"/exKotar/610591")</f>
        <v>https://tablet.otzar.org/#/exKotar/610591</v>
      </c>
    </row>
    <row r="1752" spans="1:8" x14ac:dyDescent="0.25">
      <c r="A1752">
        <v>651985</v>
      </c>
      <c r="B1752" t="s">
        <v>2824</v>
      </c>
      <c r="C1752" t="s">
        <v>2825</v>
      </c>
      <c r="E1752" t="s">
        <v>99</v>
      </c>
      <c r="G1752" t="str">
        <f>HYPERLINK(_xlfn.CONCAT("https://tablet.otzar.org/",CHAR(35),"/book/651985/p/-1/t/1/fs/0/start/0/end/0/c"),"צדקה - מדריך לנתינה יהודית")</f>
        <v>צדקה - מדריך לנתינה יהודית</v>
      </c>
      <c r="H1752" t="str">
        <f>_xlfn.CONCAT("https://tablet.otzar.org/",CHAR(35),"/book/651985/p/-1/t/1/fs/0/start/0/end/0/c")</f>
        <v>https://tablet.otzar.org/#/book/651985/p/-1/t/1/fs/0/start/0/end/0/c</v>
      </c>
    </row>
    <row r="1753" spans="1:8" x14ac:dyDescent="0.25">
      <c r="A1753">
        <v>146267</v>
      </c>
      <c r="B1753" t="s">
        <v>2826</v>
      </c>
      <c r="C1753" t="s">
        <v>125</v>
      </c>
      <c r="D1753" t="s">
        <v>37</v>
      </c>
      <c r="E1753" t="s">
        <v>60</v>
      </c>
      <c r="F1753" t="s">
        <v>251</v>
      </c>
      <c r="G1753" t="str">
        <f>HYPERLINK(_xlfn.CONCAT("https://tablet.otzar.org/",CHAR(35),"/book/146267/p/-1/t/1/fs/0/start/0/end/0/c"),"צדקת ישראל - א")</f>
        <v>צדקת ישראל - א</v>
      </c>
      <c r="H1753" t="str">
        <f>_xlfn.CONCAT("https://tablet.otzar.org/",CHAR(35),"/book/146267/p/-1/t/1/fs/0/start/0/end/0/c")</f>
        <v>https://tablet.otzar.org/#/book/146267/p/-1/t/1/fs/0/start/0/end/0/c</v>
      </c>
    </row>
    <row r="1754" spans="1:8" x14ac:dyDescent="0.25">
      <c r="A1754">
        <v>189275</v>
      </c>
      <c r="B1754" t="s">
        <v>2827</v>
      </c>
      <c r="C1754" t="s">
        <v>2828</v>
      </c>
      <c r="D1754" t="s">
        <v>10</v>
      </c>
      <c r="E1754" t="s">
        <v>19</v>
      </c>
      <c r="F1754" t="s">
        <v>12</v>
      </c>
      <c r="G1754" t="str">
        <f>HYPERLINK(_xlfn.CONCAT("https://tablet.otzar.org/",CHAR(35),"/book/189275/p/-1/t/1/fs/0/start/0/end/0/c"),"צדקתו עומדת לעד")</f>
        <v>צדקתו עומדת לעד</v>
      </c>
      <c r="H1754" t="str">
        <f>_xlfn.CONCAT("https://tablet.otzar.org/",CHAR(35),"/book/189275/p/-1/t/1/fs/0/start/0/end/0/c")</f>
        <v>https://tablet.otzar.org/#/book/189275/p/-1/t/1/fs/0/start/0/end/0/c</v>
      </c>
    </row>
    <row r="1755" spans="1:8" x14ac:dyDescent="0.25">
      <c r="A1755">
        <v>628570</v>
      </c>
      <c r="B1755" t="s">
        <v>2829</v>
      </c>
      <c r="C1755" t="s">
        <v>102</v>
      </c>
      <c r="D1755" t="s">
        <v>363</v>
      </c>
      <c r="E1755" t="s">
        <v>29</v>
      </c>
      <c r="F1755" t="s">
        <v>2244</v>
      </c>
      <c r="G1755" t="str">
        <f>HYPERLINK(_xlfn.CONCAT("https://tablet.otzar.org/",CHAR(35),"/book/628570/p/-1/t/1/fs/0/start/0/end/0/c"),"צו השעה: טיפול שורש")</f>
        <v>צו השעה: טיפול שורש</v>
      </c>
      <c r="H1755" t="str">
        <f>_xlfn.CONCAT("https://tablet.otzar.org/",CHAR(35),"/book/628570/p/-1/t/1/fs/0/start/0/end/0/c")</f>
        <v>https://tablet.otzar.org/#/book/628570/p/-1/t/1/fs/0/start/0/end/0/c</v>
      </c>
    </row>
    <row r="1756" spans="1:8" x14ac:dyDescent="0.25">
      <c r="A1756">
        <v>189103</v>
      </c>
      <c r="B1756" t="s">
        <v>2830</v>
      </c>
      <c r="C1756" t="s">
        <v>2831</v>
      </c>
      <c r="D1756" t="s">
        <v>28</v>
      </c>
      <c r="E1756" t="s">
        <v>82</v>
      </c>
      <c r="F1756" t="s">
        <v>2832</v>
      </c>
      <c r="G1756" t="str">
        <f>HYPERLINK(_xlfn.CONCAT("https://tablet.otzar.org/",CHAR(35),"/book/189103/p/-1/t/1/fs/0/start/0/end/0/c"),"צוהר לתיבה")</f>
        <v>צוהר לתיבה</v>
      </c>
      <c r="H1756" t="str">
        <f>_xlfn.CONCAT("https://tablet.otzar.org/",CHAR(35),"/book/189103/p/-1/t/1/fs/0/start/0/end/0/c")</f>
        <v>https://tablet.otzar.org/#/book/189103/p/-1/t/1/fs/0/start/0/end/0/c</v>
      </c>
    </row>
    <row r="1757" spans="1:8" x14ac:dyDescent="0.25">
      <c r="A1757">
        <v>27155</v>
      </c>
      <c r="B1757" t="s">
        <v>2833</v>
      </c>
      <c r="C1757" t="s">
        <v>1673</v>
      </c>
      <c r="D1757" t="s">
        <v>10</v>
      </c>
      <c r="E1757" t="s">
        <v>129</v>
      </c>
      <c r="F1757" t="s">
        <v>12</v>
      </c>
      <c r="G1757" t="str">
        <f>HYPERLINK(_xlfn.CONCAT("https://tablet.otzar.org/",CHAR(35),"/book/27155/p/-1/t/1/fs/0/start/0/end/0/c"),"צוואת הריב""""ש")</f>
        <v>צוואת הריב""ש</v>
      </c>
      <c r="H1757" t="str">
        <f>_xlfn.CONCAT("https://tablet.otzar.org/",CHAR(35),"/book/27155/p/-1/t/1/fs/0/start/0/end/0/c")</f>
        <v>https://tablet.otzar.org/#/book/27155/p/-1/t/1/fs/0/start/0/end/0/c</v>
      </c>
    </row>
    <row r="1758" spans="1:8" x14ac:dyDescent="0.25">
      <c r="A1758">
        <v>146214</v>
      </c>
      <c r="B1758" t="s">
        <v>2834</v>
      </c>
      <c r="C1758" t="s">
        <v>125</v>
      </c>
      <c r="D1758" t="s">
        <v>10</v>
      </c>
      <c r="E1758" t="s">
        <v>1999</v>
      </c>
      <c r="F1758" t="s">
        <v>251</v>
      </c>
      <c r="G1758" t="str">
        <f>HYPERLINK(_xlfn.CONCAT("https://tablet.otzar.org/",CHAR(35),"/book/146214/p/-1/t/1/fs/0/start/0/end/0/c"),"צום פינף און פערציג יעהריגען יובילעאום")</f>
        <v>צום פינף און פערציג יעהריגען יובילעאום</v>
      </c>
      <c r="H1758" t="str">
        <f>_xlfn.CONCAT("https://tablet.otzar.org/",CHAR(35),"/book/146214/p/-1/t/1/fs/0/start/0/end/0/c")</f>
        <v>https://tablet.otzar.org/#/book/146214/p/-1/t/1/fs/0/start/0/end/0/c</v>
      </c>
    </row>
    <row r="1759" spans="1:8" x14ac:dyDescent="0.25">
      <c r="A1759">
        <v>143242</v>
      </c>
      <c r="B1759" t="s">
        <v>2835</v>
      </c>
      <c r="C1759" t="s">
        <v>2836</v>
      </c>
      <c r="D1759" t="s">
        <v>15</v>
      </c>
      <c r="E1759" t="s">
        <v>33</v>
      </c>
      <c r="F1759" t="s">
        <v>76</v>
      </c>
      <c r="G1759" t="str">
        <f>HYPERLINK(_xlfn.CONCAT("https://tablet.otzar.org/",CHAR(35),"/book/143242/p/-1/t/1/fs/0/start/0/end/0/c"),"ציון לנפש")</f>
        <v>ציון לנפש</v>
      </c>
      <c r="H1759" t="str">
        <f>_xlfn.CONCAT("https://tablet.otzar.org/",CHAR(35),"/book/143242/p/-1/t/1/fs/0/start/0/end/0/c")</f>
        <v>https://tablet.otzar.org/#/book/143242/p/-1/t/1/fs/0/start/0/end/0/c</v>
      </c>
    </row>
    <row r="1760" spans="1:8" x14ac:dyDescent="0.25">
      <c r="A1760">
        <v>27347</v>
      </c>
      <c r="B1760" t="s">
        <v>2837</v>
      </c>
      <c r="C1760" t="s">
        <v>125</v>
      </c>
      <c r="D1760" t="s">
        <v>2181</v>
      </c>
      <c r="E1760" t="s">
        <v>181</v>
      </c>
      <c r="F1760" t="s">
        <v>12</v>
      </c>
      <c r="G1760" t="str">
        <f>HYPERLINK(_xlfn.CONCAT("https://tablet.otzar.org/",CHAR(35),"/book/27347/p/-1/t/1/fs/0/start/0/end/0/c"),"ציון לנפש חיה - ד")</f>
        <v>ציון לנפש חיה - ד</v>
      </c>
      <c r="H1760" t="str">
        <f>_xlfn.CONCAT("https://tablet.otzar.org/",CHAR(35),"/book/27347/p/-1/t/1/fs/0/start/0/end/0/c")</f>
        <v>https://tablet.otzar.org/#/book/27347/p/-1/t/1/fs/0/start/0/end/0/c</v>
      </c>
    </row>
    <row r="1761" spans="1:8" x14ac:dyDescent="0.25">
      <c r="A1761">
        <v>27342</v>
      </c>
      <c r="B1761" t="s">
        <v>2838</v>
      </c>
      <c r="C1761" t="s">
        <v>2838</v>
      </c>
      <c r="D1761" t="s">
        <v>10</v>
      </c>
      <c r="E1761" t="s">
        <v>236</v>
      </c>
      <c r="F1761" t="s">
        <v>12</v>
      </c>
      <c r="G1761" t="str">
        <f>HYPERLINK(_xlfn.CONCAT("https://tablet.otzar.org/",CHAR(35),"/book/27342/p/-1/t/1/fs/0/start/0/end/0/c"),"ציונים לספר משנה תורה")</f>
        <v>ציונים לספר משנה תורה</v>
      </c>
      <c r="H1761" t="str">
        <f>_xlfn.CONCAT("https://tablet.otzar.org/",CHAR(35),"/book/27342/p/-1/t/1/fs/0/start/0/end/0/c")</f>
        <v>https://tablet.otzar.org/#/book/27342/p/-1/t/1/fs/0/start/0/end/0/c</v>
      </c>
    </row>
    <row r="1762" spans="1:8" x14ac:dyDescent="0.25">
      <c r="A1762">
        <v>614921</v>
      </c>
      <c r="B1762" t="s">
        <v>2839</v>
      </c>
      <c r="C1762" t="s">
        <v>582</v>
      </c>
      <c r="D1762" t="s">
        <v>10</v>
      </c>
      <c r="E1762" t="s">
        <v>62</v>
      </c>
      <c r="F1762" t="s">
        <v>12</v>
      </c>
      <c r="G1762" t="str">
        <f>HYPERLINK(_xlfn.CONCAT("https://tablet.otzar.org/",CHAR(35),"/book/614921/p/-1/t/1/fs/0/start/0/end/0/c"),"ציור פני הרב")</f>
        <v>ציור פני הרב</v>
      </c>
      <c r="H1762" t="str">
        <f>_xlfn.CONCAT("https://tablet.otzar.org/",CHAR(35),"/book/614921/p/-1/t/1/fs/0/start/0/end/0/c")</f>
        <v>https://tablet.otzar.org/#/book/614921/p/-1/t/1/fs/0/start/0/end/0/c</v>
      </c>
    </row>
    <row r="1763" spans="1:8" x14ac:dyDescent="0.25">
      <c r="A1763">
        <v>141632</v>
      </c>
      <c r="B1763" t="s">
        <v>2840</v>
      </c>
      <c r="C1763" t="s">
        <v>48</v>
      </c>
      <c r="D1763" t="s">
        <v>10</v>
      </c>
      <c r="E1763" t="s">
        <v>174</v>
      </c>
      <c r="F1763" t="s">
        <v>12</v>
      </c>
      <c r="G1763" t="str">
        <f>HYPERLINK(_xlfn.CONCAT("https://tablet.otzar.org/",CHAR(35),"/book/141632/p/-1/t/1/fs/0/start/0/end/0/c"),"צילומי כתי""""ק הקשורים להמשך יו""""ט של ר""""ה תרס""""ו")</f>
        <v>צילומי כתי""ק הקשורים להמשך יו""ט של ר""ה תרס""ו</v>
      </c>
      <c r="H1763" t="str">
        <f>_xlfn.CONCAT("https://tablet.otzar.org/",CHAR(35),"/book/141632/p/-1/t/1/fs/0/start/0/end/0/c")</f>
        <v>https://tablet.otzar.org/#/book/141632/p/-1/t/1/fs/0/start/0/end/0/c</v>
      </c>
    </row>
    <row r="1764" spans="1:8" x14ac:dyDescent="0.25">
      <c r="A1764">
        <v>28760</v>
      </c>
      <c r="B1764" t="s">
        <v>2841</v>
      </c>
      <c r="C1764" t="s">
        <v>136</v>
      </c>
      <c r="D1764" t="s">
        <v>15</v>
      </c>
      <c r="E1764" t="s">
        <v>134</v>
      </c>
      <c r="F1764" t="s">
        <v>12</v>
      </c>
      <c r="G1764" t="str">
        <f>HYPERLINK(_xlfn.CONCAT("https://tablet.otzar.org/",CHAR(35),"/book/28760/p/-1/t/1/fs/0/start/0/end/0/c"),"ציצית - הלכה למעשה")</f>
        <v>ציצית - הלכה למעשה</v>
      </c>
      <c r="H1764" t="str">
        <f>_xlfn.CONCAT("https://tablet.otzar.org/",CHAR(35),"/book/28760/p/-1/t/1/fs/0/start/0/end/0/c")</f>
        <v>https://tablet.otzar.org/#/book/28760/p/-1/t/1/fs/0/start/0/end/0/c</v>
      </c>
    </row>
    <row r="1765" spans="1:8" x14ac:dyDescent="0.25">
      <c r="A1765">
        <v>28013</v>
      </c>
      <c r="B1765" t="s">
        <v>2842</v>
      </c>
      <c r="C1765" t="s">
        <v>2843</v>
      </c>
      <c r="D1765" t="s">
        <v>28</v>
      </c>
      <c r="E1765" t="s">
        <v>29</v>
      </c>
      <c r="F1765" t="s">
        <v>12</v>
      </c>
      <c r="G1765" t="str">
        <f>HYPERLINK(_xlfn.CONCAT("https://tablet.otzar.org/",CHAR(35),"/book/28013/p/-1/t/1/fs/0/start/0/end/0/c"),"צמאה לך נפשי מבחר שירי מסורת &lt;עם תוים&gt;")</f>
        <v>צמאה לך נפשי מבחר שירי מסורת &lt;עם תוים&gt;</v>
      </c>
      <c r="H1765" t="str">
        <f>_xlfn.CONCAT("https://tablet.otzar.org/",CHAR(35),"/book/28013/p/-1/t/1/fs/0/start/0/end/0/c")</f>
        <v>https://tablet.otzar.org/#/book/28013/p/-1/t/1/fs/0/start/0/end/0/c</v>
      </c>
    </row>
    <row r="1766" spans="1:8" x14ac:dyDescent="0.25">
      <c r="A1766">
        <v>153351</v>
      </c>
      <c r="B1766" t="s">
        <v>2844</v>
      </c>
      <c r="C1766" t="s">
        <v>61</v>
      </c>
      <c r="D1766" t="s">
        <v>191</v>
      </c>
      <c r="E1766" t="s">
        <v>226</v>
      </c>
      <c r="G1766" t="str">
        <f>HYPERLINK(_xlfn.CONCAT("https://tablet.otzar.org/",CHAR(35),"/book/153351/p/-1/t/1/fs/0/start/0/end/0/c"),"צמח צדק - חידושים על סדר השו""""ע")</f>
        <v>צמח צדק - חידושים על סדר השו""ע</v>
      </c>
      <c r="H1766" t="str">
        <f>_xlfn.CONCAT("https://tablet.otzar.org/",CHAR(35),"/book/153351/p/-1/t/1/fs/0/start/0/end/0/c")</f>
        <v>https://tablet.otzar.org/#/book/153351/p/-1/t/1/fs/0/start/0/end/0/c</v>
      </c>
    </row>
    <row r="1767" spans="1:8" x14ac:dyDescent="0.25">
      <c r="A1767">
        <v>652364</v>
      </c>
      <c r="B1767" t="s">
        <v>2845</v>
      </c>
      <c r="C1767" t="s">
        <v>61</v>
      </c>
      <c r="D1767" t="s">
        <v>10</v>
      </c>
      <c r="E1767" t="s">
        <v>115</v>
      </c>
      <c r="F1767" t="s">
        <v>2846</v>
      </c>
      <c r="G1767" t="str">
        <f>HYPERLINK(_xlfn.CONCAT("https://tablet.otzar.org/",CHAR(35),"/exKotar/652364"),"צמח צדק &lt;שו""""ת מהדו""""ח&gt;  - 2 כרכים")</f>
        <v>צמח צדק &lt;שו""ת מהדו""ח&gt;  - 2 כרכים</v>
      </c>
      <c r="H1767" t="str">
        <f>_xlfn.CONCAT("https://tablet.otzar.org/",CHAR(35),"/exKotar/652364")</f>
        <v>https://tablet.otzar.org/#/exKotar/652364</v>
      </c>
    </row>
    <row r="1768" spans="1:8" x14ac:dyDescent="0.25">
      <c r="A1768">
        <v>26169</v>
      </c>
      <c r="B1768" t="s">
        <v>2847</v>
      </c>
      <c r="C1768" t="s">
        <v>61</v>
      </c>
      <c r="D1768" t="s">
        <v>15</v>
      </c>
      <c r="E1768" t="s">
        <v>134</v>
      </c>
      <c r="F1768" t="s">
        <v>12</v>
      </c>
      <c r="G1768" t="str">
        <f>HYPERLINK(_xlfn.CONCAT("https://tablet.otzar.org/",CHAR(35),"/book/26169/p/-1/t/1/fs/0/start/0/end/0/c"),"צמח צדק, ספר השיחות")</f>
        <v>צמח צדק, ספר השיחות</v>
      </c>
      <c r="H1768" t="str">
        <f>_xlfn.CONCAT("https://tablet.otzar.org/",CHAR(35),"/book/26169/p/-1/t/1/fs/0/start/0/end/0/c")</f>
        <v>https://tablet.otzar.org/#/book/26169/p/-1/t/1/fs/0/start/0/end/0/c</v>
      </c>
    </row>
    <row r="1769" spans="1:8" x14ac:dyDescent="0.25">
      <c r="A1769">
        <v>26516</v>
      </c>
      <c r="B1769" t="s">
        <v>595</v>
      </c>
      <c r="C1769" t="s">
        <v>2848</v>
      </c>
      <c r="D1769" t="s">
        <v>15</v>
      </c>
      <c r="E1769" t="s">
        <v>192</v>
      </c>
      <c r="F1769" t="s">
        <v>12</v>
      </c>
      <c r="G1769" t="str">
        <f>HYPERLINK(_xlfn.CONCAT("https://tablet.otzar.org/",CHAR(35),"/book/26516/p/-1/t/1/fs/0/start/0/end/0/c"),"צעירי אגודת חב""""ד")</f>
        <v>צעירי אגודת חב""ד</v>
      </c>
      <c r="H1769" t="str">
        <f>_xlfn.CONCAT("https://tablet.otzar.org/",CHAR(35),"/book/26516/p/-1/t/1/fs/0/start/0/end/0/c")</f>
        <v>https://tablet.otzar.org/#/book/26516/p/-1/t/1/fs/0/start/0/end/0/c</v>
      </c>
    </row>
    <row r="1770" spans="1:8" x14ac:dyDescent="0.25">
      <c r="A1770">
        <v>27619</v>
      </c>
      <c r="B1770" t="s">
        <v>2849</v>
      </c>
      <c r="C1770" t="s">
        <v>1113</v>
      </c>
      <c r="D1770" t="s">
        <v>15</v>
      </c>
      <c r="E1770" t="s">
        <v>40</v>
      </c>
      <c r="F1770" t="s">
        <v>12</v>
      </c>
      <c r="G1770" t="str">
        <f>HYPERLINK(_xlfn.CONCAT("https://tablet.otzar.org/",CHAR(35),"/exKotar/27619"),"צעקת המלך - 2 כרכים")</f>
        <v>צעקת המלך - 2 כרכים</v>
      </c>
      <c r="H1770" t="str">
        <f>_xlfn.CONCAT("https://tablet.otzar.org/",CHAR(35),"/exKotar/27619")</f>
        <v>https://tablet.otzar.org/#/exKotar/27619</v>
      </c>
    </row>
    <row r="1771" spans="1:8" x14ac:dyDescent="0.25">
      <c r="A1771">
        <v>141334</v>
      </c>
      <c r="B1771" t="s">
        <v>2850</v>
      </c>
      <c r="C1771" t="s">
        <v>2851</v>
      </c>
      <c r="D1771" t="s">
        <v>37</v>
      </c>
      <c r="E1771" t="s">
        <v>1841</v>
      </c>
      <c r="F1771" t="s">
        <v>12</v>
      </c>
      <c r="G1771" t="str">
        <f>HYPERLINK(_xlfn.CONCAT("https://tablet.otzar.org/",CHAR(35),"/book/141334/p/-1/t/1/fs/0/start/0/end/0/c"),"צפית לישועה")</f>
        <v>צפית לישועה</v>
      </c>
      <c r="H1771" t="str">
        <f>_xlfn.CONCAT("https://tablet.otzar.org/",CHAR(35),"/book/141334/p/-1/t/1/fs/0/start/0/end/0/c")</f>
        <v>https://tablet.otzar.org/#/book/141334/p/-1/t/1/fs/0/start/0/end/0/c</v>
      </c>
    </row>
    <row r="1772" spans="1:8" x14ac:dyDescent="0.25">
      <c r="A1772">
        <v>142671</v>
      </c>
      <c r="B1772" t="s">
        <v>2852</v>
      </c>
      <c r="C1772" t="s">
        <v>45</v>
      </c>
      <c r="D1772" t="s">
        <v>412</v>
      </c>
      <c r="E1772" t="s">
        <v>250</v>
      </c>
      <c r="F1772" t="s">
        <v>12</v>
      </c>
      <c r="G1772" t="str">
        <f>HYPERLINK(_xlfn.CONCAT("https://tablet.otzar.org/",CHAR(35),"/book/142671/p/-1/t/1/fs/0/start/0/end/0/c"),"צפת עיר הקודש")</f>
        <v>צפת עיר הקודש</v>
      </c>
      <c r="H1772" t="str">
        <f>_xlfn.CONCAT("https://tablet.otzar.org/",CHAR(35),"/book/142671/p/-1/t/1/fs/0/start/0/end/0/c")</f>
        <v>https://tablet.otzar.org/#/book/142671/p/-1/t/1/fs/0/start/0/end/0/c</v>
      </c>
    </row>
    <row r="1773" spans="1:8" x14ac:dyDescent="0.25">
      <c r="A1773">
        <v>145466</v>
      </c>
      <c r="B1773" t="s">
        <v>2853</v>
      </c>
      <c r="C1773" t="s">
        <v>125</v>
      </c>
      <c r="D1773" t="s">
        <v>2854</v>
      </c>
      <c r="E1773" t="s">
        <v>46</v>
      </c>
      <c r="F1773" t="s">
        <v>12</v>
      </c>
      <c r="G1773" t="str">
        <f>HYPERLINK(_xlfn.CONCAT("https://tablet.otzar.org/",CHAR(35),"/exKotar/145466"),"צרפת פרצת - 18 כרכים")</f>
        <v>צרפת פרצת - 18 כרכים</v>
      </c>
      <c r="H1773" t="str">
        <f>_xlfn.CONCAT("https://tablet.otzar.org/",CHAR(35),"/exKotar/145466")</f>
        <v>https://tablet.otzar.org/#/exKotar/145466</v>
      </c>
    </row>
    <row r="1774" spans="1:8" x14ac:dyDescent="0.25">
      <c r="A1774">
        <v>627076</v>
      </c>
      <c r="B1774" t="s">
        <v>2855</v>
      </c>
      <c r="C1774" t="s">
        <v>9</v>
      </c>
      <c r="E1774" t="s">
        <v>88</v>
      </c>
      <c r="F1774" t="s">
        <v>12</v>
      </c>
      <c r="G1774" t="str">
        <f>HYPERLINK(_xlfn.CONCAT("https://tablet.otzar.org/",CHAR(35),"/book/627076/p/-1/t/1/fs/0/start/0/end/0/c"),"קאר א וועלט")</f>
        <v>קאר א וועלט</v>
      </c>
      <c r="H1774" t="str">
        <f>_xlfn.CONCAT("https://tablet.otzar.org/",CHAR(35),"/book/627076/p/-1/t/1/fs/0/start/0/end/0/c")</f>
        <v>https://tablet.otzar.org/#/book/627076/p/-1/t/1/fs/0/start/0/end/0/c</v>
      </c>
    </row>
    <row r="1775" spans="1:8" x14ac:dyDescent="0.25">
      <c r="A1775">
        <v>27041</v>
      </c>
      <c r="B1775" t="s">
        <v>2856</v>
      </c>
      <c r="C1775" t="s">
        <v>2782</v>
      </c>
      <c r="D1775" t="s">
        <v>10</v>
      </c>
      <c r="E1775" t="s">
        <v>192</v>
      </c>
      <c r="F1775" t="s">
        <v>12</v>
      </c>
      <c r="G1775" t="str">
        <f>HYPERLINK(_xlfn.CONCAT("https://tablet.otzar.org/",CHAR(35),"/book/27041/p/-1/t/1/fs/0/start/0/end/0/c"),"קב נקי")</f>
        <v>קב נקי</v>
      </c>
      <c r="H1775" t="str">
        <f>_xlfn.CONCAT("https://tablet.otzar.org/",CHAR(35),"/book/27041/p/-1/t/1/fs/0/start/0/end/0/c")</f>
        <v>https://tablet.otzar.org/#/book/27041/p/-1/t/1/fs/0/start/0/end/0/c</v>
      </c>
    </row>
    <row r="1776" spans="1:8" x14ac:dyDescent="0.25">
      <c r="A1776">
        <v>85200</v>
      </c>
      <c r="B1776" t="s">
        <v>2857</v>
      </c>
      <c r="C1776" t="s">
        <v>275</v>
      </c>
      <c r="D1776" t="s">
        <v>882</v>
      </c>
      <c r="E1776" t="s">
        <v>226</v>
      </c>
      <c r="F1776" t="s">
        <v>516</v>
      </c>
      <c r="G1776" t="str">
        <f>HYPERLINK(_xlfn.CONCAT("https://tablet.otzar.org/",CHAR(35),"/book/85200/p/-1/t/1/fs/0/start/0/end/0/c"),"קבלה היא בידך")</f>
        <v>קבלה היא בידך</v>
      </c>
      <c r="H1776" t="str">
        <f>_xlfn.CONCAT("https://tablet.otzar.org/",CHAR(35),"/book/85200/p/-1/t/1/fs/0/start/0/end/0/c")</f>
        <v>https://tablet.otzar.org/#/book/85200/p/-1/t/1/fs/0/start/0/end/0/c</v>
      </c>
    </row>
    <row r="1777" spans="1:8" x14ac:dyDescent="0.25">
      <c r="A1777">
        <v>197197</v>
      </c>
      <c r="B1777" t="s">
        <v>2858</v>
      </c>
      <c r="C1777" t="s">
        <v>9</v>
      </c>
      <c r="D1777" t="s">
        <v>10</v>
      </c>
      <c r="E1777" t="s">
        <v>99</v>
      </c>
      <c r="F1777" t="s">
        <v>12</v>
      </c>
      <c r="G1777" t="str">
        <f>HYPERLINK(_xlfn.CONCAT("https://tablet.otzar.org/",CHAR(35),"/book/197197/p/-1/t/1/fs/0/start/0/end/0/c"),"קבלו מלכותי")</f>
        <v>קבלו מלכותי</v>
      </c>
      <c r="H1777" t="str">
        <f>_xlfn.CONCAT("https://tablet.otzar.org/",CHAR(35),"/book/197197/p/-1/t/1/fs/0/start/0/end/0/c")</f>
        <v>https://tablet.otzar.org/#/book/197197/p/-1/t/1/fs/0/start/0/end/0/c</v>
      </c>
    </row>
    <row r="1778" spans="1:8" x14ac:dyDescent="0.25">
      <c r="A1778">
        <v>141407</v>
      </c>
      <c r="B1778" t="s">
        <v>2859</v>
      </c>
      <c r="C1778" t="s">
        <v>1495</v>
      </c>
      <c r="D1778" t="s">
        <v>197</v>
      </c>
      <c r="E1778" t="s">
        <v>46</v>
      </c>
      <c r="F1778" t="s">
        <v>12</v>
      </c>
      <c r="G1778" t="str">
        <f>HYPERLINK(_xlfn.CONCAT("https://tablet.otzar.org/",CHAR(35),"/book/141407/p/-1/t/1/fs/0/start/0/end/0/c"),"קבלת פני משיח צדקנו")</f>
        <v>קבלת פני משיח צדקנו</v>
      </c>
      <c r="H1778" t="str">
        <f>_xlfn.CONCAT("https://tablet.otzar.org/",CHAR(35),"/book/141407/p/-1/t/1/fs/0/start/0/end/0/c")</f>
        <v>https://tablet.otzar.org/#/book/141407/p/-1/t/1/fs/0/start/0/end/0/c</v>
      </c>
    </row>
    <row r="1779" spans="1:8" x14ac:dyDescent="0.25">
      <c r="A1779">
        <v>27545</v>
      </c>
      <c r="B1779" t="s">
        <v>2860</v>
      </c>
      <c r="C1779" t="s">
        <v>45</v>
      </c>
      <c r="D1779" t="s">
        <v>10</v>
      </c>
      <c r="E1779" t="s">
        <v>129</v>
      </c>
      <c r="F1779" t="s">
        <v>12</v>
      </c>
      <c r="G1779" t="str">
        <f>HYPERLINK(_xlfn.CONCAT("https://tablet.otzar.org/",CHAR(35),"/book/27545/p/-1/t/1/fs/0/start/0/end/0/c"),"קבלת פנים")</f>
        <v>קבלת פנים</v>
      </c>
      <c r="H1779" t="str">
        <f>_xlfn.CONCAT("https://tablet.otzar.org/",CHAR(35),"/book/27545/p/-1/t/1/fs/0/start/0/end/0/c")</f>
        <v>https://tablet.otzar.org/#/book/27545/p/-1/t/1/fs/0/start/0/end/0/c</v>
      </c>
    </row>
    <row r="1780" spans="1:8" x14ac:dyDescent="0.25">
      <c r="A1780">
        <v>622252</v>
      </c>
      <c r="B1780" t="s">
        <v>2861</v>
      </c>
      <c r="C1780" t="s">
        <v>9</v>
      </c>
      <c r="D1780" t="s">
        <v>10</v>
      </c>
      <c r="E1780" t="s">
        <v>11</v>
      </c>
      <c r="F1780" t="s">
        <v>12</v>
      </c>
      <c r="G1780" t="str">
        <f>HYPERLINK(_xlfn.CONCAT("https://tablet.otzar.org/",CHAR(35),"/exKotar/622252"),"קבצים של תשרי - 2 כרכים")</f>
        <v>קבצים של תשרי - 2 כרכים</v>
      </c>
      <c r="H1780" t="str">
        <f>_xlfn.CONCAT("https://tablet.otzar.org/",CHAR(35),"/exKotar/622252")</f>
        <v>https://tablet.otzar.org/#/exKotar/622252</v>
      </c>
    </row>
    <row r="1781" spans="1:8" x14ac:dyDescent="0.25">
      <c r="A1781">
        <v>146208</v>
      </c>
      <c r="B1781" t="s">
        <v>2862</v>
      </c>
      <c r="C1781" t="s">
        <v>2863</v>
      </c>
      <c r="D1781" t="s">
        <v>10</v>
      </c>
      <c r="F1781" t="s">
        <v>239</v>
      </c>
      <c r="G1781" t="str">
        <f>HYPERLINK(_xlfn.CONCAT("https://tablet.otzar.org/",CHAR(35),"/book/146208/p/-1/t/1/fs/0/start/0/end/0/c"),"קדוש ותפלות - ראש השנה, שמחת תורה")</f>
        <v>קדוש ותפלות - ראש השנה, שמחת תורה</v>
      </c>
      <c r="H1781" t="str">
        <f>_xlfn.CONCAT("https://tablet.otzar.org/",CHAR(35),"/book/146208/p/-1/t/1/fs/0/start/0/end/0/c")</f>
        <v>https://tablet.otzar.org/#/book/146208/p/-1/t/1/fs/0/start/0/end/0/c</v>
      </c>
    </row>
    <row r="1782" spans="1:8" x14ac:dyDescent="0.25">
      <c r="A1782">
        <v>146340</v>
      </c>
      <c r="B1782" t="s">
        <v>2864</v>
      </c>
      <c r="C1782" t="s">
        <v>728</v>
      </c>
      <c r="D1782" t="s">
        <v>28</v>
      </c>
      <c r="E1782" t="s">
        <v>91</v>
      </c>
      <c r="F1782" t="s">
        <v>12</v>
      </c>
      <c r="G1782" t="str">
        <f>HYPERLINK(_xlfn.CONCAT("https://tablet.otzar.org/",CHAR(35),"/book/146340/p/-1/t/1/fs/0/start/0/end/0/c"),"קדושת המקדש")</f>
        <v>קדושת המקדש</v>
      </c>
      <c r="H1782" t="str">
        <f>_xlfn.CONCAT("https://tablet.otzar.org/",CHAR(35),"/book/146340/p/-1/t/1/fs/0/start/0/end/0/c")</f>
        <v>https://tablet.otzar.org/#/book/146340/p/-1/t/1/fs/0/start/0/end/0/c</v>
      </c>
    </row>
    <row r="1783" spans="1:8" x14ac:dyDescent="0.25">
      <c r="A1783">
        <v>627060</v>
      </c>
      <c r="B1783" t="s">
        <v>2865</v>
      </c>
      <c r="C1783" t="s">
        <v>9</v>
      </c>
      <c r="D1783" t="s">
        <v>10</v>
      </c>
      <c r="E1783" t="s">
        <v>11</v>
      </c>
      <c r="F1783" t="s">
        <v>12</v>
      </c>
      <c r="G1783" t="str">
        <f>HYPERLINK(_xlfn.CONCAT("https://tablet.otzar.org/",CHAR(35),"/book/627060/p/-1/t/1/fs/0/start/0/end/0/c"),"קדמונך תחילה - ימי הסליחות")</f>
        <v>קדמונך תחילה - ימי הסליחות</v>
      </c>
      <c r="H1783" t="str">
        <f>_xlfn.CONCAT("https://tablet.otzar.org/",CHAR(35),"/book/627060/p/-1/t/1/fs/0/start/0/end/0/c")</f>
        <v>https://tablet.otzar.org/#/book/627060/p/-1/t/1/fs/0/start/0/end/0/c</v>
      </c>
    </row>
    <row r="1784" spans="1:8" x14ac:dyDescent="0.25">
      <c r="A1784">
        <v>199953</v>
      </c>
      <c r="B1784" t="s">
        <v>2866</v>
      </c>
      <c r="C1784" t="s">
        <v>2867</v>
      </c>
      <c r="D1784" t="s">
        <v>859</v>
      </c>
      <c r="E1784" t="s">
        <v>99</v>
      </c>
      <c r="F1784" t="s">
        <v>12</v>
      </c>
      <c r="G1784" t="str">
        <f>HYPERLINK(_xlfn.CONCAT("https://tablet.otzar.org/",CHAR(35),"/book/199953/p/-1/t/1/fs/0/start/0/end/0/c"),"קובץ אב מלך")</f>
        <v>קובץ אב מלך</v>
      </c>
      <c r="H1784" t="str">
        <f>_xlfn.CONCAT("https://tablet.otzar.org/",CHAR(35),"/book/199953/p/-1/t/1/fs/0/start/0/end/0/c")</f>
        <v>https://tablet.otzar.org/#/book/199953/p/-1/t/1/fs/0/start/0/end/0/c</v>
      </c>
    </row>
    <row r="1785" spans="1:8" x14ac:dyDescent="0.25">
      <c r="A1785">
        <v>635119</v>
      </c>
      <c r="B1785" t="s">
        <v>2868</v>
      </c>
      <c r="C1785" t="s">
        <v>2869</v>
      </c>
      <c r="D1785" t="s">
        <v>10</v>
      </c>
      <c r="E1785" t="s">
        <v>185</v>
      </c>
      <c r="F1785" t="s">
        <v>12</v>
      </c>
      <c r="G1785" t="str">
        <f>HYPERLINK(_xlfn.CONCAT("https://tablet.otzar.org/",CHAR(35),"/book/635119/p/-1/t/1/fs/0/start/0/end/0/c"),"קובץ אהלי תורה")</f>
        <v>קובץ אהלי תורה</v>
      </c>
      <c r="H1785" t="str">
        <f>_xlfn.CONCAT("https://tablet.otzar.org/",CHAR(35),"/book/635119/p/-1/t/1/fs/0/start/0/end/0/c")</f>
        <v>https://tablet.otzar.org/#/book/635119/p/-1/t/1/fs/0/start/0/end/0/c</v>
      </c>
    </row>
    <row r="1786" spans="1:8" x14ac:dyDescent="0.25">
      <c r="A1786">
        <v>145664</v>
      </c>
      <c r="B1786" t="s">
        <v>2870</v>
      </c>
      <c r="C1786" t="s">
        <v>125</v>
      </c>
      <c r="D1786" t="s">
        <v>2037</v>
      </c>
      <c r="E1786" t="s">
        <v>260</v>
      </c>
      <c r="F1786" t="s">
        <v>251</v>
      </c>
      <c r="G1786" t="str">
        <f>HYPERLINK(_xlfn.CONCAT("https://tablet.otzar.org/",CHAR(35),"/book/145664/p/-1/t/1/fs/0/start/0/end/0/c"),"קובץ אור המגדל - א")</f>
        <v>קובץ אור המגדל - א</v>
      </c>
      <c r="H1786" t="str">
        <f>_xlfn.CONCAT("https://tablet.otzar.org/",CHAR(35),"/book/145664/p/-1/t/1/fs/0/start/0/end/0/c")</f>
        <v>https://tablet.otzar.org/#/book/145664/p/-1/t/1/fs/0/start/0/end/0/c</v>
      </c>
    </row>
    <row r="1787" spans="1:8" x14ac:dyDescent="0.25">
      <c r="A1787">
        <v>142684</v>
      </c>
      <c r="B1787" t="s">
        <v>2871</v>
      </c>
      <c r="C1787" t="s">
        <v>125</v>
      </c>
      <c r="D1787" t="s">
        <v>28</v>
      </c>
      <c r="E1787" t="s">
        <v>60</v>
      </c>
      <c r="F1787" t="s">
        <v>251</v>
      </c>
      <c r="G1787" t="str">
        <f>HYPERLINK(_xlfn.CONCAT("https://tablet.otzar.org/",CHAR(35),"/book/142684/p/-1/t/1/fs/0/start/0/end/0/c"),"קובץ אור וחיות נפשנו")</f>
        <v>קובץ אור וחיות נפשנו</v>
      </c>
      <c r="H1787" t="str">
        <f>_xlfn.CONCAT("https://tablet.otzar.org/",CHAR(35),"/book/142684/p/-1/t/1/fs/0/start/0/end/0/c")</f>
        <v>https://tablet.otzar.org/#/book/142684/p/-1/t/1/fs/0/start/0/end/0/c</v>
      </c>
    </row>
    <row r="1788" spans="1:8" x14ac:dyDescent="0.25">
      <c r="A1788">
        <v>627073</v>
      </c>
      <c r="B1788" t="s">
        <v>2872</v>
      </c>
      <c r="D1788" t="s">
        <v>10</v>
      </c>
      <c r="E1788" t="s">
        <v>33</v>
      </c>
      <c r="F1788" t="s">
        <v>12</v>
      </c>
      <c r="G1788" t="str">
        <f>HYPERLINK(_xlfn.CONCAT("https://tablet.otzar.org/",CHAR(35),"/exKotar/627073"),"קובץ אני לדודי - 2 כרכים")</f>
        <v>קובץ אני לדודי - 2 כרכים</v>
      </c>
      <c r="H1788" t="str">
        <f>_xlfn.CONCAT("https://tablet.otzar.org/",CHAR(35),"/exKotar/627073")</f>
        <v>https://tablet.otzar.org/#/exKotar/627073</v>
      </c>
    </row>
    <row r="1789" spans="1:8" x14ac:dyDescent="0.25">
      <c r="A1789">
        <v>143301</v>
      </c>
      <c r="B1789" t="s">
        <v>2873</v>
      </c>
      <c r="C1789" t="s">
        <v>36</v>
      </c>
      <c r="D1789" t="s">
        <v>28</v>
      </c>
      <c r="E1789" t="s">
        <v>129</v>
      </c>
      <c r="F1789" t="s">
        <v>12</v>
      </c>
      <c r="G1789" t="str">
        <f>HYPERLINK(_xlfn.CONCAT("https://tablet.otzar.org/",CHAR(35),"/book/143301/p/-1/t/1/fs/0/start/0/end/0/c"),"קובץ אשל אברהם")</f>
        <v>קובץ אשל אברהם</v>
      </c>
      <c r="H1789" t="str">
        <f>_xlfn.CONCAT("https://tablet.otzar.org/",CHAR(35),"/book/143301/p/-1/t/1/fs/0/start/0/end/0/c")</f>
        <v>https://tablet.otzar.org/#/book/143301/p/-1/t/1/fs/0/start/0/end/0/c</v>
      </c>
    </row>
    <row r="1790" spans="1:8" x14ac:dyDescent="0.25">
      <c r="A1790">
        <v>26486</v>
      </c>
      <c r="B1790" t="s">
        <v>2874</v>
      </c>
      <c r="C1790" t="s">
        <v>45</v>
      </c>
      <c r="D1790" t="s">
        <v>10</v>
      </c>
      <c r="E1790" t="s">
        <v>134</v>
      </c>
      <c r="F1790" t="s">
        <v>12</v>
      </c>
      <c r="G1790" t="str">
        <f>HYPERLINK(_xlfn.CONCAT("https://tablet.otzar.org/",CHAR(35),"/book/26486/p/-1/t/1/fs/0/start/0/end/0/c"),"קובץ ב' אייר תשנ""""ה - סיום אמירת קדיש")</f>
        <v>קובץ ב' אייר תשנ""ה - סיום אמירת קדיש</v>
      </c>
      <c r="H1790" t="str">
        <f>_xlfn.CONCAT("https://tablet.otzar.org/",CHAR(35),"/book/26486/p/-1/t/1/fs/0/start/0/end/0/c")</f>
        <v>https://tablet.otzar.org/#/book/26486/p/-1/t/1/fs/0/start/0/end/0/c</v>
      </c>
    </row>
    <row r="1791" spans="1:8" x14ac:dyDescent="0.25">
      <c r="A1791">
        <v>141437</v>
      </c>
      <c r="B1791" t="s">
        <v>2875</v>
      </c>
      <c r="C1791" t="s">
        <v>125</v>
      </c>
      <c r="D1791" t="s">
        <v>15</v>
      </c>
      <c r="E1791" t="s">
        <v>441</v>
      </c>
      <c r="F1791" t="s">
        <v>12</v>
      </c>
      <c r="G1791" t="str">
        <f>HYPERLINK(_xlfn.CONCAT("https://tablet.otzar.org/",CHAR(35),"/exKotar/141437"),"קובץ בדידי הוה עובדא - 2 כרכים")</f>
        <v>קובץ בדידי הוה עובדא - 2 כרכים</v>
      </c>
      <c r="H1791" t="str">
        <f>_xlfn.CONCAT("https://tablet.otzar.org/",CHAR(35),"/exKotar/141437")</f>
        <v>https://tablet.otzar.org/#/exKotar/141437</v>
      </c>
    </row>
    <row r="1792" spans="1:8" x14ac:dyDescent="0.25">
      <c r="A1792">
        <v>162879</v>
      </c>
      <c r="B1792" t="s">
        <v>2876</v>
      </c>
      <c r="C1792" t="s">
        <v>48</v>
      </c>
      <c r="D1792" t="s">
        <v>15</v>
      </c>
      <c r="E1792" t="s">
        <v>16</v>
      </c>
      <c r="F1792" t="s">
        <v>12</v>
      </c>
      <c r="G1792" t="str">
        <f>HYPERLINK(_xlfn.CONCAT("https://tablet.otzar.org/",CHAR(35),"/book/162879/p/-1/t/1/fs/0/start/0/end/0/c"),"קובץ ביאורי סוגיות בתורת רבינו")</f>
        <v>קובץ ביאורי סוגיות בתורת רבינו</v>
      </c>
      <c r="H1792" t="str">
        <f>_xlfn.CONCAT("https://tablet.otzar.org/",CHAR(35),"/book/162879/p/-1/t/1/fs/0/start/0/end/0/c")</f>
        <v>https://tablet.otzar.org/#/book/162879/p/-1/t/1/fs/0/start/0/end/0/c</v>
      </c>
    </row>
    <row r="1793" spans="1:8" x14ac:dyDescent="0.25">
      <c r="A1793">
        <v>156442</v>
      </c>
      <c r="B1793" t="s">
        <v>2877</v>
      </c>
      <c r="C1793" t="s">
        <v>2878</v>
      </c>
      <c r="D1793" t="s">
        <v>15</v>
      </c>
      <c r="E1793" t="s">
        <v>49</v>
      </c>
      <c r="F1793" t="s">
        <v>12</v>
      </c>
      <c r="G1793" t="str">
        <f>HYPERLINK(_xlfn.CONCAT("https://tablet.otzar.org/",CHAR(35),"/exKotar/156442"),"קובץ ביאורים והערות - 2 כרכים")</f>
        <v>קובץ ביאורים והערות - 2 כרכים</v>
      </c>
      <c r="H1793" t="str">
        <f>_xlfn.CONCAT("https://tablet.otzar.org/",CHAR(35),"/exKotar/156442")</f>
        <v>https://tablet.otzar.org/#/exKotar/156442</v>
      </c>
    </row>
    <row r="1794" spans="1:8" x14ac:dyDescent="0.25">
      <c r="A1794">
        <v>145931</v>
      </c>
      <c r="B1794" t="s">
        <v>2879</v>
      </c>
      <c r="C1794" t="s">
        <v>45</v>
      </c>
      <c r="D1794" t="s">
        <v>10</v>
      </c>
      <c r="E1794" t="s">
        <v>40</v>
      </c>
      <c r="F1794" t="s">
        <v>201</v>
      </c>
      <c r="G1794" t="str">
        <f>HYPERLINK(_xlfn.CONCAT("https://tablet.otzar.org/",CHAR(35),"/book/145931/p/-1/t/1/fs/0/start/0/end/0/c"),"קובץ בין המצרים")</f>
        <v>קובץ בין המצרים</v>
      </c>
      <c r="H1794" t="str">
        <f>_xlfn.CONCAT("https://tablet.otzar.org/",CHAR(35),"/book/145931/p/-1/t/1/fs/0/start/0/end/0/c")</f>
        <v>https://tablet.otzar.org/#/book/145931/p/-1/t/1/fs/0/start/0/end/0/c</v>
      </c>
    </row>
    <row r="1795" spans="1:8" x14ac:dyDescent="0.25">
      <c r="A1795">
        <v>27714</v>
      </c>
      <c r="B1795" t="s">
        <v>2880</v>
      </c>
      <c r="C1795" t="s">
        <v>125</v>
      </c>
      <c r="D1795" t="s">
        <v>10</v>
      </c>
      <c r="E1795" t="s">
        <v>40</v>
      </c>
      <c r="F1795" t="s">
        <v>12</v>
      </c>
      <c r="G1795" t="str">
        <f>HYPERLINK(_xlfn.CONCAT("https://tablet.otzar.org/",CHAR(35),"/book/27714/p/-1/t/1/fs/0/start/0/end/0/c"),"קובץ בית ישראל")</f>
        <v>קובץ בית ישראל</v>
      </c>
      <c r="H1795" t="str">
        <f>_xlfn.CONCAT("https://tablet.otzar.org/",CHAR(35),"/book/27714/p/-1/t/1/fs/0/start/0/end/0/c")</f>
        <v>https://tablet.otzar.org/#/book/27714/p/-1/t/1/fs/0/start/0/end/0/c</v>
      </c>
    </row>
    <row r="1796" spans="1:8" x14ac:dyDescent="0.25">
      <c r="A1796">
        <v>145960</v>
      </c>
      <c r="B1796" t="s">
        <v>2881</v>
      </c>
      <c r="C1796" t="s">
        <v>125</v>
      </c>
      <c r="D1796" t="s">
        <v>377</v>
      </c>
      <c r="E1796" t="s">
        <v>260</v>
      </c>
      <c r="F1796" t="s">
        <v>251</v>
      </c>
      <c r="G1796" t="str">
        <f>HYPERLINK(_xlfn.CONCAT("https://tablet.otzar.org/",CHAR(35),"/book/145960/p/-1/t/1/fs/0/start/0/end/0/c"),"קובץ דברי תורה")</f>
        <v>קובץ דברי תורה</v>
      </c>
      <c r="H1796" t="str">
        <f>_xlfn.CONCAT("https://tablet.otzar.org/",CHAR(35),"/book/145960/p/-1/t/1/fs/0/start/0/end/0/c")</f>
        <v>https://tablet.otzar.org/#/book/145960/p/-1/t/1/fs/0/start/0/end/0/c</v>
      </c>
    </row>
    <row r="1797" spans="1:8" x14ac:dyDescent="0.25">
      <c r="A1797">
        <v>161303</v>
      </c>
      <c r="B1797" t="s">
        <v>2881</v>
      </c>
      <c r="C1797" t="s">
        <v>2882</v>
      </c>
      <c r="D1797" t="s">
        <v>412</v>
      </c>
      <c r="E1797" t="s">
        <v>129</v>
      </c>
      <c r="F1797" t="s">
        <v>12</v>
      </c>
      <c r="G1797" t="str">
        <f>HYPERLINK(_xlfn.CONCAT("https://tablet.otzar.org/",CHAR(35),"/book/161303/p/-1/t/1/fs/0/start/0/end/0/c"),"קובץ דברי תורה")</f>
        <v>קובץ דברי תורה</v>
      </c>
      <c r="H1797" t="str">
        <f>_xlfn.CONCAT("https://tablet.otzar.org/",CHAR(35),"/book/161303/p/-1/t/1/fs/0/start/0/end/0/c")</f>
        <v>https://tablet.otzar.org/#/book/161303/p/-1/t/1/fs/0/start/0/end/0/c</v>
      </c>
    </row>
    <row r="1798" spans="1:8" x14ac:dyDescent="0.25">
      <c r="A1798">
        <v>145845</v>
      </c>
      <c r="B1798" t="s">
        <v>2883</v>
      </c>
      <c r="C1798" t="s">
        <v>2884</v>
      </c>
      <c r="D1798" t="s">
        <v>1597</v>
      </c>
      <c r="E1798" t="s">
        <v>79</v>
      </c>
      <c r="F1798" t="s">
        <v>251</v>
      </c>
      <c r="G1798" t="str">
        <f>HYPERLINK(_xlfn.CONCAT("https://tablet.otzar.org/",CHAR(35),"/exKotar/145845"),"קובץ דברי תורה - 5 כרכים")</f>
        <v>קובץ דברי תורה - 5 כרכים</v>
      </c>
      <c r="H1798" t="str">
        <f>_xlfn.CONCAT("https://tablet.otzar.org/",CHAR(35),"/exKotar/145845")</f>
        <v>https://tablet.otzar.org/#/exKotar/145845</v>
      </c>
    </row>
    <row r="1799" spans="1:8" x14ac:dyDescent="0.25">
      <c r="A1799">
        <v>27540</v>
      </c>
      <c r="B1799" t="s">
        <v>2885</v>
      </c>
      <c r="C1799" t="s">
        <v>2886</v>
      </c>
      <c r="D1799" t="s">
        <v>882</v>
      </c>
      <c r="E1799" t="s">
        <v>75</v>
      </c>
      <c r="F1799" t="s">
        <v>12</v>
      </c>
      <c r="G1799" t="str">
        <f>HYPERLINK(_xlfn.CONCAT("https://tablet.otzar.org/",CHAR(35),"/exKotar/27540"),"קובץ דברי תורה - 4 כרכים")</f>
        <v>קובץ דברי תורה - 4 כרכים</v>
      </c>
      <c r="H1799" t="str">
        <f>_xlfn.CONCAT("https://tablet.otzar.org/",CHAR(35),"/exKotar/27540")</f>
        <v>https://tablet.otzar.org/#/exKotar/27540</v>
      </c>
    </row>
    <row r="1800" spans="1:8" x14ac:dyDescent="0.25">
      <c r="A1800">
        <v>27319</v>
      </c>
      <c r="B1800" t="s">
        <v>2887</v>
      </c>
      <c r="C1800" t="s">
        <v>2888</v>
      </c>
      <c r="D1800" t="s">
        <v>197</v>
      </c>
      <c r="E1800" t="s">
        <v>66</v>
      </c>
      <c r="F1800" t="s">
        <v>12</v>
      </c>
      <c r="G1800" t="str">
        <f>HYPERLINK(_xlfn.CONCAT("https://tablet.otzar.org/",CHAR(35),"/exKotar/27319"),"קובץ דברי תורה - 2 כרכים")</f>
        <v>קובץ דברי תורה - 2 כרכים</v>
      </c>
      <c r="H1800" t="str">
        <f>_xlfn.CONCAT("https://tablet.otzar.org/",CHAR(35),"/exKotar/27319")</f>
        <v>https://tablet.otzar.org/#/exKotar/27319</v>
      </c>
    </row>
    <row r="1801" spans="1:8" x14ac:dyDescent="0.25">
      <c r="A1801">
        <v>145800</v>
      </c>
      <c r="B1801" t="s">
        <v>2885</v>
      </c>
      <c r="C1801" t="s">
        <v>2889</v>
      </c>
      <c r="D1801" t="s">
        <v>412</v>
      </c>
      <c r="E1801" t="s">
        <v>551</v>
      </c>
      <c r="F1801" t="s">
        <v>251</v>
      </c>
      <c r="G1801" t="str">
        <f>HYPERLINK(_xlfn.CONCAT("https://tablet.otzar.org/",CHAR(35),"/exKotar/145800"),"קובץ דברי תורה - 4 כרכים")</f>
        <v>קובץ דברי תורה - 4 כרכים</v>
      </c>
      <c r="H1801" t="str">
        <f>_xlfn.CONCAT("https://tablet.otzar.org/",CHAR(35),"/exKotar/145800")</f>
        <v>https://tablet.otzar.org/#/exKotar/145800</v>
      </c>
    </row>
    <row r="1802" spans="1:8" x14ac:dyDescent="0.25">
      <c r="A1802">
        <v>27740</v>
      </c>
      <c r="B1802" t="s">
        <v>2883</v>
      </c>
      <c r="C1802" t="s">
        <v>2890</v>
      </c>
      <c r="D1802" t="s">
        <v>15</v>
      </c>
      <c r="E1802" t="s">
        <v>353</v>
      </c>
      <c r="F1802" t="s">
        <v>12</v>
      </c>
      <c r="G1802" t="str">
        <f>HYPERLINK(_xlfn.CONCAT("https://tablet.otzar.org/",CHAR(35),"/exKotar/27740"),"קובץ דברי תורה - 5 כרכים")</f>
        <v>קובץ דברי תורה - 5 כרכים</v>
      </c>
      <c r="H1802" t="str">
        <f>_xlfn.CONCAT("https://tablet.otzar.org/",CHAR(35),"/exKotar/27740")</f>
        <v>https://tablet.otzar.org/#/exKotar/27740</v>
      </c>
    </row>
    <row r="1803" spans="1:8" x14ac:dyDescent="0.25">
      <c r="A1803">
        <v>27469</v>
      </c>
      <c r="B1803" t="s">
        <v>2891</v>
      </c>
      <c r="C1803" t="s">
        <v>2892</v>
      </c>
      <c r="D1803" t="s">
        <v>10</v>
      </c>
      <c r="E1803" t="s">
        <v>353</v>
      </c>
      <c r="F1803" t="s">
        <v>12</v>
      </c>
      <c r="G1803" t="str">
        <f>HYPERLINK(_xlfn.CONCAT("https://tablet.otzar.org/",CHAR(35),"/exKotar/27469"),"קובץ דברי תורה - 13 כרכים")</f>
        <v>קובץ דברי תורה - 13 כרכים</v>
      </c>
      <c r="H1803" t="str">
        <f>_xlfn.CONCAT("https://tablet.otzar.org/",CHAR(35),"/exKotar/27469")</f>
        <v>https://tablet.otzar.org/#/exKotar/27469</v>
      </c>
    </row>
    <row r="1804" spans="1:8" x14ac:dyDescent="0.25">
      <c r="A1804">
        <v>27718</v>
      </c>
      <c r="B1804" t="s">
        <v>2893</v>
      </c>
      <c r="C1804" t="s">
        <v>2894</v>
      </c>
      <c r="D1804" t="s">
        <v>191</v>
      </c>
      <c r="E1804" t="s">
        <v>551</v>
      </c>
      <c r="F1804" t="s">
        <v>12</v>
      </c>
      <c r="G1804" t="str">
        <f>HYPERLINK(_xlfn.CONCAT("https://tablet.otzar.org/",CHAR(35),"/exKotar/27718"),"קובץ דברי תורה - 3 כרכים")</f>
        <v>קובץ דברי תורה - 3 כרכים</v>
      </c>
      <c r="H1804" t="str">
        <f>_xlfn.CONCAT("https://tablet.otzar.org/",CHAR(35),"/exKotar/27718")</f>
        <v>https://tablet.otzar.org/#/exKotar/27718</v>
      </c>
    </row>
    <row r="1805" spans="1:8" x14ac:dyDescent="0.25">
      <c r="A1805">
        <v>145644</v>
      </c>
      <c r="B1805" t="s">
        <v>2895</v>
      </c>
      <c r="C1805" t="s">
        <v>2896</v>
      </c>
      <c r="D1805" t="s">
        <v>10</v>
      </c>
      <c r="E1805" t="s">
        <v>181</v>
      </c>
      <c r="F1805" t="s">
        <v>251</v>
      </c>
      <c r="G1805" t="str">
        <f>HYPERLINK(_xlfn.CONCAT("https://tablet.otzar.org/",CHAR(35),"/exKotar/145644"),"קובץ דידן נצח - 5 כרכים")</f>
        <v>קובץ דידן נצח - 5 כרכים</v>
      </c>
      <c r="H1805" t="str">
        <f>_xlfn.CONCAT("https://tablet.otzar.org/",CHAR(35),"/exKotar/145644")</f>
        <v>https://tablet.otzar.org/#/exKotar/145644</v>
      </c>
    </row>
    <row r="1806" spans="1:8" x14ac:dyDescent="0.25">
      <c r="A1806">
        <v>181642</v>
      </c>
      <c r="B1806" t="s">
        <v>2897</v>
      </c>
      <c r="C1806" t="s">
        <v>125</v>
      </c>
      <c r="D1806" t="s">
        <v>10</v>
      </c>
      <c r="E1806" t="s">
        <v>88</v>
      </c>
      <c r="F1806" t="s">
        <v>12</v>
      </c>
      <c r="G1806" t="str">
        <f>HYPERLINK(_xlfn.CONCAT("https://tablet.otzar.org/",CHAR(35),"/book/181642/p/-1/t/1/fs/0/start/0/end/0/c"),"קובץ דמי מעמד")</f>
        <v>קובץ דמי מעמד</v>
      </c>
      <c r="H1806" t="str">
        <f>_xlfn.CONCAT("https://tablet.otzar.org/",CHAR(35),"/book/181642/p/-1/t/1/fs/0/start/0/end/0/c")</f>
        <v>https://tablet.otzar.org/#/book/181642/p/-1/t/1/fs/0/start/0/end/0/c</v>
      </c>
    </row>
    <row r="1807" spans="1:8" x14ac:dyDescent="0.25">
      <c r="A1807">
        <v>189055</v>
      </c>
      <c r="B1807" t="s">
        <v>2898</v>
      </c>
      <c r="C1807" t="s">
        <v>2899</v>
      </c>
      <c r="D1807" t="s">
        <v>882</v>
      </c>
      <c r="E1807" t="s">
        <v>19</v>
      </c>
      <c r="F1807" t="s">
        <v>12</v>
      </c>
      <c r="G1807" t="str">
        <f>HYPERLINK(_xlfn.CONCAT("https://tablet.otzar.org/",CHAR(35),"/book/189055/p/-1/t/1/fs/0/start/0/end/0/c"),"קובץ דרך המלך - א (שנה לב)")</f>
        <v>קובץ דרך המלך - א (שנה לב)</v>
      </c>
      <c r="H1807" t="str">
        <f>_xlfn.CONCAT("https://tablet.otzar.org/",CHAR(35),"/book/189055/p/-1/t/1/fs/0/start/0/end/0/c")</f>
        <v>https://tablet.otzar.org/#/book/189055/p/-1/t/1/fs/0/start/0/end/0/c</v>
      </c>
    </row>
    <row r="1808" spans="1:8" x14ac:dyDescent="0.25">
      <c r="A1808">
        <v>607722</v>
      </c>
      <c r="B1808" t="s">
        <v>2900</v>
      </c>
      <c r="C1808" t="s">
        <v>2901</v>
      </c>
      <c r="D1808" t="s">
        <v>28</v>
      </c>
      <c r="F1808" t="s">
        <v>12</v>
      </c>
      <c r="G1808" t="str">
        <f>HYPERLINK(_xlfn.CONCAT("https://tablet.otzar.org/",CHAR(35),"/book/607722/p/-1/t/1/fs/0/start/0/end/0/c"),"קובץ ה' טבת - שלשים שנה")</f>
        <v>קובץ ה' טבת - שלשים שנה</v>
      </c>
      <c r="H1808" t="str">
        <f>_xlfn.CONCAT("https://tablet.otzar.org/",CHAR(35),"/book/607722/p/-1/t/1/fs/0/start/0/end/0/c")</f>
        <v>https://tablet.otzar.org/#/book/607722/p/-1/t/1/fs/0/start/0/end/0/c</v>
      </c>
    </row>
    <row r="1809" spans="1:8" x14ac:dyDescent="0.25">
      <c r="A1809">
        <v>27455</v>
      </c>
      <c r="B1809" t="s">
        <v>2902</v>
      </c>
      <c r="C1809" t="s">
        <v>125</v>
      </c>
      <c r="D1809" t="s">
        <v>10</v>
      </c>
      <c r="E1809" t="s">
        <v>441</v>
      </c>
      <c r="F1809" t="s">
        <v>12</v>
      </c>
      <c r="G1809" t="str">
        <f>HYPERLINK(_xlfn.CONCAT("https://tablet.otzar.org/",CHAR(35),"/book/27455/p/-1/t/1/fs/0/start/0/end/0/c"),"קובץ הארבעים")</f>
        <v>קובץ הארבעים</v>
      </c>
      <c r="H1809" t="str">
        <f>_xlfn.CONCAT("https://tablet.otzar.org/",CHAR(35),"/book/27455/p/-1/t/1/fs/0/start/0/end/0/c")</f>
        <v>https://tablet.otzar.org/#/book/27455/p/-1/t/1/fs/0/start/0/end/0/c</v>
      </c>
    </row>
    <row r="1810" spans="1:8" x14ac:dyDescent="0.25">
      <c r="A1810">
        <v>142709</v>
      </c>
      <c r="B1810" t="s">
        <v>2903</v>
      </c>
      <c r="C1810" t="s">
        <v>2904</v>
      </c>
      <c r="D1810" t="s">
        <v>387</v>
      </c>
      <c r="E1810" t="s">
        <v>60</v>
      </c>
      <c r="F1810" t="s">
        <v>143</v>
      </c>
      <c r="G1810" t="str">
        <f>HYPERLINK(_xlfn.CONCAT("https://tablet.otzar.org/",CHAR(35),"/book/142709/p/-1/t/1/fs/0/start/0/end/0/c"),"קובץ הארות והערות במסכת גיטין")</f>
        <v>קובץ הארות והערות במסכת גיטין</v>
      </c>
      <c r="H1810" t="str">
        <f>_xlfn.CONCAT("https://tablet.otzar.org/",CHAR(35),"/book/142709/p/-1/t/1/fs/0/start/0/end/0/c")</f>
        <v>https://tablet.otzar.org/#/book/142709/p/-1/t/1/fs/0/start/0/end/0/c</v>
      </c>
    </row>
    <row r="1811" spans="1:8" x14ac:dyDescent="0.25">
      <c r="A1811">
        <v>27321</v>
      </c>
      <c r="B1811" t="s">
        <v>2905</v>
      </c>
      <c r="C1811" t="s">
        <v>125</v>
      </c>
      <c r="D1811" t="s">
        <v>1364</v>
      </c>
      <c r="E1811" t="s">
        <v>75</v>
      </c>
      <c r="F1811" t="s">
        <v>12</v>
      </c>
      <c r="G1811" t="str">
        <f>HYPERLINK(_xlfn.CONCAT("https://tablet.otzar.org/",CHAR(35),"/book/27321/p/-1/t/1/fs/0/start/0/end/0/c"),"קובץ הדרת מלך")</f>
        <v>קובץ הדרת מלך</v>
      </c>
      <c r="H1811" t="str">
        <f>_xlfn.CONCAT("https://tablet.otzar.org/",CHAR(35),"/book/27321/p/-1/t/1/fs/0/start/0/end/0/c")</f>
        <v>https://tablet.otzar.org/#/book/27321/p/-1/t/1/fs/0/start/0/end/0/c</v>
      </c>
    </row>
    <row r="1812" spans="1:8" x14ac:dyDescent="0.25">
      <c r="A1812">
        <v>146555</v>
      </c>
      <c r="B1812" t="s">
        <v>2906</v>
      </c>
      <c r="C1812" t="s">
        <v>2907</v>
      </c>
      <c r="D1812" t="s">
        <v>28</v>
      </c>
      <c r="E1812" t="s">
        <v>260</v>
      </c>
      <c r="F1812" t="s">
        <v>694</v>
      </c>
      <c r="G1812" t="str">
        <f>HYPERLINK(_xlfn.CONCAT("https://tablet.otzar.org/",CHAR(35),"/book/146555/p/-1/t/1/fs/0/start/0/end/0/c"),"קובץ הוספות מנהגים והערות לספר המנהגים")</f>
        <v>קובץ הוספות מנהגים והערות לספר המנהגים</v>
      </c>
      <c r="H1812" t="str">
        <f>_xlfn.CONCAT("https://tablet.otzar.org/",CHAR(35),"/book/146555/p/-1/t/1/fs/0/start/0/end/0/c")</f>
        <v>https://tablet.otzar.org/#/book/146555/p/-1/t/1/fs/0/start/0/end/0/c</v>
      </c>
    </row>
    <row r="1813" spans="1:8" x14ac:dyDescent="0.25">
      <c r="A1813">
        <v>141427</v>
      </c>
      <c r="B1813" t="s">
        <v>2908</v>
      </c>
      <c r="C1813" t="s">
        <v>2909</v>
      </c>
      <c r="D1813" t="s">
        <v>28</v>
      </c>
      <c r="E1813" t="s">
        <v>91</v>
      </c>
      <c r="F1813" t="s">
        <v>12</v>
      </c>
      <c r="G1813" t="str">
        <f>HYPERLINK(_xlfn.CONCAT("https://tablet.otzar.org/",CHAR(35),"/book/141427/p/-1/t/1/fs/0/start/0/end/0/c"),"קובץ הוראות")</f>
        <v>קובץ הוראות</v>
      </c>
      <c r="H1813" t="str">
        <f>_xlfn.CONCAT("https://tablet.otzar.org/",CHAR(35),"/book/141427/p/-1/t/1/fs/0/start/0/end/0/c")</f>
        <v>https://tablet.otzar.org/#/book/141427/p/-1/t/1/fs/0/start/0/end/0/c</v>
      </c>
    </row>
    <row r="1814" spans="1:8" x14ac:dyDescent="0.25">
      <c r="A1814">
        <v>27445</v>
      </c>
      <c r="B1814" t="s">
        <v>2910</v>
      </c>
      <c r="C1814" t="s">
        <v>125</v>
      </c>
      <c r="D1814" t="s">
        <v>10</v>
      </c>
      <c r="E1814" t="s">
        <v>29</v>
      </c>
      <c r="F1814" t="s">
        <v>12</v>
      </c>
      <c r="G1814" t="str">
        <f>HYPERLINK(_xlfn.CONCAT("https://tablet.otzar.org/",CHAR(35),"/book/27445/p/-1/t/1/fs/0/start/0/end/0/c"),"קובץ החמישים - עוז למלך")</f>
        <v>קובץ החמישים - עוז למלך</v>
      </c>
      <c r="H1814" t="str">
        <f>_xlfn.CONCAT("https://tablet.otzar.org/",CHAR(35),"/book/27445/p/-1/t/1/fs/0/start/0/end/0/c")</f>
        <v>https://tablet.otzar.org/#/book/27445/p/-1/t/1/fs/0/start/0/end/0/c</v>
      </c>
    </row>
    <row r="1815" spans="1:8" x14ac:dyDescent="0.25">
      <c r="A1815">
        <v>27448</v>
      </c>
      <c r="B1815" t="s">
        <v>2911</v>
      </c>
      <c r="C1815" t="s">
        <v>125</v>
      </c>
      <c r="D1815" t="s">
        <v>10</v>
      </c>
      <c r="E1815" t="s">
        <v>29</v>
      </c>
      <c r="F1815" t="s">
        <v>12</v>
      </c>
      <c r="G1815" t="str">
        <f>HYPERLINK(_xlfn.CONCAT("https://tablet.otzar.org/",CHAR(35),"/exKotar/27448"),"קובץ היובל - 2 כרכים")</f>
        <v>קובץ היובל - 2 כרכים</v>
      </c>
      <c r="H1815" t="str">
        <f>_xlfn.CONCAT("https://tablet.otzar.org/",CHAR(35),"/exKotar/27448")</f>
        <v>https://tablet.otzar.org/#/exKotar/27448</v>
      </c>
    </row>
    <row r="1816" spans="1:8" x14ac:dyDescent="0.25">
      <c r="A1816">
        <v>29250</v>
      </c>
      <c r="B1816" t="s">
        <v>1940</v>
      </c>
      <c r="C1816" t="s">
        <v>1940</v>
      </c>
      <c r="D1816" t="s">
        <v>15</v>
      </c>
      <c r="E1816" t="s">
        <v>192</v>
      </c>
      <c r="F1816" t="s">
        <v>12</v>
      </c>
      <c r="G1816" t="str">
        <f>HYPERLINK(_xlfn.CONCAT("https://tablet.otzar.org/",CHAR(35),"/book/29250/p/-1/t/1/fs/0/start/0/end/0/c"),"קובץ הכנה")</f>
        <v>קובץ הכנה</v>
      </c>
      <c r="H1816" t="str">
        <f>_xlfn.CONCAT("https://tablet.otzar.org/",CHAR(35),"/book/29250/p/-1/t/1/fs/0/start/0/end/0/c")</f>
        <v>https://tablet.otzar.org/#/book/29250/p/-1/t/1/fs/0/start/0/end/0/c</v>
      </c>
    </row>
    <row r="1817" spans="1:8" x14ac:dyDescent="0.25">
      <c r="A1817">
        <v>160879</v>
      </c>
      <c r="B1817" t="s">
        <v>2912</v>
      </c>
      <c r="C1817" t="s">
        <v>1940</v>
      </c>
      <c r="D1817" t="s">
        <v>15</v>
      </c>
      <c r="E1817" t="s">
        <v>226</v>
      </c>
      <c r="F1817" t="s">
        <v>12</v>
      </c>
      <c r="G1817" t="str">
        <f>HYPERLINK(_xlfn.CONCAT("https://tablet.otzar.org/",CHAR(35),"/exKotar/160879"),"קובץ הכנה י""""א ניסן - 2 כרכים")</f>
        <v>קובץ הכנה י""א ניסן - 2 כרכים</v>
      </c>
      <c r="H1817" t="str">
        <f>_xlfn.CONCAT("https://tablet.otzar.org/",CHAR(35),"/exKotar/160879")</f>
        <v>https://tablet.otzar.org/#/exKotar/160879</v>
      </c>
    </row>
    <row r="1818" spans="1:8" x14ac:dyDescent="0.25">
      <c r="A1818">
        <v>163131</v>
      </c>
      <c r="B1818" t="s">
        <v>2913</v>
      </c>
      <c r="C1818" t="s">
        <v>1940</v>
      </c>
      <c r="D1818" t="s">
        <v>15</v>
      </c>
      <c r="E1818" t="s">
        <v>16</v>
      </c>
      <c r="G1818" t="str">
        <f>HYPERLINK(_xlfn.CONCAT("https://tablet.otzar.org/",CHAR(35),"/exKotar/163131"),"קובץ הכנה י""""א ניסן שנת הק""""י - 2 כרכים")</f>
        <v>קובץ הכנה י""א ניסן שנת הק""י - 2 כרכים</v>
      </c>
      <c r="H1818" t="str">
        <f>_xlfn.CONCAT("https://tablet.otzar.org/",CHAR(35),"/exKotar/163131")</f>
        <v>https://tablet.otzar.org/#/exKotar/163131</v>
      </c>
    </row>
    <row r="1819" spans="1:8" x14ac:dyDescent="0.25">
      <c r="A1819">
        <v>616790</v>
      </c>
      <c r="B1819" t="s">
        <v>2914</v>
      </c>
      <c r="C1819" t="s">
        <v>1940</v>
      </c>
      <c r="D1819" t="s">
        <v>15</v>
      </c>
      <c r="E1819" t="s">
        <v>115</v>
      </c>
      <c r="F1819" t="s">
        <v>12</v>
      </c>
      <c r="G1819" t="str">
        <f>HYPERLINK(_xlfn.CONCAT("https://tablet.otzar.org/",CHAR(35),"/book/616790/p/-1/t/1/fs/0/start/0/end/0/c"),"קובץ הכנה י""""א ניסן שנת הקט""""ז")</f>
        <v>קובץ הכנה י""א ניסן שנת הקט""ז</v>
      </c>
      <c r="H1819" t="str">
        <f>_xlfn.CONCAT("https://tablet.otzar.org/",CHAR(35),"/book/616790/p/-1/t/1/fs/0/start/0/end/0/c")</f>
        <v>https://tablet.otzar.org/#/book/616790/p/-1/t/1/fs/0/start/0/end/0/c</v>
      </c>
    </row>
    <row r="1820" spans="1:8" x14ac:dyDescent="0.25">
      <c r="A1820">
        <v>616798</v>
      </c>
      <c r="B1820" t="s">
        <v>2915</v>
      </c>
      <c r="C1820" t="s">
        <v>979</v>
      </c>
      <c r="D1820" t="s">
        <v>15</v>
      </c>
      <c r="E1820" t="s">
        <v>115</v>
      </c>
      <c r="F1820" t="s">
        <v>12</v>
      </c>
      <c r="G1820" t="str">
        <f>HYPERLINK(_xlfn.CONCAT("https://tablet.otzar.org/",CHAR(35),"/book/616798/p/-1/t/1/fs/0/start/0/end/0/c"),"קובץ הלכות פורים - תשע""""ח")</f>
        <v>קובץ הלכות פורים - תשע""ח</v>
      </c>
      <c r="H1820" t="str">
        <f>_xlfn.CONCAT("https://tablet.otzar.org/",CHAR(35),"/book/616798/p/-1/t/1/fs/0/start/0/end/0/c")</f>
        <v>https://tablet.otzar.org/#/book/616798/p/-1/t/1/fs/0/start/0/end/0/c</v>
      </c>
    </row>
    <row r="1821" spans="1:8" x14ac:dyDescent="0.25">
      <c r="A1821">
        <v>616804</v>
      </c>
      <c r="B1821" t="s">
        <v>2916</v>
      </c>
      <c r="C1821" t="s">
        <v>979</v>
      </c>
      <c r="D1821" t="s">
        <v>15</v>
      </c>
      <c r="E1821" t="s">
        <v>115</v>
      </c>
      <c r="F1821" t="s">
        <v>12</v>
      </c>
      <c r="G1821" t="str">
        <f>HYPERLINK(_xlfn.CONCAT("https://tablet.otzar.org/",CHAR(35),"/book/616804/p/-1/t/1/fs/0/start/0/end/0/c"),"קובץ הלכות פסח - תשע""""ח")</f>
        <v>קובץ הלכות פסח - תשע""ח</v>
      </c>
      <c r="H1821" t="str">
        <f>_xlfn.CONCAT("https://tablet.otzar.org/",CHAR(35),"/book/616804/p/-1/t/1/fs/0/start/0/end/0/c")</f>
        <v>https://tablet.otzar.org/#/book/616804/p/-1/t/1/fs/0/start/0/end/0/c</v>
      </c>
    </row>
    <row r="1822" spans="1:8" x14ac:dyDescent="0.25">
      <c r="A1822">
        <v>167745</v>
      </c>
      <c r="B1822" t="s">
        <v>2917</v>
      </c>
      <c r="C1822" t="s">
        <v>125</v>
      </c>
      <c r="D1822" t="s">
        <v>28</v>
      </c>
      <c r="E1822" t="s">
        <v>82</v>
      </c>
      <c r="F1822" t="s">
        <v>12</v>
      </c>
      <c r="G1822" t="str">
        <f>HYPERLINK(_xlfn.CONCAT("https://tablet.otzar.org/",CHAR(35),"/book/167745/p/-1/t/1/fs/0/start/0/end/0/c"),"קובץ המאה ועשר")</f>
        <v>קובץ המאה ועשר</v>
      </c>
      <c r="H1822" t="str">
        <f>_xlfn.CONCAT("https://tablet.otzar.org/",CHAR(35),"/book/167745/p/-1/t/1/fs/0/start/0/end/0/c")</f>
        <v>https://tablet.otzar.org/#/book/167745/p/-1/t/1/fs/0/start/0/end/0/c</v>
      </c>
    </row>
    <row r="1823" spans="1:8" x14ac:dyDescent="0.25">
      <c r="A1823">
        <v>651637</v>
      </c>
      <c r="B1823" t="s">
        <v>2918</v>
      </c>
      <c r="D1823" t="s">
        <v>37</v>
      </c>
      <c r="E1823" t="s">
        <v>166</v>
      </c>
      <c r="G1823" t="str">
        <f>HYPERLINK(_xlfn.CONCAT("https://tablet.otzar.org/",CHAR(35),"/book/651637/p/-1/t/1/fs/0/start/0/end/0/c"),"קובץ המאה ועשרים - פג (א)")</f>
        <v>קובץ המאה ועשרים - פג (א)</v>
      </c>
      <c r="H1823" t="str">
        <f>_xlfn.CONCAT("https://tablet.otzar.org/",CHAR(35),"/book/651637/p/-1/t/1/fs/0/start/0/end/0/c")</f>
        <v>https://tablet.otzar.org/#/book/651637/p/-1/t/1/fs/0/start/0/end/0/c</v>
      </c>
    </row>
    <row r="1824" spans="1:8" x14ac:dyDescent="0.25">
      <c r="A1824">
        <v>145951</v>
      </c>
      <c r="B1824" t="s">
        <v>2919</v>
      </c>
      <c r="C1824" t="s">
        <v>2919</v>
      </c>
      <c r="D1824" t="s">
        <v>15</v>
      </c>
      <c r="E1824" t="s">
        <v>64</v>
      </c>
      <c r="F1824" t="s">
        <v>251</v>
      </c>
      <c r="G1824" t="str">
        <f>HYPERLINK(_xlfn.CONCAT("https://tablet.otzar.org/",CHAR(35),"/book/145951/p/-1/t/1/fs/0/start/0/end/0/c"),"קובץ המשפיעים")</f>
        <v>קובץ המשפיעים</v>
      </c>
      <c r="H1824" t="str">
        <f>_xlfn.CONCAT("https://tablet.otzar.org/",CHAR(35),"/book/145951/p/-1/t/1/fs/0/start/0/end/0/c")</f>
        <v>https://tablet.otzar.org/#/book/145951/p/-1/t/1/fs/0/start/0/end/0/c</v>
      </c>
    </row>
    <row r="1825" spans="1:8" x14ac:dyDescent="0.25">
      <c r="A1825">
        <v>146044</v>
      </c>
      <c r="B1825" t="s">
        <v>2920</v>
      </c>
      <c r="C1825" t="s">
        <v>125</v>
      </c>
      <c r="D1825" t="s">
        <v>1622</v>
      </c>
      <c r="E1825" t="s">
        <v>2921</v>
      </c>
      <c r="F1825" t="s">
        <v>251</v>
      </c>
      <c r="G1825" t="str">
        <f>HYPERLINK(_xlfn.CONCAT("https://tablet.otzar.org/",CHAR(35),"/book/146044/p/-1/t/1/fs/0/start/0/end/0/c"),"קובץ הערות (בוסטון) - א-ה")</f>
        <v>קובץ הערות (בוסטון) - א-ה</v>
      </c>
      <c r="H1825" t="str">
        <f>_xlfn.CONCAT("https://tablet.otzar.org/",CHAR(35),"/book/146044/p/-1/t/1/fs/0/start/0/end/0/c")</f>
        <v>https://tablet.otzar.org/#/book/146044/p/-1/t/1/fs/0/start/0/end/0/c</v>
      </c>
    </row>
    <row r="1826" spans="1:8" x14ac:dyDescent="0.25">
      <c r="A1826">
        <v>145646</v>
      </c>
      <c r="B1826" t="s">
        <v>2922</v>
      </c>
      <c r="C1826" t="s">
        <v>2923</v>
      </c>
      <c r="D1826" t="s">
        <v>10</v>
      </c>
      <c r="E1826" t="s">
        <v>139</v>
      </c>
      <c r="F1826" t="s">
        <v>251</v>
      </c>
      <c r="G1826" t="str">
        <f>HYPERLINK(_xlfn.CONCAT("https://tablet.otzar.org/",CHAR(35),"/book/145646/p/-1/t/1/fs/0/start/0/end/0/c"),"קובץ הערות במאמרי כ""""ק אדמו""""ר - תשמ""""ט")</f>
        <v>קובץ הערות במאמרי כ""ק אדמו""ר - תשמ""ט</v>
      </c>
      <c r="H1826" t="str">
        <f>_xlfn.CONCAT("https://tablet.otzar.org/",CHAR(35),"/book/145646/p/-1/t/1/fs/0/start/0/end/0/c")</f>
        <v>https://tablet.otzar.org/#/book/145646/p/-1/t/1/fs/0/start/0/end/0/c</v>
      </c>
    </row>
    <row r="1827" spans="1:8" x14ac:dyDescent="0.25">
      <c r="A1827">
        <v>141359</v>
      </c>
      <c r="B1827" t="s">
        <v>2924</v>
      </c>
      <c r="C1827" t="s">
        <v>125</v>
      </c>
      <c r="D1827" t="s">
        <v>387</v>
      </c>
      <c r="E1827" t="s">
        <v>250</v>
      </c>
      <c r="F1827" t="s">
        <v>12</v>
      </c>
      <c r="G1827" t="str">
        <f>HYPERLINK(_xlfn.CONCAT("https://tablet.otzar.org/",CHAR(35),"/book/141359/p/-1/t/1/fs/0/start/0/end/0/c"),"קובץ הערות בנגלה ובדא""""ח - א")</f>
        <v>קובץ הערות בנגלה ובדא""ח - א</v>
      </c>
      <c r="H1827" t="str">
        <f>_xlfn.CONCAT("https://tablet.otzar.org/",CHAR(35),"/book/141359/p/-1/t/1/fs/0/start/0/end/0/c")</f>
        <v>https://tablet.otzar.org/#/book/141359/p/-1/t/1/fs/0/start/0/end/0/c</v>
      </c>
    </row>
    <row r="1828" spans="1:8" x14ac:dyDescent="0.25">
      <c r="A1828">
        <v>657510</v>
      </c>
      <c r="B1828" t="s">
        <v>2925</v>
      </c>
      <c r="D1828" t="s">
        <v>28</v>
      </c>
      <c r="E1828" t="s">
        <v>166</v>
      </c>
      <c r="F1828" t="s">
        <v>12</v>
      </c>
      <c r="G1828" t="str">
        <f>HYPERLINK(_xlfn.CONCAT("https://tablet.otzar.org/",CHAR(35),"/book/657510/p/-1/t/1/fs/0/start/0/end/0/c"),"קובץ הערות התמימים ואנ""""ש - ב (ג)")</f>
        <v>קובץ הערות התמימים ואנ""ש - ב (ג)</v>
      </c>
      <c r="H1828" t="str">
        <f>_xlfn.CONCAT("https://tablet.otzar.org/",CHAR(35),"/book/657510/p/-1/t/1/fs/0/start/0/end/0/c")</f>
        <v>https://tablet.otzar.org/#/book/657510/p/-1/t/1/fs/0/start/0/end/0/c</v>
      </c>
    </row>
    <row r="1829" spans="1:8" x14ac:dyDescent="0.25">
      <c r="A1829">
        <v>677507</v>
      </c>
      <c r="B1829" t="s">
        <v>2926</v>
      </c>
      <c r="C1829" t="s">
        <v>2927</v>
      </c>
      <c r="D1829" t="s">
        <v>23</v>
      </c>
      <c r="E1829" t="s">
        <v>2258</v>
      </c>
      <c r="F1829" t="s">
        <v>12</v>
      </c>
      <c r="G1829" t="str">
        <f>HYPERLINK(_xlfn.CONCAT("https://tablet.otzar.org/",CHAR(35),"/book/677507/p/-1/t/1/fs/0/start/0/end/0/c"),"קובץ הערות וביאורים - ג' תמוז")</f>
        <v>קובץ הערות וביאורים - ג' תמוז</v>
      </c>
      <c r="H1829" t="str">
        <f>_xlfn.CONCAT("https://tablet.otzar.org/",CHAR(35),"/book/677507/p/-1/t/1/fs/0/start/0/end/0/c")</f>
        <v>https://tablet.otzar.org/#/book/677507/p/-1/t/1/fs/0/start/0/end/0/c</v>
      </c>
    </row>
    <row r="1830" spans="1:8" x14ac:dyDescent="0.25">
      <c r="A1830">
        <v>145973</v>
      </c>
      <c r="B1830" t="s">
        <v>2928</v>
      </c>
      <c r="C1830" t="s">
        <v>1077</v>
      </c>
      <c r="D1830" t="s">
        <v>10</v>
      </c>
      <c r="E1830" t="s">
        <v>91</v>
      </c>
      <c r="F1830" t="s">
        <v>251</v>
      </c>
      <c r="G1830" t="str">
        <f>HYPERLINK(_xlfn.CONCAT("https://tablet.otzar.org/",CHAR(35),"/exKotar/145973"),"קובץ הערות וביאורים - 756 כרכים")</f>
        <v>קובץ הערות וביאורים - 756 כרכים</v>
      </c>
      <c r="H1830" t="str">
        <f>_xlfn.CONCAT("https://tablet.otzar.org/",CHAR(35),"/exKotar/145973")</f>
        <v>https://tablet.otzar.org/#/exKotar/145973</v>
      </c>
    </row>
    <row r="1831" spans="1:8" x14ac:dyDescent="0.25">
      <c r="A1831">
        <v>615046</v>
      </c>
      <c r="B1831" t="s">
        <v>2929</v>
      </c>
      <c r="D1831" t="s">
        <v>23</v>
      </c>
      <c r="E1831" t="s">
        <v>115</v>
      </c>
      <c r="F1831" t="s">
        <v>12</v>
      </c>
      <c r="G1831" t="str">
        <f>HYPERLINK(_xlfn.CONCAT("https://tablet.otzar.org/",CHAR(35),"/exKotar/615046"),"קובץ הערות וביאורים - 30 כרכים")</f>
        <v>קובץ הערות וביאורים - 30 כרכים</v>
      </c>
      <c r="H1831" t="str">
        <f>_xlfn.CONCAT("https://tablet.otzar.org/",CHAR(35),"/exKotar/615046")</f>
        <v>https://tablet.otzar.org/#/exKotar/615046</v>
      </c>
    </row>
    <row r="1832" spans="1:8" x14ac:dyDescent="0.25">
      <c r="A1832">
        <v>196694</v>
      </c>
      <c r="B1832" t="s">
        <v>2930</v>
      </c>
      <c r="C1832" t="s">
        <v>2931</v>
      </c>
      <c r="D1832" t="s">
        <v>469</v>
      </c>
      <c r="E1832" t="s">
        <v>99</v>
      </c>
      <c r="F1832" t="s">
        <v>12</v>
      </c>
      <c r="G1832" t="str">
        <f>HYPERLINK(_xlfn.CONCAT("https://tablet.otzar.org/",CHAR(35),"/exKotar/196694"),"קובץ הערות וביאורים - 5 כרכים")</f>
        <v>קובץ הערות וביאורים - 5 כרכים</v>
      </c>
      <c r="H1832" t="str">
        <f>_xlfn.CONCAT("https://tablet.otzar.org/",CHAR(35),"/exKotar/196694")</f>
        <v>https://tablet.otzar.org/#/exKotar/196694</v>
      </c>
    </row>
    <row r="1833" spans="1:8" x14ac:dyDescent="0.25">
      <c r="A1833">
        <v>635117</v>
      </c>
      <c r="B1833" t="s">
        <v>2932</v>
      </c>
      <c r="D1833" t="s">
        <v>702</v>
      </c>
      <c r="E1833" t="s">
        <v>185</v>
      </c>
      <c r="F1833" t="s">
        <v>12</v>
      </c>
      <c r="G1833" t="str">
        <f>HYPERLINK(_xlfn.CONCAT("https://tablet.otzar.org/",CHAR(35),"/book/635117/p/-1/t/1/fs/0/start/0/end/0/c"),"קובץ הערות וביאורים (באלטימאר מרילנד) - כו")</f>
        <v>קובץ הערות וביאורים (באלטימאר מרילנד) - כו</v>
      </c>
      <c r="H1833" t="str">
        <f>_xlfn.CONCAT("https://tablet.otzar.org/",CHAR(35),"/book/635117/p/-1/t/1/fs/0/start/0/end/0/c")</f>
        <v>https://tablet.otzar.org/#/book/635117/p/-1/t/1/fs/0/start/0/end/0/c</v>
      </c>
    </row>
    <row r="1834" spans="1:8" x14ac:dyDescent="0.25">
      <c r="A1834">
        <v>189052</v>
      </c>
      <c r="B1834" t="s">
        <v>2933</v>
      </c>
      <c r="C1834" t="s">
        <v>125</v>
      </c>
      <c r="D1834" t="s">
        <v>10</v>
      </c>
      <c r="E1834" t="s">
        <v>19</v>
      </c>
      <c r="F1834" t="s">
        <v>12</v>
      </c>
      <c r="G1834" t="str">
        <f>HYPERLINK(_xlfn.CONCAT("https://tablet.otzar.org/",CHAR(35),"/book/189052/p/-1/t/1/fs/0/start/0/end/0/c"),"קובץ הערות וביאורים (חובבי תורה) - שנה כ' א (ד)")</f>
        <v>קובץ הערות וביאורים (חובבי תורה) - שנה כ' א (ד)</v>
      </c>
      <c r="H1834" t="str">
        <f>_xlfn.CONCAT("https://tablet.otzar.org/",CHAR(35),"/book/189052/p/-1/t/1/fs/0/start/0/end/0/c")</f>
        <v>https://tablet.otzar.org/#/book/189052/p/-1/t/1/fs/0/start/0/end/0/c</v>
      </c>
    </row>
    <row r="1835" spans="1:8" x14ac:dyDescent="0.25">
      <c r="A1835">
        <v>169929</v>
      </c>
      <c r="B1835" t="s">
        <v>2934</v>
      </c>
      <c r="C1835" t="s">
        <v>125</v>
      </c>
      <c r="D1835" t="s">
        <v>469</v>
      </c>
      <c r="E1835" t="s">
        <v>82</v>
      </c>
      <c r="F1835" t="s">
        <v>12</v>
      </c>
      <c r="G1835" t="str">
        <f>HYPERLINK(_xlfn.CONCAT("https://tablet.otzar.org/",CHAR(35),"/book/169929/p/-1/t/1/fs/0/start/0/end/0/c"),"קובץ הערות וביאורים (מנצ'סתר) - לב")</f>
        <v>קובץ הערות וביאורים (מנצ'סתר) - לב</v>
      </c>
      <c r="H1835" t="str">
        <f>_xlfn.CONCAT("https://tablet.otzar.org/",CHAR(35),"/book/169929/p/-1/t/1/fs/0/start/0/end/0/c")</f>
        <v>https://tablet.otzar.org/#/book/169929/p/-1/t/1/fs/0/start/0/end/0/c</v>
      </c>
    </row>
    <row r="1836" spans="1:8" x14ac:dyDescent="0.25">
      <c r="A1836">
        <v>174175</v>
      </c>
      <c r="B1836" t="s">
        <v>2935</v>
      </c>
      <c r="C1836" t="s">
        <v>125</v>
      </c>
      <c r="D1836" t="s">
        <v>197</v>
      </c>
      <c r="E1836" t="s">
        <v>49</v>
      </c>
      <c r="F1836" t="s">
        <v>12</v>
      </c>
      <c r="G1836" t="str">
        <f>HYPERLINK(_xlfn.CONCAT("https://tablet.otzar.org/",CHAR(35),"/exKotar/174175"),"קובץ הערות ועיונים - 6 כרכים")</f>
        <v>קובץ הערות ועיונים - 6 כרכים</v>
      </c>
      <c r="H1836" t="str">
        <f>_xlfn.CONCAT("https://tablet.otzar.org/",CHAR(35),"/exKotar/174175")</f>
        <v>https://tablet.otzar.org/#/exKotar/174175</v>
      </c>
    </row>
    <row r="1837" spans="1:8" x14ac:dyDescent="0.25">
      <c r="A1837">
        <v>614747</v>
      </c>
      <c r="B1837" t="s">
        <v>2936</v>
      </c>
      <c r="C1837" t="s">
        <v>2937</v>
      </c>
      <c r="D1837" t="s">
        <v>10</v>
      </c>
      <c r="E1837" t="s">
        <v>82</v>
      </c>
      <c r="F1837" t="s">
        <v>25</v>
      </c>
      <c r="G1837" t="str">
        <f>HYPERLINK(_xlfn.CONCAT("https://tablet.otzar.org/",CHAR(35),"/book/614747/p/-1/t/1/fs/0/start/0/end/0/c"),"קובץ הערות ופלפולים")</f>
        <v>קובץ הערות ופלפולים</v>
      </c>
      <c r="H1837" t="str">
        <f>_xlfn.CONCAT("https://tablet.otzar.org/",CHAR(35),"/book/614747/p/-1/t/1/fs/0/start/0/end/0/c")</f>
        <v>https://tablet.otzar.org/#/book/614747/p/-1/t/1/fs/0/start/0/end/0/c</v>
      </c>
    </row>
    <row r="1838" spans="1:8" x14ac:dyDescent="0.25">
      <c r="A1838">
        <v>682772</v>
      </c>
      <c r="B1838" t="s">
        <v>2938</v>
      </c>
      <c r="C1838" t="s">
        <v>2939</v>
      </c>
      <c r="D1838" t="s">
        <v>197</v>
      </c>
      <c r="E1838" t="s">
        <v>24</v>
      </c>
      <c r="F1838" t="s">
        <v>25</v>
      </c>
      <c r="G1838" t="str">
        <f>HYPERLINK(_xlfn.CONCAT("https://tablet.otzar.org/",CHAR(35),"/book/682772/p/-1/t/1/fs/0/start/0/end/0/c"),"קובץ הערות שערי גאולה - א")</f>
        <v>קובץ הערות שערי גאולה - א</v>
      </c>
      <c r="H1838" t="str">
        <f>_xlfn.CONCAT("https://tablet.otzar.org/",CHAR(35),"/book/682772/p/-1/t/1/fs/0/start/0/end/0/c")</f>
        <v>https://tablet.otzar.org/#/book/682772/p/-1/t/1/fs/0/start/0/end/0/c</v>
      </c>
    </row>
    <row r="1839" spans="1:8" x14ac:dyDescent="0.25">
      <c r="A1839">
        <v>687666</v>
      </c>
      <c r="B1839" t="s">
        <v>2940</v>
      </c>
      <c r="D1839" t="s">
        <v>2941</v>
      </c>
      <c r="E1839" t="s">
        <v>705</v>
      </c>
      <c r="F1839" t="s">
        <v>25</v>
      </c>
      <c r="G1839" t="str">
        <f>HYPERLINK(_xlfn.CONCAT("https://tablet.otzar.org/",CHAR(35),"/book/687666/p/-1/t/1/fs/0/start/0/end/0/c"),"קובץ הערות שערי גאולה - ג")</f>
        <v>קובץ הערות שערי גאולה - ג</v>
      </c>
      <c r="H1839" t="str">
        <f>_xlfn.CONCAT("https://tablet.otzar.org/",CHAR(35),"/book/687666/p/-1/t/1/fs/0/start/0/end/0/c")</f>
        <v>https://tablet.otzar.org/#/book/687666/p/-1/t/1/fs/0/start/0/end/0/c</v>
      </c>
    </row>
    <row r="1840" spans="1:8" x14ac:dyDescent="0.25">
      <c r="A1840">
        <v>140948</v>
      </c>
      <c r="B1840" t="s">
        <v>2942</v>
      </c>
      <c r="C1840" t="s">
        <v>2942</v>
      </c>
      <c r="D1840" t="s">
        <v>28</v>
      </c>
      <c r="E1840" t="s">
        <v>29</v>
      </c>
      <c r="F1840" t="s">
        <v>12</v>
      </c>
      <c r="G1840" t="str">
        <f>HYPERLINK(_xlfn.CONCAT("https://tablet.otzar.org/",CHAR(35),"/book/140948/p/-1/t/1/fs/0/start/0/end/0/c"),"קובץ הפך בה והפך בה")</f>
        <v>קובץ הפך בה והפך בה</v>
      </c>
      <c r="H1840" t="str">
        <f>_xlfn.CONCAT("https://tablet.otzar.org/",CHAR(35),"/book/140948/p/-1/t/1/fs/0/start/0/end/0/c")</f>
        <v>https://tablet.otzar.org/#/book/140948/p/-1/t/1/fs/0/start/0/end/0/c</v>
      </c>
    </row>
    <row r="1841" spans="1:8" x14ac:dyDescent="0.25">
      <c r="A1841">
        <v>26902</v>
      </c>
      <c r="B1841" t="s">
        <v>2943</v>
      </c>
      <c r="C1841" t="s">
        <v>45</v>
      </c>
      <c r="D1841" t="s">
        <v>10</v>
      </c>
      <c r="E1841" t="s">
        <v>134</v>
      </c>
      <c r="F1841" t="s">
        <v>12</v>
      </c>
      <c r="G1841" t="str">
        <f>HYPERLINK(_xlfn.CONCAT("https://tablet.otzar.org/",CHAR(35),"/book/26902/p/-1/t/1/fs/0/start/0/end/0/c"),"קובץ הקהל")</f>
        <v>קובץ הקהל</v>
      </c>
      <c r="H1841" t="str">
        <f>_xlfn.CONCAT("https://tablet.otzar.org/",CHAR(35),"/book/26902/p/-1/t/1/fs/0/start/0/end/0/c")</f>
        <v>https://tablet.otzar.org/#/book/26902/p/-1/t/1/fs/0/start/0/end/0/c</v>
      </c>
    </row>
    <row r="1842" spans="1:8" x14ac:dyDescent="0.25">
      <c r="A1842">
        <v>156446</v>
      </c>
      <c r="B1842" t="s">
        <v>2944</v>
      </c>
      <c r="C1842" t="s">
        <v>2945</v>
      </c>
      <c r="D1842" t="s">
        <v>10</v>
      </c>
      <c r="E1842" t="s">
        <v>49</v>
      </c>
      <c r="F1842" t="s">
        <v>12</v>
      </c>
      <c r="G1842" t="str">
        <f>HYPERLINK(_xlfn.CONCAT("https://tablet.otzar.org/",CHAR(35),"/book/156446/p/-1/t/1/fs/0/start/0/end/0/c"),"קובץ השישים")</f>
        <v>קובץ השישים</v>
      </c>
      <c r="H1842" t="str">
        <f>_xlfn.CONCAT("https://tablet.otzar.org/",CHAR(35),"/book/156446/p/-1/t/1/fs/0/start/0/end/0/c")</f>
        <v>https://tablet.otzar.org/#/book/156446/p/-1/t/1/fs/0/start/0/end/0/c</v>
      </c>
    </row>
    <row r="1843" spans="1:8" x14ac:dyDescent="0.25">
      <c r="A1843">
        <v>27280</v>
      </c>
      <c r="B1843" t="s">
        <v>2946</v>
      </c>
      <c r="C1843" t="s">
        <v>125</v>
      </c>
      <c r="D1843" t="s">
        <v>10</v>
      </c>
      <c r="E1843" t="s">
        <v>64</v>
      </c>
      <c r="F1843" t="s">
        <v>12</v>
      </c>
      <c r="G1843" t="str">
        <f>HYPERLINK(_xlfn.CONCAT("https://tablet.otzar.org/",CHAR(35),"/book/27280/p/-1/t/1/fs/0/start/0/end/0/c"),"קובץ השלוחים")</f>
        <v>קובץ השלוחים</v>
      </c>
      <c r="H1843" t="str">
        <f>_xlfn.CONCAT("https://tablet.otzar.org/",CHAR(35),"/book/27280/p/-1/t/1/fs/0/start/0/end/0/c")</f>
        <v>https://tablet.otzar.org/#/book/27280/p/-1/t/1/fs/0/start/0/end/0/c</v>
      </c>
    </row>
    <row r="1844" spans="1:8" x14ac:dyDescent="0.25">
      <c r="A1844">
        <v>632010</v>
      </c>
      <c r="B1844" t="s">
        <v>2947</v>
      </c>
      <c r="C1844" t="s">
        <v>904</v>
      </c>
      <c r="D1844" t="s">
        <v>28</v>
      </c>
      <c r="E1844" t="s">
        <v>11</v>
      </c>
      <c r="F1844" t="s">
        <v>12</v>
      </c>
      <c r="G1844" t="str">
        <f>HYPERLINK(_xlfn.CONCAT("https://tablet.otzar.org/",CHAR(35),"/book/632010/p/-1/t/1/fs/0/start/0/end/0/c"),"קובץ השליחות - מבצע עבודת השליחות")</f>
        <v>קובץ השליחות - מבצע עבודת השליחות</v>
      </c>
      <c r="H1844" t="str">
        <f>_xlfn.CONCAT("https://tablet.otzar.org/",CHAR(35),"/book/632010/p/-1/t/1/fs/0/start/0/end/0/c")</f>
        <v>https://tablet.otzar.org/#/book/632010/p/-1/t/1/fs/0/start/0/end/0/c</v>
      </c>
    </row>
    <row r="1845" spans="1:8" x14ac:dyDescent="0.25">
      <c r="A1845">
        <v>157280</v>
      </c>
      <c r="B1845" t="s">
        <v>2948</v>
      </c>
      <c r="C1845" t="s">
        <v>2948</v>
      </c>
      <c r="D1845" t="s">
        <v>28</v>
      </c>
      <c r="E1845" t="s">
        <v>49</v>
      </c>
      <c r="F1845" t="s">
        <v>12</v>
      </c>
      <c r="G1845" t="str">
        <f>HYPERLINK(_xlfn.CONCAT("https://tablet.otzar.org/",CHAR(35),"/book/157280/p/-1/t/1/fs/0/start/0/end/0/c"),"קובץ התקשרות")</f>
        <v>קובץ התקשרות</v>
      </c>
      <c r="H1845" t="str">
        <f>_xlfn.CONCAT("https://tablet.otzar.org/",CHAR(35),"/book/157280/p/-1/t/1/fs/0/start/0/end/0/c")</f>
        <v>https://tablet.otzar.org/#/book/157280/p/-1/t/1/fs/0/start/0/end/0/c</v>
      </c>
    </row>
    <row r="1846" spans="1:8" x14ac:dyDescent="0.25">
      <c r="A1846">
        <v>146526</v>
      </c>
      <c r="B1846" t="s">
        <v>2949</v>
      </c>
      <c r="C1846" t="s">
        <v>45</v>
      </c>
      <c r="D1846" t="s">
        <v>10</v>
      </c>
      <c r="E1846" t="s">
        <v>64</v>
      </c>
      <c r="F1846" t="s">
        <v>251</v>
      </c>
      <c r="G1846" t="str">
        <f>HYPERLINK(_xlfn.CONCAT("https://tablet.otzar.org/",CHAR(35),"/book/146526/p/-1/t/1/fs/0/start/0/end/0/c"),"קובץ ו' תשרי")</f>
        <v>קובץ ו' תשרי</v>
      </c>
      <c r="H1846" t="str">
        <f>_xlfn.CONCAT("https://tablet.otzar.org/",CHAR(35),"/book/146526/p/-1/t/1/fs/0/start/0/end/0/c")</f>
        <v>https://tablet.otzar.org/#/book/146526/p/-1/t/1/fs/0/start/0/end/0/c</v>
      </c>
    </row>
    <row r="1847" spans="1:8" x14ac:dyDescent="0.25">
      <c r="A1847">
        <v>622235</v>
      </c>
      <c r="B1847" t="s">
        <v>2950</v>
      </c>
      <c r="C1847" t="s">
        <v>2950</v>
      </c>
      <c r="D1847" t="s">
        <v>412</v>
      </c>
      <c r="E1847" t="s">
        <v>115</v>
      </c>
      <c r="F1847" t="s">
        <v>12</v>
      </c>
      <c r="G1847" t="str">
        <f>HYPERLINK(_xlfn.CONCAT("https://tablet.otzar.org/",CHAR(35),"/book/622235/p/-1/t/1/fs/0/start/0/end/0/c"),"קובץ והיה מחנך קדוש")</f>
        <v>קובץ והיה מחנך קדוש</v>
      </c>
      <c r="H1847" t="str">
        <f>_xlfn.CONCAT("https://tablet.otzar.org/",CHAR(35),"/book/622235/p/-1/t/1/fs/0/start/0/end/0/c")</f>
        <v>https://tablet.otzar.org/#/book/622235/p/-1/t/1/fs/0/start/0/end/0/c</v>
      </c>
    </row>
    <row r="1848" spans="1:8" x14ac:dyDescent="0.25">
      <c r="A1848">
        <v>677121</v>
      </c>
      <c r="B1848" t="s">
        <v>2951</v>
      </c>
      <c r="C1848" t="s">
        <v>2952</v>
      </c>
      <c r="D1848" t="s">
        <v>28</v>
      </c>
      <c r="E1848" t="s">
        <v>226</v>
      </c>
      <c r="F1848" t="s">
        <v>12</v>
      </c>
      <c r="G1848" t="str">
        <f>HYPERLINK(_xlfn.CONCAT("https://tablet.otzar.org/",CHAR(35),"/book/677121/p/-1/t/1/fs/0/start/0/end/0/c"),"קובץ וינחם לבטח")</f>
        <v>קובץ וינחם לבטח</v>
      </c>
      <c r="H1848" t="str">
        <f>_xlfn.CONCAT("https://tablet.otzar.org/",CHAR(35),"/book/677121/p/-1/t/1/fs/0/start/0/end/0/c")</f>
        <v>https://tablet.otzar.org/#/book/677121/p/-1/t/1/fs/0/start/0/end/0/c</v>
      </c>
    </row>
    <row r="1849" spans="1:8" x14ac:dyDescent="0.25">
      <c r="A1849">
        <v>142747</v>
      </c>
      <c r="B1849" t="s">
        <v>2953</v>
      </c>
      <c r="C1849" t="s">
        <v>2953</v>
      </c>
      <c r="D1849" t="s">
        <v>10</v>
      </c>
      <c r="E1849" t="s">
        <v>192</v>
      </c>
      <c r="F1849" t="s">
        <v>251</v>
      </c>
      <c r="G1849" t="str">
        <f>HYPERLINK(_xlfn.CONCAT("https://tablet.otzar.org/",CHAR(35),"/book/142747/p/-1/t/1/fs/0/start/0/end/0/c"),"קובץ ולדבקה בו")</f>
        <v>קובץ ולדבקה בו</v>
      </c>
      <c r="H1849" t="str">
        <f>_xlfn.CONCAT("https://tablet.otzar.org/",CHAR(35),"/book/142747/p/-1/t/1/fs/0/start/0/end/0/c")</f>
        <v>https://tablet.otzar.org/#/book/142747/p/-1/t/1/fs/0/start/0/end/0/c</v>
      </c>
    </row>
    <row r="1850" spans="1:8" x14ac:dyDescent="0.25">
      <c r="A1850">
        <v>606130</v>
      </c>
      <c r="B1850" t="s">
        <v>821</v>
      </c>
      <c r="C1850" t="s">
        <v>2954</v>
      </c>
      <c r="D1850" t="s">
        <v>28</v>
      </c>
      <c r="E1850" t="s">
        <v>404</v>
      </c>
      <c r="F1850" t="s">
        <v>12</v>
      </c>
      <c r="G1850" t="str">
        <f>HYPERLINK(_xlfn.CONCAT("https://tablet.otzar.org/",CHAR(35),"/book/606130/p/-1/t/1/fs/0/start/0/end/0/c"),"קובץ זכרון")</f>
        <v>קובץ זכרון</v>
      </c>
      <c r="H1850" t="str">
        <f>_xlfn.CONCAT("https://tablet.otzar.org/",CHAR(35),"/book/606130/p/-1/t/1/fs/0/start/0/end/0/c")</f>
        <v>https://tablet.otzar.org/#/book/606130/p/-1/t/1/fs/0/start/0/end/0/c</v>
      </c>
    </row>
    <row r="1851" spans="1:8" x14ac:dyDescent="0.25">
      <c r="A1851">
        <v>614968</v>
      </c>
      <c r="B1851" t="s">
        <v>821</v>
      </c>
      <c r="C1851" t="s">
        <v>2955</v>
      </c>
      <c r="D1851" t="s">
        <v>10</v>
      </c>
      <c r="E1851" t="s">
        <v>79</v>
      </c>
      <c r="F1851" t="s">
        <v>25</v>
      </c>
      <c r="G1851" t="str">
        <f>HYPERLINK(_xlfn.CONCAT("https://tablet.otzar.org/",CHAR(35),"/book/614968/p/-1/t/1/fs/0/start/0/end/0/c"),"קובץ זכרון")</f>
        <v>קובץ זכרון</v>
      </c>
      <c r="H1851" t="str">
        <f>_xlfn.CONCAT("https://tablet.otzar.org/",CHAR(35),"/book/614968/p/-1/t/1/fs/0/start/0/end/0/c")</f>
        <v>https://tablet.otzar.org/#/book/614968/p/-1/t/1/fs/0/start/0/end/0/c</v>
      </c>
    </row>
    <row r="1852" spans="1:8" x14ac:dyDescent="0.25">
      <c r="A1852">
        <v>608020</v>
      </c>
      <c r="B1852" t="s">
        <v>2956</v>
      </c>
      <c r="C1852" t="s">
        <v>821</v>
      </c>
      <c r="D1852" t="s">
        <v>28</v>
      </c>
      <c r="E1852" t="s">
        <v>82</v>
      </c>
      <c r="F1852" t="s">
        <v>25</v>
      </c>
      <c r="G1852" t="str">
        <f>HYPERLINK(_xlfn.CONCAT("https://tablet.otzar.org/",CHAR(35),"/book/608020/p/-1/t/1/fs/0/start/0/end/0/c"),"קובץ זכרון לרב אהרן חיטריק")</f>
        <v>קובץ זכרון לרב אהרן חיטריק</v>
      </c>
      <c r="H1852" t="str">
        <f>_xlfn.CONCAT("https://tablet.otzar.org/",CHAR(35),"/book/608020/p/-1/t/1/fs/0/start/0/end/0/c")</f>
        <v>https://tablet.otzar.org/#/book/608020/p/-1/t/1/fs/0/start/0/end/0/c</v>
      </c>
    </row>
    <row r="1853" spans="1:8" x14ac:dyDescent="0.25">
      <c r="A1853">
        <v>607667</v>
      </c>
      <c r="B1853" t="s">
        <v>2957</v>
      </c>
      <c r="C1853" t="s">
        <v>2958</v>
      </c>
      <c r="D1853" t="s">
        <v>37</v>
      </c>
      <c r="E1853" t="s">
        <v>19</v>
      </c>
      <c r="F1853" t="s">
        <v>25</v>
      </c>
      <c r="G1853" t="str">
        <f>HYPERLINK(_xlfn.CONCAT("https://tablet.otzar.org/",CHAR(35),"/book/607667/p/-1/t/1/fs/0/start/0/end/0/c"),"קובץ זכרון עשרה מאמרות")</f>
        <v>קובץ זכרון עשרה מאמרות</v>
      </c>
      <c r="H1853" t="str">
        <f>_xlfn.CONCAT("https://tablet.otzar.org/",CHAR(35),"/book/607667/p/-1/t/1/fs/0/start/0/end/0/c")</f>
        <v>https://tablet.otzar.org/#/book/607667/p/-1/t/1/fs/0/start/0/end/0/c</v>
      </c>
    </row>
    <row r="1854" spans="1:8" x14ac:dyDescent="0.25">
      <c r="A1854">
        <v>635033</v>
      </c>
      <c r="B1854" t="s">
        <v>2959</v>
      </c>
      <c r="C1854" t="s">
        <v>45</v>
      </c>
      <c r="D1854" t="s">
        <v>37</v>
      </c>
      <c r="E1854" t="s">
        <v>185</v>
      </c>
      <c r="F1854" t="s">
        <v>12</v>
      </c>
      <c r="G1854" t="str">
        <f>HYPERLINK(_xlfn.CONCAT("https://tablet.otzar.org/",CHAR(35),"/book/635033/p/-1/t/1/fs/0/start/0/end/0/c"),"קובץ חג הגאולה")</f>
        <v>קובץ חג הגאולה</v>
      </c>
      <c r="H1854" t="str">
        <f>_xlfn.CONCAT("https://tablet.otzar.org/",CHAR(35),"/book/635033/p/-1/t/1/fs/0/start/0/end/0/c")</f>
        <v>https://tablet.otzar.org/#/book/635033/p/-1/t/1/fs/0/start/0/end/0/c</v>
      </c>
    </row>
    <row r="1855" spans="1:8" x14ac:dyDescent="0.25">
      <c r="A1855">
        <v>635142</v>
      </c>
      <c r="B1855" t="s">
        <v>2960</v>
      </c>
      <c r="C1855" t="s">
        <v>2961</v>
      </c>
      <c r="D1855" t="s">
        <v>412</v>
      </c>
      <c r="E1855" t="s">
        <v>11</v>
      </c>
      <c r="F1855" t="s">
        <v>12</v>
      </c>
      <c r="G1855" t="str">
        <f>HYPERLINK(_xlfn.CONCAT("https://tablet.otzar.org/",CHAR(35),"/book/635142/p/-1/t/1/fs/0/start/0/end/0/c"),"קובץ חיבורים - נושאים בחסידות")</f>
        <v>קובץ חיבורים - נושאים בחסידות</v>
      </c>
      <c r="H1855" t="str">
        <f>_xlfn.CONCAT("https://tablet.otzar.org/",CHAR(35),"/book/635142/p/-1/t/1/fs/0/start/0/end/0/c")</f>
        <v>https://tablet.otzar.org/#/book/635142/p/-1/t/1/fs/0/start/0/end/0/c</v>
      </c>
    </row>
    <row r="1856" spans="1:8" x14ac:dyDescent="0.25">
      <c r="A1856">
        <v>143315</v>
      </c>
      <c r="B1856" t="s">
        <v>214</v>
      </c>
      <c r="C1856" t="s">
        <v>2962</v>
      </c>
      <c r="D1856" t="s">
        <v>10</v>
      </c>
      <c r="F1856" t="s">
        <v>251</v>
      </c>
      <c r="G1856" t="str">
        <f>HYPERLINK(_xlfn.CONCAT("https://tablet.otzar.org/",CHAR(35),"/book/143315/p/-1/t/1/fs/0/start/0/end/0/c"),"קובץ חידושי תורה")</f>
        <v>קובץ חידושי תורה</v>
      </c>
      <c r="H1856" t="str">
        <f>_xlfn.CONCAT("https://tablet.otzar.org/",CHAR(35),"/book/143315/p/-1/t/1/fs/0/start/0/end/0/c")</f>
        <v>https://tablet.otzar.org/#/book/143315/p/-1/t/1/fs/0/start/0/end/0/c</v>
      </c>
    </row>
    <row r="1857" spans="1:8" x14ac:dyDescent="0.25">
      <c r="A1857">
        <v>611981</v>
      </c>
      <c r="B1857" t="s">
        <v>2963</v>
      </c>
      <c r="C1857" t="s">
        <v>1456</v>
      </c>
      <c r="D1857" t="s">
        <v>118</v>
      </c>
      <c r="E1857" t="s">
        <v>404</v>
      </c>
      <c r="F1857" t="s">
        <v>12</v>
      </c>
      <c r="G1857" t="str">
        <f>HYPERLINK(_xlfn.CONCAT("https://tablet.otzar.org/",CHAR(35),"/book/611981/p/-1/t/1/fs/0/start/0/end/0/c"),"קובץ חידושי תורה - א")</f>
        <v>קובץ חידושי תורה - א</v>
      </c>
      <c r="H1857" t="str">
        <f>_xlfn.CONCAT("https://tablet.otzar.org/",CHAR(35),"/book/611981/p/-1/t/1/fs/0/start/0/end/0/c")</f>
        <v>https://tablet.otzar.org/#/book/611981/p/-1/t/1/fs/0/start/0/end/0/c</v>
      </c>
    </row>
    <row r="1858" spans="1:8" x14ac:dyDescent="0.25">
      <c r="A1858">
        <v>141536</v>
      </c>
      <c r="B1858" t="s">
        <v>2964</v>
      </c>
      <c r="C1858" t="s">
        <v>125</v>
      </c>
      <c r="D1858" t="s">
        <v>15</v>
      </c>
      <c r="E1858" t="s">
        <v>346</v>
      </c>
      <c r="F1858" t="s">
        <v>12</v>
      </c>
      <c r="G1858" t="str">
        <f>HYPERLINK(_xlfn.CONCAT("https://tablet.otzar.org/",CHAR(35),"/exKotar/141536"),"קובץ חידושי תורה - 44 כרכים")</f>
        <v>קובץ חידושי תורה - 44 כרכים</v>
      </c>
      <c r="H1858" t="str">
        <f>_xlfn.CONCAT("https://tablet.otzar.org/",CHAR(35),"/exKotar/141536")</f>
        <v>https://tablet.otzar.org/#/exKotar/141536</v>
      </c>
    </row>
    <row r="1859" spans="1:8" x14ac:dyDescent="0.25">
      <c r="A1859">
        <v>633461</v>
      </c>
      <c r="B1859" t="s">
        <v>2965</v>
      </c>
      <c r="C1859" t="s">
        <v>2966</v>
      </c>
      <c r="D1859" t="s">
        <v>843</v>
      </c>
      <c r="E1859" t="s">
        <v>551</v>
      </c>
      <c r="F1859" t="s">
        <v>12</v>
      </c>
      <c r="G1859" t="str">
        <f>HYPERLINK(_xlfn.CONCAT("https://tablet.otzar.org/",CHAR(35),"/exKotar/633461"),"קובץ חידושי תורה - 7 כרכים")</f>
        <v>קובץ חידושי תורה - 7 כרכים</v>
      </c>
      <c r="H1859" t="str">
        <f>_xlfn.CONCAT("https://tablet.otzar.org/",CHAR(35),"/exKotar/633461")</f>
        <v>https://tablet.otzar.org/#/exKotar/633461</v>
      </c>
    </row>
    <row r="1860" spans="1:8" x14ac:dyDescent="0.25">
      <c r="A1860">
        <v>609848</v>
      </c>
      <c r="B1860" t="s">
        <v>2967</v>
      </c>
      <c r="C1860" t="s">
        <v>2968</v>
      </c>
      <c r="F1860" t="s">
        <v>531</v>
      </c>
      <c r="G1860" t="str">
        <f>HYPERLINK(_xlfn.CONCAT("https://tablet.otzar.org/",CHAR(35),"/book/609848/p/-1/t/1/fs/0/start/0/end/0/c"),"קובץ חידושי תורה זכרון גרשון - א")</f>
        <v>קובץ חידושי תורה זכרון גרשון - א</v>
      </c>
      <c r="H1860" t="str">
        <f>_xlfn.CONCAT("https://tablet.otzar.org/",CHAR(35),"/book/609848/p/-1/t/1/fs/0/start/0/end/0/c")</f>
        <v>https://tablet.otzar.org/#/book/609848/p/-1/t/1/fs/0/start/0/end/0/c</v>
      </c>
    </row>
    <row r="1861" spans="1:8" x14ac:dyDescent="0.25">
      <c r="A1861">
        <v>145964</v>
      </c>
      <c r="B1861" t="s">
        <v>2969</v>
      </c>
      <c r="C1861" t="s">
        <v>125</v>
      </c>
      <c r="D1861" t="s">
        <v>2970</v>
      </c>
      <c r="E1861" t="s">
        <v>69</v>
      </c>
      <c r="F1861" t="s">
        <v>694</v>
      </c>
      <c r="G1861" t="str">
        <f>HYPERLINK(_xlfn.CONCAT("https://tablet.otzar.org/",CHAR(35),"/book/145964/p/-1/t/1/fs/0/start/0/end/0/c"),"קובץ חידושי תורה על ספר משנה תורה")</f>
        <v>קובץ חידושי תורה על ספר משנה תורה</v>
      </c>
      <c r="H1861" t="str">
        <f>_xlfn.CONCAT("https://tablet.otzar.org/",CHAR(35),"/book/145964/p/-1/t/1/fs/0/start/0/end/0/c")</f>
        <v>https://tablet.otzar.org/#/book/145964/p/-1/t/1/fs/0/start/0/end/0/c</v>
      </c>
    </row>
    <row r="1862" spans="1:8" x14ac:dyDescent="0.25">
      <c r="A1862">
        <v>27717</v>
      </c>
      <c r="B1862" t="s">
        <v>2971</v>
      </c>
      <c r="C1862" t="s">
        <v>125</v>
      </c>
      <c r="D1862" t="s">
        <v>15</v>
      </c>
      <c r="E1862" t="s">
        <v>66</v>
      </c>
      <c r="F1862" t="s">
        <v>12</v>
      </c>
      <c r="G1862" t="str">
        <f>HYPERLINK(_xlfn.CONCAT("https://tablet.otzar.org/",CHAR(35),"/exKotar/27717"),"קובץ חידושים ובאורים - 3 כרכים")</f>
        <v>קובץ חידושים ובאורים - 3 כרכים</v>
      </c>
      <c r="H1862" t="str">
        <f>_xlfn.CONCAT("https://tablet.otzar.org/",CHAR(35),"/exKotar/27717")</f>
        <v>https://tablet.otzar.org/#/exKotar/27717</v>
      </c>
    </row>
    <row r="1863" spans="1:8" x14ac:dyDescent="0.25">
      <c r="A1863">
        <v>145925</v>
      </c>
      <c r="B1863" t="s">
        <v>2972</v>
      </c>
      <c r="C1863" t="s">
        <v>125</v>
      </c>
      <c r="D1863" t="s">
        <v>10</v>
      </c>
      <c r="E1863" t="s">
        <v>260</v>
      </c>
      <c r="F1863" t="s">
        <v>143</v>
      </c>
      <c r="G1863" t="str">
        <f>HYPERLINK(_xlfn.CONCAT("https://tablet.otzar.org/",CHAR(35),"/exKotar/145925"),"קובץ חידושים וביאורים - 2 כרכים")</f>
        <v>קובץ חידושים וביאורים - 2 כרכים</v>
      </c>
      <c r="H1863" t="str">
        <f>_xlfn.CONCAT("https://tablet.otzar.org/",CHAR(35),"/exKotar/145925")</f>
        <v>https://tablet.otzar.org/#/exKotar/145925</v>
      </c>
    </row>
    <row r="1864" spans="1:8" x14ac:dyDescent="0.25">
      <c r="A1864">
        <v>196631</v>
      </c>
      <c r="B1864" t="s">
        <v>2973</v>
      </c>
      <c r="C1864" t="s">
        <v>2974</v>
      </c>
      <c r="D1864" t="s">
        <v>37</v>
      </c>
      <c r="E1864" t="s">
        <v>99</v>
      </c>
      <c r="F1864" t="s">
        <v>12</v>
      </c>
      <c r="G1864" t="str">
        <f>HYPERLINK(_xlfn.CONCAT("https://tablet.otzar.org/",CHAR(35),"/exKotar/196631"),"קובץ חידושים וביאורים תורת אמת - 4 כרכים")</f>
        <v>קובץ חידושים וביאורים תורת אמת - 4 כרכים</v>
      </c>
      <c r="H1864" t="str">
        <f>_xlfn.CONCAT("https://tablet.otzar.org/",CHAR(35),"/exKotar/196631")</f>
        <v>https://tablet.otzar.org/#/exKotar/196631</v>
      </c>
    </row>
    <row r="1865" spans="1:8" x14ac:dyDescent="0.25">
      <c r="A1865">
        <v>169000</v>
      </c>
      <c r="B1865" t="s">
        <v>2975</v>
      </c>
      <c r="C1865" t="s">
        <v>125</v>
      </c>
      <c r="D1865" t="s">
        <v>37</v>
      </c>
      <c r="E1865" t="s">
        <v>107</v>
      </c>
      <c r="F1865" t="s">
        <v>12</v>
      </c>
      <c r="G1865" t="str">
        <f>HYPERLINK(_xlfn.CONCAT("https://tablet.otzar.org/",CHAR(35),"/book/169000/p/-1/t/1/fs/0/start/0/end/0/c"),"קובץ חידושים והערות - ישיבת תורת אמת")</f>
        <v>קובץ חידושים והערות - ישיבת תורת אמת</v>
      </c>
      <c r="H1865" t="str">
        <f>_xlfn.CONCAT("https://tablet.otzar.org/",CHAR(35),"/book/169000/p/-1/t/1/fs/0/start/0/end/0/c")</f>
        <v>https://tablet.otzar.org/#/book/169000/p/-1/t/1/fs/0/start/0/end/0/c</v>
      </c>
    </row>
    <row r="1866" spans="1:8" x14ac:dyDescent="0.25">
      <c r="A1866">
        <v>26903</v>
      </c>
      <c r="B1866" t="s">
        <v>2976</v>
      </c>
      <c r="C1866" t="s">
        <v>244</v>
      </c>
      <c r="D1866" t="s">
        <v>10</v>
      </c>
      <c r="E1866" t="s">
        <v>38</v>
      </c>
      <c r="F1866" t="s">
        <v>12</v>
      </c>
      <c r="G1866" t="str">
        <f>HYPERLINK(_xlfn.CONCAT("https://tablet.otzar.org/",CHAR(35),"/exKotar/26903"),"קובץ י""""א ניסן - 12 כרכים")</f>
        <v>קובץ י""א ניסן - 12 כרכים</v>
      </c>
      <c r="H1866" t="str">
        <f>_xlfn.CONCAT("https://tablet.otzar.org/",CHAR(35),"/exKotar/26903")</f>
        <v>https://tablet.otzar.org/#/exKotar/26903</v>
      </c>
    </row>
    <row r="1867" spans="1:8" x14ac:dyDescent="0.25">
      <c r="A1867">
        <v>141534</v>
      </c>
      <c r="B1867" t="s">
        <v>2977</v>
      </c>
      <c r="C1867" t="s">
        <v>125</v>
      </c>
      <c r="D1867" t="s">
        <v>10</v>
      </c>
      <c r="E1867" t="s">
        <v>54</v>
      </c>
      <c r="F1867" t="s">
        <v>12</v>
      </c>
      <c r="G1867" t="str">
        <f>HYPERLINK(_xlfn.CONCAT("https://tablet.otzar.org/",CHAR(35),"/exKotar/141534"),"קובץ י""""ג אייר - 2 כרכים")</f>
        <v>קובץ י""ג אייר - 2 כרכים</v>
      </c>
      <c r="H1867" t="str">
        <f>_xlfn.CONCAT("https://tablet.otzar.org/",CHAR(35),"/exKotar/141534")</f>
        <v>https://tablet.otzar.org/#/exKotar/141534</v>
      </c>
    </row>
    <row r="1868" spans="1:8" x14ac:dyDescent="0.25">
      <c r="A1868">
        <v>161356</v>
      </c>
      <c r="B1868" t="s">
        <v>2978</v>
      </c>
      <c r="C1868" t="s">
        <v>2978</v>
      </c>
      <c r="D1868" t="s">
        <v>15</v>
      </c>
      <c r="E1868" t="s">
        <v>16</v>
      </c>
      <c r="F1868" t="s">
        <v>12</v>
      </c>
      <c r="G1868" t="str">
        <f>HYPERLINK(_xlfn.CONCAT("https://tablet.otzar.org/",CHAR(35),"/book/161356/p/-1/t/1/fs/0/start/0/end/0/c"),"קובץ י""""ד כסלו")</f>
        <v>קובץ י""ד כסלו</v>
      </c>
      <c r="H1868" t="str">
        <f>_xlfn.CONCAT("https://tablet.otzar.org/",CHAR(35),"/book/161356/p/-1/t/1/fs/0/start/0/end/0/c")</f>
        <v>https://tablet.otzar.org/#/book/161356/p/-1/t/1/fs/0/start/0/end/0/c</v>
      </c>
    </row>
    <row r="1869" spans="1:8" x14ac:dyDescent="0.25">
      <c r="A1869">
        <v>85197</v>
      </c>
      <c r="B1869" t="s">
        <v>2979</v>
      </c>
      <c r="C1869" t="s">
        <v>125</v>
      </c>
      <c r="E1869" t="s">
        <v>226</v>
      </c>
      <c r="F1869" t="s">
        <v>2980</v>
      </c>
      <c r="G1869" t="str">
        <f>HYPERLINK(_xlfn.CONCAT("https://tablet.otzar.org/",CHAR(35),"/exKotar/85197"),"קובץ יגיעה בתורה - 2 כרכים")</f>
        <v>קובץ יגיעה בתורה - 2 כרכים</v>
      </c>
      <c r="H1869" t="str">
        <f>_xlfn.CONCAT("https://tablet.otzar.org/",CHAR(35),"/exKotar/85197")</f>
        <v>https://tablet.otzar.org/#/exKotar/85197</v>
      </c>
    </row>
    <row r="1870" spans="1:8" x14ac:dyDescent="0.25">
      <c r="A1870">
        <v>27508</v>
      </c>
      <c r="B1870" t="s">
        <v>2981</v>
      </c>
      <c r="C1870" t="s">
        <v>2982</v>
      </c>
      <c r="D1870" t="s">
        <v>28</v>
      </c>
      <c r="E1870" t="s">
        <v>46</v>
      </c>
      <c r="F1870" t="s">
        <v>12</v>
      </c>
      <c r="G1870" t="str">
        <f>HYPERLINK(_xlfn.CONCAT("https://tablet.otzar.org/",CHAR(35),"/book/27508/p/-1/t/1/fs/0/start/0/end/0/c"),"קובץ יום ההילולא ג' תמוז")</f>
        <v>קובץ יום ההילולא ג' תמוז</v>
      </c>
      <c r="H1870" t="str">
        <f>_xlfn.CONCAT("https://tablet.otzar.org/",CHAR(35),"/book/27508/p/-1/t/1/fs/0/start/0/end/0/c")</f>
        <v>https://tablet.otzar.org/#/book/27508/p/-1/t/1/fs/0/start/0/end/0/c</v>
      </c>
    </row>
    <row r="1871" spans="1:8" x14ac:dyDescent="0.25">
      <c r="A1871">
        <v>608415</v>
      </c>
      <c r="B1871" t="s">
        <v>2983</v>
      </c>
      <c r="C1871" t="s">
        <v>45</v>
      </c>
      <c r="D1871" t="s">
        <v>412</v>
      </c>
      <c r="E1871" t="s">
        <v>82</v>
      </c>
      <c r="F1871" t="s">
        <v>12</v>
      </c>
      <c r="G1871" t="str">
        <f>HYPERLINK(_xlfn.CONCAT("https://tablet.otzar.org/",CHAR(35),"/book/608415/p/-1/t/1/fs/0/start/0/end/0/c"),"קובץ יום הולדת")</f>
        <v>קובץ יום הולדת</v>
      </c>
      <c r="H1871" t="str">
        <f>_xlfn.CONCAT("https://tablet.otzar.org/",CHAR(35),"/book/608415/p/-1/t/1/fs/0/start/0/end/0/c")</f>
        <v>https://tablet.otzar.org/#/book/608415/p/-1/t/1/fs/0/start/0/end/0/c</v>
      </c>
    </row>
    <row r="1872" spans="1:8" x14ac:dyDescent="0.25">
      <c r="A1872">
        <v>27528</v>
      </c>
      <c r="B1872" t="s">
        <v>2984</v>
      </c>
      <c r="C1872" t="s">
        <v>45</v>
      </c>
      <c r="D1872" t="s">
        <v>10</v>
      </c>
      <c r="E1872" t="s">
        <v>46</v>
      </c>
      <c r="F1872" t="s">
        <v>12</v>
      </c>
      <c r="G1872" t="str">
        <f>HYPERLINK(_xlfn.CONCAT("https://tablet.otzar.org/",CHAR(35),"/exKotar/27528"),"קובץ כ""""ב שבט - 2 כרכים")</f>
        <v>קובץ כ""ב שבט - 2 כרכים</v>
      </c>
      <c r="H1872" t="str">
        <f>_xlfn.CONCAT("https://tablet.otzar.org/",CHAR(35),"/exKotar/27528")</f>
        <v>https://tablet.otzar.org/#/exKotar/27528</v>
      </c>
    </row>
    <row r="1873" spans="1:8" x14ac:dyDescent="0.25">
      <c r="A1873">
        <v>156463</v>
      </c>
      <c r="B1873" t="s">
        <v>2985</v>
      </c>
      <c r="C1873" t="s">
        <v>125</v>
      </c>
      <c r="D1873" t="s">
        <v>10</v>
      </c>
      <c r="E1873" t="s">
        <v>260</v>
      </c>
      <c r="F1873" t="s">
        <v>12</v>
      </c>
      <c r="G1873" t="str">
        <f>HYPERLINK(_xlfn.CONCAT("https://tablet.otzar.org/",CHAR(35),"/exKotar/156463"),"קובץ כ""""ח סיון - 2 כרכים")</f>
        <v>קובץ כ""ח סיון - 2 כרכים</v>
      </c>
      <c r="H1873" t="str">
        <f>_xlfn.CONCAT("https://tablet.otzar.org/",CHAR(35),"/exKotar/156463")</f>
        <v>https://tablet.otzar.org/#/exKotar/156463</v>
      </c>
    </row>
    <row r="1874" spans="1:8" x14ac:dyDescent="0.25">
      <c r="A1874">
        <v>164325</v>
      </c>
      <c r="B1874" t="s">
        <v>2986</v>
      </c>
      <c r="C1874" t="s">
        <v>2987</v>
      </c>
      <c r="D1874" t="s">
        <v>10</v>
      </c>
      <c r="E1874" t="s">
        <v>16</v>
      </c>
      <c r="F1874" t="s">
        <v>12</v>
      </c>
      <c r="G1874" t="str">
        <f>HYPERLINK(_xlfn.CONCAT("https://tablet.otzar.org/",CHAR(35),"/exKotar/164325"),"קובץ כ""""ף מנחם אב - 2 כרכים")</f>
        <v>קובץ כ""ף מנחם אב - 2 כרכים</v>
      </c>
      <c r="H1874" t="str">
        <f>_xlfn.CONCAT("https://tablet.otzar.org/",CHAR(35),"/exKotar/164325")</f>
        <v>https://tablet.otzar.org/#/exKotar/164325</v>
      </c>
    </row>
    <row r="1875" spans="1:8" x14ac:dyDescent="0.25">
      <c r="A1875">
        <v>145819</v>
      </c>
      <c r="B1875" t="s">
        <v>2988</v>
      </c>
      <c r="C1875" t="s">
        <v>125</v>
      </c>
      <c r="D1875" t="s">
        <v>2655</v>
      </c>
      <c r="E1875" t="s">
        <v>66</v>
      </c>
      <c r="F1875" t="s">
        <v>12</v>
      </c>
      <c r="G1875" t="str">
        <f>HYPERLINK(_xlfn.CONCAT("https://tablet.otzar.org/",CHAR(35),"/book/145819/p/-1/t/1/fs/0/start/0/end/0/c"),"קובץ כבוד תורה")</f>
        <v>קובץ כבוד תורה</v>
      </c>
      <c r="H1875" t="str">
        <f>_xlfn.CONCAT("https://tablet.otzar.org/",CHAR(35),"/book/145819/p/-1/t/1/fs/0/start/0/end/0/c")</f>
        <v>https://tablet.otzar.org/#/book/145819/p/-1/t/1/fs/0/start/0/end/0/c</v>
      </c>
    </row>
    <row r="1876" spans="1:8" x14ac:dyDescent="0.25">
      <c r="A1876">
        <v>642324</v>
      </c>
      <c r="B1876" t="s">
        <v>2989</v>
      </c>
      <c r="C1876" t="s">
        <v>2990</v>
      </c>
      <c r="D1876" t="s">
        <v>10</v>
      </c>
      <c r="E1876" t="s">
        <v>11</v>
      </c>
      <c r="G1876" t="str">
        <f>HYPERLINK(_xlfn.CONCAT("https://tablet.otzar.org/",CHAR(35),"/book/642324/p/-1/t/1/fs/0/start/0/end/0/c"),"קובץ כינוס השלוחים")</f>
        <v>קובץ כינוס השלוחים</v>
      </c>
      <c r="H1876" t="str">
        <f>_xlfn.CONCAT("https://tablet.otzar.org/",CHAR(35),"/book/642324/p/-1/t/1/fs/0/start/0/end/0/c")</f>
        <v>https://tablet.otzar.org/#/book/642324/p/-1/t/1/fs/0/start/0/end/0/c</v>
      </c>
    </row>
    <row r="1877" spans="1:8" x14ac:dyDescent="0.25">
      <c r="A1877">
        <v>614753</v>
      </c>
      <c r="B1877" t="s">
        <v>2991</v>
      </c>
      <c r="C1877" t="s">
        <v>2992</v>
      </c>
      <c r="D1877" t="s">
        <v>15</v>
      </c>
      <c r="E1877" t="s">
        <v>91</v>
      </c>
      <c r="F1877" t="s">
        <v>12</v>
      </c>
      <c r="G1877" t="str">
        <f>HYPERLINK(_xlfn.CONCAT("https://tablet.otzar.org/",CHAR(35),"/exKotar/614753"),"קובץ כינוסי השלוחים - 3 כרכים")</f>
        <v>קובץ כינוסי השלוחים - 3 כרכים</v>
      </c>
      <c r="H1877" t="str">
        <f>_xlfn.CONCAT("https://tablet.otzar.org/",CHAR(35),"/exKotar/614753")</f>
        <v>https://tablet.otzar.org/#/exKotar/614753</v>
      </c>
    </row>
    <row r="1878" spans="1:8" x14ac:dyDescent="0.25">
      <c r="A1878">
        <v>146280</v>
      </c>
      <c r="B1878" t="s">
        <v>2993</v>
      </c>
      <c r="C1878" t="s">
        <v>244</v>
      </c>
      <c r="D1878" t="s">
        <v>2994</v>
      </c>
      <c r="E1878" t="s">
        <v>382</v>
      </c>
      <c r="F1878" t="s">
        <v>251</v>
      </c>
      <c r="G1878" t="str">
        <f>HYPERLINK(_xlfn.CONCAT("https://tablet.otzar.org/",CHAR(35),"/book/146280/p/-1/t/1/fs/0/start/0/end/0/c"),"קובץ ל""""ג בעומר")</f>
        <v>קובץ ל""ג בעומר</v>
      </c>
      <c r="H1878" t="str">
        <f>_xlfn.CONCAT("https://tablet.otzar.org/",CHAR(35),"/book/146280/p/-1/t/1/fs/0/start/0/end/0/c")</f>
        <v>https://tablet.otzar.org/#/book/146280/p/-1/t/1/fs/0/start/0/end/0/c</v>
      </c>
    </row>
    <row r="1879" spans="1:8" x14ac:dyDescent="0.25">
      <c r="A1879">
        <v>28706</v>
      </c>
      <c r="B1879" t="s">
        <v>2995</v>
      </c>
      <c r="C1879" t="s">
        <v>645</v>
      </c>
      <c r="D1879" t="s">
        <v>15</v>
      </c>
      <c r="E1879" t="s">
        <v>91</v>
      </c>
      <c r="F1879" t="s">
        <v>12</v>
      </c>
      <c r="G1879" t="str">
        <f>HYPERLINK(_xlfn.CONCAT("https://tablet.otzar.org/",CHAR(35),"/book/28706/p/-1/t/1/fs/0/start/0/end/0/c"),"קובץ לחג השבועות")</f>
        <v>קובץ לחג השבועות</v>
      </c>
      <c r="H1879" t="str">
        <f>_xlfn.CONCAT("https://tablet.otzar.org/",CHAR(35),"/book/28706/p/-1/t/1/fs/0/start/0/end/0/c")</f>
        <v>https://tablet.otzar.org/#/book/28706/p/-1/t/1/fs/0/start/0/end/0/c</v>
      </c>
    </row>
    <row r="1880" spans="1:8" x14ac:dyDescent="0.25">
      <c r="A1880">
        <v>169094</v>
      </c>
      <c r="B1880" t="s">
        <v>2996</v>
      </c>
      <c r="C1880" t="s">
        <v>125</v>
      </c>
      <c r="D1880" t="s">
        <v>10</v>
      </c>
      <c r="E1880" t="s">
        <v>49</v>
      </c>
      <c r="F1880" t="s">
        <v>12</v>
      </c>
      <c r="G1880" t="str">
        <f>HYPERLINK(_xlfn.CONCAT("https://tablet.otzar.org/",CHAR(35),"/exKotar/169094"),"קובץ לחיזוק ההתקשרות - 48 כרכים")</f>
        <v>קובץ לחיזוק ההתקשרות - 48 כרכים</v>
      </c>
      <c r="H1880" t="str">
        <f>_xlfn.CONCAT("https://tablet.otzar.org/",CHAR(35),"/exKotar/169094")</f>
        <v>https://tablet.otzar.org/#/exKotar/169094</v>
      </c>
    </row>
    <row r="1881" spans="1:8" x14ac:dyDescent="0.25">
      <c r="A1881">
        <v>650284</v>
      </c>
      <c r="B1881" t="s">
        <v>2997</v>
      </c>
      <c r="D1881" t="s">
        <v>23</v>
      </c>
      <c r="E1881" t="s">
        <v>166</v>
      </c>
      <c r="G1881" t="str">
        <f>HYPERLINK(_xlfn.CONCAT("https://tablet.otzar.org/",CHAR(35),"/book/650284/p/-1/t/1/fs/0/start/0/end/0/c"),"קובץ לחיזוק התקשרות")</f>
        <v>קובץ לחיזוק התקשרות</v>
      </c>
      <c r="H1881" t="str">
        <f>_xlfn.CONCAT("https://tablet.otzar.org/",CHAR(35),"/book/650284/p/-1/t/1/fs/0/start/0/end/0/c")</f>
        <v>https://tablet.otzar.org/#/book/650284/p/-1/t/1/fs/0/start/0/end/0/c</v>
      </c>
    </row>
    <row r="1882" spans="1:8" x14ac:dyDescent="0.25">
      <c r="A1882">
        <v>85368</v>
      </c>
      <c r="B1882" t="s">
        <v>2998</v>
      </c>
      <c r="C1882" t="s">
        <v>125</v>
      </c>
      <c r="D1882" t="s">
        <v>10</v>
      </c>
      <c r="E1882" t="s">
        <v>2999</v>
      </c>
      <c r="F1882" t="s">
        <v>12</v>
      </c>
      <c r="G1882" t="str">
        <f>HYPERLINK(_xlfn.CONCAT("https://tablet.otzar.org/",CHAR(35),"/book/85368/p/-1/t/1/fs/0/start/0/end/0/c"),"קובץ ליובאוויטש - יד")</f>
        <v>קובץ ליובאוויטש - יד</v>
      </c>
      <c r="H1882" t="str">
        <f>_xlfn.CONCAT("https://tablet.otzar.org/",CHAR(35),"/book/85368/p/-1/t/1/fs/0/start/0/end/0/c")</f>
        <v>https://tablet.otzar.org/#/book/85368/p/-1/t/1/fs/0/start/0/end/0/c</v>
      </c>
    </row>
    <row r="1883" spans="1:8" x14ac:dyDescent="0.25">
      <c r="A1883">
        <v>193151</v>
      </c>
      <c r="B1883" t="s">
        <v>3000</v>
      </c>
      <c r="C1883" t="s">
        <v>3001</v>
      </c>
      <c r="D1883" t="s">
        <v>10</v>
      </c>
      <c r="E1883" t="s">
        <v>88</v>
      </c>
      <c r="F1883" t="s">
        <v>12</v>
      </c>
      <c r="G1883" t="str">
        <f>HYPERLINK(_xlfn.CONCAT("https://tablet.otzar.org/",CHAR(35),"/book/193151/p/-1/t/1/fs/0/start/0/end/0/c"),"קובץ ליובאוויטש - כל החלקים")</f>
        <v>קובץ ליובאוויטש - כל החלקים</v>
      </c>
      <c r="H1883" t="str">
        <f>_xlfn.CONCAT("https://tablet.otzar.org/",CHAR(35),"/book/193151/p/-1/t/1/fs/0/start/0/end/0/c")</f>
        <v>https://tablet.otzar.org/#/book/193151/p/-1/t/1/fs/0/start/0/end/0/c</v>
      </c>
    </row>
    <row r="1884" spans="1:8" x14ac:dyDescent="0.25">
      <c r="A1884">
        <v>616772</v>
      </c>
      <c r="B1884" t="s">
        <v>3002</v>
      </c>
      <c r="C1884" t="s">
        <v>904</v>
      </c>
      <c r="D1884" t="s">
        <v>15</v>
      </c>
      <c r="E1884" t="s">
        <v>115</v>
      </c>
      <c r="F1884" t="s">
        <v>12</v>
      </c>
      <c r="G1884" t="str">
        <f>HYPERLINK(_xlfn.CONCAT("https://tablet.otzar.org/",CHAR(35),"/book/616772/p/-1/t/1/fs/0/start/0/end/0/c"),"קובץ לימוד - שבת הכנה לג' תמוז")</f>
        <v>קובץ לימוד - שבת הכנה לג' תמוז</v>
      </c>
      <c r="H1884" t="str">
        <f>_xlfn.CONCAT("https://tablet.otzar.org/",CHAR(35),"/book/616772/p/-1/t/1/fs/0/start/0/end/0/c")</f>
        <v>https://tablet.otzar.org/#/book/616772/p/-1/t/1/fs/0/start/0/end/0/c</v>
      </c>
    </row>
    <row r="1885" spans="1:8" x14ac:dyDescent="0.25">
      <c r="A1885">
        <v>616800</v>
      </c>
      <c r="B1885" t="s">
        <v>3003</v>
      </c>
      <c r="C1885" t="s">
        <v>3004</v>
      </c>
      <c r="D1885" t="s">
        <v>28</v>
      </c>
      <c r="E1885" t="s">
        <v>115</v>
      </c>
      <c r="F1885" t="s">
        <v>12</v>
      </c>
      <c r="G1885" t="str">
        <f>HYPERLINK(_xlfn.CONCAT("https://tablet.otzar.org/",CHAR(35),"/book/616800/p/-1/t/1/fs/0/start/0/end/0/c"),"קובץ לימוד - אייר-מנחם אב תשע""""ח")</f>
        <v>קובץ לימוד - אייר-מנחם אב תשע""ח</v>
      </c>
      <c r="H1885" t="str">
        <f>_xlfn.CONCAT("https://tablet.otzar.org/",CHAR(35),"/book/616800/p/-1/t/1/fs/0/start/0/end/0/c")</f>
        <v>https://tablet.otzar.org/#/book/616800/p/-1/t/1/fs/0/start/0/end/0/c</v>
      </c>
    </row>
    <row r="1886" spans="1:8" x14ac:dyDescent="0.25">
      <c r="A1886">
        <v>629549</v>
      </c>
      <c r="B1886" t="s">
        <v>482</v>
      </c>
      <c r="C1886" t="s">
        <v>3005</v>
      </c>
      <c r="D1886" t="s">
        <v>28</v>
      </c>
      <c r="E1886" t="s">
        <v>11</v>
      </c>
      <c r="F1886" t="s">
        <v>12</v>
      </c>
      <c r="G1886" t="str">
        <f>HYPERLINK(_xlfn.CONCAT("https://tablet.otzar.org/",CHAR(35),"/book/629549/p/-1/t/1/fs/0/start/0/end/0/c"),"קובץ לימוד")</f>
        <v>קובץ לימוד</v>
      </c>
      <c r="H1886" t="str">
        <f>_xlfn.CONCAT("https://tablet.otzar.org/",CHAR(35),"/book/629549/p/-1/t/1/fs/0/start/0/end/0/c")</f>
        <v>https://tablet.otzar.org/#/book/629549/p/-1/t/1/fs/0/start/0/end/0/c</v>
      </c>
    </row>
    <row r="1887" spans="1:8" x14ac:dyDescent="0.25">
      <c r="A1887">
        <v>650265</v>
      </c>
      <c r="B1887" t="s">
        <v>3006</v>
      </c>
      <c r="C1887" t="s">
        <v>482</v>
      </c>
      <c r="D1887" t="s">
        <v>28</v>
      </c>
      <c r="E1887" t="s">
        <v>166</v>
      </c>
      <c r="G1887" t="str">
        <f>HYPERLINK(_xlfn.CONCAT("https://tablet.otzar.org/",CHAR(35),"/exKotar/650265"),"קובץ לימוד - 38 כרכים")</f>
        <v>קובץ לימוד - 38 כרכים</v>
      </c>
      <c r="H1887" t="str">
        <f>_xlfn.CONCAT("https://tablet.otzar.org/",CHAR(35),"/exKotar/650265")</f>
        <v>https://tablet.otzar.org/#/exKotar/650265</v>
      </c>
    </row>
    <row r="1888" spans="1:8" x14ac:dyDescent="0.25">
      <c r="A1888">
        <v>611996</v>
      </c>
      <c r="B1888" t="s">
        <v>3007</v>
      </c>
      <c r="C1888" t="s">
        <v>3008</v>
      </c>
      <c r="D1888" t="s">
        <v>28</v>
      </c>
      <c r="E1888" t="s">
        <v>404</v>
      </c>
      <c r="F1888" t="s">
        <v>12</v>
      </c>
      <c r="G1888" t="str">
        <f>HYPERLINK(_xlfn.CONCAT("https://tablet.otzar.org/",CHAR(35),"/book/611996/p/-1/t/1/fs/0/start/0/end/0/c"),"קובץ לימוד ימים הסמוכים לכ מנחם אב")</f>
        <v>קובץ לימוד ימים הסמוכים לכ מנחם אב</v>
      </c>
      <c r="H1888" t="str">
        <f>_xlfn.CONCAT("https://tablet.otzar.org/",CHAR(35),"/book/611996/p/-1/t/1/fs/0/start/0/end/0/c")</f>
        <v>https://tablet.otzar.org/#/book/611996/p/-1/t/1/fs/0/start/0/end/0/c</v>
      </c>
    </row>
    <row r="1889" spans="1:8" x14ac:dyDescent="0.25">
      <c r="A1889">
        <v>607669</v>
      </c>
      <c r="B1889" t="s">
        <v>3009</v>
      </c>
      <c r="C1889" t="s">
        <v>482</v>
      </c>
      <c r="D1889" t="s">
        <v>15</v>
      </c>
      <c r="E1889" t="s">
        <v>19</v>
      </c>
      <c r="F1889" t="s">
        <v>12</v>
      </c>
      <c r="G1889" t="str">
        <f>HYPERLINK(_xlfn.CONCAT("https://tablet.otzar.org/",CHAR(35),"/book/607669/p/-1/t/1/fs/0/start/0/end/0/c"),"קובץ לימוד מתנה לרבי")</f>
        <v>קובץ לימוד מתנה לרבי</v>
      </c>
      <c r="H1889" t="str">
        <f>_xlfn.CONCAT("https://tablet.otzar.org/",CHAR(35),"/book/607669/p/-1/t/1/fs/0/start/0/end/0/c")</f>
        <v>https://tablet.otzar.org/#/book/607669/p/-1/t/1/fs/0/start/0/end/0/c</v>
      </c>
    </row>
    <row r="1890" spans="1:8" x14ac:dyDescent="0.25">
      <c r="A1890">
        <v>141537</v>
      </c>
      <c r="B1890" t="s">
        <v>3010</v>
      </c>
      <c r="C1890" t="s">
        <v>3011</v>
      </c>
      <c r="D1890" t="s">
        <v>10</v>
      </c>
      <c r="E1890" t="s">
        <v>2541</v>
      </c>
      <c r="F1890" t="s">
        <v>12</v>
      </c>
      <c r="G1890" t="str">
        <f>HYPERLINK(_xlfn.CONCAT("https://tablet.otzar.org/",CHAR(35),"/exKotar/141537"),"קובץ ליקוטי דינים - 2 כרכים")</f>
        <v>קובץ ליקוטי דינים - 2 כרכים</v>
      </c>
      <c r="H1890" t="str">
        <f>_xlfn.CONCAT("https://tablet.otzar.org/",CHAR(35),"/exKotar/141537")</f>
        <v>https://tablet.otzar.org/#/exKotar/141537</v>
      </c>
    </row>
    <row r="1891" spans="1:8" x14ac:dyDescent="0.25">
      <c r="A1891">
        <v>27602</v>
      </c>
      <c r="B1891" t="s">
        <v>3012</v>
      </c>
      <c r="C1891" t="s">
        <v>125</v>
      </c>
      <c r="D1891" t="s">
        <v>118</v>
      </c>
      <c r="E1891" t="s">
        <v>129</v>
      </c>
      <c r="F1891" t="s">
        <v>12</v>
      </c>
      <c r="G1891" t="str">
        <f>HYPERLINK(_xlfn.CONCAT("https://tablet.otzar.org/",CHAR(35),"/book/27602/p/-1/t/1/fs/0/start/0/end/0/c"),"קובץ לרגל יום הגדול יו""""ד שבט")</f>
        <v>קובץ לרגל יום הגדול יו""ד שבט</v>
      </c>
      <c r="H1891" t="str">
        <f>_xlfn.CONCAT("https://tablet.otzar.org/",CHAR(35),"/book/27602/p/-1/t/1/fs/0/start/0/end/0/c")</f>
        <v>https://tablet.otzar.org/#/book/27602/p/-1/t/1/fs/0/start/0/end/0/c</v>
      </c>
    </row>
    <row r="1892" spans="1:8" x14ac:dyDescent="0.25">
      <c r="A1892">
        <v>27561</v>
      </c>
      <c r="B1892" t="s">
        <v>3013</v>
      </c>
      <c r="C1892" t="s">
        <v>724</v>
      </c>
      <c r="D1892" t="s">
        <v>118</v>
      </c>
      <c r="E1892" t="s">
        <v>129</v>
      </c>
      <c r="F1892" t="s">
        <v>12</v>
      </c>
      <c r="G1892" t="str">
        <f>HYPERLINK(_xlfn.CONCAT("https://tablet.otzar.org/",CHAR(35),"/book/27561/p/-1/t/1/fs/0/start/0/end/0/c"),"קובץ לרגל יום כ""""ב שבט")</f>
        <v>קובץ לרגל יום כ""ב שבט</v>
      </c>
      <c r="H1892" t="str">
        <f>_xlfn.CONCAT("https://tablet.otzar.org/",CHAR(35),"/book/27561/p/-1/t/1/fs/0/start/0/end/0/c")</f>
        <v>https://tablet.otzar.org/#/book/27561/p/-1/t/1/fs/0/start/0/end/0/c</v>
      </c>
    </row>
    <row r="1893" spans="1:8" x14ac:dyDescent="0.25">
      <c r="A1893">
        <v>145653</v>
      </c>
      <c r="B1893" t="s">
        <v>3014</v>
      </c>
      <c r="C1893" t="s">
        <v>45</v>
      </c>
      <c r="D1893" t="s">
        <v>10</v>
      </c>
      <c r="E1893" t="s">
        <v>79</v>
      </c>
      <c r="F1893" t="s">
        <v>251</v>
      </c>
      <c r="G1893" t="str">
        <f>HYPERLINK(_xlfn.CONCAT("https://tablet.otzar.org/",CHAR(35),"/book/145653/p/-1/t/1/fs/0/start/0/end/0/c"),"קובץ מאה שנה")</f>
        <v>קובץ מאה שנה</v>
      </c>
      <c r="H1893" t="str">
        <f>_xlfn.CONCAT("https://tablet.otzar.org/",CHAR(35),"/book/145653/p/-1/t/1/fs/0/start/0/end/0/c")</f>
        <v>https://tablet.otzar.org/#/book/145653/p/-1/t/1/fs/0/start/0/end/0/c</v>
      </c>
    </row>
    <row r="1894" spans="1:8" x14ac:dyDescent="0.25">
      <c r="A1894">
        <v>145512</v>
      </c>
      <c r="B1894" t="s">
        <v>3015</v>
      </c>
      <c r="C1894" t="s">
        <v>125</v>
      </c>
      <c r="D1894" t="s">
        <v>1594</v>
      </c>
      <c r="E1894" t="s">
        <v>346</v>
      </c>
      <c r="F1894" t="s">
        <v>251</v>
      </c>
      <c r="G1894" t="str">
        <f>HYPERLINK(_xlfn.CONCAT("https://tablet.otzar.org/",CHAR(35),"/book/145512/p/-1/t/1/fs/0/start/0/end/0/c"),"קובץ מאור עינים")</f>
        <v>קובץ מאור עינים</v>
      </c>
      <c r="H1894" t="str">
        <f>_xlfn.CONCAT("https://tablet.otzar.org/",CHAR(35),"/book/145512/p/-1/t/1/fs/0/start/0/end/0/c")</f>
        <v>https://tablet.otzar.org/#/book/145512/p/-1/t/1/fs/0/start/0/end/0/c</v>
      </c>
    </row>
    <row r="1895" spans="1:8" x14ac:dyDescent="0.25">
      <c r="A1895">
        <v>145654</v>
      </c>
      <c r="B1895" t="s">
        <v>3016</v>
      </c>
      <c r="C1895" t="s">
        <v>3017</v>
      </c>
      <c r="D1895" t="s">
        <v>37</v>
      </c>
      <c r="E1895" t="s">
        <v>3018</v>
      </c>
      <c r="F1895" t="s">
        <v>251</v>
      </c>
      <c r="G1895" t="str">
        <f>HYPERLINK(_xlfn.CONCAT("https://tablet.otzar.org/",CHAR(35),"/book/145654/p/-1/t/1/fs/0/start/0/end/0/c"),"קובץ מאמרים")</f>
        <v>קובץ מאמרים</v>
      </c>
      <c r="H1895" t="str">
        <f>_xlfn.CONCAT("https://tablet.otzar.org/",CHAR(35),"/book/145654/p/-1/t/1/fs/0/start/0/end/0/c")</f>
        <v>https://tablet.otzar.org/#/book/145654/p/-1/t/1/fs/0/start/0/end/0/c</v>
      </c>
    </row>
    <row r="1896" spans="1:8" x14ac:dyDescent="0.25">
      <c r="A1896">
        <v>28008</v>
      </c>
      <c r="B1896" t="s">
        <v>3019</v>
      </c>
      <c r="C1896" t="s">
        <v>3020</v>
      </c>
      <c r="D1896" t="s">
        <v>191</v>
      </c>
      <c r="E1896" t="s">
        <v>382</v>
      </c>
      <c r="F1896" t="s">
        <v>12</v>
      </c>
      <c r="G1896" t="str">
        <f>HYPERLINK(_xlfn.CONCAT("https://tablet.otzar.org/",CHAR(35),"/exKotar/28008"),"קובץ מאמרים וסיפורים - 3 כרכים")</f>
        <v>קובץ מאמרים וסיפורים - 3 כרכים</v>
      </c>
      <c r="H1896" t="str">
        <f>_xlfn.CONCAT("https://tablet.otzar.org/",CHAR(35),"/exKotar/28008")</f>
        <v>https://tablet.otzar.org/#/exKotar/28008</v>
      </c>
    </row>
    <row r="1897" spans="1:8" x14ac:dyDescent="0.25">
      <c r="A1897">
        <v>646898</v>
      </c>
      <c r="B1897" t="s">
        <v>3021</v>
      </c>
      <c r="C1897" t="s">
        <v>3022</v>
      </c>
      <c r="D1897" t="s">
        <v>2037</v>
      </c>
      <c r="E1897" t="s">
        <v>24</v>
      </c>
      <c r="G1897" t="str">
        <f>HYPERLINK(_xlfn.CONCAT("https://tablet.otzar.org/",CHAR(35),"/exKotar/646898"),"קובץ מגדל אור - 3 כרכים")</f>
        <v>קובץ מגדל אור - 3 כרכים</v>
      </c>
      <c r="H1897" t="str">
        <f>_xlfn.CONCAT("https://tablet.otzar.org/",CHAR(35),"/exKotar/646898")</f>
        <v>https://tablet.otzar.org/#/exKotar/646898</v>
      </c>
    </row>
    <row r="1898" spans="1:8" x14ac:dyDescent="0.25">
      <c r="A1898">
        <v>141410</v>
      </c>
      <c r="B1898" t="s">
        <v>3023</v>
      </c>
      <c r="C1898" t="s">
        <v>125</v>
      </c>
      <c r="D1898" t="s">
        <v>387</v>
      </c>
      <c r="E1898" t="s">
        <v>382</v>
      </c>
      <c r="F1898" t="s">
        <v>12</v>
      </c>
      <c r="G1898" t="str">
        <f>HYPERLINK(_xlfn.CONCAT("https://tablet.otzar.org/",CHAR(35),"/book/141410/p/-1/t/1/fs/0/start/0/end/0/c"),"קובץ מיוחד בעניני פסחים")</f>
        <v>קובץ מיוחד בעניני פסחים</v>
      </c>
      <c r="H1898" t="str">
        <f>_xlfn.CONCAT("https://tablet.otzar.org/",CHAR(35),"/book/141410/p/-1/t/1/fs/0/start/0/end/0/c")</f>
        <v>https://tablet.otzar.org/#/book/141410/p/-1/t/1/fs/0/start/0/end/0/c</v>
      </c>
    </row>
    <row r="1899" spans="1:8" x14ac:dyDescent="0.25">
      <c r="A1899">
        <v>141360</v>
      </c>
      <c r="B1899" t="s">
        <v>3024</v>
      </c>
      <c r="C1899" t="s">
        <v>125</v>
      </c>
      <c r="D1899" t="s">
        <v>37</v>
      </c>
      <c r="E1899" t="s">
        <v>515</v>
      </c>
      <c r="F1899" t="s">
        <v>12</v>
      </c>
      <c r="G1899" t="str">
        <f>HYPERLINK(_xlfn.CONCAT("https://tablet.otzar.org/",CHAR(35),"/book/141360/p/-1/t/1/fs/0/start/0/end/0/c"),"קובץ מיוחד לחידושי תורה וענייני הלכה")</f>
        <v>קובץ מיוחד לחידושי תורה וענייני הלכה</v>
      </c>
      <c r="H1899" t="str">
        <f>_xlfn.CONCAT("https://tablet.otzar.org/",CHAR(35),"/book/141360/p/-1/t/1/fs/0/start/0/end/0/c")</f>
        <v>https://tablet.otzar.org/#/book/141360/p/-1/t/1/fs/0/start/0/end/0/c</v>
      </c>
    </row>
    <row r="1900" spans="1:8" x14ac:dyDescent="0.25">
      <c r="A1900">
        <v>145843</v>
      </c>
      <c r="B1900" t="s">
        <v>3025</v>
      </c>
      <c r="C1900" t="s">
        <v>3026</v>
      </c>
      <c r="D1900" t="s">
        <v>37</v>
      </c>
      <c r="E1900" t="s">
        <v>103</v>
      </c>
      <c r="F1900" t="s">
        <v>251</v>
      </c>
      <c r="G1900" t="str">
        <f>HYPERLINK(_xlfn.CONCAT("https://tablet.otzar.org/",CHAR(35),"/exKotar/145843"),"קובץ מכינה - 2 כרכים")</f>
        <v>קובץ מכינה - 2 כרכים</v>
      </c>
      <c r="H1900" t="str">
        <f>_xlfn.CONCAT("https://tablet.otzar.org/",CHAR(35),"/exKotar/145843")</f>
        <v>https://tablet.otzar.org/#/exKotar/145843</v>
      </c>
    </row>
    <row r="1901" spans="1:8" x14ac:dyDescent="0.25">
      <c r="A1901">
        <v>687692</v>
      </c>
      <c r="B1901" t="s">
        <v>3027</v>
      </c>
      <c r="C1901" t="s">
        <v>1523</v>
      </c>
      <c r="F1901" t="s">
        <v>12</v>
      </c>
      <c r="G1901" t="str">
        <f>HYPERLINK(_xlfn.CONCAT("https://tablet.otzar.org/",CHAR(35),"/book/687692/p/-1/t/1/fs/0/start/0/end/0/c"),"קובץ מכתבי ר' לוי יצחק")</f>
        <v>קובץ מכתבי ר' לוי יצחק</v>
      </c>
      <c r="H1901" t="str">
        <f>_xlfn.CONCAT("https://tablet.otzar.org/",CHAR(35),"/book/687692/p/-1/t/1/fs/0/start/0/end/0/c")</f>
        <v>https://tablet.otzar.org/#/book/687692/p/-1/t/1/fs/0/start/0/end/0/c</v>
      </c>
    </row>
    <row r="1902" spans="1:8" x14ac:dyDescent="0.25">
      <c r="A1902">
        <v>613905</v>
      </c>
      <c r="B1902" t="s">
        <v>3028</v>
      </c>
      <c r="C1902" t="s">
        <v>3029</v>
      </c>
      <c r="D1902" t="s">
        <v>10</v>
      </c>
      <c r="E1902" t="s">
        <v>115</v>
      </c>
      <c r="F1902" t="s">
        <v>342</v>
      </c>
      <c r="G1902" t="str">
        <f>HYPERLINK(_xlfn.CONCAT("https://tablet.otzar.org/",CHAR(35),"/book/613905/p/-1/t/1/fs/0/start/0/end/0/c"),"קובץ מכתבי ר' שמואל נאטיק")</f>
        <v>קובץ מכתבי ר' שמואל נאטיק</v>
      </c>
      <c r="H1902" t="str">
        <f>_xlfn.CONCAT("https://tablet.otzar.org/",CHAR(35),"/book/613905/p/-1/t/1/fs/0/start/0/end/0/c")</f>
        <v>https://tablet.otzar.org/#/book/613905/p/-1/t/1/fs/0/start/0/end/0/c</v>
      </c>
    </row>
    <row r="1903" spans="1:8" x14ac:dyDescent="0.25">
      <c r="A1903">
        <v>146334</v>
      </c>
      <c r="B1903" t="s">
        <v>3030</v>
      </c>
      <c r="C1903" t="s">
        <v>3031</v>
      </c>
      <c r="D1903" t="s">
        <v>10</v>
      </c>
      <c r="E1903" t="s">
        <v>46</v>
      </c>
      <c r="F1903" t="s">
        <v>694</v>
      </c>
      <c r="G1903" t="str">
        <f>HYPERLINK(_xlfn.CONCAT("https://tablet.otzar.org/",CHAR(35),"/book/146334/p/-1/t/1/fs/0/start/0/end/0/c"),"קובץ מנהגי חב""""ד - בעניני הריון, לידה, ברית, פדיון הבן, ולידת בת")</f>
        <v>קובץ מנהגי חב""ד - בעניני הריון, לידה, ברית, פדיון הבן, ולידת בת</v>
      </c>
      <c r="H1903" t="str">
        <f>_xlfn.CONCAT("https://tablet.otzar.org/",CHAR(35),"/book/146334/p/-1/t/1/fs/0/start/0/end/0/c")</f>
        <v>https://tablet.otzar.org/#/book/146334/p/-1/t/1/fs/0/start/0/end/0/c</v>
      </c>
    </row>
    <row r="1904" spans="1:8" x14ac:dyDescent="0.25">
      <c r="A1904">
        <v>27521</v>
      </c>
      <c r="B1904" t="s">
        <v>3032</v>
      </c>
      <c r="C1904" t="s">
        <v>125</v>
      </c>
      <c r="D1904" t="s">
        <v>882</v>
      </c>
      <c r="E1904" t="s">
        <v>66</v>
      </c>
      <c r="F1904" t="s">
        <v>12</v>
      </c>
      <c r="G1904" t="str">
        <f>HYPERLINK(_xlfn.CONCAT("https://tablet.otzar.org/",CHAR(35),"/book/27521/p/-1/t/1/fs/0/start/0/end/0/c"),"קובץ מעדני מלך")</f>
        <v>קובץ מעדני מלך</v>
      </c>
      <c r="H1904" t="str">
        <f>_xlfn.CONCAT("https://tablet.otzar.org/",CHAR(35),"/book/27521/p/-1/t/1/fs/0/start/0/end/0/c")</f>
        <v>https://tablet.otzar.org/#/book/27521/p/-1/t/1/fs/0/start/0/end/0/c</v>
      </c>
    </row>
    <row r="1905" spans="1:8" x14ac:dyDescent="0.25">
      <c r="A1905">
        <v>157307</v>
      </c>
      <c r="B1905" t="s">
        <v>3033</v>
      </c>
      <c r="C1905" t="s">
        <v>125</v>
      </c>
      <c r="D1905" t="s">
        <v>387</v>
      </c>
      <c r="E1905" t="s">
        <v>91</v>
      </c>
      <c r="F1905" t="s">
        <v>12</v>
      </c>
      <c r="G1905" t="str">
        <f>HYPERLINK(_xlfn.CONCAT("https://tablet.otzar.org/",CHAR(35),"/book/157307/p/-1/t/1/fs/0/start/0/end/0/c"),"קובץ מעיני ישראל")</f>
        <v>קובץ מעיני ישראל</v>
      </c>
      <c r="H1905" t="str">
        <f>_xlfn.CONCAT("https://tablet.otzar.org/",CHAR(35),"/book/157307/p/-1/t/1/fs/0/start/0/end/0/c")</f>
        <v>https://tablet.otzar.org/#/book/157307/p/-1/t/1/fs/0/start/0/end/0/c</v>
      </c>
    </row>
    <row r="1906" spans="1:8" x14ac:dyDescent="0.25">
      <c r="A1906">
        <v>27164</v>
      </c>
      <c r="B1906" t="s">
        <v>3034</v>
      </c>
      <c r="C1906" t="s">
        <v>125</v>
      </c>
      <c r="D1906" t="s">
        <v>440</v>
      </c>
      <c r="E1906" t="s">
        <v>217</v>
      </c>
      <c r="F1906" t="s">
        <v>12</v>
      </c>
      <c r="G1906" t="str">
        <f>HYPERLINK(_xlfn.CONCAT("https://tablet.otzar.org/",CHAR(35),"/book/27164/p/-1/t/1/fs/0/start/0/end/0/c"),"קובץ מקדש מלך - ד")</f>
        <v>קובץ מקדש מלך - ד</v>
      </c>
      <c r="H1906" t="str">
        <f>_xlfn.CONCAT("https://tablet.otzar.org/",CHAR(35),"/book/27164/p/-1/t/1/fs/0/start/0/end/0/c")</f>
        <v>https://tablet.otzar.org/#/book/27164/p/-1/t/1/fs/0/start/0/end/0/c</v>
      </c>
    </row>
    <row r="1907" spans="1:8" x14ac:dyDescent="0.25">
      <c r="A1907">
        <v>145519</v>
      </c>
      <c r="B1907" t="s">
        <v>3035</v>
      </c>
      <c r="C1907" t="s">
        <v>45</v>
      </c>
      <c r="D1907" t="s">
        <v>1084</v>
      </c>
      <c r="E1907" t="s">
        <v>250</v>
      </c>
      <c r="F1907" t="s">
        <v>251</v>
      </c>
      <c r="G1907" t="str">
        <f>HYPERLINK(_xlfn.CONCAT("https://tablet.otzar.org/",CHAR(35),"/book/145519/p/-1/t/1/fs/0/start/0/end/0/c"),"קובץ מראי מקומות על הצעת תוכן שיחה - שנים אוחזין בטלית")</f>
        <v>קובץ מראי מקומות על הצעת תוכן שיחה - שנים אוחזין בטלית</v>
      </c>
      <c r="H1907" t="str">
        <f>_xlfn.CONCAT("https://tablet.otzar.org/",CHAR(35),"/book/145519/p/-1/t/1/fs/0/start/0/end/0/c")</f>
        <v>https://tablet.otzar.org/#/book/145519/p/-1/t/1/fs/0/start/0/end/0/c</v>
      </c>
    </row>
    <row r="1908" spans="1:8" x14ac:dyDescent="0.25">
      <c r="A1908">
        <v>146554</v>
      </c>
      <c r="B1908" t="s">
        <v>3036</v>
      </c>
      <c r="C1908" t="s">
        <v>125</v>
      </c>
      <c r="D1908" t="s">
        <v>10</v>
      </c>
      <c r="E1908" t="s">
        <v>3037</v>
      </c>
      <c r="F1908" t="s">
        <v>251</v>
      </c>
      <c r="G1908" t="str">
        <f>HYPERLINK(_xlfn.CONCAT("https://tablet.otzar.org/",CHAR(35),"/book/146554/p/-1/t/1/fs/0/start/0/end/0/c"),"קובץ משיח וגאולה - א-ז")</f>
        <v>קובץ משיח וגאולה - א-ז</v>
      </c>
      <c r="H1908" t="str">
        <f>_xlfn.CONCAT("https://tablet.otzar.org/",CHAR(35),"/book/146554/p/-1/t/1/fs/0/start/0/end/0/c")</f>
        <v>https://tablet.otzar.org/#/book/146554/p/-1/t/1/fs/0/start/0/end/0/c</v>
      </c>
    </row>
    <row r="1909" spans="1:8" x14ac:dyDescent="0.25">
      <c r="A1909">
        <v>621973</v>
      </c>
      <c r="B1909" t="s">
        <v>3038</v>
      </c>
      <c r="C1909" t="s">
        <v>45</v>
      </c>
      <c r="D1909" t="s">
        <v>10</v>
      </c>
      <c r="E1909" t="s">
        <v>11</v>
      </c>
      <c r="F1909" t="s">
        <v>12</v>
      </c>
      <c r="G1909" t="str">
        <f>HYPERLINK(_xlfn.CONCAT("https://tablet.otzar.org/",CHAR(35),"/book/621973/p/-1/t/1/fs/0/start/0/end/0/c"),"קובץ נישואי צדי""""ק")</f>
        <v>קובץ נישואי צדי""ק</v>
      </c>
      <c r="H1909" t="str">
        <f>_xlfn.CONCAT("https://tablet.otzar.org/",CHAR(35),"/book/621973/p/-1/t/1/fs/0/start/0/end/0/c")</f>
        <v>https://tablet.otzar.org/#/book/621973/p/-1/t/1/fs/0/start/0/end/0/c</v>
      </c>
    </row>
    <row r="1910" spans="1:8" x14ac:dyDescent="0.25">
      <c r="A1910">
        <v>145804</v>
      </c>
      <c r="B1910" t="s">
        <v>3039</v>
      </c>
      <c r="C1910" t="s">
        <v>36</v>
      </c>
      <c r="D1910" t="s">
        <v>28</v>
      </c>
      <c r="E1910" t="s">
        <v>29</v>
      </c>
      <c r="F1910" t="s">
        <v>251</v>
      </c>
      <c r="G1910" t="str">
        <f>HYPERLINK(_xlfn.CONCAT("https://tablet.otzar.org/",CHAR(35),"/book/145804/p/-1/t/1/fs/0/start/0/end/0/c"),"קובץ נפש חיה למינה")</f>
        <v>קובץ נפש חיה למינה</v>
      </c>
      <c r="H1910" t="str">
        <f>_xlfn.CONCAT("https://tablet.otzar.org/",CHAR(35),"/book/145804/p/-1/t/1/fs/0/start/0/end/0/c")</f>
        <v>https://tablet.otzar.org/#/book/145804/p/-1/t/1/fs/0/start/0/end/0/c</v>
      </c>
    </row>
    <row r="1911" spans="1:8" x14ac:dyDescent="0.25">
      <c r="A1911">
        <v>145836</v>
      </c>
      <c r="B1911" t="s">
        <v>3040</v>
      </c>
      <c r="C1911" t="s">
        <v>3041</v>
      </c>
      <c r="D1911" t="s">
        <v>3042</v>
      </c>
      <c r="E1911" t="s">
        <v>181</v>
      </c>
      <c r="F1911" t="s">
        <v>251</v>
      </c>
      <c r="G1911" t="str">
        <f>HYPERLINK(_xlfn.CONCAT("https://tablet.otzar.org/",CHAR(35),"/book/145836/p/-1/t/1/fs/0/start/0/end/0/c"),"קובץ נר הדרום - ב")</f>
        <v>קובץ נר הדרום - ב</v>
      </c>
      <c r="H1911" t="str">
        <f>_xlfn.CONCAT("https://tablet.otzar.org/",CHAR(35),"/book/145836/p/-1/t/1/fs/0/start/0/end/0/c")</f>
        <v>https://tablet.otzar.org/#/book/145836/p/-1/t/1/fs/0/start/0/end/0/c</v>
      </c>
    </row>
    <row r="1912" spans="1:8" x14ac:dyDescent="0.25">
      <c r="A1912">
        <v>648852</v>
      </c>
      <c r="B1912" t="s">
        <v>3043</v>
      </c>
      <c r="C1912" t="s">
        <v>3044</v>
      </c>
      <c r="D1912" t="s">
        <v>681</v>
      </c>
      <c r="E1912" t="s">
        <v>217</v>
      </c>
      <c r="G1912" t="str">
        <f>HYPERLINK(_xlfn.CONCAT("https://tablet.otzar.org/",CHAR(35),"/book/648852/p/-1/t/1/fs/0/start/0/end/0/c"),"קובץ נר למאה")</f>
        <v>קובץ נר למאה</v>
      </c>
      <c r="H1912" t="str">
        <f>_xlfn.CONCAT("https://tablet.otzar.org/",CHAR(35),"/book/648852/p/-1/t/1/fs/0/start/0/end/0/c")</f>
        <v>https://tablet.otzar.org/#/book/648852/p/-1/t/1/fs/0/start/0/end/0/c</v>
      </c>
    </row>
    <row r="1913" spans="1:8" x14ac:dyDescent="0.25">
      <c r="A1913">
        <v>607778</v>
      </c>
      <c r="B1913" t="s">
        <v>3045</v>
      </c>
      <c r="D1913" t="s">
        <v>10</v>
      </c>
      <c r="E1913" t="s">
        <v>99</v>
      </c>
      <c r="F1913" t="s">
        <v>12</v>
      </c>
      <c r="G1913" t="str">
        <f>HYPERLINK(_xlfn.CONCAT("https://tablet.otzar.org/",CHAR(35),"/book/607778/p/-1/t/1/fs/0/start/0/end/0/c"),"קובץ נשיא הדור")</f>
        <v>קובץ נשיא הדור</v>
      </c>
      <c r="H1913" t="str">
        <f>_xlfn.CONCAT("https://tablet.otzar.org/",CHAR(35),"/book/607778/p/-1/t/1/fs/0/start/0/end/0/c")</f>
        <v>https://tablet.otzar.org/#/book/607778/p/-1/t/1/fs/0/start/0/end/0/c</v>
      </c>
    </row>
    <row r="1914" spans="1:8" x14ac:dyDescent="0.25">
      <c r="A1914">
        <v>614810</v>
      </c>
      <c r="B1914" t="s">
        <v>3046</v>
      </c>
      <c r="D1914" t="s">
        <v>159</v>
      </c>
      <c r="E1914" t="s">
        <v>62</v>
      </c>
      <c r="F1914" t="s">
        <v>12</v>
      </c>
      <c r="G1914" t="str">
        <f>HYPERLINK(_xlfn.CONCAT("https://tablet.otzar.org/",CHAR(35),"/book/614810/p/-1/t/1/fs/0/start/0/end/0/c"),"קובץ נשיאן של ישראל")</f>
        <v>קובץ נשיאן של ישראל</v>
      </c>
      <c r="H1914" t="str">
        <f>_xlfn.CONCAT("https://tablet.otzar.org/",CHAR(35),"/book/614810/p/-1/t/1/fs/0/start/0/end/0/c")</f>
        <v>https://tablet.otzar.org/#/book/614810/p/-1/t/1/fs/0/start/0/end/0/c</v>
      </c>
    </row>
    <row r="1915" spans="1:8" x14ac:dyDescent="0.25">
      <c r="A1915">
        <v>640496</v>
      </c>
      <c r="B1915" t="s">
        <v>3047</v>
      </c>
      <c r="E1915" t="s">
        <v>88</v>
      </c>
      <c r="G1915" t="str">
        <f>HYPERLINK(_xlfn.CONCAT("https://tablet.otzar.org/",CHAR(35),"/book/640496/p/-1/t/1/fs/0/start/0/end/0/c"),"קובץ סדר בשליחות (תדפיס)")</f>
        <v>קובץ סדר בשליחות (תדפיס)</v>
      </c>
      <c r="H1915" t="str">
        <f>_xlfn.CONCAT("https://tablet.otzar.org/",CHAR(35),"/book/640496/p/-1/t/1/fs/0/start/0/end/0/c")</f>
        <v>https://tablet.otzar.org/#/book/640496/p/-1/t/1/fs/0/start/0/end/0/c</v>
      </c>
    </row>
    <row r="1916" spans="1:8" x14ac:dyDescent="0.25">
      <c r="A1916">
        <v>160815</v>
      </c>
      <c r="B1916" t="s">
        <v>3048</v>
      </c>
      <c r="C1916" t="s">
        <v>45</v>
      </c>
      <c r="D1916" t="s">
        <v>10</v>
      </c>
      <c r="E1916" t="s">
        <v>181</v>
      </c>
      <c r="F1916" t="s">
        <v>76</v>
      </c>
      <c r="G1916" t="str">
        <f>HYPERLINK(_xlfn.CONCAT("https://tablet.otzar.org/",CHAR(35),"/exKotar/160815"),"קובץ סיפורים עם ביאורים והוראות בעבודת ה' - 3 כרכים")</f>
        <v>קובץ סיפורים עם ביאורים והוראות בעבודת ה' - 3 כרכים</v>
      </c>
      <c r="H1916" t="str">
        <f>_xlfn.CONCAT("https://tablet.otzar.org/",CHAR(35),"/exKotar/160815")</f>
        <v>https://tablet.otzar.org/#/exKotar/160815</v>
      </c>
    </row>
    <row r="1917" spans="1:8" x14ac:dyDescent="0.25">
      <c r="A1917">
        <v>27645</v>
      </c>
      <c r="B1917" t="s">
        <v>3049</v>
      </c>
      <c r="C1917" t="s">
        <v>3049</v>
      </c>
      <c r="D1917" t="s">
        <v>3050</v>
      </c>
      <c r="E1917" t="s">
        <v>103</v>
      </c>
      <c r="F1917" t="s">
        <v>12</v>
      </c>
      <c r="G1917" t="str">
        <f>HYPERLINK(_xlfn.CONCAT("https://tablet.otzar.org/",CHAR(35),"/book/27645/p/-1/t/1/fs/0/start/0/end/0/c"),"קובץ עטרה ליושנה")</f>
        <v>קובץ עטרה ליושנה</v>
      </c>
      <c r="H1917" t="str">
        <f>_xlfn.CONCAT("https://tablet.otzar.org/",CHAR(35),"/book/27645/p/-1/t/1/fs/0/start/0/end/0/c")</f>
        <v>https://tablet.otzar.org/#/book/27645/p/-1/t/1/fs/0/start/0/end/0/c</v>
      </c>
    </row>
    <row r="1918" spans="1:8" x14ac:dyDescent="0.25">
      <c r="A1918">
        <v>145661</v>
      </c>
      <c r="B1918" t="s">
        <v>3051</v>
      </c>
      <c r="C1918" t="s">
        <v>3052</v>
      </c>
      <c r="D1918" t="s">
        <v>535</v>
      </c>
      <c r="E1918" t="s">
        <v>29</v>
      </c>
      <c r="F1918" t="s">
        <v>3053</v>
      </c>
      <c r="G1918" t="str">
        <f>HYPERLINK(_xlfn.CONCAT("https://tablet.otzar.org/",CHAR(35),"/book/145661/p/-1/t/1/fs/0/start/0/end/0/c"),"קובץ עיון תפלה - א")</f>
        <v>קובץ עיון תפלה - א</v>
      </c>
      <c r="H1918" t="str">
        <f>_xlfn.CONCAT("https://tablet.otzar.org/",CHAR(35),"/book/145661/p/-1/t/1/fs/0/start/0/end/0/c")</f>
        <v>https://tablet.otzar.org/#/book/145661/p/-1/t/1/fs/0/start/0/end/0/c</v>
      </c>
    </row>
    <row r="1919" spans="1:8" x14ac:dyDescent="0.25">
      <c r="A1919">
        <v>145918</v>
      </c>
      <c r="B1919" t="s">
        <v>3054</v>
      </c>
      <c r="C1919" t="s">
        <v>125</v>
      </c>
      <c r="D1919" t="s">
        <v>2181</v>
      </c>
      <c r="E1919" t="s">
        <v>3055</v>
      </c>
      <c r="F1919" t="s">
        <v>251</v>
      </c>
      <c r="G1919" t="str">
        <f>HYPERLINK(_xlfn.CONCAT("https://tablet.otzar.org/",CHAR(35),"/exKotar/145918"),"קובץ עיוני תורה - 12 כרכים")</f>
        <v>קובץ עיוני תורה - 12 כרכים</v>
      </c>
      <c r="H1919" t="str">
        <f>_xlfn.CONCAT("https://tablet.otzar.org/",CHAR(35),"/exKotar/145918")</f>
        <v>https://tablet.otzar.org/#/exKotar/145918</v>
      </c>
    </row>
    <row r="1920" spans="1:8" x14ac:dyDescent="0.25">
      <c r="A1920">
        <v>622045</v>
      </c>
      <c r="B1920" t="s">
        <v>3056</v>
      </c>
      <c r="C1920" t="s">
        <v>3057</v>
      </c>
      <c r="D1920" t="s">
        <v>37</v>
      </c>
      <c r="E1920" t="s">
        <v>88</v>
      </c>
      <c r="F1920" t="s">
        <v>163</v>
      </c>
      <c r="G1920" t="str">
        <f>HYPERLINK(_xlfn.CONCAT("https://tablet.otzar.org/",CHAR(35),"/exKotar/622045"),"קובץ עיונים בתורת החסידות - 2 כרכים")</f>
        <v>קובץ עיונים בתורת החסידות - 2 כרכים</v>
      </c>
      <c r="H1920" t="str">
        <f>_xlfn.CONCAT("https://tablet.otzar.org/",CHAR(35),"/exKotar/622045")</f>
        <v>https://tablet.otzar.org/#/exKotar/622045</v>
      </c>
    </row>
    <row r="1921" spans="1:8" x14ac:dyDescent="0.25">
      <c r="A1921">
        <v>614923</v>
      </c>
      <c r="B1921" t="s">
        <v>3058</v>
      </c>
      <c r="C1921" t="s">
        <v>3059</v>
      </c>
      <c r="D1921" t="s">
        <v>37</v>
      </c>
      <c r="E1921" t="s">
        <v>49</v>
      </c>
      <c r="F1921" t="s">
        <v>12</v>
      </c>
      <c r="G1921" t="str">
        <f>HYPERLINK(_xlfn.CONCAT("https://tablet.otzar.org/",CHAR(35),"/book/614923/p/-1/t/1/fs/0/start/0/end/0/c"),"קובץ עיונים וביאורים - ע")</f>
        <v>קובץ עיונים וביאורים - ע</v>
      </c>
      <c r="H1921" t="str">
        <f>_xlfn.CONCAT("https://tablet.otzar.org/",CHAR(35),"/book/614923/p/-1/t/1/fs/0/start/0/end/0/c")</f>
        <v>https://tablet.otzar.org/#/book/614923/p/-1/t/1/fs/0/start/0/end/0/c</v>
      </c>
    </row>
    <row r="1922" spans="1:8" x14ac:dyDescent="0.25">
      <c r="A1922">
        <v>140934</v>
      </c>
      <c r="B1922" t="s">
        <v>3060</v>
      </c>
      <c r="C1922" t="s">
        <v>125</v>
      </c>
      <c r="D1922" t="s">
        <v>191</v>
      </c>
      <c r="E1922" t="s">
        <v>79</v>
      </c>
      <c r="F1922" t="s">
        <v>12</v>
      </c>
      <c r="G1922" t="str">
        <f>HYPERLINK(_xlfn.CONCAT("https://tablet.otzar.org/",CHAR(35),"/exKotar/140934"),"קובץ עיונים וביאורים - 2 כרכים")</f>
        <v>קובץ עיונים וביאורים - 2 כרכים</v>
      </c>
      <c r="H1922" t="str">
        <f>_xlfn.CONCAT("https://tablet.otzar.org/",CHAR(35),"/exKotar/140934")</f>
        <v>https://tablet.otzar.org/#/exKotar/140934</v>
      </c>
    </row>
    <row r="1923" spans="1:8" x14ac:dyDescent="0.25">
      <c r="A1923">
        <v>168999</v>
      </c>
      <c r="B1923" t="s">
        <v>3061</v>
      </c>
      <c r="C1923" t="s">
        <v>125</v>
      </c>
      <c r="D1923" t="s">
        <v>15</v>
      </c>
      <c r="E1923" t="s">
        <v>103</v>
      </c>
      <c r="F1923" t="s">
        <v>12</v>
      </c>
      <c r="G1923" t="str">
        <f>HYPERLINK(_xlfn.CONCAT("https://tablet.otzar.org/",CHAR(35),"/exKotar/168999"),"קובץ עיונים וביאורים בתורת כ""""ק אדמו""""ר - 2 כרכים")</f>
        <v>קובץ עיונים וביאורים בתורת כ""ק אדמו""ר - 2 כרכים</v>
      </c>
      <c r="H1923" t="str">
        <f>_xlfn.CONCAT("https://tablet.otzar.org/",CHAR(35),"/exKotar/168999")</f>
        <v>https://tablet.otzar.org/#/exKotar/168999</v>
      </c>
    </row>
    <row r="1924" spans="1:8" x14ac:dyDescent="0.25">
      <c r="A1924">
        <v>145807</v>
      </c>
      <c r="B1924" t="s">
        <v>3062</v>
      </c>
      <c r="C1924" t="s">
        <v>125</v>
      </c>
      <c r="D1924" t="s">
        <v>1088</v>
      </c>
      <c r="E1924" t="s">
        <v>66</v>
      </c>
      <c r="F1924" t="s">
        <v>251</v>
      </c>
      <c r="G1924" t="str">
        <f>HYPERLINK(_xlfn.CONCAT("https://tablet.otzar.org/",CHAR(35),"/book/145807/p/-1/t/1/fs/0/start/0/end/0/c"),"קובץ עניני תורה")</f>
        <v>קובץ עניני תורה</v>
      </c>
      <c r="H1924" t="str">
        <f>_xlfn.CONCAT("https://tablet.otzar.org/",CHAR(35),"/book/145807/p/-1/t/1/fs/0/start/0/end/0/c")</f>
        <v>https://tablet.otzar.org/#/book/145807/p/-1/t/1/fs/0/start/0/end/0/c</v>
      </c>
    </row>
    <row r="1925" spans="1:8" x14ac:dyDescent="0.25">
      <c r="A1925">
        <v>141406</v>
      </c>
      <c r="B1925" t="s">
        <v>3063</v>
      </c>
      <c r="C1925" t="s">
        <v>45</v>
      </c>
      <c r="D1925" t="s">
        <v>15</v>
      </c>
      <c r="E1925" t="s">
        <v>260</v>
      </c>
      <c r="F1925" t="s">
        <v>12</v>
      </c>
      <c r="G1925" t="str">
        <f>HYPERLINK(_xlfn.CONCAT("https://tablet.otzar.org/",CHAR(35),"/exKotar/141406"),"קובץ עצות והדרכות בעבודת ה' - 2 כרכים")</f>
        <v>קובץ עצות והדרכות בעבודת ה' - 2 כרכים</v>
      </c>
      <c r="H1925" t="str">
        <f>_xlfn.CONCAT("https://tablet.otzar.org/",CHAR(35),"/exKotar/141406")</f>
        <v>https://tablet.otzar.org/#/exKotar/141406</v>
      </c>
    </row>
    <row r="1926" spans="1:8" x14ac:dyDescent="0.25">
      <c r="A1926">
        <v>27711</v>
      </c>
      <c r="B1926" t="s">
        <v>3064</v>
      </c>
      <c r="C1926" t="s">
        <v>125</v>
      </c>
      <c r="D1926" t="s">
        <v>1627</v>
      </c>
      <c r="E1926" t="s">
        <v>69</v>
      </c>
      <c r="F1926" t="s">
        <v>12</v>
      </c>
      <c r="G1926" t="str">
        <f>HYPERLINK(_xlfn.CONCAT("https://tablet.otzar.org/",CHAR(35),"/book/27711/p/-1/t/1/fs/0/start/0/end/0/c"),"קובץ פאס - מרוקו - חידושי תורה על ספר הרמב""""ם")</f>
        <v>קובץ פאס - מרוקו - חידושי תורה על ספר הרמב""ם</v>
      </c>
      <c r="H1926" t="str">
        <f>_xlfn.CONCAT("https://tablet.otzar.org/",CHAR(35),"/book/27711/p/-1/t/1/fs/0/start/0/end/0/c")</f>
        <v>https://tablet.otzar.org/#/book/27711/p/-1/t/1/fs/0/start/0/end/0/c</v>
      </c>
    </row>
    <row r="1927" spans="1:8" x14ac:dyDescent="0.25">
      <c r="A1927">
        <v>27705</v>
      </c>
      <c r="B1927" t="s">
        <v>3065</v>
      </c>
      <c r="C1927" t="s">
        <v>125</v>
      </c>
      <c r="D1927" t="s">
        <v>3066</v>
      </c>
      <c r="E1927" t="s">
        <v>139</v>
      </c>
      <c r="F1927" t="s">
        <v>12</v>
      </c>
      <c r="G1927" t="str">
        <f>HYPERLINK(_xlfn.CONCAT("https://tablet.otzar.org/",CHAR(35),"/book/27705/p/-1/t/1/fs/0/start/0/end/0/c"),"קובץ פז")</f>
        <v>קובץ פז</v>
      </c>
      <c r="H1927" t="str">
        <f>_xlfn.CONCAT("https://tablet.otzar.org/",CHAR(35),"/book/27705/p/-1/t/1/fs/0/start/0/end/0/c")</f>
        <v>https://tablet.otzar.org/#/book/27705/p/-1/t/1/fs/0/start/0/end/0/c</v>
      </c>
    </row>
    <row r="1928" spans="1:8" x14ac:dyDescent="0.25">
      <c r="A1928">
        <v>146505</v>
      </c>
      <c r="B1928" t="s">
        <v>3067</v>
      </c>
      <c r="C1928" t="s">
        <v>45</v>
      </c>
      <c r="D1928" t="s">
        <v>28</v>
      </c>
      <c r="E1928" t="s">
        <v>181</v>
      </c>
      <c r="F1928" t="s">
        <v>251</v>
      </c>
      <c r="G1928" t="str">
        <f>HYPERLINK(_xlfn.CONCAT("https://tablet.otzar.org/",CHAR(35),"/book/146505/p/-1/t/1/fs/0/start/0/end/0/c"),"קובץ פלאי שיח")</f>
        <v>קובץ פלאי שיח</v>
      </c>
      <c r="H1928" t="str">
        <f>_xlfn.CONCAT("https://tablet.otzar.org/",CHAR(35),"/book/146505/p/-1/t/1/fs/0/start/0/end/0/c")</f>
        <v>https://tablet.otzar.org/#/book/146505/p/-1/t/1/fs/0/start/0/end/0/c</v>
      </c>
    </row>
    <row r="1929" spans="1:8" x14ac:dyDescent="0.25">
      <c r="A1929">
        <v>145810</v>
      </c>
      <c r="B1929" t="s">
        <v>3068</v>
      </c>
      <c r="C1929" t="s">
        <v>125</v>
      </c>
      <c r="D1929" t="s">
        <v>3069</v>
      </c>
      <c r="E1929" t="s">
        <v>181</v>
      </c>
      <c r="F1929" t="s">
        <v>251</v>
      </c>
      <c r="G1929" t="str">
        <f>HYPERLINK(_xlfn.CONCAT("https://tablet.otzar.org/",CHAR(35),"/book/145810/p/-1/t/1/fs/0/start/0/end/0/c"),"קובץ פלפולי דאורייתא - א")</f>
        <v>קובץ פלפולי דאורייתא - א</v>
      </c>
      <c r="H1929" t="str">
        <f>_xlfn.CONCAT("https://tablet.otzar.org/",CHAR(35),"/book/145810/p/-1/t/1/fs/0/start/0/end/0/c")</f>
        <v>https://tablet.otzar.org/#/book/145810/p/-1/t/1/fs/0/start/0/end/0/c</v>
      </c>
    </row>
    <row r="1930" spans="1:8" x14ac:dyDescent="0.25">
      <c r="A1930">
        <v>27371</v>
      </c>
      <c r="B1930" t="s">
        <v>3070</v>
      </c>
      <c r="C1930" t="s">
        <v>125</v>
      </c>
      <c r="D1930" t="s">
        <v>3071</v>
      </c>
      <c r="E1930" t="s">
        <v>66</v>
      </c>
      <c r="F1930" t="s">
        <v>12</v>
      </c>
      <c r="G1930" t="str">
        <f>HYPERLINK(_xlfn.CONCAT("https://tablet.otzar.org/",CHAR(35),"/book/27371/p/-1/t/1/fs/0/start/0/end/0/c"),"קובץ פלפולים וביאורים - א")</f>
        <v>קובץ פלפולים וביאורים - א</v>
      </c>
      <c r="H1930" t="str">
        <f>_xlfn.CONCAT("https://tablet.otzar.org/",CHAR(35),"/book/27371/p/-1/t/1/fs/0/start/0/end/0/c")</f>
        <v>https://tablet.otzar.org/#/book/27371/p/-1/t/1/fs/0/start/0/end/0/c</v>
      </c>
    </row>
    <row r="1931" spans="1:8" x14ac:dyDescent="0.25">
      <c r="A1931">
        <v>161295</v>
      </c>
      <c r="B1931" t="s">
        <v>3072</v>
      </c>
      <c r="C1931" t="s">
        <v>3073</v>
      </c>
      <c r="D1931" t="s">
        <v>10</v>
      </c>
      <c r="E1931" t="s">
        <v>134</v>
      </c>
      <c r="F1931" t="s">
        <v>12</v>
      </c>
      <c r="G1931" t="str">
        <f>HYPERLINK(_xlfn.CONCAT("https://tablet.otzar.org/",CHAR(35),"/book/161295/p/-1/t/1/fs/0/start/0/end/0/c"),"קובץ פלפולים וביאורים - ט")</f>
        <v>קובץ פלפולים וביאורים - ט</v>
      </c>
      <c r="H1931" t="str">
        <f>_xlfn.CONCAT("https://tablet.otzar.org/",CHAR(35),"/book/161295/p/-1/t/1/fs/0/start/0/end/0/c")</f>
        <v>https://tablet.otzar.org/#/book/161295/p/-1/t/1/fs/0/start/0/end/0/c</v>
      </c>
    </row>
    <row r="1932" spans="1:8" x14ac:dyDescent="0.25">
      <c r="A1932">
        <v>27514</v>
      </c>
      <c r="B1932" t="s">
        <v>3074</v>
      </c>
      <c r="C1932" t="s">
        <v>3075</v>
      </c>
      <c r="D1932" t="s">
        <v>3076</v>
      </c>
      <c r="E1932" t="s">
        <v>1841</v>
      </c>
      <c r="F1932" t="s">
        <v>12</v>
      </c>
      <c r="G1932" t="str">
        <f>HYPERLINK(_xlfn.CONCAT("https://tablet.otzar.org/",CHAR(35),"/exKotar/27514"),"קובץ פלפולים וביאורים - 2 כרכים")</f>
        <v>קובץ פלפולים וביאורים - 2 כרכים</v>
      </c>
      <c r="H1932" t="str">
        <f>_xlfn.CONCAT("https://tablet.otzar.org/",CHAR(35),"/exKotar/27514")</f>
        <v>https://tablet.otzar.org/#/exKotar/27514</v>
      </c>
    </row>
    <row r="1933" spans="1:8" x14ac:dyDescent="0.25">
      <c r="A1933">
        <v>27339</v>
      </c>
      <c r="B1933" t="s">
        <v>3077</v>
      </c>
      <c r="C1933" t="s">
        <v>3078</v>
      </c>
      <c r="D1933" t="s">
        <v>469</v>
      </c>
      <c r="E1933" t="s">
        <v>346</v>
      </c>
      <c r="F1933" t="s">
        <v>12</v>
      </c>
      <c r="G1933" t="str">
        <f>HYPERLINK(_xlfn.CONCAT("https://tablet.otzar.org/",CHAR(35),"/book/27339/p/-1/t/1/fs/0/start/0/end/0/c"),"קובץ פלפולים וביאורים בנגלה ובחסידות - א")</f>
        <v>קובץ פלפולים וביאורים בנגלה ובחסידות - א</v>
      </c>
      <c r="H1933" t="str">
        <f>_xlfn.CONCAT("https://tablet.otzar.org/",CHAR(35),"/book/27339/p/-1/t/1/fs/0/start/0/end/0/c")</f>
        <v>https://tablet.otzar.org/#/book/27339/p/-1/t/1/fs/0/start/0/end/0/c</v>
      </c>
    </row>
    <row r="1934" spans="1:8" x14ac:dyDescent="0.25">
      <c r="A1934">
        <v>145426</v>
      </c>
      <c r="B1934" t="s">
        <v>3077</v>
      </c>
      <c r="C1934" t="s">
        <v>3079</v>
      </c>
      <c r="D1934" t="s">
        <v>910</v>
      </c>
      <c r="E1934" t="s">
        <v>551</v>
      </c>
      <c r="F1934" t="s">
        <v>251</v>
      </c>
      <c r="G1934" t="str">
        <f>HYPERLINK(_xlfn.CONCAT("https://tablet.otzar.org/",CHAR(35),"/book/145426/p/-1/t/1/fs/0/start/0/end/0/c"),"קובץ פלפולים וביאורים בנגלה ובחסידות - א")</f>
        <v>קובץ פלפולים וביאורים בנגלה ובחסידות - א</v>
      </c>
      <c r="H1934" t="str">
        <f>_xlfn.CONCAT("https://tablet.otzar.org/",CHAR(35),"/book/145426/p/-1/t/1/fs/0/start/0/end/0/c")</f>
        <v>https://tablet.otzar.org/#/book/145426/p/-1/t/1/fs/0/start/0/end/0/c</v>
      </c>
    </row>
    <row r="1935" spans="1:8" x14ac:dyDescent="0.25">
      <c r="A1935">
        <v>145516</v>
      </c>
      <c r="B1935" t="s">
        <v>3077</v>
      </c>
      <c r="C1935" t="s">
        <v>3080</v>
      </c>
      <c r="D1935" t="s">
        <v>1622</v>
      </c>
      <c r="E1935" t="s">
        <v>66</v>
      </c>
      <c r="F1935" t="s">
        <v>251</v>
      </c>
      <c r="G1935" t="str">
        <f>HYPERLINK(_xlfn.CONCAT("https://tablet.otzar.org/",CHAR(35),"/book/145516/p/-1/t/1/fs/0/start/0/end/0/c"),"קובץ פלפולים וביאורים בנגלה ובחסידות - א")</f>
        <v>קובץ פלפולים וביאורים בנגלה ובחסידות - א</v>
      </c>
      <c r="H1935" t="str">
        <f>_xlfn.CONCAT("https://tablet.otzar.org/",CHAR(35),"/book/145516/p/-1/t/1/fs/0/start/0/end/0/c")</f>
        <v>https://tablet.otzar.org/#/book/145516/p/-1/t/1/fs/0/start/0/end/0/c</v>
      </c>
    </row>
    <row r="1936" spans="1:8" x14ac:dyDescent="0.25">
      <c r="A1936">
        <v>145817</v>
      </c>
      <c r="B1936" t="s">
        <v>3081</v>
      </c>
      <c r="C1936" t="s">
        <v>885</v>
      </c>
      <c r="D1936" t="s">
        <v>10</v>
      </c>
      <c r="E1936" t="s">
        <v>353</v>
      </c>
      <c r="F1936" t="s">
        <v>251</v>
      </c>
      <c r="G1936" t="str">
        <f>HYPERLINK(_xlfn.CONCAT("https://tablet.otzar.org/",CHAR(35),"/exKotar/145817"),"קובץ פלפולים וביאורים בנגלה ובחסידות - 8 כרכים")</f>
        <v>קובץ פלפולים וביאורים בנגלה ובחסידות - 8 כרכים</v>
      </c>
      <c r="H1936" t="str">
        <f>_xlfn.CONCAT("https://tablet.otzar.org/",CHAR(35),"/exKotar/145817")</f>
        <v>https://tablet.otzar.org/#/exKotar/145817</v>
      </c>
    </row>
    <row r="1937" spans="1:8" x14ac:dyDescent="0.25">
      <c r="A1937">
        <v>154676</v>
      </c>
      <c r="B1937" t="s">
        <v>3082</v>
      </c>
      <c r="C1937" t="s">
        <v>3083</v>
      </c>
      <c r="D1937" t="s">
        <v>10</v>
      </c>
      <c r="E1937" t="s">
        <v>353</v>
      </c>
      <c r="F1937" t="s">
        <v>12</v>
      </c>
      <c r="G1937" t="str">
        <f>HYPERLINK(_xlfn.CONCAT("https://tablet.otzar.org/",CHAR(35),"/exKotar/154676"),"קובץ פלפולים וביאורים בנגלה ובחסידות - 9 כרכים")</f>
        <v>קובץ פלפולים וביאורים בנגלה ובחסידות - 9 כרכים</v>
      </c>
      <c r="H1937" t="str">
        <f>_xlfn.CONCAT("https://tablet.otzar.org/",CHAR(35),"/exKotar/154676")</f>
        <v>https://tablet.otzar.org/#/exKotar/154676</v>
      </c>
    </row>
    <row r="1938" spans="1:8" x14ac:dyDescent="0.25">
      <c r="A1938">
        <v>145919</v>
      </c>
      <c r="B1938" t="s">
        <v>3084</v>
      </c>
      <c r="C1938" t="s">
        <v>3085</v>
      </c>
      <c r="D1938" t="s">
        <v>2181</v>
      </c>
      <c r="E1938" t="s">
        <v>260</v>
      </c>
      <c r="F1938" t="s">
        <v>251</v>
      </c>
      <c r="G1938" t="str">
        <f>HYPERLINK(_xlfn.CONCAT("https://tablet.otzar.org/",CHAR(35),"/book/145919/p/-1/t/1/fs/0/start/0/end/0/c"),"קובץ פלפולים והערות - יא")</f>
        <v>קובץ פלפולים והערות - יא</v>
      </c>
      <c r="H1938" t="str">
        <f>_xlfn.CONCAT("https://tablet.otzar.org/",CHAR(35),"/book/145919/p/-1/t/1/fs/0/start/0/end/0/c")</f>
        <v>https://tablet.otzar.org/#/book/145919/p/-1/t/1/fs/0/start/0/end/0/c</v>
      </c>
    </row>
    <row r="1939" spans="1:8" x14ac:dyDescent="0.25">
      <c r="A1939">
        <v>161302</v>
      </c>
      <c r="B1939" t="s">
        <v>3086</v>
      </c>
      <c r="C1939" t="s">
        <v>2791</v>
      </c>
      <c r="D1939" t="s">
        <v>118</v>
      </c>
      <c r="E1939" t="s">
        <v>40</v>
      </c>
      <c r="F1939" t="s">
        <v>12</v>
      </c>
      <c r="G1939" t="str">
        <f>HYPERLINK(_xlfn.CONCAT("https://tablet.otzar.org/",CHAR(35),"/book/161302/p/-1/t/1/fs/0/start/0/end/0/c"),"קובץ פלפולים והערות - נ")</f>
        <v>קובץ פלפולים והערות - נ</v>
      </c>
      <c r="H1939" t="str">
        <f>_xlfn.CONCAT("https://tablet.otzar.org/",CHAR(35),"/book/161302/p/-1/t/1/fs/0/start/0/end/0/c")</f>
        <v>https://tablet.otzar.org/#/book/161302/p/-1/t/1/fs/0/start/0/end/0/c</v>
      </c>
    </row>
    <row r="1940" spans="1:8" x14ac:dyDescent="0.25">
      <c r="A1940">
        <v>27360</v>
      </c>
      <c r="B1940" t="s">
        <v>3087</v>
      </c>
      <c r="C1940" t="s">
        <v>125</v>
      </c>
      <c r="D1940" t="s">
        <v>440</v>
      </c>
      <c r="E1940" t="s">
        <v>129</v>
      </c>
      <c r="F1940" t="s">
        <v>12</v>
      </c>
      <c r="G1940" t="str">
        <f>HYPERLINK(_xlfn.CONCAT("https://tablet.otzar.org/",CHAR(35),"/book/27360/p/-1/t/1/fs/0/start/0/end/0/c"),"קובץ פלפולים מגדל דוד")</f>
        <v>קובץ פלפולים מגדל דוד</v>
      </c>
      <c r="H1940" t="str">
        <f>_xlfn.CONCAT("https://tablet.otzar.org/",CHAR(35),"/book/27360/p/-1/t/1/fs/0/start/0/end/0/c")</f>
        <v>https://tablet.otzar.org/#/book/27360/p/-1/t/1/fs/0/start/0/end/0/c</v>
      </c>
    </row>
    <row r="1941" spans="1:8" x14ac:dyDescent="0.25">
      <c r="A1941">
        <v>183247</v>
      </c>
      <c r="B1941" t="s">
        <v>3088</v>
      </c>
      <c r="C1941" t="s">
        <v>125</v>
      </c>
      <c r="D1941" t="s">
        <v>438</v>
      </c>
      <c r="E1941" t="s">
        <v>88</v>
      </c>
      <c r="F1941" t="s">
        <v>12</v>
      </c>
      <c r="G1941" t="str">
        <f>HYPERLINK(_xlfn.CONCAT("https://tablet.otzar.org/",CHAR(35),"/book/183247/p/-1/t/1/fs/0/start/0/end/0/c"),"קובץ פניני האדרת והאמונה")</f>
        <v>קובץ פניני האדרת והאמונה</v>
      </c>
      <c r="H1941" t="str">
        <f>_xlfn.CONCAT("https://tablet.otzar.org/",CHAR(35),"/book/183247/p/-1/t/1/fs/0/start/0/end/0/c")</f>
        <v>https://tablet.otzar.org/#/book/183247/p/-1/t/1/fs/0/start/0/end/0/c</v>
      </c>
    </row>
    <row r="1942" spans="1:8" x14ac:dyDescent="0.25">
      <c r="A1942">
        <v>146218</v>
      </c>
      <c r="B1942" t="s">
        <v>3089</v>
      </c>
      <c r="C1942" t="s">
        <v>45</v>
      </c>
      <c r="D1942" t="s">
        <v>15</v>
      </c>
      <c r="E1942" t="s">
        <v>260</v>
      </c>
      <c r="F1942" t="s">
        <v>251</v>
      </c>
      <c r="G1942" t="str">
        <f>HYPERLINK(_xlfn.CONCAT("https://tablet.otzar.org/",CHAR(35),"/book/146218/p/-1/t/1/fs/0/start/0/end/0/c"),"קובץ פניני העשור - תש""""מ-תש""""נ")</f>
        <v>קובץ פניני העשור - תש""מ-תש""נ</v>
      </c>
      <c r="H1942" t="str">
        <f>_xlfn.CONCAT("https://tablet.otzar.org/",CHAR(35),"/book/146218/p/-1/t/1/fs/0/start/0/end/0/c")</f>
        <v>https://tablet.otzar.org/#/book/146218/p/-1/t/1/fs/0/start/0/end/0/c</v>
      </c>
    </row>
    <row r="1943" spans="1:8" x14ac:dyDescent="0.25">
      <c r="A1943">
        <v>680372</v>
      </c>
      <c r="B1943" t="s">
        <v>3090</v>
      </c>
      <c r="C1943" t="s">
        <v>3091</v>
      </c>
      <c r="D1943" t="s">
        <v>295</v>
      </c>
      <c r="E1943" t="s">
        <v>2258</v>
      </c>
      <c r="F1943" t="s">
        <v>12</v>
      </c>
      <c r="G1943" t="str">
        <f>HYPERLINK(_xlfn.CONCAT("https://tablet.otzar.org/",CHAR(35),"/book/680372/p/-1/t/1/fs/0/start/0/end/0/c"),"קובץ פניני תורה - ה")</f>
        <v>קובץ פניני תורה - ה</v>
      </c>
      <c r="H1943" t="str">
        <f>_xlfn.CONCAT("https://tablet.otzar.org/",CHAR(35),"/book/680372/p/-1/t/1/fs/0/start/0/end/0/c")</f>
        <v>https://tablet.otzar.org/#/book/680372/p/-1/t/1/fs/0/start/0/end/0/c</v>
      </c>
    </row>
    <row r="1944" spans="1:8" x14ac:dyDescent="0.25">
      <c r="A1944">
        <v>145663</v>
      </c>
      <c r="B1944" t="s">
        <v>3092</v>
      </c>
      <c r="C1944" t="s">
        <v>125</v>
      </c>
      <c r="D1944" t="s">
        <v>197</v>
      </c>
      <c r="E1944" t="s">
        <v>145</v>
      </c>
      <c r="F1944" t="s">
        <v>251</v>
      </c>
      <c r="G1944" t="str">
        <f>HYPERLINK(_xlfn.CONCAT("https://tablet.otzar.org/",CHAR(35),"/book/145663/p/-1/t/1/fs/0/start/0/end/0/c"),"קובץ פרי בכורים - א")</f>
        <v>קובץ פרי בכורים - א</v>
      </c>
      <c r="H1944" t="str">
        <f>_xlfn.CONCAT("https://tablet.otzar.org/",CHAR(35),"/book/145663/p/-1/t/1/fs/0/start/0/end/0/c")</f>
        <v>https://tablet.otzar.org/#/book/145663/p/-1/t/1/fs/0/start/0/end/0/c</v>
      </c>
    </row>
    <row r="1945" spans="1:8" x14ac:dyDescent="0.25">
      <c r="A1945">
        <v>614746</v>
      </c>
      <c r="B1945" t="s">
        <v>3093</v>
      </c>
      <c r="C1945" t="s">
        <v>3094</v>
      </c>
      <c r="D1945" t="s">
        <v>3095</v>
      </c>
      <c r="E1945" t="s">
        <v>91</v>
      </c>
      <c r="F1945" t="s">
        <v>12</v>
      </c>
      <c r="G1945" t="str">
        <f>HYPERLINK(_xlfn.CONCAT("https://tablet.otzar.org/",CHAR(35),"/book/614746/p/-1/t/1/fs/0/start/0/end/0/c"),"קובץ צדיק לחיים")</f>
        <v>קובץ צדיק לחיים</v>
      </c>
      <c r="H1945" t="str">
        <f>_xlfn.CONCAT("https://tablet.otzar.org/",CHAR(35),"/book/614746/p/-1/t/1/fs/0/start/0/end/0/c")</f>
        <v>https://tablet.otzar.org/#/book/614746/p/-1/t/1/fs/0/start/0/end/0/c</v>
      </c>
    </row>
    <row r="1946" spans="1:8" x14ac:dyDescent="0.25">
      <c r="A1946">
        <v>169924</v>
      </c>
      <c r="B1946" t="s">
        <v>3096</v>
      </c>
      <c r="C1946" t="s">
        <v>125</v>
      </c>
      <c r="D1946" t="s">
        <v>28</v>
      </c>
      <c r="E1946" t="s">
        <v>82</v>
      </c>
      <c r="F1946" t="s">
        <v>12</v>
      </c>
      <c r="G1946" t="str">
        <f>HYPERLINK(_xlfn.CONCAT("https://tablet.otzar.org/",CHAR(35),"/book/169924/p/-1/t/1/fs/0/start/0/end/0/c"),"קובץ קנאת סופרים - ב")</f>
        <v>קובץ קנאת סופרים - ב</v>
      </c>
      <c r="H1946" t="str">
        <f>_xlfn.CONCAT("https://tablet.otzar.org/",CHAR(35),"/book/169924/p/-1/t/1/fs/0/start/0/end/0/c")</f>
        <v>https://tablet.otzar.org/#/book/169924/p/-1/t/1/fs/0/start/0/end/0/c</v>
      </c>
    </row>
    <row r="1947" spans="1:8" x14ac:dyDescent="0.25">
      <c r="A1947">
        <v>613923</v>
      </c>
      <c r="B1947" t="s">
        <v>3097</v>
      </c>
      <c r="C1947" t="s">
        <v>3098</v>
      </c>
      <c r="D1947" t="s">
        <v>10</v>
      </c>
      <c r="E1947" t="s">
        <v>115</v>
      </c>
      <c r="F1947" t="s">
        <v>12</v>
      </c>
      <c r="G1947" t="str">
        <f>HYPERLINK(_xlfn.CONCAT("https://tablet.otzar.org/",CHAR(35),"/book/613923/p/-1/t/1/fs/0/start/0/end/0/c"),"קובץ ר""""ח כסלו")</f>
        <v>קובץ ר""ח כסלו</v>
      </c>
      <c r="H1947" t="str">
        <f>_xlfn.CONCAT("https://tablet.otzar.org/",CHAR(35),"/book/613923/p/-1/t/1/fs/0/start/0/end/0/c")</f>
        <v>https://tablet.otzar.org/#/book/613923/p/-1/t/1/fs/0/start/0/end/0/c</v>
      </c>
    </row>
    <row r="1948" spans="1:8" x14ac:dyDescent="0.25">
      <c r="A1948">
        <v>141458</v>
      </c>
      <c r="B1948" t="s">
        <v>3099</v>
      </c>
      <c r="C1948" t="s">
        <v>3100</v>
      </c>
      <c r="D1948" t="s">
        <v>10</v>
      </c>
      <c r="E1948" t="s">
        <v>441</v>
      </c>
      <c r="F1948" t="s">
        <v>12</v>
      </c>
      <c r="G1948" t="str">
        <f>HYPERLINK(_xlfn.CONCAT("https://tablet.otzar.org/",CHAR(35),"/book/141458/p/-1/t/1/fs/0/start/0/end/0/c"),"קובץ רשימות שיעורים - קידושין")</f>
        <v>קובץ רשימות שיעורים - קידושין</v>
      </c>
      <c r="H1948" t="str">
        <f>_xlfn.CONCAT("https://tablet.otzar.org/",CHAR(35),"/book/141458/p/-1/t/1/fs/0/start/0/end/0/c")</f>
        <v>https://tablet.otzar.org/#/book/141458/p/-1/t/1/fs/0/start/0/end/0/c</v>
      </c>
    </row>
    <row r="1949" spans="1:8" x14ac:dyDescent="0.25">
      <c r="A1949">
        <v>27288</v>
      </c>
      <c r="B1949" t="s">
        <v>3101</v>
      </c>
      <c r="C1949" t="s">
        <v>125</v>
      </c>
      <c r="D1949" t="s">
        <v>15</v>
      </c>
      <c r="E1949" t="s">
        <v>69</v>
      </c>
      <c r="F1949" t="s">
        <v>12</v>
      </c>
      <c r="G1949" t="str">
        <f>HYPERLINK(_xlfn.CONCAT("https://tablet.otzar.org/",CHAR(35),"/book/27288/p/-1/t/1/fs/0/start/0/end/0/c"),"קובץ שי למורא")</f>
        <v>קובץ שי למורא</v>
      </c>
      <c r="H1949" t="str">
        <f>_xlfn.CONCAT("https://tablet.otzar.org/",CHAR(35),"/book/27288/p/-1/t/1/fs/0/start/0/end/0/c")</f>
        <v>https://tablet.otzar.org/#/book/27288/p/-1/t/1/fs/0/start/0/end/0/c</v>
      </c>
    </row>
    <row r="1950" spans="1:8" x14ac:dyDescent="0.25">
      <c r="A1950">
        <v>141585</v>
      </c>
      <c r="B1950" t="s">
        <v>3102</v>
      </c>
      <c r="C1950" t="s">
        <v>3103</v>
      </c>
      <c r="D1950" t="s">
        <v>15</v>
      </c>
      <c r="E1950" t="s">
        <v>29</v>
      </c>
      <c r="F1950" t="s">
        <v>12</v>
      </c>
      <c r="G1950" t="str">
        <f>HYPERLINK(_xlfn.CONCAT("https://tablet.otzar.org/",CHAR(35),"/book/141585/p/-1/t/1/fs/0/start/0/end/0/c"),"קובץ שיחות והוראות אודות הקמת בית אגודת חסידי חב""""ד")</f>
        <v>קובץ שיחות והוראות אודות הקמת בית אגודת חסידי חב""ד</v>
      </c>
      <c r="H1950" t="str">
        <f>_xlfn.CONCAT("https://tablet.otzar.org/",CHAR(35),"/book/141585/p/-1/t/1/fs/0/start/0/end/0/c")</f>
        <v>https://tablet.otzar.org/#/book/141585/p/-1/t/1/fs/0/start/0/end/0/c</v>
      </c>
    </row>
    <row r="1951" spans="1:8" x14ac:dyDescent="0.25">
      <c r="A1951">
        <v>162748</v>
      </c>
      <c r="B1951" t="s">
        <v>3104</v>
      </c>
      <c r="C1951" t="s">
        <v>3105</v>
      </c>
      <c r="D1951" t="s">
        <v>10</v>
      </c>
      <c r="E1951" t="s">
        <v>16</v>
      </c>
      <c r="F1951" t="s">
        <v>12</v>
      </c>
      <c r="G1951" t="str">
        <f>HYPERLINK(_xlfn.CONCAT("https://tablet.otzar.org/",CHAR(35),"/book/162748/p/-1/t/1/fs/0/start/0/end/0/c"),"קובץ שיעורים בענייני משיח וגאולה")</f>
        <v>קובץ שיעורים בענייני משיח וגאולה</v>
      </c>
      <c r="H1951" t="str">
        <f>_xlfn.CONCAT("https://tablet.otzar.org/",CHAR(35),"/book/162748/p/-1/t/1/fs/0/start/0/end/0/c")</f>
        <v>https://tablet.otzar.org/#/book/162748/p/-1/t/1/fs/0/start/0/end/0/c</v>
      </c>
    </row>
    <row r="1952" spans="1:8" x14ac:dyDescent="0.25">
      <c r="A1952">
        <v>145820</v>
      </c>
      <c r="B1952" t="s">
        <v>3106</v>
      </c>
      <c r="C1952" t="s">
        <v>125</v>
      </c>
      <c r="D1952" t="s">
        <v>10</v>
      </c>
      <c r="E1952" t="s">
        <v>66</v>
      </c>
      <c r="F1952" t="s">
        <v>251</v>
      </c>
      <c r="G1952" t="str">
        <f>HYPERLINK(_xlfn.CONCAT("https://tablet.otzar.org/",CHAR(35),"/book/145820/p/-1/t/1/fs/0/start/0/end/0/c"),"קובץ שמועה טובה")</f>
        <v>קובץ שמועה טובה</v>
      </c>
      <c r="H1952" t="str">
        <f>_xlfn.CONCAT("https://tablet.otzar.org/",CHAR(35),"/book/145820/p/-1/t/1/fs/0/start/0/end/0/c")</f>
        <v>https://tablet.otzar.org/#/book/145820/p/-1/t/1/fs/0/start/0/end/0/c</v>
      </c>
    </row>
    <row r="1953" spans="1:8" x14ac:dyDescent="0.25">
      <c r="A1953">
        <v>27286</v>
      </c>
      <c r="B1953" t="s">
        <v>3107</v>
      </c>
      <c r="C1953" t="s">
        <v>125</v>
      </c>
      <c r="D1953" t="s">
        <v>3071</v>
      </c>
      <c r="E1953" t="s">
        <v>69</v>
      </c>
      <c r="F1953" t="s">
        <v>12</v>
      </c>
      <c r="G1953" t="str">
        <f>HYPERLINK(_xlfn.CONCAT("https://tablet.otzar.org/",CHAR(35),"/book/27286/p/-1/t/1/fs/0/start/0/end/0/c"),"קובץ שער רומי")</f>
        <v>קובץ שער רומי</v>
      </c>
      <c r="H1953" t="str">
        <f>_xlfn.CONCAT("https://tablet.otzar.org/",CHAR(35),"/book/27286/p/-1/t/1/fs/0/start/0/end/0/c")</f>
        <v>https://tablet.otzar.org/#/book/27286/p/-1/t/1/fs/0/start/0/end/0/c</v>
      </c>
    </row>
    <row r="1954" spans="1:8" x14ac:dyDescent="0.25">
      <c r="A1954">
        <v>146186</v>
      </c>
      <c r="B1954" t="s">
        <v>3108</v>
      </c>
      <c r="C1954" t="s">
        <v>125</v>
      </c>
      <c r="D1954" t="s">
        <v>3109</v>
      </c>
      <c r="E1954" t="s">
        <v>129</v>
      </c>
      <c r="F1954" t="s">
        <v>251</v>
      </c>
      <c r="G1954" t="str">
        <f>HYPERLINK(_xlfn.CONCAT("https://tablet.otzar.org/",CHAR(35),"/exKotar/146186"),"קובץ שערי מנחם - 4 כרכים")</f>
        <v>קובץ שערי מנחם - 4 כרכים</v>
      </c>
      <c r="H1954" t="str">
        <f>_xlfn.CONCAT("https://tablet.otzar.org/",CHAR(35),"/exKotar/146186")</f>
        <v>https://tablet.otzar.org/#/exKotar/146186</v>
      </c>
    </row>
    <row r="1955" spans="1:8" x14ac:dyDescent="0.25">
      <c r="A1955">
        <v>627065</v>
      </c>
      <c r="B1955" t="s">
        <v>3110</v>
      </c>
      <c r="C1955" t="s">
        <v>3111</v>
      </c>
      <c r="F1955" t="s">
        <v>12</v>
      </c>
      <c r="G1955" t="str">
        <f>HYPERLINK(_xlfn.CONCAT("https://tablet.otzar.org/",CHAR(35),"/book/627065/p/-1/t/1/fs/0/start/0/end/0/c"),"קובץ תוכן השיחות היומיות")</f>
        <v>קובץ תוכן השיחות היומיות</v>
      </c>
      <c r="H1955" t="str">
        <f>_xlfn.CONCAT("https://tablet.otzar.org/",CHAR(35),"/book/627065/p/-1/t/1/fs/0/start/0/end/0/c")</f>
        <v>https://tablet.otzar.org/#/book/627065/p/-1/t/1/fs/0/start/0/end/0/c</v>
      </c>
    </row>
    <row r="1956" spans="1:8" x14ac:dyDescent="0.25">
      <c r="A1956">
        <v>657608</v>
      </c>
      <c r="B1956" t="s">
        <v>3112</v>
      </c>
      <c r="C1956" t="s">
        <v>3113</v>
      </c>
      <c r="D1956" t="s">
        <v>15</v>
      </c>
      <c r="E1956" t="s">
        <v>166</v>
      </c>
      <c r="G1956" t="str">
        <f>HYPERLINK(_xlfn.CONCAT("https://tablet.otzar.org/",CHAR(35),"/book/657608/p/-1/t/1/fs/0/start/0/end/0/c"),"קובץ תורת אהלי תורה")</f>
        <v>קובץ תורת אהלי תורה</v>
      </c>
      <c r="H1956" t="str">
        <f>_xlfn.CONCAT("https://tablet.otzar.org/",CHAR(35),"/book/657608/p/-1/t/1/fs/0/start/0/end/0/c")</f>
        <v>https://tablet.otzar.org/#/book/657608/p/-1/t/1/fs/0/start/0/end/0/c</v>
      </c>
    </row>
    <row r="1957" spans="1:8" x14ac:dyDescent="0.25">
      <c r="A1957">
        <v>146144</v>
      </c>
      <c r="B1957" t="s">
        <v>3114</v>
      </c>
      <c r="C1957" t="s">
        <v>125</v>
      </c>
      <c r="D1957" t="s">
        <v>3115</v>
      </c>
      <c r="E1957" t="s">
        <v>54</v>
      </c>
      <c r="F1957" t="s">
        <v>251</v>
      </c>
      <c r="G1957" t="str">
        <f>HYPERLINK(_xlfn.CONCAT("https://tablet.otzar.org/",CHAR(35),"/exKotar/146144"),"קובץ תורת אשכנז - 5 כרכים")</f>
        <v>קובץ תורת אשכנז - 5 כרכים</v>
      </c>
      <c r="H1957" t="str">
        <f>_xlfn.CONCAT("https://tablet.otzar.org/",CHAR(35),"/exKotar/146144")</f>
        <v>https://tablet.otzar.org/#/exKotar/146144</v>
      </c>
    </row>
    <row r="1958" spans="1:8" x14ac:dyDescent="0.25">
      <c r="A1958">
        <v>27548</v>
      </c>
      <c r="B1958" t="s">
        <v>3116</v>
      </c>
      <c r="C1958" t="s">
        <v>425</v>
      </c>
      <c r="D1958" t="s">
        <v>15</v>
      </c>
      <c r="E1958" t="s">
        <v>129</v>
      </c>
      <c r="F1958" t="s">
        <v>12</v>
      </c>
      <c r="G1958" t="str">
        <f>HYPERLINK(_xlfn.CONCAT("https://tablet.otzar.org/",CHAR(35),"/book/27548/p/-1/t/1/fs/0/start/0/end/0/c"),"קובץ תקנון את""""ה")</f>
        <v>קובץ תקנון את""ה</v>
      </c>
      <c r="H1958" t="str">
        <f>_xlfn.CONCAT("https://tablet.otzar.org/",CHAR(35),"/book/27548/p/-1/t/1/fs/0/start/0/end/0/c")</f>
        <v>https://tablet.otzar.org/#/book/27548/p/-1/t/1/fs/0/start/0/end/0/c</v>
      </c>
    </row>
    <row r="1959" spans="1:8" x14ac:dyDescent="0.25">
      <c r="A1959">
        <v>26497</v>
      </c>
      <c r="B1959" t="s">
        <v>3117</v>
      </c>
      <c r="C1959" t="s">
        <v>45</v>
      </c>
      <c r="D1959" t="s">
        <v>37</v>
      </c>
      <c r="E1959" t="s">
        <v>134</v>
      </c>
      <c r="G1959" t="str">
        <f>HYPERLINK(_xlfn.CONCAT("https://tablet.otzar.org/",CHAR(35),"/book/26497/p/-1/t/1/fs/0/start/0/end/0/c"),"קובץ תשובות בעניני שמחה ובטחון בה'")</f>
        <v>קובץ תשובות בעניני שמחה ובטחון בה'</v>
      </c>
      <c r="H1959" t="str">
        <f>_xlfn.CONCAT("https://tablet.otzar.org/",CHAR(35),"/book/26497/p/-1/t/1/fs/0/start/0/end/0/c")</f>
        <v>https://tablet.otzar.org/#/book/26497/p/-1/t/1/fs/0/start/0/end/0/c</v>
      </c>
    </row>
    <row r="1960" spans="1:8" x14ac:dyDescent="0.25">
      <c r="A1960">
        <v>628571</v>
      </c>
      <c r="B1960" t="s">
        <v>3118</v>
      </c>
      <c r="C1960" t="s">
        <v>102</v>
      </c>
      <c r="D1960" t="s">
        <v>15</v>
      </c>
      <c r="E1960" t="s">
        <v>174</v>
      </c>
      <c r="F1960" t="s">
        <v>379</v>
      </c>
      <c r="G1960" t="str">
        <f>HYPERLINK(_xlfn.CONCAT("https://tablet.otzar.org/",CHAR(35),"/book/628571/p/-1/t/1/fs/0/start/0/end/0/c"),"קומי אורי")</f>
        <v>קומי אורי</v>
      </c>
      <c r="H1960" t="str">
        <f>_xlfn.CONCAT("https://tablet.otzar.org/",CHAR(35),"/book/628571/p/-1/t/1/fs/0/start/0/end/0/c")</f>
        <v>https://tablet.otzar.org/#/book/628571/p/-1/t/1/fs/0/start/0/end/0/c</v>
      </c>
    </row>
    <row r="1961" spans="1:8" x14ac:dyDescent="0.25">
      <c r="A1961">
        <v>616780</v>
      </c>
      <c r="B1961" t="s">
        <v>3119</v>
      </c>
      <c r="C1961" t="s">
        <v>3120</v>
      </c>
      <c r="D1961" t="s">
        <v>28</v>
      </c>
      <c r="E1961" t="s">
        <v>91</v>
      </c>
      <c r="F1961" t="s">
        <v>351</v>
      </c>
      <c r="G1961" t="str">
        <f>HYPERLINK(_xlfn.CONCAT("https://tablet.otzar.org/",CHAR(35),"/book/616780/p/-1/t/1/fs/0/start/0/end/0/c"),"קונטרס - על יום ירושלים")</f>
        <v>קונטרס - על יום ירושלים</v>
      </c>
      <c r="H1961" t="str">
        <f>_xlfn.CONCAT("https://tablet.otzar.org/",CHAR(35),"/book/616780/p/-1/t/1/fs/0/start/0/end/0/c")</f>
        <v>https://tablet.otzar.org/#/book/616780/p/-1/t/1/fs/0/start/0/end/0/c</v>
      </c>
    </row>
    <row r="1962" spans="1:8" x14ac:dyDescent="0.25">
      <c r="A1962">
        <v>141409</v>
      </c>
      <c r="B1962" t="s">
        <v>3121</v>
      </c>
      <c r="C1962" t="s">
        <v>461</v>
      </c>
      <c r="D1962" t="s">
        <v>10</v>
      </c>
      <c r="E1962" t="s">
        <v>382</v>
      </c>
      <c r="F1962" t="s">
        <v>12</v>
      </c>
      <c r="G1962" t="str">
        <f>HYPERLINK(_xlfn.CONCAT("https://tablet.otzar.org/",CHAR(35),"/book/141409/p/-1/t/1/fs/0/start/0/end/0/c"),"קונטרס - פסק דין בדין הפאות הנכריות המגיעות ממדינת הודו")</f>
        <v>קונטרס - פסק דין בדין הפאות הנכריות המגיעות ממדינת הודו</v>
      </c>
      <c r="H1962" t="str">
        <f>_xlfn.CONCAT("https://tablet.otzar.org/",CHAR(35),"/book/141409/p/-1/t/1/fs/0/start/0/end/0/c")</f>
        <v>https://tablet.otzar.org/#/book/141409/p/-1/t/1/fs/0/start/0/end/0/c</v>
      </c>
    </row>
    <row r="1963" spans="1:8" x14ac:dyDescent="0.25">
      <c r="A1963">
        <v>141619</v>
      </c>
      <c r="B1963" t="s">
        <v>3122</v>
      </c>
      <c r="C1963" t="s">
        <v>3123</v>
      </c>
      <c r="D1963" t="s">
        <v>300</v>
      </c>
      <c r="E1963" t="s">
        <v>46</v>
      </c>
      <c r="F1963" t="s">
        <v>12</v>
      </c>
      <c r="G1963" t="str">
        <f>HYPERLINK(_xlfn.CONCAT("https://tablet.otzar.org/",CHAR(35),"/book/141619/p/-1/t/1/fs/0/start/0/end/0/c"),"קונטרס אביסל יידישקייט - יהדות על קצה המזלג")</f>
        <v>קונטרס אביסל יידישקייט - יהדות על קצה המזלג</v>
      </c>
      <c r="H1963" t="str">
        <f>_xlfn.CONCAT("https://tablet.otzar.org/",CHAR(35),"/book/141619/p/-1/t/1/fs/0/start/0/end/0/c")</f>
        <v>https://tablet.otzar.org/#/book/141619/p/-1/t/1/fs/0/start/0/end/0/c</v>
      </c>
    </row>
    <row r="1964" spans="1:8" x14ac:dyDescent="0.25">
      <c r="A1964">
        <v>199156</v>
      </c>
      <c r="B1964" t="s">
        <v>3124</v>
      </c>
      <c r="C1964" t="s">
        <v>567</v>
      </c>
      <c r="D1964" t="s">
        <v>608</v>
      </c>
      <c r="E1964" t="s">
        <v>49</v>
      </c>
      <c r="F1964" t="s">
        <v>12</v>
      </c>
      <c r="G1964" t="str">
        <f>HYPERLINK(_xlfn.CONCAT("https://tablet.otzar.org/",CHAR(35),"/book/199156/p/-1/t/1/fs/0/start/0/end/0/c"),"קונטרס אגרות תפלה")</f>
        <v>קונטרס אגרות תפלה</v>
      </c>
      <c r="H1964" t="str">
        <f>_xlfn.CONCAT("https://tablet.otzar.org/",CHAR(35),"/book/199156/p/-1/t/1/fs/0/start/0/end/0/c")</f>
        <v>https://tablet.otzar.org/#/book/199156/p/-1/t/1/fs/0/start/0/end/0/c</v>
      </c>
    </row>
    <row r="1965" spans="1:8" x14ac:dyDescent="0.25">
      <c r="A1965">
        <v>27580</v>
      </c>
      <c r="B1965" t="s">
        <v>3125</v>
      </c>
      <c r="C1965" t="s">
        <v>3126</v>
      </c>
      <c r="D1965" t="s">
        <v>10</v>
      </c>
      <c r="E1965" t="s">
        <v>515</v>
      </c>
      <c r="F1965" t="s">
        <v>12</v>
      </c>
      <c r="G1965" t="str">
        <f>HYPERLINK(_xlfn.CONCAT("https://tablet.otzar.org/",CHAR(35),"/exKotar/27580"),"קונטרס אהבת ישראל - 2 כרכים")</f>
        <v>קונטרס אהבת ישראל - 2 כרכים</v>
      </c>
      <c r="H1965" t="str">
        <f>_xlfn.CONCAT("https://tablet.otzar.org/",CHAR(35),"/exKotar/27580")</f>
        <v>https://tablet.otzar.org/#/exKotar/27580</v>
      </c>
    </row>
    <row r="1966" spans="1:8" x14ac:dyDescent="0.25">
      <c r="A1966">
        <v>616773</v>
      </c>
      <c r="B1966" t="s">
        <v>3127</v>
      </c>
      <c r="C1966" t="s">
        <v>259</v>
      </c>
      <c r="D1966" t="s">
        <v>431</v>
      </c>
      <c r="E1966" t="s">
        <v>192</v>
      </c>
      <c r="F1966" t="s">
        <v>12</v>
      </c>
      <c r="G1966" t="str">
        <f>HYPERLINK(_xlfn.CONCAT("https://tablet.otzar.org/",CHAR(35),"/book/616773/p/-1/t/1/fs/0/start/0/end/0/c"),"קונטרס אור המאיר - הדף")</f>
        <v>קונטרס אור המאיר - הדף</v>
      </c>
      <c r="H1966" t="str">
        <f>_xlfn.CONCAT("https://tablet.otzar.org/",CHAR(35),"/book/616773/p/-1/t/1/fs/0/start/0/end/0/c")</f>
        <v>https://tablet.otzar.org/#/book/616773/p/-1/t/1/fs/0/start/0/end/0/c</v>
      </c>
    </row>
    <row r="1967" spans="1:8" x14ac:dyDescent="0.25">
      <c r="A1967">
        <v>611995</v>
      </c>
      <c r="B1967" t="s">
        <v>3128</v>
      </c>
      <c r="C1967" t="s">
        <v>904</v>
      </c>
      <c r="D1967" t="s">
        <v>10</v>
      </c>
      <c r="E1967" t="s">
        <v>115</v>
      </c>
      <c r="F1967" t="s">
        <v>12</v>
      </c>
      <c r="G1967" t="str">
        <f>HYPERLINK(_xlfn.CONCAT("https://tablet.otzar.org/",CHAR(35),"/book/611995/p/-1/t/1/fs/0/start/0/end/0/c"),"קונטרס אור נפלא אור חדש")</f>
        <v>קונטרס אור נפלא אור חדש</v>
      </c>
      <c r="H1967" t="str">
        <f>_xlfn.CONCAT("https://tablet.otzar.org/",CHAR(35),"/book/611995/p/-1/t/1/fs/0/start/0/end/0/c")</f>
        <v>https://tablet.otzar.org/#/book/611995/p/-1/t/1/fs/0/start/0/end/0/c</v>
      </c>
    </row>
    <row r="1968" spans="1:8" x14ac:dyDescent="0.25">
      <c r="A1968">
        <v>146503</v>
      </c>
      <c r="B1968" t="s">
        <v>3129</v>
      </c>
      <c r="C1968" t="s">
        <v>3130</v>
      </c>
      <c r="D1968" t="s">
        <v>37</v>
      </c>
      <c r="E1968" t="s">
        <v>148</v>
      </c>
      <c r="F1968" t="s">
        <v>251</v>
      </c>
      <c r="G1968" t="str">
        <f>HYPERLINK(_xlfn.CONCAT("https://tablet.otzar.org/",CHAR(35),"/book/146503/p/-1/t/1/fs/0/start/0/end/0/c"),"קונטרס אור תורה תמימה")</f>
        <v>קונטרס אור תורה תמימה</v>
      </c>
      <c r="H1968" t="str">
        <f>_xlfn.CONCAT("https://tablet.otzar.org/",CHAR(35),"/book/146503/p/-1/t/1/fs/0/start/0/end/0/c")</f>
        <v>https://tablet.otzar.org/#/book/146503/p/-1/t/1/fs/0/start/0/end/0/c</v>
      </c>
    </row>
    <row r="1969" spans="1:8" x14ac:dyDescent="0.25">
      <c r="A1969">
        <v>161346</v>
      </c>
      <c r="B1969" t="s">
        <v>3131</v>
      </c>
      <c r="C1969" t="s">
        <v>45</v>
      </c>
      <c r="D1969" t="s">
        <v>15</v>
      </c>
      <c r="E1969" t="s">
        <v>49</v>
      </c>
      <c r="F1969" t="s">
        <v>12</v>
      </c>
      <c r="G1969" t="str">
        <f>HYPERLINK(_xlfn.CONCAT("https://tablet.otzar.org/",CHAR(35),"/book/161346/p/-1/t/1/fs/0/start/0/end/0/c"),"קונטרס אורה זו תורה")</f>
        <v>קונטרס אורה זו תורה</v>
      </c>
      <c r="H1969" t="str">
        <f>_xlfn.CONCAT("https://tablet.otzar.org/",CHAR(35),"/book/161346/p/-1/t/1/fs/0/start/0/end/0/c")</f>
        <v>https://tablet.otzar.org/#/book/161346/p/-1/t/1/fs/0/start/0/end/0/c</v>
      </c>
    </row>
    <row r="1970" spans="1:8" x14ac:dyDescent="0.25">
      <c r="A1970">
        <v>164335</v>
      </c>
      <c r="B1970" t="s">
        <v>3132</v>
      </c>
      <c r="C1970" t="s">
        <v>283</v>
      </c>
      <c r="D1970" t="s">
        <v>629</v>
      </c>
      <c r="E1970" t="s">
        <v>16</v>
      </c>
      <c r="F1970" t="s">
        <v>12</v>
      </c>
      <c r="G1970" t="str">
        <f>HYPERLINK(_xlfn.CONCAT("https://tablet.otzar.org/",CHAR(35),"/book/164335/p/-1/t/1/fs/0/start/0/end/0/c"),"קונטרס אחרים אומרים")</f>
        <v>קונטרס אחרים אומרים</v>
      </c>
      <c r="H1970" t="str">
        <f>_xlfn.CONCAT("https://tablet.otzar.org/",CHAR(35),"/book/164335/p/-1/t/1/fs/0/start/0/end/0/c")</f>
        <v>https://tablet.otzar.org/#/book/164335/p/-1/t/1/fs/0/start/0/end/0/c</v>
      </c>
    </row>
    <row r="1971" spans="1:8" x14ac:dyDescent="0.25">
      <c r="A1971">
        <v>146323</v>
      </c>
      <c r="B1971" t="s">
        <v>3133</v>
      </c>
      <c r="C1971" t="s">
        <v>3134</v>
      </c>
      <c r="D1971" t="s">
        <v>28</v>
      </c>
      <c r="E1971" t="s">
        <v>91</v>
      </c>
      <c r="F1971" t="s">
        <v>251</v>
      </c>
      <c r="G1971" t="str">
        <f>HYPERLINK(_xlfn.CONCAT("https://tablet.otzar.org/",CHAR(35),"/book/146323/p/-1/t/1/fs/0/start/0/end/0/c"),"קונטרס אין מעמידין פרנס אא""""כ נמלכין בציבור")</f>
        <v>קונטרס אין מעמידין פרנס אא""כ נמלכין בציבור</v>
      </c>
      <c r="H1971" t="str">
        <f>_xlfn.CONCAT("https://tablet.otzar.org/",CHAR(35),"/book/146323/p/-1/t/1/fs/0/start/0/end/0/c")</f>
        <v>https://tablet.otzar.org/#/book/146323/p/-1/t/1/fs/0/start/0/end/0/c</v>
      </c>
    </row>
    <row r="1972" spans="1:8" x14ac:dyDescent="0.25">
      <c r="A1972">
        <v>607926</v>
      </c>
      <c r="B1972" t="s">
        <v>3135</v>
      </c>
      <c r="C1972" t="s">
        <v>348</v>
      </c>
      <c r="D1972" t="s">
        <v>15</v>
      </c>
      <c r="E1972" t="s">
        <v>99</v>
      </c>
      <c r="F1972" t="s">
        <v>149</v>
      </c>
      <c r="G1972" t="str">
        <f>HYPERLINK(_xlfn.CONCAT("https://tablet.otzar.org/",CHAR(35),"/book/607926/p/-1/t/1/fs/0/start/0/end/0/c"),"קונטרס איסור הלבנת פנים")</f>
        <v>קונטרס איסור הלבנת פנים</v>
      </c>
      <c r="H1972" t="str">
        <f>_xlfn.CONCAT("https://tablet.otzar.org/",CHAR(35),"/book/607926/p/-1/t/1/fs/0/start/0/end/0/c")</f>
        <v>https://tablet.otzar.org/#/book/607926/p/-1/t/1/fs/0/start/0/end/0/c</v>
      </c>
    </row>
    <row r="1973" spans="1:8" x14ac:dyDescent="0.25">
      <c r="A1973">
        <v>146325</v>
      </c>
      <c r="B1973" t="s">
        <v>3136</v>
      </c>
      <c r="C1973" t="s">
        <v>3137</v>
      </c>
      <c r="D1973" t="s">
        <v>15</v>
      </c>
      <c r="E1973" t="s">
        <v>217</v>
      </c>
      <c r="F1973" t="s">
        <v>342</v>
      </c>
      <c r="G1973" t="str">
        <f>HYPERLINK(_xlfn.CONCAT("https://tablet.otzar.org/",CHAR(35),"/book/146325/p/-1/t/1/fs/0/start/0/end/0/c"),"קונטרס אמרות קודש על המגיד ממעזריטש")</f>
        <v>קונטרס אמרות קודש על המגיד ממעזריטש</v>
      </c>
      <c r="H1973" t="str">
        <f>_xlfn.CONCAT("https://tablet.otzar.org/",CHAR(35),"/book/146325/p/-1/t/1/fs/0/start/0/end/0/c")</f>
        <v>https://tablet.otzar.org/#/book/146325/p/-1/t/1/fs/0/start/0/end/0/c</v>
      </c>
    </row>
    <row r="1974" spans="1:8" x14ac:dyDescent="0.25">
      <c r="A1974">
        <v>146510</v>
      </c>
      <c r="B1974" t="s">
        <v>3138</v>
      </c>
      <c r="C1974" t="s">
        <v>3139</v>
      </c>
      <c r="D1974" t="s">
        <v>10</v>
      </c>
      <c r="E1974" t="s">
        <v>46</v>
      </c>
      <c r="F1974" t="s">
        <v>12</v>
      </c>
      <c r="G1974" t="str">
        <f>HYPERLINK(_xlfn.CONCAT("https://tablet.otzar.org/",CHAR(35),"/book/146510/p/-1/t/1/fs/0/start/0/end/0/c"),"קונטרס אני מאמין")</f>
        <v>קונטרס אני מאמין</v>
      </c>
      <c r="H1974" t="str">
        <f>_xlfn.CONCAT("https://tablet.otzar.org/",CHAR(35),"/book/146510/p/-1/t/1/fs/0/start/0/end/0/c")</f>
        <v>https://tablet.otzar.org/#/book/146510/p/-1/t/1/fs/0/start/0/end/0/c</v>
      </c>
    </row>
    <row r="1975" spans="1:8" x14ac:dyDescent="0.25">
      <c r="A1975">
        <v>607919</v>
      </c>
      <c r="B1975" t="s">
        <v>3140</v>
      </c>
      <c r="C1975" t="s">
        <v>3141</v>
      </c>
      <c r="D1975" t="s">
        <v>10</v>
      </c>
      <c r="E1975" t="s">
        <v>99</v>
      </c>
      <c r="F1975" t="s">
        <v>12</v>
      </c>
      <c r="G1975" t="str">
        <f>HYPERLINK(_xlfn.CONCAT("https://tablet.otzar.org/",CHAR(35),"/book/607919/p/-1/t/1/fs/0/start/0/end/0/c"),"קונטרס ביאור והגהות למאמר ויאכילך את המן")</f>
        <v>קונטרס ביאור והגהות למאמר ויאכילך את המן</v>
      </c>
      <c r="H1975" t="str">
        <f>_xlfn.CONCAT("https://tablet.otzar.org/",CHAR(35),"/book/607919/p/-1/t/1/fs/0/start/0/end/0/c")</f>
        <v>https://tablet.otzar.org/#/book/607919/p/-1/t/1/fs/0/start/0/end/0/c</v>
      </c>
    </row>
    <row r="1976" spans="1:8" x14ac:dyDescent="0.25">
      <c r="A1976">
        <v>614930</v>
      </c>
      <c r="B1976" t="s">
        <v>3142</v>
      </c>
      <c r="C1976" t="s">
        <v>3143</v>
      </c>
      <c r="D1976" t="s">
        <v>28</v>
      </c>
      <c r="E1976" t="s">
        <v>91</v>
      </c>
      <c r="F1976" t="s">
        <v>43</v>
      </c>
      <c r="G1976" t="str">
        <f>HYPERLINK(_xlfn.CONCAT("https://tablet.otzar.org/",CHAR(35),"/book/614930/p/-1/t/1/fs/0/start/0/end/0/c"),"קונטרס ביאור מנהג אנ""""ש בעניין נשיאת כפים באה""""ק")</f>
        <v>קונטרס ביאור מנהג אנ""ש בעניין נשיאת כפים באה""ק</v>
      </c>
      <c r="H1976" t="str">
        <f>_xlfn.CONCAT("https://tablet.otzar.org/",CHAR(35),"/book/614930/p/-1/t/1/fs/0/start/0/end/0/c")</f>
        <v>https://tablet.otzar.org/#/book/614930/p/-1/t/1/fs/0/start/0/end/0/c</v>
      </c>
    </row>
    <row r="1977" spans="1:8" x14ac:dyDescent="0.25">
      <c r="A1977">
        <v>164321</v>
      </c>
      <c r="B1977" t="s">
        <v>3144</v>
      </c>
      <c r="C1977" t="s">
        <v>48</v>
      </c>
      <c r="D1977" t="s">
        <v>37</v>
      </c>
      <c r="E1977" t="s">
        <v>16</v>
      </c>
      <c r="F1977" t="s">
        <v>12</v>
      </c>
      <c r="G1977" t="str">
        <f>HYPERLINK(_xlfn.CONCAT("https://tablet.otzar.org/",CHAR(35),"/book/164321/p/-1/t/1/fs/0/start/0/end/0/c"),"קונטרס בירורי הלכות")</f>
        <v>קונטרס בירורי הלכות</v>
      </c>
      <c r="H1977" t="str">
        <f>_xlfn.CONCAT("https://tablet.otzar.org/",CHAR(35),"/book/164321/p/-1/t/1/fs/0/start/0/end/0/c")</f>
        <v>https://tablet.otzar.org/#/book/164321/p/-1/t/1/fs/0/start/0/end/0/c</v>
      </c>
    </row>
    <row r="1978" spans="1:8" x14ac:dyDescent="0.25">
      <c r="A1978">
        <v>167740</v>
      </c>
      <c r="B1978" t="s">
        <v>3145</v>
      </c>
      <c r="C1978" t="s">
        <v>3146</v>
      </c>
      <c r="D1978" t="s">
        <v>159</v>
      </c>
      <c r="E1978" t="s">
        <v>82</v>
      </c>
      <c r="F1978" t="s">
        <v>229</v>
      </c>
      <c r="G1978" t="str">
        <f>HYPERLINK(_xlfn.CONCAT("https://tablet.otzar.org/",CHAR(35),"/book/167740/p/-1/t/1/fs/0/start/0/end/0/c"),"קונטרס בל תשחית")</f>
        <v>קונטרס בל תשחית</v>
      </c>
      <c r="H1978" t="str">
        <f>_xlfn.CONCAT("https://tablet.otzar.org/",CHAR(35),"/book/167740/p/-1/t/1/fs/0/start/0/end/0/c")</f>
        <v>https://tablet.otzar.org/#/book/167740/p/-1/t/1/fs/0/start/0/end/0/c</v>
      </c>
    </row>
    <row r="1979" spans="1:8" x14ac:dyDescent="0.25">
      <c r="A1979">
        <v>657619</v>
      </c>
      <c r="B1979" t="s">
        <v>3147</v>
      </c>
      <c r="C1979" t="s">
        <v>3148</v>
      </c>
      <c r="D1979" t="s">
        <v>10</v>
      </c>
      <c r="E1979" t="s">
        <v>166</v>
      </c>
      <c r="G1979" t="str">
        <f>HYPERLINK(_xlfn.CONCAT("https://tablet.otzar.org/",CHAR(35),"/book/657619/p/-1/t/1/fs/0/start/0/end/0/c"),"קונטרס בעניין קרן השנה")</f>
        <v>קונטרס בעניין קרן השנה</v>
      </c>
      <c r="H1979" t="str">
        <f>_xlfn.CONCAT("https://tablet.otzar.org/",CHAR(35),"/book/657619/p/-1/t/1/fs/0/start/0/end/0/c")</f>
        <v>https://tablet.otzar.org/#/book/657619/p/-1/t/1/fs/0/start/0/end/0/c</v>
      </c>
    </row>
    <row r="1980" spans="1:8" x14ac:dyDescent="0.25">
      <c r="A1980">
        <v>145943</v>
      </c>
      <c r="B1980" t="s">
        <v>3149</v>
      </c>
      <c r="C1980" t="s">
        <v>2169</v>
      </c>
      <c r="D1980" t="s">
        <v>1084</v>
      </c>
      <c r="E1980" t="s">
        <v>46</v>
      </c>
      <c r="F1980" t="s">
        <v>12</v>
      </c>
      <c r="G1980" t="str">
        <f>HYPERLINK(_xlfn.CONCAT("https://tablet.otzar.org/",CHAR(35),"/book/145943/p/-1/t/1/fs/0/start/0/end/0/c"),"קונטרס בענין מידת הבטחון")</f>
        <v>קונטרס בענין מידת הבטחון</v>
      </c>
      <c r="H1980" t="str">
        <f>_xlfn.CONCAT("https://tablet.otzar.org/",CHAR(35),"/book/145943/p/-1/t/1/fs/0/start/0/end/0/c")</f>
        <v>https://tablet.otzar.org/#/book/145943/p/-1/t/1/fs/0/start/0/end/0/c</v>
      </c>
    </row>
    <row r="1981" spans="1:8" x14ac:dyDescent="0.25">
      <c r="A1981">
        <v>146203</v>
      </c>
      <c r="B1981" t="s">
        <v>3150</v>
      </c>
      <c r="C1981" t="s">
        <v>90</v>
      </c>
      <c r="D1981" t="s">
        <v>28</v>
      </c>
      <c r="E1981" t="s">
        <v>91</v>
      </c>
      <c r="F1981" t="s">
        <v>201</v>
      </c>
      <c r="G1981" t="str">
        <f>HYPERLINK(_xlfn.CONCAT("https://tablet.otzar.org/",CHAR(35),"/book/146203/p/-1/t/1/fs/0/start/0/end/0/c"),"קונטרס בענין ראש השנה ויום הכיפורים")</f>
        <v>קונטרס בענין ראש השנה ויום הכיפורים</v>
      </c>
      <c r="H1981" t="str">
        <f>_xlfn.CONCAT("https://tablet.otzar.org/",CHAR(35),"/book/146203/p/-1/t/1/fs/0/start/0/end/0/c")</f>
        <v>https://tablet.otzar.org/#/book/146203/p/-1/t/1/fs/0/start/0/end/0/c</v>
      </c>
    </row>
    <row r="1982" spans="1:8" x14ac:dyDescent="0.25">
      <c r="A1982">
        <v>26467</v>
      </c>
      <c r="B1982" t="s">
        <v>3151</v>
      </c>
      <c r="C1982" t="s">
        <v>59</v>
      </c>
      <c r="D1982" t="s">
        <v>10</v>
      </c>
      <c r="E1982" t="s">
        <v>29</v>
      </c>
      <c r="F1982" t="s">
        <v>12</v>
      </c>
      <c r="G1982" t="str">
        <f>HYPERLINK(_xlfn.CONCAT("https://tablet.otzar.org/",CHAR(35),"/book/26467/p/-1/t/1/fs/0/start/0/end/0/c"),"קונטרס בר מצוה תרנ""""ג")</f>
        <v>קונטרס בר מצוה תרנ""ג</v>
      </c>
      <c r="H1982" t="str">
        <f>_xlfn.CONCAT("https://tablet.otzar.org/",CHAR(35),"/book/26467/p/-1/t/1/fs/0/start/0/end/0/c")</f>
        <v>https://tablet.otzar.org/#/book/26467/p/-1/t/1/fs/0/start/0/end/0/c</v>
      </c>
    </row>
    <row r="1983" spans="1:8" x14ac:dyDescent="0.25">
      <c r="A1983">
        <v>611709</v>
      </c>
      <c r="B1983" t="s">
        <v>3152</v>
      </c>
      <c r="C1983" t="s">
        <v>45</v>
      </c>
      <c r="D1983" t="s">
        <v>28</v>
      </c>
      <c r="E1983" t="s">
        <v>115</v>
      </c>
      <c r="F1983" t="s">
        <v>12</v>
      </c>
      <c r="G1983" t="str">
        <f>HYPERLINK(_xlfn.CONCAT("https://tablet.otzar.org/",CHAR(35),"/book/611709/p/-1/t/1/fs/0/start/0/end/0/c"),"קונטרס גזע קודש מחצבתם")</f>
        <v>קונטרס גזע קודש מחצבתם</v>
      </c>
      <c r="H1983" t="str">
        <f>_xlfn.CONCAT("https://tablet.otzar.org/",CHAR(35),"/book/611709/p/-1/t/1/fs/0/start/0/end/0/c")</f>
        <v>https://tablet.otzar.org/#/book/611709/p/-1/t/1/fs/0/start/0/end/0/c</v>
      </c>
    </row>
    <row r="1984" spans="1:8" x14ac:dyDescent="0.25">
      <c r="A1984">
        <v>608410</v>
      </c>
      <c r="B1984" t="s">
        <v>3153</v>
      </c>
      <c r="C1984" t="s">
        <v>3154</v>
      </c>
      <c r="D1984" t="s">
        <v>363</v>
      </c>
      <c r="E1984" t="s">
        <v>16</v>
      </c>
      <c r="G1984" t="str">
        <f>HYPERLINK(_xlfn.CONCAT("https://tablet.otzar.org/",CHAR(35),"/book/608410/p/-1/t/1/fs/0/start/0/end/0/c"),"קונטרס דברי הרש""""ג")</f>
        <v>קונטרס דברי הרש""ג</v>
      </c>
      <c r="H1984" t="str">
        <f>_xlfn.CONCAT("https://tablet.otzar.org/",CHAR(35),"/book/608410/p/-1/t/1/fs/0/start/0/end/0/c")</f>
        <v>https://tablet.otzar.org/#/book/608410/p/-1/t/1/fs/0/start/0/end/0/c</v>
      </c>
    </row>
    <row r="1985" spans="1:8" x14ac:dyDescent="0.25">
      <c r="A1985">
        <v>27529</v>
      </c>
      <c r="B1985" t="s">
        <v>3155</v>
      </c>
      <c r="C1985" t="s">
        <v>59</v>
      </c>
      <c r="D1985" t="s">
        <v>10</v>
      </c>
      <c r="E1985" t="s">
        <v>174</v>
      </c>
      <c r="F1985" t="s">
        <v>12</v>
      </c>
      <c r="G1985" t="str">
        <f>HYPERLINK(_xlfn.CONCAT("https://tablet.otzar.org/",CHAR(35),"/book/27529/p/-1/t/1/fs/0/start/0/end/0/c"),"קונטרס דברי ימי החוזרים")</f>
        <v>קונטרס דברי ימי החוזרים</v>
      </c>
      <c r="H1985" t="str">
        <f>_xlfn.CONCAT("https://tablet.otzar.org/",CHAR(35),"/book/27529/p/-1/t/1/fs/0/start/0/end/0/c")</f>
        <v>https://tablet.otzar.org/#/book/27529/p/-1/t/1/fs/0/start/0/end/0/c</v>
      </c>
    </row>
    <row r="1986" spans="1:8" x14ac:dyDescent="0.25">
      <c r="A1986">
        <v>145521</v>
      </c>
      <c r="B1986" t="s">
        <v>3156</v>
      </c>
      <c r="C1986" t="s">
        <v>125</v>
      </c>
      <c r="D1986" t="s">
        <v>1597</v>
      </c>
      <c r="E1986" t="s">
        <v>142</v>
      </c>
      <c r="F1986" t="s">
        <v>251</v>
      </c>
      <c r="G1986" t="str">
        <f>HYPERLINK(_xlfn.CONCAT("https://tablet.otzar.org/",CHAR(35),"/exKotar/145521"),"קונטרס דברי תורה - 8 כרכים")</f>
        <v>קונטרס דברי תורה - 8 כרכים</v>
      </c>
      <c r="H1986" t="str">
        <f>_xlfn.CONCAT("https://tablet.otzar.org/",CHAR(35),"/exKotar/145521")</f>
        <v>https://tablet.otzar.org/#/exKotar/145521</v>
      </c>
    </row>
    <row r="1987" spans="1:8" x14ac:dyDescent="0.25">
      <c r="A1987">
        <v>146342</v>
      </c>
      <c r="B1987" t="s">
        <v>3157</v>
      </c>
      <c r="C1987" t="s">
        <v>1897</v>
      </c>
      <c r="D1987" t="s">
        <v>28</v>
      </c>
      <c r="E1987" t="s">
        <v>91</v>
      </c>
      <c r="F1987" t="s">
        <v>12</v>
      </c>
      <c r="G1987" t="str">
        <f>HYPERLINK(_xlfn.CONCAT("https://tablet.otzar.org/",CHAR(35),"/book/146342/p/-1/t/1/fs/0/start/0/end/0/c"),"קונטרס דיני ומנהגי ערב פסח שחל בשבת")</f>
        <v>קונטרס דיני ומנהגי ערב פסח שחל בשבת</v>
      </c>
      <c r="H1987" t="str">
        <f>_xlfn.CONCAT("https://tablet.otzar.org/",CHAR(35),"/book/146342/p/-1/t/1/fs/0/start/0/end/0/c")</f>
        <v>https://tablet.otzar.org/#/book/146342/p/-1/t/1/fs/0/start/0/end/0/c</v>
      </c>
    </row>
    <row r="1988" spans="1:8" x14ac:dyDescent="0.25">
      <c r="A1988">
        <v>140931</v>
      </c>
      <c r="B1988" t="s">
        <v>3158</v>
      </c>
      <c r="C1988" t="s">
        <v>244</v>
      </c>
      <c r="D1988" t="s">
        <v>10</v>
      </c>
      <c r="E1988" t="s">
        <v>103</v>
      </c>
      <c r="F1988" t="s">
        <v>12</v>
      </c>
      <c r="G1988" t="str">
        <f>HYPERLINK(_xlfn.CONCAT("https://tablet.otzar.org/",CHAR(35),"/book/140931/p/-1/t/1/fs/0/start/0/end/0/c"),"קונטרס דרך הישרה")</f>
        <v>קונטרס דרך הישרה</v>
      </c>
      <c r="H1988" t="str">
        <f>_xlfn.CONCAT("https://tablet.otzar.org/",CHAR(35),"/book/140931/p/-1/t/1/fs/0/start/0/end/0/c")</f>
        <v>https://tablet.otzar.org/#/book/140931/p/-1/t/1/fs/0/start/0/end/0/c</v>
      </c>
    </row>
    <row r="1989" spans="1:8" x14ac:dyDescent="0.25">
      <c r="A1989">
        <v>146418</v>
      </c>
      <c r="B1989" t="s">
        <v>3159</v>
      </c>
      <c r="C1989" t="s">
        <v>45</v>
      </c>
      <c r="D1989" t="s">
        <v>28</v>
      </c>
      <c r="E1989" t="s">
        <v>217</v>
      </c>
      <c r="F1989" t="s">
        <v>201</v>
      </c>
      <c r="G1989" t="str">
        <f>HYPERLINK(_xlfn.CONCAT("https://tablet.otzar.org/",CHAR(35),"/book/146418/p/-1/t/1/fs/0/start/0/end/0/c"),"קונטרס דרך חירות")</f>
        <v>קונטרס דרך חירות</v>
      </c>
      <c r="H1989" t="str">
        <f>_xlfn.CONCAT("https://tablet.otzar.org/",CHAR(35),"/book/146418/p/-1/t/1/fs/0/start/0/end/0/c")</f>
        <v>https://tablet.otzar.org/#/book/146418/p/-1/t/1/fs/0/start/0/end/0/c</v>
      </c>
    </row>
    <row r="1990" spans="1:8" x14ac:dyDescent="0.25">
      <c r="A1990">
        <v>641500</v>
      </c>
      <c r="B1990" t="s">
        <v>3160</v>
      </c>
      <c r="C1990" t="s">
        <v>3161</v>
      </c>
      <c r="E1990" t="s">
        <v>185</v>
      </c>
      <c r="G1990" t="str">
        <f>HYPERLINK(_xlfn.CONCAT("https://tablet.otzar.org/",CHAR(35),"/book/641500/p/-1/t/1/fs/0/start/0/end/0/c"),"קונטרס דרכי החסידות על דרך העבודה")</f>
        <v>קונטרס דרכי החסידות על דרך העבודה</v>
      </c>
      <c r="H1990" t="str">
        <f>_xlfn.CONCAT("https://tablet.otzar.org/",CHAR(35),"/book/641500/p/-1/t/1/fs/0/start/0/end/0/c")</f>
        <v>https://tablet.otzar.org/#/book/641500/p/-1/t/1/fs/0/start/0/end/0/c</v>
      </c>
    </row>
    <row r="1991" spans="1:8" x14ac:dyDescent="0.25">
      <c r="A1991">
        <v>607944</v>
      </c>
      <c r="B1991" t="s">
        <v>3162</v>
      </c>
      <c r="C1991" t="s">
        <v>3163</v>
      </c>
      <c r="D1991" t="s">
        <v>15</v>
      </c>
      <c r="E1991" t="s">
        <v>49</v>
      </c>
      <c r="F1991" t="s">
        <v>12</v>
      </c>
      <c r="G1991" t="str">
        <f>HYPERLINK(_xlfn.CONCAT("https://tablet.otzar.org/",CHAR(35),"/book/607944/p/-1/t/1/fs/0/start/0/end/0/c"),"קונטרס ההשגחה האלקית בעולם")</f>
        <v>קונטרס ההשגחה האלקית בעולם</v>
      </c>
      <c r="H1991" t="str">
        <f>_xlfn.CONCAT("https://tablet.otzar.org/",CHAR(35),"/book/607944/p/-1/t/1/fs/0/start/0/end/0/c")</f>
        <v>https://tablet.otzar.org/#/book/607944/p/-1/t/1/fs/0/start/0/end/0/c</v>
      </c>
    </row>
    <row r="1992" spans="1:8" x14ac:dyDescent="0.25">
      <c r="A1992">
        <v>146369</v>
      </c>
      <c r="B1992" t="s">
        <v>3164</v>
      </c>
      <c r="C1992" t="s">
        <v>72</v>
      </c>
      <c r="D1992" t="s">
        <v>28</v>
      </c>
      <c r="E1992" t="s">
        <v>91</v>
      </c>
      <c r="G1992" t="str">
        <f>HYPERLINK(_xlfn.CONCAT("https://tablet.otzar.org/",CHAR(35),"/book/146369/p/-1/t/1/fs/0/start/0/end/0/c"),"קונטרס ההשתטחות")</f>
        <v>קונטרס ההשתטחות</v>
      </c>
      <c r="H1992" t="str">
        <f>_xlfn.CONCAT("https://tablet.otzar.org/",CHAR(35),"/book/146369/p/-1/t/1/fs/0/start/0/end/0/c")</f>
        <v>https://tablet.otzar.org/#/book/146369/p/-1/t/1/fs/0/start/0/end/0/c</v>
      </c>
    </row>
    <row r="1993" spans="1:8" x14ac:dyDescent="0.25">
      <c r="A1993">
        <v>145948</v>
      </c>
      <c r="B1993" t="s">
        <v>3165</v>
      </c>
      <c r="C1993" t="s">
        <v>45</v>
      </c>
      <c r="D1993" t="s">
        <v>10</v>
      </c>
      <c r="E1993" t="s">
        <v>139</v>
      </c>
      <c r="F1993" t="s">
        <v>12</v>
      </c>
      <c r="G1993" t="str">
        <f>HYPERLINK(_xlfn.CONCAT("https://tablet.otzar.org/",CHAR(35),"/book/145948/p/-1/t/1/fs/0/start/0/end/0/c"),"קונטרס הוראות בפועל")</f>
        <v>קונטרס הוראות בפועל</v>
      </c>
      <c r="H1993" t="str">
        <f>_xlfn.CONCAT("https://tablet.otzar.org/",CHAR(35),"/book/145948/p/-1/t/1/fs/0/start/0/end/0/c")</f>
        <v>https://tablet.otzar.org/#/book/145948/p/-1/t/1/fs/0/start/0/end/0/c</v>
      </c>
    </row>
    <row r="1994" spans="1:8" x14ac:dyDescent="0.25">
      <c r="A1994">
        <v>146411</v>
      </c>
      <c r="B1994" t="s">
        <v>3166</v>
      </c>
      <c r="C1994" t="s">
        <v>122</v>
      </c>
      <c r="D1994" t="s">
        <v>28</v>
      </c>
      <c r="E1994" t="s">
        <v>103</v>
      </c>
      <c r="F1994" t="s">
        <v>12</v>
      </c>
      <c r="G1994" t="str">
        <f>HYPERLINK(_xlfn.CONCAT("https://tablet.otzar.org/",CHAR(35),"/book/146411/p/-1/t/1/fs/0/start/0/end/0/c"),"קונטרס החיוב ללמוד תורת החסידות")</f>
        <v>קונטרס החיוב ללמוד תורת החסידות</v>
      </c>
      <c r="H1994" t="str">
        <f>_xlfn.CONCAT("https://tablet.otzar.org/",CHAR(35),"/book/146411/p/-1/t/1/fs/0/start/0/end/0/c")</f>
        <v>https://tablet.otzar.org/#/book/146411/p/-1/t/1/fs/0/start/0/end/0/c</v>
      </c>
    </row>
    <row r="1995" spans="1:8" x14ac:dyDescent="0.25">
      <c r="A1995">
        <v>146361</v>
      </c>
      <c r="B1995" t="s">
        <v>3167</v>
      </c>
      <c r="C1995" t="s">
        <v>3168</v>
      </c>
      <c r="D1995" t="s">
        <v>859</v>
      </c>
      <c r="E1995" t="s">
        <v>129</v>
      </c>
      <c r="F1995" t="s">
        <v>12</v>
      </c>
      <c r="G1995" t="str">
        <f>HYPERLINK(_xlfn.CONCAT("https://tablet.otzar.org/",CHAR(35),"/book/146361/p/-1/t/1/fs/0/start/0/end/0/c"),"קונטרס החלצו")</f>
        <v>קונטרס החלצו</v>
      </c>
      <c r="H1995" t="str">
        <f>_xlfn.CONCAT("https://tablet.otzar.org/",CHAR(35),"/book/146361/p/-1/t/1/fs/0/start/0/end/0/c")</f>
        <v>https://tablet.otzar.org/#/book/146361/p/-1/t/1/fs/0/start/0/end/0/c</v>
      </c>
    </row>
    <row r="1996" spans="1:8" x14ac:dyDescent="0.25">
      <c r="A1996">
        <v>642322</v>
      </c>
      <c r="B1996" t="s">
        <v>3169</v>
      </c>
      <c r="C1996" t="s">
        <v>68</v>
      </c>
      <c r="D1996" t="s">
        <v>10</v>
      </c>
      <c r="E1996" t="s">
        <v>24</v>
      </c>
      <c r="G1996" t="str">
        <f>HYPERLINK(_xlfn.CONCAT("https://tablet.otzar.org/",CHAR(35),"/book/642322/p/-1/t/1/fs/0/start/0/end/0/c"),"קונטרס החלצו עם תרגום אנגלית - פרק כח")</f>
        <v>קונטרס החלצו עם תרגום אנגלית - פרק כח</v>
      </c>
      <c r="H1996" t="str">
        <f>_xlfn.CONCAT("https://tablet.otzar.org/",CHAR(35),"/book/642322/p/-1/t/1/fs/0/start/0/end/0/c")</f>
        <v>https://tablet.otzar.org/#/book/642322/p/-1/t/1/fs/0/start/0/end/0/c</v>
      </c>
    </row>
    <row r="1997" spans="1:8" x14ac:dyDescent="0.25">
      <c r="A1997">
        <v>27557</v>
      </c>
      <c r="B1997" t="s">
        <v>3170</v>
      </c>
      <c r="C1997" t="s">
        <v>3170</v>
      </c>
      <c r="D1997" t="s">
        <v>2854</v>
      </c>
      <c r="E1997" t="s">
        <v>181</v>
      </c>
      <c r="F1997" t="s">
        <v>12</v>
      </c>
      <c r="G1997" t="str">
        <f>HYPERLINK(_xlfn.CONCAT("https://tablet.otzar.org/",CHAR(35),"/book/27557/p/-1/t/1/fs/0/start/0/end/0/c"),"קונטרס הליכות מבצעים")</f>
        <v>קונטרס הליכות מבצעים</v>
      </c>
      <c r="H1997" t="str">
        <f>_xlfn.CONCAT("https://tablet.otzar.org/",CHAR(35),"/book/27557/p/-1/t/1/fs/0/start/0/end/0/c")</f>
        <v>https://tablet.otzar.org/#/book/27557/p/-1/t/1/fs/0/start/0/end/0/c</v>
      </c>
    </row>
    <row r="1998" spans="1:8" x14ac:dyDescent="0.25">
      <c r="A1998">
        <v>611972</v>
      </c>
      <c r="B1998" t="s">
        <v>3171</v>
      </c>
      <c r="C1998" t="s">
        <v>979</v>
      </c>
      <c r="D1998" t="s">
        <v>15</v>
      </c>
      <c r="E1998" t="s">
        <v>115</v>
      </c>
      <c r="F1998" t="s">
        <v>161</v>
      </c>
      <c r="G1998" t="str">
        <f>HYPERLINK(_xlfn.CONCAT("https://tablet.otzar.org/",CHAR(35),"/book/611972/p/-1/t/1/fs/0/start/0/end/0/c"),"קונטרס הלכות ראש השנה ויום הכיפורים")</f>
        <v>קונטרס הלכות ראש השנה ויום הכיפורים</v>
      </c>
      <c r="H1998" t="str">
        <f>_xlfn.CONCAT("https://tablet.otzar.org/",CHAR(35),"/book/611972/p/-1/t/1/fs/0/start/0/end/0/c")</f>
        <v>https://tablet.otzar.org/#/book/611972/p/-1/t/1/fs/0/start/0/end/0/c</v>
      </c>
    </row>
    <row r="1999" spans="1:8" x14ac:dyDescent="0.25">
      <c r="A1999">
        <v>27584</v>
      </c>
      <c r="B1999" t="s">
        <v>3172</v>
      </c>
      <c r="C1999" t="s">
        <v>1790</v>
      </c>
      <c r="D1999" t="s">
        <v>10</v>
      </c>
      <c r="E1999" t="s">
        <v>382</v>
      </c>
      <c r="F1999" t="s">
        <v>12</v>
      </c>
      <c r="G1999" t="str">
        <f>HYPERLINK(_xlfn.CONCAT("https://tablet.otzar.org/",CHAR(35),"/book/27584/p/-1/t/1/fs/0/start/0/end/0/c"),"קונטרס המבצעים")</f>
        <v>קונטרס המבצעים</v>
      </c>
      <c r="H1999" t="str">
        <f>_xlfn.CONCAT("https://tablet.otzar.org/",CHAR(35),"/book/27584/p/-1/t/1/fs/0/start/0/end/0/c")</f>
        <v>https://tablet.otzar.org/#/book/27584/p/-1/t/1/fs/0/start/0/end/0/c</v>
      </c>
    </row>
    <row r="2000" spans="1:8" x14ac:dyDescent="0.25">
      <c r="A2000">
        <v>143287</v>
      </c>
      <c r="B2000" t="s">
        <v>3173</v>
      </c>
      <c r="C2000" t="s">
        <v>3174</v>
      </c>
      <c r="D2000" t="s">
        <v>28</v>
      </c>
      <c r="E2000" t="s">
        <v>1001</v>
      </c>
      <c r="F2000" t="s">
        <v>76</v>
      </c>
      <c r="G2000" t="str">
        <f>HYPERLINK(_xlfn.CONCAT("https://tablet.otzar.org/",CHAR(35),"/book/143287/p/-1/t/1/fs/0/start/0/end/0/c"),"קונטרס המפתח לג' מאות ענינים בההמשך רס""""ז - רס""""ח")</f>
        <v>קונטרס המפתח לג' מאות ענינים בההמשך רס""ז - רס""ח</v>
      </c>
      <c r="H2000" t="str">
        <f>_xlfn.CONCAT("https://tablet.otzar.org/",CHAR(35),"/book/143287/p/-1/t/1/fs/0/start/0/end/0/c")</f>
        <v>https://tablet.otzar.org/#/book/143287/p/-1/t/1/fs/0/start/0/end/0/c</v>
      </c>
    </row>
    <row r="2001" spans="1:8" x14ac:dyDescent="0.25">
      <c r="A2001">
        <v>145944</v>
      </c>
      <c r="B2001" t="s">
        <v>3175</v>
      </c>
      <c r="C2001" t="s">
        <v>45</v>
      </c>
      <c r="D2001" t="s">
        <v>10</v>
      </c>
      <c r="E2001" t="s">
        <v>46</v>
      </c>
      <c r="F2001" t="s">
        <v>12</v>
      </c>
      <c r="G2001" t="str">
        <f>HYPERLINK(_xlfn.CONCAT("https://tablet.otzar.org/",CHAR(35),"/book/145944/p/-1/t/1/fs/0/start/0/end/0/c"),"קונטרס הנה זה בא")</f>
        <v>קונטרס הנה זה בא</v>
      </c>
      <c r="H2001" t="str">
        <f>_xlfn.CONCAT("https://tablet.otzar.org/",CHAR(35),"/book/145944/p/-1/t/1/fs/0/start/0/end/0/c")</f>
        <v>https://tablet.otzar.org/#/book/145944/p/-1/t/1/fs/0/start/0/end/0/c</v>
      </c>
    </row>
    <row r="2002" spans="1:8" x14ac:dyDescent="0.25">
      <c r="A2002">
        <v>196285</v>
      </c>
      <c r="B2002" t="s">
        <v>3176</v>
      </c>
      <c r="C2002" t="s">
        <v>68</v>
      </c>
      <c r="D2002" t="s">
        <v>37</v>
      </c>
      <c r="E2002" t="s">
        <v>19</v>
      </c>
      <c r="F2002" t="s">
        <v>12</v>
      </c>
      <c r="G2002" t="str">
        <f>HYPERLINK(_xlfn.CONCAT("https://tablet.otzar.org/",CHAR(35),"/book/196285/p/-1/t/1/fs/0/start/0/end/0/c"),"קונטרס העבודה &lt;מהדורת חדשה&gt;")</f>
        <v>קונטרס העבודה &lt;מהדורת חדשה&gt;</v>
      </c>
      <c r="H2002" t="str">
        <f>_xlfn.CONCAT("https://tablet.otzar.org/",CHAR(35),"/book/196285/p/-1/t/1/fs/0/start/0/end/0/c")</f>
        <v>https://tablet.otzar.org/#/book/196285/p/-1/t/1/fs/0/start/0/end/0/c</v>
      </c>
    </row>
    <row r="2003" spans="1:8" x14ac:dyDescent="0.25">
      <c r="A2003">
        <v>27586</v>
      </c>
      <c r="B2003" t="s">
        <v>3177</v>
      </c>
      <c r="C2003" t="s">
        <v>45</v>
      </c>
      <c r="D2003" t="s">
        <v>10</v>
      </c>
      <c r="E2003" t="s">
        <v>217</v>
      </c>
      <c r="F2003" t="s">
        <v>12</v>
      </c>
      <c r="G2003" t="str">
        <f>HYPERLINK(_xlfn.CONCAT("https://tablet.otzar.org/",CHAR(35),"/book/27586/p/-1/t/1/fs/0/start/0/end/0/c"),"קונטרס העשירות")</f>
        <v>קונטרס העשירות</v>
      </c>
      <c r="H2003" t="str">
        <f>_xlfn.CONCAT("https://tablet.otzar.org/",CHAR(35),"/book/27586/p/-1/t/1/fs/0/start/0/end/0/c")</f>
        <v>https://tablet.otzar.org/#/book/27586/p/-1/t/1/fs/0/start/0/end/0/c</v>
      </c>
    </row>
    <row r="2004" spans="1:8" x14ac:dyDescent="0.25">
      <c r="A2004">
        <v>140946</v>
      </c>
      <c r="B2004" t="s">
        <v>3178</v>
      </c>
      <c r="C2004" t="s">
        <v>45</v>
      </c>
      <c r="D2004" t="s">
        <v>10</v>
      </c>
      <c r="E2004" t="s">
        <v>40</v>
      </c>
      <c r="F2004" t="s">
        <v>12</v>
      </c>
      <c r="G2004" t="str">
        <f>HYPERLINK(_xlfn.CONCAT("https://tablet.otzar.org/",CHAR(35),"/book/140946/p/-1/t/1/fs/0/start/0/end/0/c"),"קונטרס הקפות")</f>
        <v>קונטרס הקפות</v>
      </c>
      <c r="H2004" t="str">
        <f>_xlfn.CONCAT("https://tablet.otzar.org/",CHAR(35),"/book/140946/p/-1/t/1/fs/0/start/0/end/0/c")</f>
        <v>https://tablet.otzar.org/#/book/140946/p/-1/t/1/fs/0/start/0/end/0/c</v>
      </c>
    </row>
    <row r="2005" spans="1:8" x14ac:dyDescent="0.25">
      <c r="A2005">
        <v>140822</v>
      </c>
      <c r="B2005" t="s">
        <v>3179</v>
      </c>
      <c r="C2005" t="s">
        <v>3180</v>
      </c>
      <c r="D2005" t="s">
        <v>15</v>
      </c>
      <c r="E2005" t="s">
        <v>60</v>
      </c>
      <c r="F2005" t="s">
        <v>12</v>
      </c>
      <c r="G2005" t="str">
        <f>HYPERLINK(_xlfn.CONCAT("https://tablet.otzar.org/",CHAR(35),"/book/140822/p/-1/t/1/fs/0/start/0/end/0/c"),"קונטרס הרב")</f>
        <v>קונטרס הרב</v>
      </c>
      <c r="H2005" t="str">
        <f>_xlfn.CONCAT("https://tablet.otzar.org/",CHAR(35),"/book/140822/p/-1/t/1/fs/0/start/0/end/0/c")</f>
        <v>https://tablet.otzar.org/#/book/140822/p/-1/t/1/fs/0/start/0/end/0/c</v>
      </c>
    </row>
    <row r="2006" spans="1:8" x14ac:dyDescent="0.25">
      <c r="A2006">
        <v>146405</v>
      </c>
      <c r="B2006" t="s">
        <v>3181</v>
      </c>
      <c r="C2006" t="s">
        <v>3182</v>
      </c>
      <c r="D2006" t="s">
        <v>10</v>
      </c>
      <c r="E2006" t="s">
        <v>38</v>
      </c>
      <c r="F2006" t="s">
        <v>12</v>
      </c>
      <c r="G2006" t="str">
        <f>HYPERLINK(_xlfn.CONCAT("https://tablet.otzar.org/",CHAR(35),"/book/146405/p/-1/t/1/fs/0/start/0/end/0/c"),"קונטרס הרבנית דבורה לאה")</f>
        <v>קונטרס הרבנית דבורה לאה</v>
      </c>
      <c r="H2006" t="str">
        <f>_xlfn.CONCAT("https://tablet.otzar.org/",CHAR(35),"/book/146405/p/-1/t/1/fs/0/start/0/end/0/c")</f>
        <v>https://tablet.otzar.org/#/book/146405/p/-1/t/1/fs/0/start/0/end/0/c</v>
      </c>
    </row>
    <row r="2007" spans="1:8" x14ac:dyDescent="0.25">
      <c r="A2007">
        <v>141421</v>
      </c>
      <c r="B2007" t="s">
        <v>3183</v>
      </c>
      <c r="C2007" t="s">
        <v>45</v>
      </c>
      <c r="D2007" t="s">
        <v>10</v>
      </c>
      <c r="E2007" t="s">
        <v>181</v>
      </c>
      <c r="F2007" t="s">
        <v>12</v>
      </c>
      <c r="G2007" t="str">
        <f>HYPERLINK(_xlfn.CONCAT("https://tablet.otzar.org/",CHAR(35),"/exKotar/141421"),"קונטרס השליחות - 3 כרכים")</f>
        <v>קונטרס השליחות - 3 כרכים</v>
      </c>
      <c r="H2007" t="str">
        <f>_xlfn.CONCAT("https://tablet.otzar.org/",CHAR(35),"/exKotar/141421")</f>
        <v>https://tablet.otzar.org/#/exKotar/141421</v>
      </c>
    </row>
    <row r="2008" spans="1:8" x14ac:dyDescent="0.25">
      <c r="A2008">
        <v>140814</v>
      </c>
      <c r="B2008" t="s">
        <v>3184</v>
      </c>
      <c r="C2008" t="s">
        <v>68</v>
      </c>
      <c r="D2008" t="s">
        <v>10</v>
      </c>
      <c r="E2008" t="s">
        <v>192</v>
      </c>
      <c r="G2008" t="str">
        <f>HYPERLINK(_xlfn.CONCAT("https://tablet.otzar.org/",CHAR(35),"/book/140814/p/-1/t/1/fs/0/start/0/end/0/c"),"קונטרס התפלה")</f>
        <v>קונטרס התפלה</v>
      </c>
      <c r="H2008" t="str">
        <f>_xlfn.CONCAT("https://tablet.otzar.org/",CHAR(35),"/book/140814/p/-1/t/1/fs/0/start/0/end/0/c")</f>
        <v>https://tablet.otzar.org/#/book/140814/p/-1/t/1/fs/0/start/0/end/0/c</v>
      </c>
    </row>
    <row r="2009" spans="1:8" x14ac:dyDescent="0.25">
      <c r="A2009">
        <v>677443</v>
      </c>
      <c r="B2009" t="s">
        <v>3185</v>
      </c>
      <c r="C2009" t="s">
        <v>3186</v>
      </c>
      <c r="D2009" t="s">
        <v>23</v>
      </c>
      <c r="E2009" t="s">
        <v>2258</v>
      </c>
      <c r="F2009" t="s">
        <v>3187</v>
      </c>
      <c r="G2009" t="str">
        <f>HYPERLINK(_xlfn.CONCAT("https://tablet.otzar.org/",CHAR(35),"/book/677443/p/-1/t/1/fs/0/start/0/end/0/c"),"קונטרס ואשיבה שופטייך - לימודי סמיכה")</f>
        <v>קונטרס ואשיבה שופטייך - לימודי סמיכה</v>
      </c>
      <c r="H2009" t="str">
        <f>_xlfn.CONCAT("https://tablet.otzar.org/",CHAR(35),"/book/677443/p/-1/t/1/fs/0/start/0/end/0/c")</f>
        <v>https://tablet.otzar.org/#/book/677443/p/-1/t/1/fs/0/start/0/end/0/c</v>
      </c>
    </row>
    <row r="2010" spans="1:8" x14ac:dyDescent="0.25">
      <c r="A2010">
        <v>142750</v>
      </c>
      <c r="B2010" t="s">
        <v>3188</v>
      </c>
      <c r="C2010" t="s">
        <v>45</v>
      </c>
      <c r="D2010" t="s">
        <v>10</v>
      </c>
      <c r="E2010" t="s">
        <v>33</v>
      </c>
      <c r="F2010" t="s">
        <v>12</v>
      </c>
      <c r="G2010" t="str">
        <f>HYPERLINK(_xlfn.CONCAT("https://tablet.otzar.org/",CHAR(35),"/book/142750/p/-1/t/1/fs/0/start/0/end/0/c"),"קונטרס ואתם תלוקטו לאחד אחד בני ישראל")</f>
        <v>קונטרס ואתם תלוקטו לאחד אחד בני ישראל</v>
      </c>
      <c r="H2010" t="str">
        <f>_xlfn.CONCAT("https://tablet.otzar.org/",CHAR(35),"/book/142750/p/-1/t/1/fs/0/start/0/end/0/c")</f>
        <v>https://tablet.otzar.org/#/book/142750/p/-1/t/1/fs/0/start/0/end/0/c</v>
      </c>
    </row>
    <row r="2011" spans="1:8" x14ac:dyDescent="0.25">
      <c r="A2011">
        <v>199160</v>
      </c>
      <c r="B2011" t="s">
        <v>3189</v>
      </c>
      <c r="C2011" t="s">
        <v>90</v>
      </c>
      <c r="D2011" t="s">
        <v>608</v>
      </c>
      <c r="E2011" t="s">
        <v>19</v>
      </c>
      <c r="F2011" t="s">
        <v>163</v>
      </c>
      <c r="G2011" t="str">
        <f>HYPERLINK(_xlfn.CONCAT("https://tablet.otzar.org/",CHAR(35),"/book/199160/p/-1/t/1/fs/0/start/0/end/0/c"),"קונטרס וואס לערנט אונז חסידות")</f>
        <v>קונטרס וואס לערנט אונז חסידות</v>
      </c>
      <c r="H2011" t="str">
        <f>_xlfn.CONCAT("https://tablet.otzar.org/",CHAR(35),"/book/199160/p/-1/t/1/fs/0/start/0/end/0/c")</f>
        <v>https://tablet.otzar.org/#/book/199160/p/-1/t/1/fs/0/start/0/end/0/c</v>
      </c>
    </row>
    <row r="2012" spans="1:8" x14ac:dyDescent="0.25">
      <c r="A2012">
        <v>613912</v>
      </c>
      <c r="B2012" t="s">
        <v>3190</v>
      </c>
      <c r="C2012" t="s">
        <v>1679</v>
      </c>
      <c r="D2012" t="s">
        <v>10</v>
      </c>
      <c r="E2012" t="s">
        <v>115</v>
      </c>
      <c r="F2012" t="s">
        <v>12</v>
      </c>
      <c r="G2012" t="str">
        <f>HYPERLINK(_xlfn.CONCAT("https://tablet.otzar.org/",CHAR(35),"/book/613912/p/-1/t/1/fs/0/start/0/end/0/c"),"קונטרס ושבתי בשלום")</f>
        <v>קונטרס ושבתי בשלום</v>
      </c>
      <c r="H2012" t="str">
        <f>_xlfn.CONCAT("https://tablet.otzar.org/",CHAR(35),"/book/613912/p/-1/t/1/fs/0/start/0/end/0/c")</f>
        <v>https://tablet.otzar.org/#/book/613912/p/-1/t/1/fs/0/start/0/end/0/c</v>
      </c>
    </row>
    <row r="2013" spans="1:8" x14ac:dyDescent="0.25">
      <c r="A2013">
        <v>627078</v>
      </c>
      <c r="B2013" t="s">
        <v>3191</v>
      </c>
      <c r="C2013" t="s">
        <v>3192</v>
      </c>
      <c r="F2013" t="s">
        <v>12</v>
      </c>
      <c r="G2013" t="str">
        <f>HYPERLINK(_xlfn.CONCAT("https://tablet.otzar.org/",CHAR(35),"/book/627078/p/-1/t/1/fs/0/start/0/end/0/c"),"קונטרס זהיר טפי")</f>
        <v>קונטרס זהיר טפי</v>
      </c>
      <c r="H2013" t="str">
        <f>_xlfn.CONCAT("https://tablet.otzar.org/",CHAR(35),"/book/627078/p/-1/t/1/fs/0/start/0/end/0/c")</f>
        <v>https://tablet.otzar.org/#/book/627078/p/-1/t/1/fs/0/start/0/end/0/c</v>
      </c>
    </row>
    <row r="2014" spans="1:8" x14ac:dyDescent="0.25">
      <c r="A2014">
        <v>627246</v>
      </c>
      <c r="B2014" t="s">
        <v>3193</v>
      </c>
      <c r="C2014" t="s">
        <v>3194</v>
      </c>
      <c r="D2014" t="s">
        <v>412</v>
      </c>
      <c r="E2014" t="s">
        <v>11</v>
      </c>
      <c r="F2014" t="s">
        <v>12</v>
      </c>
      <c r="G2014" t="str">
        <f>HYPERLINK(_xlfn.CONCAT("https://tablet.otzar.org/",CHAR(35),"/book/627246/p/-1/t/1/fs/0/start/0/end/0/c"),"קונטרס זכרון הרב משה מרדכי")</f>
        <v>קונטרס זכרון הרב משה מרדכי</v>
      </c>
      <c r="H2014" t="str">
        <f>_xlfn.CONCAT("https://tablet.otzar.org/",CHAR(35),"/book/627246/p/-1/t/1/fs/0/start/0/end/0/c")</f>
        <v>https://tablet.otzar.org/#/book/627246/p/-1/t/1/fs/0/start/0/end/0/c</v>
      </c>
    </row>
    <row r="2015" spans="1:8" x14ac:dyDescent="0.25">
      <c r="A2015">
        <v>199162</v>
      </c>
      <c r="B2015" t="s">
        <v>3195</v>
      </c>
      <c r="C2015" t="s">
        <v>567</v>
      </c>
      <c r="D2015" t="s">
        <v>608</v>
      </c>
      <c r="E2015" t="s">
        <v>60</v>
      </c>
      <c r="F2015" t="s">
        <v>12</v>
      </c>
      <c r="G2015" t="str">
        <f>HYPERLINK(_xlfn.CONCAT("https://tablet.otzar.org/",CHAR(35),"/book/199162/p/-1/t/1/fs/0/start/0/end/0/c"),"קונטרס חיזוק הביטחון")</f>
        <v>קונטרס חיזוק הביטחון</v>
      </c>
      <c r="H2015" t="str">
        <f>_xlfn.CONCAT("https://tablet.otzar.org/",CHAR(35),"/book/199162/p/-1/t/1/fs/0/start/0/end/0/c")</f>
        <v>https://tablet.otzar.org/#/book/199162/p/-1/t/1/fs/0/start/0/end/0/c</v>
      </c>
    </row>
    <row r="2016" spans="1:8" x14ac:dyDescent="0.25">
      <c r="A2016">
        <v>145739</v>
      </c>
      <c r="B2016" t="s">
        <v>3196</v>
      </c>
      <c r="C2016" t="s">
        <v>1719</v>
      </c>
      <c r="D2016" t="s">
        <v>882</v>
      </c>
      <c r="E2016" t="s">
        <v>134</v>
      </c>
      <c r="F2016" t="s">
        <v>12</v>
      </c>
      <c r="G2016" t="str">
        <f>HYPERLINK(_xlfn.CONCAT("https://tablet.otzar.org/",CHAR(35),"/book/145739/p/-1/t/1/fs/0/start/0/end/0/c"),"קונטרס יום טוב שני להעובר ממקום למקום")</f>
        <v>קונטרס יום טוב שני להעובר ממקום למקום</v>
      </c>
      <c r="H2016" t="str">
        <f>_xlfn.CONCAT("https://tablet.otzar.org/",CHAR(35),"/book/145739/p/-1/t/1/fs/0/start/0/end/0/c")</f>
        <v>https://tablet.otzar.org/#/book/145739/p/-1/t/1/fs/0/start/0/end/0/c</v>
      </c>
    </row>
    <row r="2017" spans="1:8" x14ac:dyDescent="0.25">
      <c r="A2017">
        <v>27712</v>
      </c>
      <c r="B2017" t="s">
        <v>3197</v>
      </c>
      <c r="C2017" t="s">
        <v>1047</v>
      </c>
      <c r="D2017" t="s">
        <v>28</v>
      </c>
      <c r="E2017" t="s">
        <v>91</v>
      </c>
      <c r="F2017" t="s">
        <v>12</v>
      </c>
      <c r="G2017" t="str">
        <f>HYPERLINK(_xlfn.CONCAT("https://tablet.otzar.org/",CHAR(35),"/book/27712/p/-1/t/1/fs/0/start/0/end/0/c"),"קונטרס יחי אדוננו מורנו ורבנו")</f>
        <v>קונטרס יחי אדוננו מורנו ורבנו</v>
      </c>
      <c r="H2017" t="str">
        <f>_xlfn.CONCAT("https://tablet.otzar.org/",CHAR(35),"/book/27712/p/-1/t/1/fs/0/start/0/end/0/c")</f>
        <v>https://tablet.otzar.org/#/book/27712/p/-1/t/1/fs/0/start/0/end/0/c</v>
      </c>
    </row>
    <row r="2018" spans="1:8" x14ac:dyDescent="0.25">
      <c r="A2018">
        <v>141511</v>
      </c>
      <c r="B2018" t="s">
        <v>3198</v>
      </c>
      <c r="C2018" t="s">
        <v>3139</v>
      </c>
      <c r="D2018" t="s">
        <v>10</v>
      </c>
      <c r="E2018" t="s">
        <v>260</v>
      </c>
      <c r="F2018" t="s">
        <v>12</v>
      </c>
      <c r="G2018" t="str">
        <f>HYPERLINK(_xlfn.CONCAT("https://tablet.otzar.org/",CHAR(35),"/book/141511/p/-1/t/1/fs/0/start/0/end/0/c"),"קונטרס ימות המשיח")</f>
        <v>קונטרס ימות המשיח</v>
      </c>
      <c r="H2018" t="str">
        <f>_xlfn.CONCAT("https://tablet.otzar.org/",CHAR(35),"/book/141511/p/-1/t/1/fs/0/start/0/end/0/c")</f>
        <v>https://tablet.otzar.org/#/book/141511/p/-1/t/1/fs/0/start/0/end/0/c</v>
      </c>
    </row>
    <row r="2019" spans="1:8" x14ac:dyDescent="0.25">
      <c r="A2019">
        <v>621048</v>
      </c>
      <c r="B2019" t="s">
        <v>3199</v>
      </c>
      <c r="C2019" t="s">
        <v>45</v>
      </c>
      <c r="D2019" t="s">
        <v>10</v>
      </c>
      <c r="E2019" t="s">
        <v>115</v>
      </c>
      <c r="F2019" t="s">
        <v>12</v>
      </c>
      <c r="G2019" t="str">
        <f>HYPERLINK(_xlfn.CONCAT("https://tablet.otzar.org/",CHAR(35),"/book/621048/p/-1/t/1/fs/0/start/0/end/0/c"),"קונטרס כ""""ב שבט - תשע""""ח")</f>
        <v>קונטרס כ""ב שבט - תשע""ח</v>
      </c>
      <c r="H2019" t="str">
        <f>_xlfn.CONCAT("https://tablet.otzar.org/",CHAR(35),"/book/621048/p/-1/t/1/fs/0/start/0/end/0/c")</f>
        <v>https://tablet.otzar.org/#/book/621048/p/-1/t/1/fs/0/start/0/end/0/c</v>
      </c>
    </row>
    <row r="2020" spans="1:8" x14ac:dyDescent="0.25">
      <c r="A2020">
        <v>614752</v>
      </c>
      <c r="B2020" t="s">
        <v>3200</v>
      </c>
      <c r="C2020" t="s">
        <v>3201</v>
      </c>
      <c r="D2020" t="s">
        <v>3202</v>
      </c>
      <c r="E2020" t="s">
        <v>62</v>
      </c>
      <c r="F2020" t="s">
        <v>12</v>
      </c>
      <c r="G2020" t="str">
        <f>HYPERLINK(_xlfn.CONCAT("https://tablet.otzar.org/",CHAR(35),"/book/614752/p/-1/t/1/fs/0/start/0/end/0/c"),"קונטרס כדכד שמשותיך")</f>
        <v>קונטרס כדכד שמשותיך</v>
      </c>
      <c r="H2020" t="str">
        <f>_xlfn.CONCAT("https://tablet.otzar.org/",CHAR(35),"/book/614752/p/-1/t/1/fs/0/start/0/end/0/c")</f>
        <v>https://tablet.otzar.org/#/book/614752/p/-1/t/1/fs/0/start/0/end/0/c</v>
      </c>
    </row>
    <row r="2021" spans="1:8" x14ac:dyDescent="0.25">
      <c r="A2021">
        <v>27412</v>
      </c>
      <c r="B2021" t="s">
        <v>3203</v>
      </c>
      <c r="C2021" t="s">
        <v>244</v>
      </c>
      <c r="D2021" t="s">
        <v>10</v>
      </c>
      <c r="E2021" t="s">
        <v>38</v>
      </c>
      <c r="F2021" t="s">
        <v>12</v>
      </c>
      <c r="G2021" t="str">
        <f>HYPERLINK(_xlfn.CONCAT("https://tablet.otzar.org/",CHAR(35),"/book/27412/p/-1/t/1/fs/0/start/0/end/0/c"),"קונטרס ליקוטי פנינים")</f>
        <v>קונטרס ליקוטי פנינים</v>
      </c>
      <c r="H2021" t="str">
        <f>_xlfn.CONCAT("https://tablet.otzar.org/",CHAR(35),"/book/27412/p/-1/t/1/fs/0/start/0/end/0/c")</f>
        <v>https://tablet.otzar.org/#/book/27412/p/-1/t/1/fs/0/start/0/end/0/c</v>
      </c>
    </row>
    <row r="2022" spans="1:8" x14ac:dyDescent="0.25">
      <c r="A2022">
        <v>145928</v>
      </c>
      <c r="B2022" t="s">
        <v>3204</v>
      </c>
      <c r="C2022" t="s">
        <v>3204</v>
      </c>
      <c r="D2022" t="s">
        <v>28</v>
      </c>
      <c r="E2022" t="s">
        <v>217</v>
      </c>
      <c r="F2022" t="s">
        <v>12</v>
      </c>
      <c r="G2022" t="str">
        <f>HYPERLINK(_xlfn.CONCAT("https://tablet.otzar.org/",CHAR(35),"/book/145928/p/-1/t/1/fs/0/start/0/end/0/c"),"קונטרס לקח טוב")</f>
        <v>קונטרס לקח טוב</v>
      </c>
      <c r="H2022" t="str">
        <f>_xlfn.CONCAT("https://tablet.otzar.org/",CHAR(35),"/book/145928/p/-1/t/1/fs/0/start/0/end/0/c")</f>
        <v>https://tablet.otzar.org/#/book/145928/p/-1/t/1/fs/0/start/0/end/0/c</v>
      </c>
    </row>
    <row r="2023" spans="1:8" x14ac:dyDescent="0.25">
      <c r="A2023">
        <v>145774</v>
      </c>
      <c r="B2023" t="s">
        <v>3205</v>
      </c>
      <c r="C2023" t="s">
        <v>3205</v>
      </c>
      <c r="D2023" t="s">
        <v>28</v>
      </c>
      <c r="E2023" t="s">
        <v>60</v>
      </c>
      <c r="F2023" t="s">
        <v>12</v>
      </c>
      <c r="G2023" t="str">
        <f>HYPERLINK(_xlfn.CONCAT("https://tablet.otzar.org/",CHAR(35),"/book/145774/p/-1/t/1/fs/0/start/0/end/0/c"),"קונטרס לשון חכמים")</f>
        <v>קונטרס לשון חכמים</v>
      </c>
      <c r="H2023" t="str">
        <f>_xlfn.CONCAT("https://tablet.otzar.org/",CHAR(35),"/book/145774/p/-1/t/1/fs/0/start/0/end/0/c")</f>
        <v>https://tablet.otzar.org/#/book/145774/p/-1/t/1/fs/0/start/0/end/0/c</v>
      </c>
    </row>
    <row r="2024" spans="1:8" x14ac:dyDescent="0.25">
      <c r="A2024">
        <v>27575</v>
      </c>
      <c r="B2024" t="s">
        <v>3206</v>
      </c>
      <c r="C2024" t="s">
        <v>45</v>
      </c>
      <c r="D2024" t="s">
        <v>10</v>
      </c>
      <c r="E2024" t="s">
        <v>134</v>
      </c>
      <c r="F2024" t="s">
        <v>12</v>
      </c>
      <c r="G2024" t="str">
        <f>HYPERLINK(_xlfn.CONCAT("https://tablet.otzar.org/",CHAR(35),"/book/27575/p/-1/t/1/fs/0/start/0/end/0/c"),"קונטרס מאי חנוכה")</f>
        <v>קונטרס מאי חנוכה</v>
      </c>
      <c r="H2024" t="str">
        <f>_xlfn.CONCAT("https://tablet.otzar.org/",CHAR(35),"/book/27575/p/-1/t/1/fs/0/start/0/end/0/c")</f>
        <v>https://tablet.otzar.org/#/book/27575/p/-1/t/1/fs/0/start/0/end/0/c</v>
      </c>
    </row>
    <row r="2025" spans="1:8" x14ac:dyDescent="0.25">
      <c r="A2025">
        <v>610250</v>
      </c>
      <c r="B2025" t="s">
        <v>3207</v>
      </c>
      <c r="C2025" t="s">
        <v>45</v>
      </c>
      <c r="D2025" t="s">
        <v>28</v>
      </c>
      <c r="E2025" t="s">
        <v>88</v>
      </c>
      <c r="F2025" t="s">
        <v>12</v>
      </c>
      <c r="G2025" t="str">
        <f>HYPERLINK(_xlfn.CONCAT("https://tablet.otzar.org/",CHAR(35),"/book/610250/p/-1/t/1/fs/0/start/0/end/0/c"),"קונטרס מכתבים ומענות")</f>
        <v>קונטרס מכתבים ומענות</v>
      </c>
      <c r="H2025" t="str">
        <f>_xlfn.CONCAT("https://tablet.otzar.org/",CHAR(35),"/book/610250/p/-1/t/1/fs/0/start/0/end/0/c")</f>
        <v>https://tablet.otzar.org/#/book/610250/p/-1/t/1/fs/0/start/0/end/0/c</v>
      </c>
    </row>
    <row r="2026" spans="1:8" x14ac:dyDescent="0.25">
      <c r="A2026">
        <v>145741</v>
      </c>
      <c r="B2026" t="s">
        <v>3208</v>
      </c>
      <c r="C2026" t="s">
        <v>125</v>
      </c>
      <c r="D2026" t="s">
        <v>681</v>
      </c>
      <c r="E2026" t="s">
        <v>250</v>
      </c>
      <c r="F2026" t="s">
        <v>12</v>
      </c>
      <c r="G2026" t="str">
        <f>HYPERLINK(_xlfn.CONCAT("https://tablet.otzar.org/",CHAR(35),"/exKotar/145741"),"קונטרס מנחם משיב נפשי - 2 כרכים")</f>
        <v>קונטרס מנחם משיב נפשי - 2 כרכים</v>
      </c>
      <c r="H2026" t="str">
        <f>_xlfn.CONCAT("https://tablet.otzar.org/",CHAR(35),"/exKotar/145741")</f>
        <v>https://tablet.otzar.org/#/exKotar/145741</v>
      </c>
    </row>
    <row r="2027" spans="1:8" x14ac:dyDescent="0.25">
      <c r="A2027">
        <v>614797</v>
      </c>
      <c r="B2027" t="s">
        <v>3209</v>
      </c>
      <c r="C2027" t="s">
        <v>199</v>
      </c>
      <c r="D2027" t="s">
        <v>10</v>
      </c>
      <c r="E2027" t="s">
        <v>174</v>
      </c>
      <c r="F2027" t="s">
        <v>131</v>
      </c>
      <c r="G2027" t="str">
        <f>HYPERLINK(_xlfn.CONCAT("https://tablet.otzar.org/",CHAR(35),"/book/614797/p/-1/t/1/fs/0/start/0/end/0/c"),"קונטרס מעדני יום טוב - חג שבועות ומתן תורה")</f>
        <v>קונטרס מעדני יום טוב - חג שבועות ומתן תורה</v>
      </c>
      <c r="H2027" t="str">
        <f>_xlfn.CONCAT("https://tablet.otzar.org/",CHAR(35),"/book/614797/p/-1/t/1/fs/0/start/0/end/0/c")</f>
        <v>https://tablet.otzar.org/#/book/614797/p/-1/t/1/fs/0/start/0/end/0/c</v>
      </c>
    </row>
    <row r="2028" spans="1:8" x14ac:dyDescent="0.25">
      <c r="A2028">
        <v>639786</v>
      </c>
      <c r="B2028" t="s">
        <v>3210</v>
      </c>
      <c r="D2028" t="s">
        <v>10</v>
      </c>
      <c r="E2028" t="s">
        <v>217</v>
      </c>
      <c r="F2028" t="s">
        <v>229</v>
      </c>
      <c r="G2028" t="str">
        <f>HYPERLINK(_xlfn.CONCAT("https://tablet.otzar.org/",CHAR(35),"/exKotar/639786"),"קונטרס מעדני יום טוב - 2 כרכים")</f>
        <v>קונטרס מעדני יום טוב - 2 כרכים</v>
      </c>
      <c r="H2028" t="str">
        <f>_xlfn.CONCAT("https://tablet.otzar.org/",CHAR(35),"/exKotar/639786")</f>
        <v>https://tablet.otzar.org/#/exKotar/639786</v>
      </c>
    </row>
    <row r="2029" spans="1:8" x14ac:dyDescent="0.25">
      <c r="A2029">
        <v>27552</v>
      </c>
      <c r="B2029" t="s">
        <v>3211</v>
      </c>
      <c r="C2029" t="s">
        <v>3211</v>
      </c>
      <c r="D2029" t="s">
        <v>15</v>
      </c>
      <c r="E2029" t="s">
        <v>217</v>
      </c>
      <c r="F2029" t="s">
        <v>12</v>
      </c>
      <c r="G2029" t="str">
        <f>HYPERLINK(_xlfn.CONCAT("https://tablet.otzar.org/",CHAR(35),"/book/27552/p/-1/t/1/fs/0/start/0/end/0/c"),"קונטרס מעמד")</f>
        <v>קונטרס מעמד</v>
      </c>
      <c r="H2029" t="str">
        <f>_xlfn.CONCAT("https://tablet.otzar.org/",CHAR(35),"/book/27552/p/-1/t/1/fs/0/start/0/end/0/c")</f>
        <v>https://tablet.otzar.org/#/book/27552/p/-1/t/1/fs/0/start/0/end/0/c</v>
      </c>
    </row>
    <row r="2030" spans="1:8" x14ac:dyDescent="0.25">
      <c r="A2030">
        <v>146297</v>
      </c>
      <c r="B2030" t="s">
        <v>3212</v>
      </c>
      <c r="C2030" t="s">
        <v>2273</v>
      </c>
      <c r="D2030" t="s">
        <v>10</v>
      </c>
      <c r="E2030" t="s">
        <v>91</v>
      </c>
      <c r="F2030" t="s">
        <v>319</v>
      </c>
      <c r="G2030" t="str">
        <f>HYPERLINK(_xlfn.CONCAT("https://tablet.otzar.org/",CHAR(35),"/exKotar/146297"),"קונטרס מקורות וביאורים בספר המנהגים - 2 כרכים")</f>
        <v>קונטרס מקורות וביאורים בספר המנהגים - 2 כרכים</v>
      </c>
      <c r="H2030" t="str">
        <f>_xlfn.CONCAT("https://tablet.otzar.org/",CHAR(35),"/exKotar/146297")</f>
        <v>https://tablet.otzar.org/#/exKotar/146297</v>
      </c>
    </row>
    <row r="2031" spans="1:8" x14ac:dyDescent="0.25">
      <c r="A2031">
        <v>27462</v>
      </c>
      <c r="B2031" t="s">
        <v>3213</v>
      </c>
      <c r="C2031" t="s">
        <v>492</v>
      </c>
      <c r="D2031" t="s">
        <v>197</v>
      </c>
      <c r="E2031" t="s">
        <v>181</v>
      </c>
      <c r="F2031" t="s">
        <v>12</v>
      </c>
      <c r="G2031" t="str">
        <f>HYPERLINK(_xlfn.CONCAT("https://tablet.otzar.org/",CHAR(35),"/exKotar/27462"),"קונטרס מקיף - 2 כרכים")</f>
        <v>קונטרס מקיף - 2 כרכים</v>
      </c>
      <c r="H2031" t="str">
        <f>_xlfn.CONCAT("https://tablet.otzar.org/",CHAR(35),"/exKotar/27462")</f>
        <v>https://tablet.otzar.org/#/exKotar/27462</v>
      </c>
    </row>
    <row r="2032" spans="1:8" x14ac:dyDescent="0.25">
      <c r="A2032">
        <v>680408</v>
      </c>
      <c r="B2032" t="s">
        <v>3214</v>
      </c>
      <c r="C2032" t="s">
        <v>3215</v>
      </c>
      <c r="D2032" t="s">
        <v>3216</v>
      </c>
      <c r="E2032" t="s">
        <v>166</v>
      </c>
      <c r="F2032" t="s">
        <v>43</v>
      </c>
      <c r="G2032" t="str">
        <f>HYPERLINK(_xlfn.CONCAT("https://tablet.otzar.org/",CHAR(35),"/book/680408/p/-1/t/1/fs/0/start/0/end/0/c"),"קונטרס משיח האחרון")</f>
        <v>קונטרס משיח האחרון</v>
      </c>
      <c r="H2032" t="str">
        <f>_xlfn.CONCAT("https://tablet.otzar.org/",CHAR(35),"/book/680408/p/-1/t/1/fs/0/start/0/end/0/c")</f>
        <v>https://tablet.otzar.org/#/book/680408/p/-1/t/1/fs/0/start/0/end/0/c</v>
      </c>
    </row>
    <row r="2033" spans="1:8" x14ac:dyDescent="0.25">
      <c r="A2033">
        <v>141550</v>
      </c>
      <c r="B2033" t="s">
        <v>3217</v>
      </c>
      <c r="C2033" t="s">
        <v>3218</v>
      </c>
      <c r="D2033" t="s">
        <v>10</v>
      </c>
      <c r="E2033" t="s">
        <v>46</v>
      </c>
      <c r="F2033" t="s">
        <v>12</v>
      </c>
      <c r="G2033" t="str">
        <f>HYPERLINK(_xlfn.CONCAT("https://tablet.otzar.org/",CHAR(35),"/book/141550/p/-1/t/1/fs/0/start/0/end/0/c"),"קונטרס משיח שבכל דור")</f>
        <v>קונטרס משיח שבכל דור</v>
      </c>
      <c r="H2033" t="str">
        <f>_xlfn.CONCAT("https://tablet.otzar.org/",CHAR(35),"/book/141550/p/-1/t/1/fs/0/start/0/end/0/c")</f>
        <v>https://tablet.otzar.org/#/book/141550/p/-1/t/1/fs/0/start/0/end/0/c</v>
      </c>
    </row>
    <row r="2034" spans="1:8" x14ac:dyDescent="0.25">
      <c r="A2034">
        <v>27706</v>
      </c>
      <c r="B2034" t="s">
        <v>3219</v>
      </c>
      <c r="C2034" t="s">
        <v>3220</v>
      </c>
      <c r="D2034" t="s">
        <v>387</v>
      </c>
      <c r="E2034" t="s">
        <v>181</v>
      </c>
      <c r="F2034" t="s">
        <v>12</v>
      </c>
      <c r="G2034" t="str">
        <f>HYPERLINK(_xlfn.CONCAT("https://tablet.otzar.org/",CHAR(35),"/book/27706/p/-1/t/1/fs/0/start/0/end/0/c"),"קונטרס משנת מלך")</f>
        <v>קונטרס משנת מלך</v>
      </c>
      <c r="H2034" t="str">
        <f>_xlfn.CONCAT("https://tablet.otzar.org/",CHAR(35),"/book/27706/p/-1/t/1/fs/0/start/0/end/0/c")</f>
        <v>https://tablet.otzar.org/#/book/27706/p/-1/t/1/fs/0/start/0/end/0/c</v>
      </c>
    </row>
    <row r="2035" spans="1:8" x14ac:dyDescent="0.25">
      <c r="A2035">
        <v>146043</v>
      </c>
      <c r="B2035" t="s">
        <v>3221</v>
      </c>
      <c r="C2035" t="s">
        <v>125</v>
      </c>
      <c r="D2035" t="s">
        <v>315</v>
      </c>
      <c r="E2035" t="s">
        <v>217</v>
      </c>
      <c r="F2035" t="s">
        <v>12</v>
      </c>
      <c r="G2035" t="str">
        <f>HYPERLINK(_xlfn.CONCAT("https://tablet.otzar.org/",CHAR(35),"/book/146043/p/-1/t/1/fs/0/start/0/end/0/c"),"קונטרס נרות להאיר")</f>
        <v>קונטרס נרות להאיר</v>
      </c>
      <c r="H2035" t="str">
        <f>_xlfn.CONCAT("https://tablet.otzar.org/",CHAR(35),"/book/146043/p/-1/t/1/fs/0/start/0/end/0/c")</f>
        <v>https://tablet.otzar.org/#/book/146043/p/-1/t/1/fs/0/start/0/end/0/c</v>
      </c>
    </row>
    <row r="2036" spans="1:8" x14ac:dyDescent="0.25">
      <c r="A2036">
        <v>27612</v>
      </c>
      <c r="B2036" t="s">
        <v>3222</v>
      </c>
      <c r="C2036" t="s">
        <v>45</v>
      </c>
      <c r="D2036" t="s">
        <v>10</v>
      </c>
      <c r="E2036" t="s">
        <v>46</v>
      </c>
      <c r="F2036" t="s">
        <v>12</v>
      </c>
      <c r="G2036" t="str">
        <f>HYPERLINK(_xlfn.CONCAT("https://tablet.otzar.org/",CHAR(35),"/exKotar/27612"),"קונטרס סיום והכנסת ספר תורה - 3 כרכים")</f>
        <v>קונטרס סיום והכנסת ספר תורה - 3 כרכים</v>
      </c>
      <c r="H2036" t="str">
        <f>_xlfn.CONCAT("https://tablet.otzar.org/",CHAR(35),"/exKotar/27612")</f>
        <v>https://tablet.otzar.org/#/exKotar/27612</v>
      </c>
    </row>
    <row r="2037" spans="1:8" x14ac:dyDescent="0.25">
      <c r="A2037">
        <v>146324</v>
      </c>
      <c r="B2037" t="s">
        <v>3223</v>
      </c>
      <c r="C2037" t="s">
        <v>45</v>
      </c>
      <c r="D2037" t="s">
        <v>10</v>
      </c>
      <c r="E2037" t="s">
        <v>181</v>
      </c>
      <c r="F2037" t="s">
        <v>12</v>
      </c>
      <c r="G2037" t="str">
        <f>HYPERLINK(_xlfn.CONCAT("https://tablet.otzar.org/",CHAR(35),"/book/146324/p/-1/t/1/fs/0/start/0/end/0/c"),"קונטרס ע""""ד מבצע הקהל")</f>
        <v>קונטרס ע""ד מבצע הקהל</v>
      </c>
      <c r="H2037" t="str">
        <f>_xlfn.CONCAT("https://tablet.otzar.org/",CHAR(35),"/book/146324/p/-1/t/1/fs/0/start/0/end/0/c")</f>
        <v>https://tablet.otzar.org/#/book/146324/p/-1/t/1/fs/0/start/0/end/0/c</v>
      </c>
    </row>
    <row r="2038" spans="1:8" x14ac:dyDescent="0.25">
      <c r="A2038">
        <v>161308</v>
      </c>
      <c r="B2038" t="s">
        <v>3224</v>
      </c>
      <c r="C2038" t="s">
        <v>48</v>
      </c>
      <c r="D2038" t="s">
        <v>295</v>
      </c>
      <c r="E2038" t="s">
        <v>54</v>
      </c>
      <c r="F2038" t="s">
        <v>43</v>
      </c>
      <c r="G2038" t="str">
        <f>HYPERLINK(_xlfn.CONCAT("https://tablet.otzar.org/",CHAR(35),"/book/161308/p/-1/t/1/fs/0/start/0/end/0/c"),"קונטרס עטרת זקנים")</f>
        <v>קונטרס עטרת זקנים</v>
      </c>
      <c r="H2038" t="str">
        <f>_xlfn.CONCAT("https://tablet.otzar.org/",CHAR(35),"/book/161308/p/-1/t/1/fs/0/start/0/end/0/c")</f>
        <v>https://tablet.otzar.org/#/book/161308/p/-1/t/1/fs/0/start/0/end/0/c</v>
      </c>
    </row>
    <row r="2039" spans="1:8" x14ac:dyDescent="0.25">
      <c r="A2039">
        <v>607971</v>
      </c>
      <c r="B2039" t="s">
        <v>3225</v>
      </c>
      <c r="C2039" t="s">
        <v>122</v>
      </c>
      <c r="E2039" t="s">
        <v>91</v>
      </c>
      <c r="F2039" t="s">
        <v>163</v>
      </c>
      <c r="G2039" t="str">
        <f>HYPERLINK(_xlfn.CONCAT("https://tablet.otzar.org/",CHAR(35),"/book/607971/p/-1/t/1/fs/0/start/0/end/0/c"),"קונטרס עניינה של תורת החסידות")</f>
        <v>קונטרס עניינה של תורת החסידות</v>
      </c>
      <c r="H2039" t="str">
        <f>_xlfn.CONCAT("https://tablet.otzar.org/",CHAR(35),"/book/607971/p/-1/t/1/fs/0/start/0/end/0/c")</f>
        <v>https://tablet.otzar.org/#/book/607971/p/-1/t/1/fs/0/start/0/end/0/c</v>
      </c>
    </row>
    <row r="2040" spans="1:8" x14ac:dyDescent="0.25">
      <c r="A2040">
        <v>27397</v>
      </c>
      <c r="B2040" t="s">
        <v>3226</v>
      </c>
      <c r="C2040" t="s">
        <v>45</v>
      </c>
      <c r="D2040" t="s">
        <v>15</v>
      </c>
      <c r="E2040" t="s">
        <v>54</v>
      </c>
      <c r="F2040" t="s">
        <v>12</v>
      </c>
      <c r="G2040" t="str">
        <f>HYPERLINK(_xlfn.CONCAT("https://tablet.otzar.org/",CHAR(35),"/book/27397/p/-1/t/1/fs/0/start/0/end/0/c"),"קונטרס ענינה של תורת החסידות")</f>
        <v>קונטרס ענינה של תורת החסידות</v>
      </c>
      <c r="H2040" t="str">
        <f>_xlfn.CONCAT("https://tablet.otzar.org/",CHAR(35),"/book/27397/p/-1/t/1/fs/0/start/0/end/0/c")</f>
        <v>https://tablet.otzar.org/#/book/27397/p/-1/t/1/fs/0/start/0/end/0/c</v>
      </c>
    </row>
    <row r="2041" spans="1:8" x14ac:dyDescent="0.25">
      <c r="A2041">
        <v>613917</v>
      </c>
      <c r="B2041" t="s">
        <v>3227</v>
      </c>
      <c r="C2041" t="s">
        <v>1706</v>
      </c>
      <c r="D2041" t="s">
        <v>15</v>
      </c>
      <c r="E2041" t="s">
        <v>115</v>
      </c>
      <c r="F2041" t="s">
        <v>12</v>
      </c>
      <c r="G2041" t="str">
        <f>HYPERLINK(_xlfn.CONCAT("https://tablet.otzar.org/",CHAR(35),"/book/613917/p/-1/t/1/fs/0/start/0/end/0/c"),"קונטרס ענינה של תורת החסידות עם שיעורי הרב יואל כהן")</f>
        <v>קונטרס ענינה של תורת החסידות עם שיעורי הרב יואל כהן</v>
      </c>
      <c r="H2041" t="str">
        <f>_xlfn.CONCAT("https://tablet.otzar.org/",CHAR(35),"/book/613917/p/-1/t/1/fs/0/start/0/end/0/c")</f>
        <v>https://tablet.otzar.org/#/book/613917/p/-1/t/1/fs/0/start/0/end/0/c</v>
      </c>
    </row>
    <row r="2042" spans="1:8" x14ac:dyDescent="0.25">
      <c r="A2042">
        <v>27015</v>
      </c>
      <c r="B2042" t="s">
        <v>3228</v>
      </c>
      <c r="C2042" t="s">
        <v>68</v>
      </c>
      <c r="D2042" t="s">
        <v>10</v>
      </c>
      <c r="E2042" t="s">
        <v>54</v>
      </c>
      <c r="G2042" t="str">
        <f>HYPERLINK(_xlfn.CONCAT("https://tablet.otzar.org/",CHAR(35),"/book/27015/p/-1/t/1/fs/0/start/0/end/0/c"),"קונטרס עץ החיים")</f>
        <v>קונטרס עץ החיים</v>
      </c>
      <c r="H2042" t="str">
        <f>_xlfn.CONCAT("https://tablet.otzar.org/",CHAR(35),"/book/27015/p/-1/t/1/fs/0/start/0/end/0/c")</f>
        <v>https://tablet.otzar.org/#/book/27015/p/-1/t/1/fs/0/start/0/end/0/c</v>
      </c>
    </row>
    <row r="2043" spans="1:8" x14ac:dyDescent="0.25">
      <c r="A2043">
        <v>146379</v>
      </c>
      <c r="B2043" t="s">
        <v>3229</v>
      </c>
      <c r="C2043" t="s">
        <v>45</v>
      </c>
      <c r="D2043" t="s">
        <v>10</v>
      </c>
      <c r="E2043" t="s">
        <v>1098</v>
      </c>
      <c r="F2043" t="s">
        <v>12</v>
      </c>
      <c r="G2043" t="str">
        <f>HYPERLINK(_xlfn.CONCAT("https://tablet.otzar.org/",CHAR(35),"/book/146379/p/-1/t/1/fs/0/start/0/end/0/c"),"קונטרס עשרים באב")</f>
        <v>קונטרס עשרים באב</v>
      </c>
      <c r="H2043" t="str">
        <f>_xlfn.CONCAT("https://tablet.otzar.org/",CHAR(35),"/book/146379/p/-1/t/1/fs/0/start/0/end/0/c")</f>
        <v>https://tablet.otzar.org/#/book/146379/p/-1/t/1/fs/0/start/0/end/0/c</v>
      </c>
    </row>
    <row r="2044" spans="1:8" x14ac:dyDescent="0.25">
      <c r="A2044">
        <v>614922</v>
      </c>
      <c r="B2044" t="s">
        <v>3230</v>
      </c>
      <c r="C2044" t="s">
        <v>45</v>
      </c>
      <c r="D2044" t="s">
        <v>10</v>
      </c>
      <c r="E2044" t="s">
        <v>46</v>
      </c>
      <c r="F2044" t="s">
        <v>12</v>
      </c>
      <c r="G2044" t="str">
        <f>HYPERLINK(_xlfn.CONCAT("https://tablet.otzar.org/",CHAR(35),"/book/614922/p/-1/t/1/fs/0/start/0/end/0/c"),"קונטרס פורים קטן - תשנ""""ב")</f>
        <v>קונטרס פורים קטן - תשנ""ב</v>
      </c>
      <c r="H2044" t="str">
        <f>_xlfn.CONCAT("https://tablet.otzar.org/",CHAR(35),"/book/614922/p/-1/t/1/fs/0/start/0/end/0/c")</f>
        <v>https://tablet.otzar.org/#/book/614922/p/-1/t/1/fs/0/start/0/end/0/c</v>
      </c>
    </row>
    <row r="2045" spans="1:8" x14ac:dyDescent="0.25">
      <c r="A2045">
        <v>173330</v>
      </c>
      <c r="B2045" t="s">
        <v>3231</v>
      </c>
      <c r="C2045" t="s">
        <v>48</v>
      </c>
      <c r="D2045" t="s">
        <v>1594</v>
      </c>
      <c r="E2045" t="s">
        <v>62</v>
      </c>
      <c r="F2045" t="s">
        <v>12</v>
      </c>
      <c r="G2045" t="str">
        <f>HYPERLINK(_xlfn.CONCAT("https://tablet.otzar.org/",CHAR(35),"/book/173330/p/-1/t/1/fs/0/start/0/end/0/c"),"קונטרס צדיק אוכל לשובע נפשו")</f>
        <v>קונטרס צדיק אוכל לשובע נפשו</v>
      </c>
      <c r="H2045" t="str">
        <f>_xlfn.CONCAT("https://tablet.otzar.org/",CHAR(35),"/book/173330/p/-1/t/1/fs/0/start/0/end/0/c")</f>
        <v>https://tablet.otzar.org/#/book/173330/p/-1/t/1/fs/0/start/0/end/0/c</v>
      </c>
    </row>
    <row r="2046" spans="1:8" x14ac:dyDescent="0.25">
      <c r="A2046">
        <v>141446</v>
      </c>
      <c r="B2046" t="s">
        <v>3232</v>
      </c>
      <c r="C2046" t="s">
        <v>3233</v>
      </c>
      <c r="D2046" t="s">
        <v>28</v>
      </c>
      <c r="E2046" t="s">
        <v>75</v>
      </c>
      <c r="F2046" t="s">
        <v>12</v>
      </c>
      <c r="G2046" t="str">
        <f>HYPERLINK(_xlfn.CONCAT("https://tablet.otzar.org/",CHAR(35),"/book/141446/p/-1/t/1/fs/0/start/0/end/0/c"),"קונטרס צידה לדרך")</f>
        <v>קונטרס צידה לדרך</v>
      </c>
      <c r="H2046" t="str">
        <f>_xlfn.CONCAT("https://tablet.otzar.org/",CHAR(35),"/book/141446/p/-1/t/1/fs/0/start/0/end/0/c")</f>
        <v>https://tablet.otzar.org/#/book/141446/p/-1/t/1/fs/0/start/0/end/0/c</v>
      </c>
    </row>
    <row r="2047" spans="1:8" x14ac:dyDescent="0.25">
      <c r="A2047">
        <v>146509</v>
      </c>
      <c r="B2047" t="s">
        <v>3234</v>
      </c>
      <c r="C2047" t="s">
        <v>1047</v>
      </c>
      <c r="D2047" t="s">
        <v>37</v>
      </c>
      <c r="E2047" t="s">
        <v>64</v>
      </c>
      <c r="F2047" t="s">
        <v>12</v>
      </c>
      <c r="G2047" t="str">
        <f>HYPERLINK(_xlfn.CONCAT("https://tablet.otzar.org/",CHAR(35),"/book/146509/p/-1/t/1/fs/0/start/0/end/0/c"),"קונטרס צפית לישועה")</f>
        <v>קונטרס צפית לישועה</v>
      </c>
      <c r="H2047" t="str">
        <f>_xlfn.CONCAT("https://tablet.otzar.org/",CHAR(35),"/book/146509/p/-1/t/1/fs/0/start/0/end/0/c")</f>
        <v>https://tablet.otzar.org/#/book/146509/p/-1/t/1/fs/0/start/0/end/0/c</v>
      </c>
    </row>
    <row r="2048" spans="1:8" x14ac:dyDescent="0.25">
      <c r="A2048">
        <v>146242</v>
      </c>
      <c r="B2048" t="s">
        <v>3235</v>
      </c>
      <c r="C2048" t="s">
        <v>45</v>
      </c>
      <c r="D2048" t="s">
        <v>910</v>
      </c>
      <c r="E2048" t="s">
        <v>129</v>
      </c>
      <c r="F2048" t="s">
        <v>12</v>
      </c>
      <c r="G2048" t="str">
        <f>HYPERLINK(_xlfn.CONCAT("https://tablet.otzar.org/",CHAR(35),"/book/146242/p/-1/t/1/fs/0/start/0/end/0/c"),"קונטרס קביעות עתים")</f>
        <v>קונטרס קביעות עתים</v>
      </c>
      <c r="H2048" t="str">
        <f>_xlfn.CONCAT("https://tablet.otzar.org/",CHAR(35),"/book/146242/p/-1/t/1/fs/0/start/0/end/0/c")</f>
        <v>https://tablet.otzar.org/#/book/146242/p/-1/t/1/fs/0/start/0/end/0/c</v>
      </c>
    </row>
    <row r="2049" spans="1:8" x14ac:dyDescent="0.25">
      <c r="A2049">
        <v>141412</v>
      </c>
      <c r="B2049" t="s">
        <v>3236</v>
      </c>
      <c r="C2049" t="s">
        <v>45</v>
      </c>
      <c r="D2049" t="s">
        <v>37</v>
      </c>
      <c r="E2049" t="s">
        <v>54</v>
      </c>
      <c r="F2049" t="s">
        <v>12</v>
      </c>
      <c r="G2049" t="str">
        <f>HYPERLINK(_xlfn.CONCAT("https://tablet.otzar.org/",CHAR(35),"/book/141412/p/-1/t/1/fs/0/start/0/end/0/c"),"קונטרס קידושי אבות")</f>
        <v>קונטרס קידושי אבות</v>
      </c>
      <c r="H2049" t="str">
        <f>_xlfn.CONCAT("https://tablet.otzar.org/",CHAR(35),"/book/141412/p/-1/t/1/fs/0/start/0/end/0/c")</f>
        <v>https://tablet.otzar.org/#/book/141412/p/-1/t/1/fs/0/start/0/end/0/c</v>
      </c>
    </row>
    <row r="2050" spans="1:8" x14ac:dyDescent="0.25">
      <c r="A2050">
        <v>146525</v>
      </c>
      <c r="B2050" t="s">
        <v>3237</v>
      </c>
      <c r="C2050" t="s">
        <v>45</v>
      </c>
      <c r="D2050" t="s">
        <v>28</v>
      </c>
      <c r="E2050" t="s">
        <v>69</v>
      </c>
      <c r="F2050" t="s">
        <v>12</v>
      </c>
      <c r="G2050" t="str">
        <f>HYPERLINK(_xlfn.CONCAT("https://tablet.otzar.org/",CHAR(35),"/book/146525/p/-1/t/1/fs/0/start/0/end/0/c"),"קונטרס ר""""ח כסלו תשמ""""ח")</f>
        <v>קונטרס ר""ח כסלו תשמ""ח</v>
      </c>
      <c r="H2050" t="str">
        <f>_xlfn.CONCAT("https://tablet.otzar.org/",CHAR(35),"/book/146525/p/-1/t/1/fs/0/start/0/end/0/c")</f>
        <v>https://tablet.otzar.org/#/book/146525/p/-1/t/1/fs/0/start/0/end/0/c</v>
      </c>
    </row>
    <row r="2051" spans="1:8" x14ac:dyDescent="0.25">
      <c r="A2051">
        <v>680411</v>
      </c>
      <c r="B2051" t="s">
        <v>3238</v>
      </c>
      <c r="C2051" t="s">
        <v>3239</v>
      </c>
      <c r="D2051" t="s">
        <v>28</v>
      </c>
      <c r="E2051" t="s">
        <v>2258</v>
      </c>
      <c r="F2051" t="s">
        <v>229</v>
      </c>
      <c r="G2051" t="str">
        <f>HYPERLINK(_xlfn.CONCAT("https://tablet.otzar.org/",CHAR(35),"/book/680411/p/-1/t/1/fs/0/start/0/end/0/c"),"קונטרס ריבית ועיסקא דרך קצרה")</f>
        <v>קונטרס ריבית ועיסקא דרך קצרה</v>
      </c>
      <c r="H2051" t="str">
        <f>_xlfn.CONCAT("https://tablet.otzar.org/",CHAR(35),"/book/680411/p/-1/t/1/fs/0/start/0/end/0/c")</f>
        <v>https://tablet.otzar.org/#/book/680411/p/-1/t/1/fs/0/start/0/end/0/c</v>
      </c>
    </row>
    <row r="2052" spans="1:8" x14ac:dyDescent="0.25">
      <c r="A2052">
        <v>146384</v>
      </c>
      <c r="B2052" t="s">
        <v>3240</v>
      </c>
      <c r="C2052" t="s">
        <v>45</v>
      </c>
      <c r="D2052" t="s">
        <v>10</v>
      </c>
      <c r="E2052" t="s">
        <v>46</v>
      </c>
      <c r="F2052" t="s">
        <v>12</v>
      </c>
      <c r="G2052" t="str">
        <f>HYPERLINK(_xlfn.CONCAT("https://tablet.otzar.org/",CHAR(35),"/book/146384/p/-1/t/1/fs/0/start/0/end/0/c"),"קונטרס רפאני ה' וארפא")</f>
        <v>קונטרס רפאני ה' וארפא</v>
      </c>
      <c r="H2052" t="str">
        <f>_xlfn.CONCAT("https://tablet.otzar.org/",CHAR(35),"/book/146384/p/-1/t/1/fs/0/start/0/end/0/c")</f>
        <v>https://tablet.otzar.org/#/book/146384/p/-1/t/1/fs/0/start/0/end/0/c</v>
      </c>
    </row>
    <row r="2053" spans="1:8" x14ac:dyDescent="0.25">
      <c r="A2053">
        <v>146001</v>
      </c>
      <c r="B2053" t="s">
        <v>3241</v>
      </c>
      <c r="C2053" t="s">
        <v>1709</v>
      </c>
      <c r="D2053" t="s">
        <v>3242</v>
      </c>
      <c r="E2053" t="s">
        <v>103</v>
      </c>
      <c r="F2053" t="s">
        <v>201</v>
      </c>
      <c r="G2053" t="str">
        <f>HYPERLINK(_xlfn.CONCAT("https://tablet.otzar.org/",CHAR(35),"/book/146001/p/-1/t/1/fs/0/start/0/end/0/c"),"קונטרס שואלין ודורשין")</f>
        <v>קונטרס שואלין ודורשין</v>
      </c>
      <c r="H2053" t="str">
        <f>_xlfn.CONCAT("https://tablet.otzar.org/",CHAR(35),"/book/146001/p/-1/t/1/fs/0/start/0/end/0/c")</f>
        <v>https://tablet.otzar.org/#/book/146001/p/-1/t/1/fs/0/start/0/end/0/c</v>
      </c>
    </row>
    <row r="2054" spans="1:8" x14ac:dyDescent="0.25">
      <c r="A2054">
        <v>146000</v>
      </c>
      <c r="B2054" t="s">
        <v>3243</v>
      </c>
      <c r="C2054" t="s">
        <v>2008</v>
      </c>
      <c r="D2054" t="s">
        <v>10</v>
      </c>
      <c r="E2054" t="s">
        <v>91</v>
      </c>
      <c r="F2054" t="s">
        <v>319</v>
      </c>
      <c r="G2054" t="str">
        <f>HYPERLINK(_xlfn.CONCAT("https://tablet.otzar.org/",CHAR(35),"/book/146000/p/-1/t/1/fs/0/start/0/end/0/c"),"קונטרס שונה הלכות הרב")</f>
        <v>קונטרס שונה הלכות הרב</v>
      </c>
      <c r="H2054" t="str">
        <f>_xlfn.CONCAT("https://tablet.otzar.org/",CHAR(35),"/book/146000/p/-1/t/1/fs/0/start/0/end/0/c")</f>
        <v>https://tablet.otzar.org/#/book/146000/p/-1/t/1/fs/0/start/0/end/0/c</v>
      </c>
    </row>
    <row r="2055" spans="1:8" x14ac:dyDescent="0.25">
      <c r="A2055">
        <v>142705</v>
      </c>
      <c r="B2055" t="s">
        <v>3244</v>
      </c>
      <c r="C2055" t="s">
        <v>45</v>
      </c>
      <c r="D2055" t="s">
        <v>10</v>
      </c>
      <c r="E2055" t="s">
        <v>46</v>
      </c>
      <c r="F2055" t="s">
        <v>76</v>
      </c>
      <c r="G2055" t="str">
        <f>HYPERLINK(_xlfn.CONCAT("https://tablet.otzar.org/",CHAR(35),"/book/142705/p/-1/t/1/fs/0/start/0/end/0/c"),"קונטרס שופטים תתן לך")</f>
        <v>קונטרס שופטים תתן לך</v>
      </c>
      <c r="H2055" t="str">
        <f>_xlfn.CONCAT("https://tablet.otzar.org/",CHAR(35),"/book/142705/p/-1/t/1/fs/0/start/0/end/0/c")</f>
        <v>https://tablet.otzar.org/#/book/142705/p/-1/t/1/fs/0/start/0/end/0/c</v>
      </c>
    </row>
    <row r="2056" spans="1:8" x14ac:dyDescent="0.25">
      <c r="A2056">
        <v>163389</v>
      </c>
      <c r="B2056" t="s">
        <v>3245</v>
      </c>
      <c r="C2056" t="s">
        <v>1565</v>
      </c>
      <c r="D2056" t="s">
        <v>37</v>
      </c>
      <c r="E2056" t="s">
        <v>226</v>
      </c>
      <c r="F2056" t="s">
        <v>229</v>
      </c>
      <c r="G2056" t="str">
        <f>HYPERLINK(_xlfn.CONCAT("https://tablet.otzar.org/",CHAR(35),"/book/163389/p/-1/t/1/fs/0/start/0/end/0/c"),"קונטרס שלא תצא מכלל ישראל כו'")</f>
        <v>קונטרס שלא תצא מכלל ישראל כו'</v>
      </c>
      <c r="H2056" t="str">
        <f>_xlfn.CONCAT("https://tablet.otzar.org/",CHAR(35),"/book/163389/p/-1/t/1/fs/0/start/0/end/0/c")</f>
        <v>https://tablet.otzar.org/#/book/163389/p/-1/t/1/fs/0/start/0/end/0/c</v>
      </c>
    </row>
    <row r="2057" spans="1:8" x14ac:dyDescent="0.25">
      <c r="A2057">
        <v>618908</v>
      </c>
      <c r="B2057" t="s">
        <v>3246</v>
      </c>
      <c r="C2057" t="s">
        <v>348</v>
      </c>
      <c r="D2057" t="s">
        <v>15</v>
      </c>
      <c r="E2057" t="s">
        <v>115</v>
      </c>
      <c r="F2057" t="s">
        <v>12</v>
      </c>
      <c r="G2057" t="str">
        <f>HYPERLINK(_xlfn.CONCAT("https://tablet.otzar.org/",CHAR(35),"/exKotar/618908"),"קונטרס שלום בית - 2 כרכים")</f>
        <v>קונטרס שלום בית - 2 כרכים</v>
      </c>
      <c r="H2057" t="str">
        <f>_xlfn.CONCAT("https://tablet.otzar.org/",CHAR(35),"/exKotar/618908")</f>
        <v>https://tablet.otzar.org/#/exKotar/618908</v>
      </c>
    </row>
    <row r="2058" spans="1:8" x14ac:dyDescent="0.25">
      <c r="A2058">
        <v>146540</v>
      </c>
      <c r="B2058" t="s">
        <v>3247</v>
      </c>
      <c r="C2058" t="s">
        <v>1679</v>
      </c>
      <c r="D2058" t="s">
        <v>10</v>
      </c>
      <c r="E2058" t="s">
        <v>60</v>
      </c>
      <c r="F2058" t="s">
        <v>12</v>
      </c>
      <c r="G2058" t="str">
        <f>HYPERLINK(_xlfn.CONCAT("https://tablet.otzar.org/",CHAR(35),"/book/146540/p/-1/t/1/fs/0/start/0/end/0/c"),"קונטרס שליחות נפשית ועיקרית")</f>
        <v>קונטרס שליחות נפשית ועיקרית</v>
      </c>
      <c r="H2058" t="str">
        <f>_xlfn.CONCAT("https://tablet.otzar.org/",CHAR(35),"/book/146540/p/-1/t/1/fs/0/start/0/end/0/c")</f>
        <v>https://tablet.otzar.org/#/book/146540/p/-1/t/1/fs/0/start/0/end/0/c</v>
      </c>
    </row>
    <row r="2059" spans="1:8" x14ac:dyDescent="0.25">
      <c r="A2059">
        <v>27366</v>
      </c>
      <c r="B2059" t="s">
        <v>3248</v>
      </c>
      <c r="C2059" t="s">
        <v>45</v>
      </c>
      <c r="D2059" t="s">
        <v>15</v>
      </c>
      <c r="E2059" t="s">
        <v>441</v>
      </c>
      <c r="F2059" t="s">
        <v>12</v>
      </c>
      <c r="G2059" t="str">
        <f>HYPERLINK(_xlfn.CONCAT("https://tablet.otzar.org/",CHAR(35),"/book/27366/p/-1/t/1/fs/0/start/0/end/0/c"),"קונטרס שלמי חגיגה")</f>
        <v>קונטרס שלמי חגיגה</v>
      </c>
      <c r="H2059" t="str">
        <f>_xlfn.CONCAT("https://tablet.otzar.org/",CHAR(35),"/book/27366/p/-1/t/1/fs/0/start/0/end/0/c")</f>
        <v>https://tablet.otzar.org/#/book/27366/p/-1/t/1/fs/0/start/0/end/0/c</v>
      </c>
    </row>
    <row r="2060" spans="1:8" x14ac:dyDescent="0.25">
      <c r="A2060">
        <v>611971</v>
      </c>
      <c r="B2060" t="s">
        <v>3249</v>
      </c>
      <c r="C2060" t="s">
        <v>14</v>
      </c>
      <c r="D2060" t="s">
        <v>37</v>
      </c>
      <c r="E2060" t="s">
        <v>404</v>
      </c>
      <c r="F2060" t="s">
        <v>12</v>
      </c>
      <c r="G2060" t="str">
        <f>HYPERLINK(_xlfn.CONCAT("https://tablet.otzar.org/",CHAR(35),"/book/611971/p/-1/t/1/fs/0/start/0/end/0/c"),"קונטרס שמונה פרקים מספר התניא")</f>
        <v>קונטרס שמונה פרקים מספר התניא</v>
      </c>
      <c r="H2060" t="str">
        <f>_xlfn.CONCAT("https://tablet.otzar.org/",CHAR(35),"/book/611971/p/-1/t/1/fs/0/start/0/end/0/c")</f>
        <v>https://tablet.otzar.org/#/book/611971/p/-1/t/1/fs/0/start/0/end/0/c</v>
      </c>
    </row>
    <row r="2061" spans="1:8" x14ac:dyDescent="0.25">
      <c r="A2061">
        <v>146376</v>
      </c>
      <c r="B2061" t="s">
        <v>3250</v>
      </c>
      <c r="C2061" t="s">
        <v>59</v>
      </c>
      <c r="D2061" t="s">
        <v>10</v>
      </c>
      <c r="E2061" t="s">
        <v>145</v>
      </c>
      <c r="G2061" t="str">
        <f>HYPERLINK(_xlfn.CONCAT("https://tablet.otzar.org/",CHAR(35),"/book/146376/p/-1/t/1/fs/0/start/0/end/0/c"),"קונטרס שני מכתבים")</f>
        <v>קונטרס שני מכתבים</v>
      </c>
      <c r="H2061" t="str">
        <f>_xlfn.CONCAT("https://tablet.otzar.org/",CHAR(35),"/book/146376/p/-1/t/1/fs/0/start/0/end/0/c")</f>
        <v>https://tablet.otzar.org/#/book/146376/p/-1/t/1/fs/0/start/0/end/0/c</v>
      </c>
    </row>
    <row r="2062" spans="1:8" x14ac:dyDescent="0.25">
      <c r="A2062">
        <v>146400</v>
      </c>
      <c r="B2062" t="s">
        <v>3251</v>
      </c>
      <c r="C2062" t="s">
        <v>45</v>
      </c>
      <c r="D2062" t="s">
        <v>10</v>
      </c>
      <c r="E2062" t="s">
        <v>29</v>
      </c>
      <c r="F2062" t="s">
        <v>12</v>
      </c>
      <c r="G2062" t="str">
        <f>HYPERLINK(_xlfn.CONCAT("https://tablet.otzar.org/",CHAR(35),"/book/146400/p/-1/t/1/fs/0/start/0/end/0/c"),"קונטרס שנת היובל - חמישים שנה")</f>
        <v>קונטרס שנת היובל - חמישים שנה</v>
      </c>
      <c r="H2062" t="str">
        <f>_xlfn.CONCAT("https://tablet.otzar.org/",CHAR(35),"/book/146400/p/-1/t/1/fs/0/start/0/end/0/c")</f>
        <v>https://tablet.otzar.org/#/book/146400/p/-1/t/1/fs/0/start/0/end/0/c</v>
      </c>
    </row>
    <row r="2063" spans="1:8" x14ac:dyDescent="0.25">
      <c r="A2063">
        <v>143277</v>
      </c>
      <c r="B2063" t="s">
        <v>3252</v>
      </c>
      <c r="C2063" t="s">
        <v>45</v>
      </c>
      <c r="D2063" t="s">
        <v>10</v>
      </c>
      <c r="E2063" t="s">
        <v>1841</v>
      </c>
      <c r="F2063" t="s">
        <v>12</v>
      </c>
      <c r="G2063" t="str">
        <f>HYPERLINK(_xlfn.CONCAT("https://tablet.otzar.org/",CHAR(35),"/book/143277/p/-1/t/1/fs/0/start/0/end/0/c"),"קונטרסים חורף התשל""""ח")</f>
        <v>קונטרסים חורף התשל""ח</v>
      </c>
      <c r="H2063" t="str">
        <f>_xlfn.CONCAT("https://tablet.otzar.org/",CHAR(35),"/book/143277/p/-1/t/1/fs/0/start/0/end/0/c")</f>
        <v>https://tablet.otzar.org/#/book/143277/p/-1/t/1/fs/0/start/0/end/0/c</v>
      </c>
    </row>
    <row r="2064" spans="1:8" x14ac:dyDescent="0.25">
      <c r="A2064">
        <v>27828</v>
      </c>
      <c r="B2064" t="s">
        <v>3253</v>
      </c>
      <c r="C2064" t="s">
        <v>3254</v>
      </c>
      <c r="D2064" t="s">
        <v>10</v>
      </c>
      <c r="E2064" t="s">
        <v>192</v>
      </c>
      <c r="F2064" t="s">
        <v>12</v>
      </c>
      <c r="G2064" t="str">
        <f>HYPERLINK(_xlfn.CONCAT("https://tablet.otzar.org/",CHAR(35),"/book/27828/p/-1/t/1/fs/0/start/0/end/0/c"),"קטלוג הוצאת ספרים קה""""ת")</f>
        <v>קטלוג הוצאת ספרים קה""ת</v>
      </c>
      <c r="H2064" t="str">
        <f>_xlfn.CONCAT("https://tablet.otzar.org/",CHAR(35),"/book/27828/p/-1/t/1/fs/0/start/0/end/0/c")</f>
        <v>https://tablet.otzar.org/#/book/27828/p/-1/t/1/fs/0/start/0/end/0/c</v>
      </c>
    </row>
    <row r="2065" spans="1:8" x14ac:dyDescent="0.25">
      <c r="A2065">
        <v>607997</v>
      </c>
      <c r="B2065" t="s">
        <v>3255</v>
      </c>
      <c r="C2065" t="s">
        <v>3254</v>
      </c>
      <c r="D2065" t="s">
        <v>15</v>
      </c>
      <c r="E2065" t="s">
        <v>99</v>
      </c>
      <c r="F2065" t="s">
        <v>76</v>
      </c>
      <c r="G2065" t="str">
        <f>HYPERLINK(_xlfn.CONCAT("https://tablet.otzar.org/",CHAR(35),"/book/607997/p/-1/t/1/fs/0/start/0/end/0/c"),"קטלוג קה""""ת")</f>
        <v>קטלוג קה""ת</v>
      </c>
      <c r="H2065" t="str">
        <f>_xlfn.CONCAT("https://tablet.otzar.org/",CHAR(35),"/book/607997/p/-1/t/1/fs/0/start/0/end/0/c")</f>
        <v>https://tablet.otzar.org/#/book/607997/p/-1/t/1/fs/0/start/0/end/0/c</v>
      </c>
    </row>
    <row r="2066" spans="1:8" x14ac:dyDescent="0.25">
      <c r="A2066">
        <v>142624</v>
      </c>
      <c r="B2066" t="s">
        <v>3256</v>
      </c>
      <c r="C2066" t="s">
        <v>3257</v>
      </c>
      <c r="D2066" t="s">
        <v>1051</v>
      </c>
      <c r="E2066" t="s">
        <v>38</v>
      </c>
      <c r="F2066" t="s">
        <v>12</v>
      </c>
      <c r="G2066" t="str">
        <f>HYPERLINK(_xlfn.CONCAT("https://tablet.otzar.org/",CHAR(35),"/book/142624/p/-1/t/1/fs/0/start/0/end/0/c"),"קידוש החודש להרמב""""ם")</f>
        <v>קידוש החודש להרמב""ם</v>
      </c>
      <c r="H2066" t="str">
        <f>_xlfn.CONCAT("https://tablet.otzar.org/",CHAR(35),"/book/142624/p/-1/t/1/fs/0/start/0/end/0/c")</f>
        <v>https://tablet.otzar.org/#/book/142624/p/-1/t/1/fs/0/start/0/end/0/c</v>
      </c>
    </row>
    <row r="2067" spans="1:8" x14ac:dyDescent="0.25">
      <c r="A2067">
        <v>27865</v>
      </c>
      <c r="B2067" t="s">
        <v>3258</v>
      </c>
      <c r="C2067" t="s">
        <v>275</v>
      </c>
      <c r="D2067" t="s">
        <v>10</v>
      </c>
      <c r="E2067" t="s">
        <v>148</v>
      </c>
      <c r="F2067" t="s">
        <v>12</v>
      </c>
      <c r="G2067" t="str">
        <f>HYPERLINK(_xlfn.CONCAT("https://tablet.otzar.org/",CHAR(35),"/book/27865/p/-1/t/1/fs/0/start/0/end/0/c"),"קיצור דיני ומנהגי נרות שבת קודש ויו""""ט")</f>
        <v>קיצור דיני ומנהגי נרות שבת קודש ויו""ט</v>
      </c>
      <c r="H2067" t="str">
        <f>_xlfn.CONCAT("https://tablet.otzar.org/",CHAR(35),"/book/27865/p/-1/t/1/fs/0/start/0/end/0/c")</f>
        <v>https://tablet.otzar.org/#/book/27865/p/-1/t/1/fs/0/start/0/end/0/c</v>
      </c>
    </row>
    <row r="2068" spans="1:8" x14ac:dyDescent="0.25">
      <c r="A2068">
        <v>181658</v>
      </c>
      <c r="B2068" t="s">
        <v>3259</v>
      </c>
      <c r="C2068" t="s">
        <v>3260</v>
      </c>
      <c r="D2068" t="s">
        <v>10</v>
      </c>
      <c r="E2068" t="s">
        <v>82</v>
      </c>
      <c r="F2068" t="s">
        <v>12</v>
      </c>
      <c r="G2068" t="str">
        <f>HYPERLINK(_xlfn.CONCAT("https://tablet.otzar.org/",CHAR(35),"/book/181658/p/-1/t/1/fs/0/start/0/end/0/c"),"קיצור דיני טהרה")</f>
        <v>קיצור דיני טהרה</v>
      </c>
      <c r="H2068" t="str">
        <f>_xlfn.CONCAT("https://tablet.otzar.org/",CHAR(35),"/book/181658/p/-1/t/1/fs/0/start/0/end/0/c")</f>
        <v>https://tablet.otzar.org/#/book/181658/p/-1/t/1/fs/0/start/0/end/0/c</v>
      </c>
    </row>
    <row r="2069" spans="1:8" x14ac:dyDescent="0.25">
      <c r="A2069">
        <v>193134</v>
      </c>
      <c r="B2069" t="s">
        <v>3261</v>
      </c>
      <c r="C2069" t="s">
        <v>3262</v>
      </c>
      <c r="D2069" t="s">
        <v>363</v>
      </c>
      <c r="E2069" t="s">
        <v>88</v>
      </c>
      <c r="F2069" t="s">
        <v>12</v>
      </c>
      <c r="G2069" t="str">
        <f>HYPERLINK(_xlfn.CONCAT("https://tablet.otzar.org/",CHAR(35),"/book/193134/p/-1/t/1/fs/0/start/0/end/0/c"),"קיצור דיני ריבית והיתר עיסקא")</f>
        <v>קיצור דיני ריבית והיתר עיסקא</v>
      </c>
      <c r="H2069" t="str">
        <f>_xlfn.CONCAT("https://tablet.otzar.org/",CHAR(35),"/book/193134/p/-1/t/1/fs/0/start/0/end/0/c")</f>
        <v>https://tablet.otzar.org/#/book/193134/p/-1/t/1/fs/0/start/0/end/0/c</v>
      </c>
    </row>
    <row r="2070" spans="1:8" x14ac:dyDescent="0.25">
      <c r="A2070">
        <v>646611</v>
      </c>
      <c r="B2070" t="s">
        <v>3263</v>
      </c>
      <c r="C2070" t="s">
        <v>305</v>
      </c>
      <c r="D2070" t="s">
        <v>15</v>
      </c>
      <c r="E2070" t="s">
        <v>91</v>
      </c>
      <c r="F2070" t="s">
        <v>229</v>
      </c>
      <c r="G2070" t="str">
        <f>HYPERLINK(_xlfn.CONCAT("https://tablet.otzar.org/",CHAR(35),"/book/646611/p/-1/t/1/fs/0/start/0/end/0/c"),"קיצור דיני שכירות בתים")</f>
        <v>קיצור דיני שכירות בתים</v>
      </c>
      <c r="H2070" t="str">
        <f>_xlfn.CONCAT("https://tablet.otzar.org/",CHAR(35),"/book/646611/p/-1/t/1/fs/0/start/0/end/0/c")</f>
        <v>https://tablet.otzar.org/#/book/646611/p/-1/t/1/fs/0/start/0/end/0/c</v>
      </c>
    </row>
    <row r="2071" spans="1:8" x14ac:dyDescent="0.25">
      <c r="A2071">
        <v>646610</v>
      </c>
      <c r="B2071" t="s">
        <v>3264</v>
      </c>
      <c r="C2071" t="s">
        <v>305</v>
      </c>
      <c r="D2071" t="s">
        <v>15</v>
      </c>
      <c r="E2071" t="s">
        <v>91</v>
      </c>
      <c r="F2071" t="s">
        <v>229</v>
      </c>
      <c r="G2071" t="str">
        <f>HYPERLINK(_xlfn.CONCAT("https://tablet.otzar.org/",CHAR(35),"/book/646610/p/-1/t/1/fs/0/start/0/end/0/c"),"קיצור דיני שכנים")</f>
        <v>קיצור דיני שכנים</v>
      </c>
      <c r="H2071" t="str">
        <f>_xlfn.CONCAT("https://tablet.otzar.org/",CHAR(35),"/book/646610/p/-1/t/1/fs/0/start/0/end/0/c")</f>
        <v>https://tablet.otzar.org/#/book/646610/p/-1/t/1/fs/0/start/0/end/0/c</v>
      </c>
    </row>
    <row r="2072" spans="1:8" x14ac:dyDescent="0.25">
      <c r="A2072">
        <v>627713</v>
      </c>
      <c r="B2072" t="s">
        <v>3265</v>
      </c>
      <c r="C2072" t="s">
        <v>3266</v>
      </c>
      <c r="D2072" t="s">
        <v>15</v>
      </c>
      <c r="E2072" t="s">
        <v>46</v>
      </c>
      <c r="F2072" t="s">
        <v>12</v>
      </c>
      <c r="G2072" t="str">
        <f>HYPERLINK(_xlfn.CONCAT("https://tablet.otzar.org/",CHAR(35),"/exKotar/627713"),"קיצור הלכות משו""""ע אדמו""""ר הזקן - 2 כרכים")</f>
        <v>קיצור הלכות משו""ע אדמו""ר הזקן - 2 כרכים</v>
      </c>
      <c r="H2072" t="str">
        <f>_xlfn.CONCAT("https://tablet.otzar.org/",CHAR(35),"/exKotar/627713")</f>
        <v>https://tablet.otzar.org/#/exKotar/627713</v>
      </c>
    </row>
    <row r="2073" spans="1:8" x14ac:dyDescent="0.25">
      <c r="A2073">
        <v>614737</v>
      </c>
      <c r="B2073" t="s">
        <v>3267</v>
      </c>
      <c r="C2073" t="s">
        <v>3268</v>
      </c>
      <c r="D2073" t="s">
        <v>15</v>
      </c>
      <c r="E2073" t="s">
        <v>19</v>
      </c>
      <c r="F2073" t="s">
        <v>12</v>
      </c>
      <c r="G2073" t="str">
        <f>HYPERLINK(_xlfn.CONCAT("https://tablet.otzar.org/",CHAR(35),"/book/614737/p/-1/t/1/fs/0/start/0/end/0/c"),"קיצור התניא - שער היחוד והאמונה")</f>
        <v>קיצור התניא - שער היחוד והאמונה</v>
      </c>
      <c r="H2073" t="str">
        <f>_xlfn.CONCAT("https://tablet.otzar.org/",CHAR(35),"/book/614737/p/-1/t/1/fs/0/start/0/end/0/c")</f>
        <v>https://tablet.otzar.org/#/book/614737/p/-1/t/1/fs/0/start/0/end/0/c</v>
      </c>
    </row>
    <row r="2074" spans="1:8" x14ac:dyDescent="0.25">
      <c r="A2074">
        <v>162895</v>
      </c>
      <c r="B2074" t="s">
        <v>3269</v>
      </c>
      <c r="C2074" t="s">
        <v>1858</v>
      </c>
      <c r="D2074" t="s">
        <v>10</v>
      </c>
      <c r="E2074" t="s">
        <v>226</v>
      </c>
      <c r="F2074" t="s">
        <v>12</v>
      </c>
      <c r="G2074" t="str">
        <f>HYPERLINK(_xlfn.CONCAT("https://tablet.otzar.org/",CHAR(35),"/book/162895/p/-1/t/1/fs/0/start/0/end/0/c"),"קיצור סדר השתלשלות בכתבי חסידות חב""""ד")</f>
        <v>קיצור סדר השתלשלות בכתבי חסידות חב""ד</v>
      </c>
      <c r="H2074" t="str">
        <f>_xlfn.CONCAT("https://tablet.otzar.org/",CHAR(35),"/book/162895/p/-1/t/1/fs/0/start/0/end/0/c")</f>
        <v>https://tablet.otzar.org/#/book/162895/p/-1/t/1/fs/0/start/0/end/0/c</v>
      </c>
    </row>
    <row r="2075" spans="1:8" x14ac:dyDescent="0.25">
      <c r="A2075">
        <v>650248</v>
      </c>
      <c r="B2075" t="s">
        <v>3270</v>
      </c>
      <c r="C2075" t="s">
        <v>3271</v>
      </c>
      <c r="D2075" t="s">
        <v>23</v>
      </c>
      <c r="E2075" t="s">
        <v>24</v>
      </c>
      <c r="G2075" t="str">
        <f>HYPERLINK(_xlfn.CONCAT("https://tablet.otzar.org/",CHAR(35),"/book/650248/p/-1/t/1/fs/0/start/0/end/0/c"),"קיצור שלחן ערוך עם פסקי אדמו""""ר הזקן")</f>
        <v>קיצור שלחן ערוך עם פסקי אדמו""ר הזקן</v>
      </c>
      <c r="H2075" t="str">
        <f>_xlfn.CONCAT("https://tablet.otzar.org/",CHAR(35),"/book/650248/p/-1/t/1/fs/0/start/0/end/0/c")</f>
        <v>https://tablet.otzar.org/#/book/650248/p/-1/t/1/fs/0/start/0/end/0/c</v>
      </c>
    </row>
    <row r="2076" spans="1:8" x14ac:dyDescent="0.25">
      <c r="A2076">
        <v>28714</v>
      </c>
      <c r="B2076" t="s">
        <v>3272</v>
      </c>
      <c r="C2076" t="s">
        <v>1180</v>
      </c>
      <c r="D2076" t="s">
        <v>412</v>
      </c>
      <c r="E2076" t="s">
        <v>174</v>
      </c>
      <c r="F2076" t="s">
        <v>12</v>
      </c>
      <c r="G2076" t="str">
        <f>HYPERLINK(_xlfn.CONCAT("https://tablet.otzar.org/",CHAR(35),"/book/28714/p/-1/t/1/fs/0/start/0/end/0/c"),"קיצור שלחן ערוך עם פסקי שו""""ע אדמור הזקן - מנוקד")</f>
        <v>קיצור שלחן ערוך עם פסקי שו""ע אדמור הזקן - מנוקד</v>
      </c>
      <c r="H2076" t="str">
        <f>_xlfn.CONCAT("https://tablet.otzar.org/",CHAR(35),"/book/28714/p/-1/t/1/fs/0/start/0/end/0/c")</f>
        <v>https://tablet.otzar.org/#/book/28714/p/-1/t/1/fs/0/start/0/end/0/c</v>
      </c>
    </row>
    <row r="2077" spans="1:8" x14ac:dyDescent="0.25">
      <c r="A2077">
        <v>154706</v>
      </c>
      <c r="B2077" t="s">
        <v>3273</v>
      </c>
      <c r="C2077" t="s">
        <v>3271</v>
      </c>
      <c r="D2077" t="s">
        <v>3274</v>
      </c>
      <c r="E2077" t="s">
        <v>49</v>
      </c>
      <c r="F2077" t="s">
        <v>3275</v>
      </c>
      <c r="G2077" t="str">
        <f>HYPERLINK(_xlfn.CONCAT("https://tablet.otzar.org/",CHAR(35),"/book/154706/p/-1/t/1/fs/0/start/0/end/0/c"),"קיצור שלחן ערוך עם תרגום ספרדית - ב")</f>
        <v>קיצור שלחן ערוך עם תרגום ספרדית - ב</v>
      </c>
      <c r="H2077" t="str">
        <f>_xlfn.CONCAT("https://tablet.otzar.org/",CHAR(35),"/book/154706/p/-1/t/1/fs/0/start/0/end/0/c")</f>
        <v>https://tablet.otzar.org/#/book/154706/p/-1/t/1/fs/0/start/0/end/0/c</v>
      </c>
    </row>
    <row r="2078" spans="1:8" x14ac:dyDescent="0.25">
      <c r="A2078">
        <v>27767</v>
      </c>
      <c r="B2078" t="s">
        <v>3276</v>
      </c>
      <c r="C2078" t="s">
        <v>381</v>
      </c>
      <c r="D2078" t="s">
        <v>15</v>
      </c>
      <c r="E2078" t="s">
        <v>382</v>
      </c>
      <c r="F2078" t="s">
        <v>12</v>
      </c>
      <c r="G2078" t="str">
        <f>HYPERLINK(_xlfn.CONCAT("https://tablet.otzar.org/",CHAR(35),"/book/27767/p/-1/t/1/fs/0/start/0/end/0/c"),"קיצור תולדות חב""""ד - א")</f>
        <v>קיצור תולדות חב""ד - א</v>
      </c>
      <c r="H2078" t="str">
        <f>_xlfn.CONCAT("https://tablet.otzar.org/",CHAR(35),"/book/27767/p/-1/t/1/fs/0/start/0/end/0/c")</f>
        <v>https://tablet.otzar.org/#/book/27767/p/-1/t/1/fs/0/start/0/end/0/c</v>
      </c>
    </row>
    <row r="2079" spans="1:8" x14ac:dyDescent="0.25">
      <c r="A2079">
        <v>141422</v>
      </c>
      <c r="B2079" t="s">
        <v>3277</v>
      </c>
      <c r="C2079" t="s">
        <v>61</v>
      </c>
      <c r="D2079" t="s">
        <v>28</v>
      </c>
      <c r="E2079" t="s">
        <v>91</v>
      </c>
      <c r="G2079" t="str">
        <f>HYPERLINK(_xlfn.CONCAT("https://tablet.otzar.org/",CHAR(35),"/book/141422/p/-1/t/1/fs/0/start/0/end/0/c"),"קיצור תניא")</f>
        <v>קיצור תניא</v>
      </c>
      <c r="H2079" t="str">
        <f>_xlfn.CONCAT("https://tablet.otzar.org/",CHAR(35),"/book/141422/p/-1/t/1/fs/0/start/0/end/0/c")</f>
        <v>https://tablet.otzar.org/#/book/141422/p/-1/t/1/fs/0/start/0/end/0/c</v>
      </c>
    </row>
    <row r="2080" spans="1:8" x14ac:dyDescent="0.25">
      <c r="A2080">
        <v>141339</v>
      </c>
      <c r="B2080" t="s">
        <v>3278</v>
      </c>
      <c r="C2080" t="s">
        <v>3279</v>
      </c>
      <c r="D2080" t="s">
        <v>15</v>
      </c>
      <c r="E2080" t="s">
        <v>260</v>
      </c>
      <c r="F2080" t="s">
        <v>12</v>
      </c>
      <c r="G2080" t="str">
        <f>HYPERLINK(_xlfn.CONCAT("https://tablet.otzar.org/",CHAR(35),"/book/141339/p/-1/t/1/fs/0/start/0/end/0/c"),"קיצורים וביאורים לספר התניא")</f>
        <v>קיצורים וביאורים לספר התניא</v>
      </c>
      <c r="H2080" t="str">
        <f>_xlfn.CONCAT("https://tablet.otzar.org/",CHAR(35),"/book/141339/p/-1/t/1/fs/0/start/0/end/0/c")</f>
        <v>https://tablet.otzar.org/#/book/141339/p/-1/t/1/fs/0/start/0/end/0/c</v>
      </c>
    </row>
    <row r="2081" spans="1:8" x14ac:dyDescent="0.25">
      <c r="A2081">
        <v>607695</v>
      </c>
      <c r="B2081" t="s">
        <v>3280</v>
      </c>
      <c r="C2081" t="s">
        <v>3281</v>
      </c>
      <c r="D2081" t="s">
        <v>10</v>
      </c>
      <c r="E2081" t="s">
        <v>404</v>
      </c>
      <c r="G2081" t="str">
        <f>HYPERLINK(_xlfn.CONCAT("https://tablet.otzar.org/",CHAR(35),"/book/607695/p/-1/t/1/fs/0/start/0/end/0/c"),"קליאמקע")</f>
        <v>קליאמקע</v>
      </c>
      <c r="H2081" t="str">
        <f>_xlfn.CONCAT("https://tablet.otzar.org/",CHAR(35),"/book/607695/p/-1/t/1/fs/0/start/0/end/0/c")</f>
        <v>https://tablet.otzar.org/#/book/607695/p/-1/t/1/fs/0/start/0/end/0/c</v>
      </c>
    </row>
    <row r="2082" spans="1:8" x14ac:dyDescent="0.25">
      <c r="A2082">
        <v>171730</v>
      </c>
      <c r="B2082" t="s">
        <v>3282</v>
      </c>
      <c r="C2082" t="s">
        <v>1709</v>
      </c>
      <c r="D2082" t="s">
        <v>10</v>
      </c>
      <c r="E2082" t="s">
        <v>60</v>
      </c>
      <c r="F2082" t="s">
        <v>100</v>
      </c>
      <c r="G2082" t="str">
        <f>HYPERLINK(_xlfn.CONCAT("https://tablet.otzar.org/",CHAR(35),"/book/171730/p/-1/t/1/fs/0/start/0/end/0/c"),"קנה לך חבר")</f>
        <v>קנה לך חבר</v>
      </c>
      <c r="H2082" t="str">
        <f>_xlfn.CONCAT("https://tablet.otzar.org/",CHAR(35),"/book/171730/p/-1/t/1/fs/0/start/0/end/0/c")</f>
        <v>https://tablet.otzar.org/#/book/171730/p/-1/t/1/fs/0/start/0/end/0/c</v>
      </c>
    </row>
    <row r="2083" spans="1:8" x14ac:dyDescent="0.25">
      <c r="A2083">
        <v>26882</v>
      </c>
      <c r="B2083" t="s">
        <v>3283</v>
      </c>
      <c r="C2083" t="s">
        <v>45</v>
      </c>
      <c r="D2083" t="s">
        <v>37</v>
      </c>
      <c r="E2083" t="s">
        <v>382</v>
      </c>
      <c r="F2083" t="s">
        <v>12</v>
      </c>
      <c r="G2083" t="str">
        <f>HYPERLINK(_xlfn.CONCAT("https://tablet.otzar.org/",CHAR(35),"/exKotar/26882"),"קראתי ואין עונה - 2 כרכים")</f>
        <v>קראתי ואין עונה - 2 כרכים</v>
      </c>
      <c r="H2083" t="str">
        <f>_xlfn.CONCAT("https://tablet.otzar.org/",CHAR(35),"/exKotar/26882")</f>
        <v>https://tablet.otzar.org/#/exKotar/26882</v>
      </c>
    </row>
    <row r="2084" spans="1:8" x14ac:dyDescent="0.25">
      <c r="A2084">
        <v>143364</v>
      </c>
      <c r="B2084" t="s">
        <v>3284</v>
      </c>
      <c r="C2084" t="s">
        <v>3285</v>
      </c>
      <c r="D2084" t="s">
        <v>37</v>
      </c>
      <c r="E2084" t="s">
        <v>134</v>
      </c>
      <c r="F2084" t="s">
        <v>76</v>
      </c>
      <c r="G2084" t="str">
        <f>HYPERLINK(_xlfn.CONCAT("https://tablet.otzar.org/",CHAR(35),"/book/143364/p/-1/t/1/fs/0/start/0/end/0/c"),"קרוב רחוק")</f>
        <v>קרוב רחוק</v>
      </c>
      <c r="H2084" t="str">
        <f>_xlfn.CONCAT("https://tablet.otzar.org/",CHAR(35),"/book/143364/p/-1/t/1/fs/0/start/0/end/0/c")</f>
        <v>https://tablet.otzar.org/#/book/143364/p/-1/t/1/fs/0/start/0/end/0/c</v>
      </c>
    </row>
    <row r="2085" spans="1:8" x14ac:dyDescent="0.25">
      <c r="A2085">
        <v>161300</v>
      </c>
      <c r="B2085" t="s">
        <v>3286</v>
      </c>
      <c r="C2085" t="s">
        <v>125</v>
      </c>
      <c r="D2085" t="s">
        <v>128</v>
      </c>
      <c r="E2085" t="s">
        <v>346</v>
      </c>
      <c r="F2085" t="s">
        <v>12</v>
      </c>
      <c r="G2085" t="str">
        <f>HYPERLINK(_xlfn.CONCAT("https://tablet.otzar.org/",CHAR(35),"/book/161300/p/-1/t/1/fs/0/start/0/end/0/c"),"קריה נאמנה")</f>
        <v>קריה נאמנה</v>
      </c>
      <c r="H2085" t="str">
        <f>_xlfn.CONCAT("https://tablet.otzar.org/",CHAR(35),"/book/161300/p/-1/t/1/fs/0/start/0/end/0/c")</f>
        <v>https://tablet.otzar.org/#/book/161300/p/-1/t/1/fs/0/start/0/end/0/c</v>
      </c>
    </row>
    <row r="2086" spans="1:8" x14ac:dyDescent="0.25">
      <c r="A2086">
        <v>27356</v>
      </c>
      <c r="B2086" t="s">
        <v>3287</v>
      </c>
      <c r="C2086" t="s">
        <v>2193</v>
      </c>
      <c r="D2086" t="s">
        <v>197</v>
      </c>
      <c r="E2086" t="s">
        <v>69</v>
      </c>
      <c r="F2086" t="s">
        <v>12</v>
      </c>
      <c r="G2086" t="str">
        <f>HYPERLINK(_xlfn.CONCAT("https://tablet.otzar.org/",CHAR(35),"/exKotar/27356"),"קרית מלך - 2 כרכים")</f>
        <v>קרית מלך - 2 כרכים</v>
      </c>
      <c r="H2086" t="str">
        <f>_xlfn.CONCAT("https://tablet.otzar.org/",CHAR(35),"/exKotar/27356")</f>
        <v>https://tablet.otzar.org/#/exKotar/27356</v>
      </c>
    </row>
    <row r="2087" spans="1:8" x14ac:dyDescent="0.25">
      <c r="A2087">
        <v>27726</v>
      </c>
      <c r="B2087" t="s">
        <v>3288</v>
      </c>
      <c r="C2087" t="s">
        <v>3289</v>
      </c>
      <c r="D2087" t="s">
        <v>3290</v>
      </c>
      <c r="E2087" t="s">
        <v>69</v>
      </c>
      <c r="F2087" t="s">
        <v>12</v>
      </c>
      <c r="G2087" t="str">
        <f>HYPERLINK(_xlfn.CONCAT("https://tablet.otzar.org/",CHAR(35),"/book/27726/p/-1/t/1/fs/0/start/0/end/0/c"),"קרית מלך רב - הדרנים על הרמב""""ם")</f>
        <v>קרית מלך רב - הדרנים על הרמב""ם</v>
      </c>
      <c r="H2087" t="str">
        <f>_xlfn.CONCAT("https://tablet.otzar.org/",CHAR(35),"/book/27726/p/-1/t/1/fs/0/start/0/end/0/c")</f>
        <v>https://tablet.otzar.org/#/book/27726/p/-1/t/1/fs/0/start/0/end/0/c</v>
      </c>
    </row>
    <row r="2088" spans="1:8" x14ac:dyDescent="0.25">
      <c r="A2088">
        <v>85016</v>
      </c>
      <c r="B2088" t="s">
        <v>3291</v>
      </c>
      <c r="C2088" t="s">
        <v>2193</v>
      </c>
      <c r="D2088" t="s">
        <v>197</v>
      </c>
      <c r="E2088" t="s">
        <v>226</v>
      </c>
      <c r="F2088" t="s">
        <v>12</v>
      </c>
      <c r="G2088" t="str">
        <f>HYPERLINK(_xlfn.CONCAT("https://tablet.otzar.org/",CHAR(35),"/exKotar/85016"),"קרית מלך רב - 24 כרכים")</f>
        <v>קרית מלך רב - 24 כרכים</v>
      </c>
      <c r="H2088" t="str">
        <f>_xlfn.CONCAT("https://tablet.otzar.org/",CHAR(35),"/exKotar/85016")</f>
        <v>https://tablet.otzar.org/#/exKotar/85016</v>
      </c>
    </row>
    <row r="2089" spans="1:8" x14ac:dyDescent="0.25">
      <c r="A2089">
        <v>146574</v>
      </c>
      <c r="B2089" t="s">
        <v>3292</v>
      </c>
      <c r="C2089" t="s">
        <v>3293</v>
      </c>
      <c r="D2089" t="s">
        <v>15</v>
      </c>
      <c r="E2089" t="s">
        <v>1841</v>
      </c>
      <c r="F2089" t="s">
        <v>12</v>
      </c>
      <c r="G2089" t="str">
        <f>HYPERLINK(_xlfn.CONCAT("https://tablet.otzar.org/",CHAR(35),"/exKotar/146574"),"ר""""ד בעת הסעודות - 2 כרכים")</f>
        <v>ר""ד בעת הסעודות - 2 כרכים</v>
      </c>
      <c r="H2089" t="str">
        <f>_xlfn.CONCAT("https://tablet.otzar.org/",CHAR(35),"/exKotar/146574")</f>
        <v>https://tablet.otzar.org/#/exKotar/146574</v>
      </c>
    </row>
    <row r="2090" spans="1:8" x14ac:dyDescent="0.25">
      <c r="A2090">
        <v>26982</v>
      </c>
      <c r="B2090" t="s">
        <v>3294</v>
      </c>
      <c r="C2090" t="s">
        <v>3295</v>
      </c>
      <c r="D2090" t="s">
        <v>10</v>
      </c>
      <c r="E2090" t="s">
        <v>441</v>
      </c>
      <c r="F2090" t="s">
        <v>12</v>
      </c>
      <c r="G2090" t="str">
        <f>HYPERLINK(_xlfn.CONCAT("https://tablet.otzar.org/",CHAR(35),"/exKotar/26982"),"ר' אברהם אבא הרופא ע""""ה זעליגזאן - 2 כרכים")</f>
        <v>ר' אברהם אבא הרופא ע""ה זעליגזאן - 2 כרכים</v>
      </c>
      <c r="H2090" t="str">
        <f>_xlfn.CONCAT("https://tablet.otzar.org/",CHAR(35),"/exKotar/26982")</f>
        <v>https://tablet.otzar.org/#/exKotar/26982</v>
      </c>
    </row>
    <row r="2091" spans="1:8" x14ac:dyDescent="0.25">
      <c r="A2091">
        <v>196288</v>
      </c>
      <c r="B2091" t="s">
        <v>3296</v>
      </c>
      <c r="C2091" t="s">
        <v>3297</v>
      </c>
      <c r="D2091" t="s">
        <v>191</v>
      </c>
      <c r="E2091" t="s">
        <v>19</v>
      </c>
      <c r="F2091" t="s">
        <v>2322</v>
      </c>
      <c r="G2091" t="str">
        <f>HYPERLINK(_xlfn.CONCAT("https://tablet.otzar.org/",CHAR(35),"/book/196288/p/-1/t/1/fs/0/start/0/end/0/c"),"ר' אברהם הערש")</f>
        <v>ר' אברהם הערש</v>
      </c>
      <c r="H2091" t="str">
        <f>_xlfn.CONCAT("https://tablet.otzar.org/",CHAR(35),"/book/196288/p/-1/t/1/fs/0/start/0/end/0/c")</f>
        <v>https://tablet.otzar.org/#/book/196288/p/-1/t/1/fs/0/start/0/end/0/c</v>
      </c>
    </row>
    <row r="2092" spans="1:8" x14ac:dyDescent="0.25">
      <c r="A2092">
        <v>635109</v>
      </c>
      <c r="B2092" t="s">
        <v>3298</v>
      </c>
      <c r="C2092" t="s">
        <v>3299</v>
      </c>
      <c r="D2092" t="s">
        <v>15</v>
      </c>
      <c r="E2092" t="s">
        <v>185</v>
      </c>
      <c r="F2092" t="s">
        <v>25</v>
      </c>
      <c r="G2092" t="str">
        <f>HYPERLINK(_xlfn.CONCAT("https://tablet.otzar.org/",CHAR(35),"/book/635109/p/-1/t/1/fs/0/start/0/end/0/c"),"ר' בערל חסיד ומחנך")</f>
        <v>ר' בערל חסיד ומחנך</v>
      </c>
      <c r="H2092" t="str">
        <f>_xlfn.CONCAT("https://tablet.otzar.org/",CHAR(35),"/book/635109/p/-1/t/1/fs/0/start/0/end/0/c")</f>
        <v>https://tablet.otzar.org/#/book/635109/p/-1/t/1/fs/0/start/0/end/0/c</v>
      </c>
    </row>
    <row r="2093" spans="1:8" x14ac:dyDescent="0.25">
      <c r="A2093">
        <v>607978</v>
      </c>
      <c r="B2093" t="s">
        <v>3300</v>
      </c>
      <c r="C2093" t="s">
        <v>3301</v>
      </c>
      <c r="D2093" t="s">
        <v>28</v>
      </c>
      <c r="E2093" t="s">
        <v>19</v>
      </c>
      <c r="F2093" t="s">
        <v>43</v>
      </c>
      <c r="G2093" t="str">
        <f>HYPERLINK(_xlfn.CONCAT("https://tablet.otzar.org/",CHAR(35),"/book/607978/p/-1/t/1/fs/0/start/0/end/0/c"),"ר' הלל מפאריטש - סיפורים")</f>
        <v>ר' הלל מפאריטש - סיפורים</v>
      </c>
      <c r="H2093" t="str">
        <f>_xlfn.CONCAT("https://tablet.otzar.org/",CHAR(35),"/book/607978/p/-1/t/1/fs/0/start/0/end/0/c")</f>
        <v>https://tablet.otzar.org/#/book/607978/p/-1/t/1/fs/0/start/0/end/0/c</v>
      </c>
    </row>
    <row r="2094" spans="1:8" x14ac:dyDescent="0.25">
      <c r="A2094">
        <v>28010</v>
      </c>
      <c r="B2094" t="s">
        <v>3302</v>
      </c>
      <c r="C2094" t="s">
        <v>3303</v>
      </c>
      <c r="D2094" t="s">
        <v>15</v>
      </c>
      <c r="E2094" t="s">
        <v>382</v>
      </c>
      <c r="F2094" t="s">
        <v>12</v>
      </c>
      <c r="G2094" t="str">
        <f>HYPERLINK(_xlfn.CONCAT("https://tablet.otzar.org/",CHAR(35),"/book/28010/p/-1/t/1/fs/0/start/0/end/0/c"),"ר' יוסף ע""""ה קלורמן")</f>
        <v>ר' יוסף ע""ה קלורמן</v>
      </c>
      <c r="H2094" t="str">
        <f>_xlfn.CONCAT("https://tablet.otzar.org/",CHAR(35),"/book/28010/p/-1/t/1/fs/0/start/0/end/0/c")</f>
        <v>https://tablet.otzar.org/#/book/28010/p/-1/t/1/fs/0/start/0/end/0/c</v>
      </c>
    </row>
    <row r="2095" spans="1:8" x14ac:dyDescent="0.25">
      <c r="A2095">
        <v>141414</v>
      </c>
      <c r="B2095" t="s">
        <v>3304</v>
      </c>
      <c r="C2095" t="s">
        <v>3305</v>
      </c>
      <c r="E2095" t="s">
        <v>414</v>
      </c>
      <c r="F2095" t="s">
        <v>12</v>
      </c>
      <c r="G2095" t="str">
        <f>HYPERLINK(_xlfn.CONCAT("https://tablet.otzar.org/",CHAR(35),"/book/141414/p/-1/t/1/fs/0/start/0/end/0/c"),"ר' ישראל בעל שם טוב ותנועת החסידות")</f>
        <v>ר' ישראל בעל שם טוב ותנועת החסידות</v>
      </c>
      <c r="H2095" t="str">
        <f>_xlfn.CONCAT("https://tablet.otzar.org/",CHAR(35),"/book/141414/p/-1/t/1/fs/0/start/0/end/0/c")</f>
        <v>https://tablet.otzar.org/#/book/141414/p/-1/t/1/fs/0/start/0/end/0/c</v>
      </c>
    </row>
    <row r="2096" spans="1:8" x14ac:dyDescent="0.25">
      <c r="A2096">
        <v>146377</v>
      </c>
      <c r="B2096" t="s">
        <v>3306</v>
      </c>
      <c r="C2096" t="s">
        <v>122</v>
      </c>
      <c r="D2096" t="s">
        <v>28</v>
      </c>
      <c r="E2096" t="s">
        <v>91</v>
      </c>
      <c r="F2096" t="s">
        <v>342</v>
      </c>
      <c r="G2096" t="str">
        <f>HYPERLINK(_xlfn.CONCAT("https://tablet.otzar.org/",CHAR(35),"/book/146377/p/-1/t/1/fs/0/start/0/end/0/c"),"ר' לוי יצחק זצ""""ל שניאורסון זי""""ע")</f>
        <v>ר' לוי יצחק זצ""ל שניאורסון זי""ע</v>
      </c>
      <c r="H2096" t="str">
        <f>_xlfn.CONCAT("https://tablet.otzar.org/",CHAR(35),"/book/146377/p/-1/t/1/fs/0/start/0/end/0/c")</f>
        <v>https://tablet.otzar.org/#/book/146377/p/-1/t/1/fs/0/start/0/end/0/c</v>
      </c>
    </row>
    <row r="2097" spans="1:8" x14ac:dyDescent="0.25">
      <c r="A2097">
        <v>27085</v>
      </c>
      <c r="B2097" t="s">
        <v>3307</v>
      </c>
      <c r="C2097" t="s">
        <v>3308</v>
      </c>
      <c r="D2097" t="s">
        <v>15</v>
      </c>
      <c r="E2097" t="s">
        <v>250</v>
      </c>
      <c r="F2097" t="s">
        <v>12</v>
      </c>
      <c r="G2097" t="str">
        <f>HYPERLINK(_xlfn.CONCAT("https://tablet.otzar.org/",CHAR(35),"/book/27085/p/-1/t/1/fs/0/start/0/end/0/c"),"ר' מענדל")</f>
        <v>ר' מענדל</v>
      </c>
      <c r="H2097" t="str">
        <f>_xlfn.CONCAT("https://tablet.otzar.org/",CHAR(35),"/book/27085/p/-1/t/1/fs/0/start/0/end/0/c")</f>
        <v>https://tablet.otzar.org/#/book/27085/p/-1/t/1/fs/0/start/0/end/0/c</v>
      </c>
    </row>
    <row r="2098" spans="1:8" x14ac:dyDescent="0.25">
      <c r="A2098">
        <v>646550</v>
      </c>
      <c r="B2098" t="s">
        <v>3309</v>
      </c>
      <c r="C2098" t="s">
        <v>402</v>
      </c>
      <c r="F2098" t="s">
        <v>20</v>
      </c>
      <c r="G2098" t="str">
        <f>HYPERLINK(_xlfn.CONCAT("https://tablet.otzar.org/",CHAR(35),"/book/646550/p/-1/t/1/fs/0/start/0/end/0/c"),"ר' משה וויטבסקער - הרה""""ח רבי משה ווישצקי")</f>
        <v>ר' משה וויטבסקער - הרה""ח רבי משה ווישצקי</v>
      </c>
      <c r="H2098" t="str">
        <f>_xlfn.CONCAT("https://tablet.otzar.org/",CHAR(35),"/book/646550/p/-1/t/1/fs/0/start/0/end/0/c")</f>
        <v>https://tablet.otzar.org/#/book/646550/p/-1/t/1/fs/0/start/0/end/0/c</v>
      </c>
    </row>
    <row r="2099" spans="1:8" x14ac:dyDescent="0.25">
      <c r="A2099">
        <v>28012</v>
      </c>
      <c r="B2099" t="s">
        <v>3310</v>
      </c>
      <c r="C2099" t="s">
        <v>3311</v>
      </c>
      <c r="D2099" t="s">
        <v>10</v>
      </c>
      <c r="E2099" t="s">
        <v>29</v>
      </c>
      <c r="F2099" t="s">
        <v>12</v>
      </c>
      <c r="G2099" t="str">
        <f>HYPERLINK(_xlfn.CONCAT("https://tablet.otzar.org/",CHAR(35),"/exKotar/28012"),"ר' שילם - 2 כרכים")</f>
        <v>ר' שילם - 2 כרכים</v>
      </c>
      <c r="H2099" t="str">
        <f>_xlfn.CONCAT("https://tablet.otzar.org/",CHAR(35),"/exKotar/28012")</f>
        <v>https://tablet.otzar.org/#/exKotar/28012</v>
      </c>
    </row>
    <row r="2100" spans="1:8" x14ac:dyDescent="0.25">
      <c r="A2100">
        <v>600294</v>
      </c>
      <c r="B2100" t="s">
        <v>3312</v>
      </c>
      <c r="C2100" t="s">
        <v>48</v>
      </c>
      <c r="D2100" t="s">
        <v>15</v>
      </c>
      <c r="E2100" t="s">
        <v>19</v>
      </c>
      <c r="F2100" t="s">
        <v>12</v>
      </c>
      <c r="G2100" t="str">
        <f>HYPERLINK(_xlfn.CONCAT("https://tablet.otzar.org/",CHAR(35),"/book/600294/p/-1/t/1/fs/0/start/0/end/0/c"),"ר' שלום")</f>
        <v>ר' שלום</v>
      </c>
      <c r="H2100" t="str">
        <f>_xlfn.CONCAT("https://tablet.otzar.org/",CHAR(35),"/book/600294/p/-1/t/1/fs/0/start/0/end/0/c")</f>
        <v>https://tablet.otzar.org/#/book/600294/p/-1/t/1/fs/0/start/0/end/0/c</v>
      </c>
    </row>
    <row r="2101" spans="1:8" x14ac:dyDescent="0.25">
      <c r="A2101">
        <v>145786</v>
      </c>
      <c r="B2101" t="s">
        <v>3313</v>
      </c>
      <c r="C2101" t="s">
        <v>3313</v>
      </c>
      <c r="D2101" t="s">
        <v>28</v>
      </c>
      <c r="E2101" t="s">
        <v>91</v>
      </c>
      <c r="F2101" t="s">
        <v>342</v>
      </c>
      <c r="G2101" t="str">
        <f>HYPERLINK(_xlfn.CONCAT("https://tablet.otzar.org/",CHAR(35),"/book/145786/p/-1/t/1/fs/0/start/0/end/0/c"),"ר' שניאור זלמן מלאדי")</f>
        <v>ר' שניאור זלמן מלאדי</v>
      </c>
      <c r="H2101" t="str">
        <f>_xlfn.CONCAT("https://tablet.otzar.org/",CHAR(35),"/book/145786/p/-1/t/1/fs/0/start/0/end/0/c")</f>
        <v>https://tablet.otzar.org/#/book/145786/p/-1/t/1/fs/0/start/0/end/0/c</v>
      </c>
    </row>
    <row r="2102" spans="1:8" x14ac:dyDescent="0.25">
      <c r="A2102">
        <v>189096</v>
      </c>
      <c r="B2102" t="s">
        <v>3314</v>
      </c>
      <c r="C2102" t="s">
        <v>3315</v>
      </c>
      <c r="D2102" t="s">
        <v>197</v>
      </c>
      <c r="E2102" t="s">
        <v>19</v>
      </c>
      <c r="F2102" t="s">
        <v>43</v>
      </c>
      <c r="G2102" t="str">
        <f>HYPERLINK(_xlfn.CONCAT("https://tablet.otzar.org/",CHAR(35),"/book/189096/p/-1/t/1/fs/0/start/0/end/0/c"),"ראה מעשה ונזכר תלמוד - ג")</f>
        <v>ראה מעשה ונזכר תלמוד - ג</v>
      </c>
      <c r="H2102" t="str">
        <f>_xlfn.CONCAT("https://tablet.otzar.org/",CHAR(35),"/book/189096/p/-1/t/1/fs/0/start/0/end/0/c")</f>
        <v>https://tablet.otzar.org/#/book/189096/p/-1/t/1/fs/0/start/0/end/0/c</v>
      </c>
    </row>
    <row r="2103" spans="1:8" x14ac:dyDescent="0.25">
      <c r="A2103">
        <v>26983</v>
      </c>
      <c r="B2103" t="s">
        <v>3316</v>
      </c>
      <c r="C2103" t="s">
        <v>1460</v>
      </c>
      <c r="D2103" t="s">
        <v>37</v>
      </c>
      <c r="E2103" t="s">
        <v>40</v>
      </c>
      <c r="F2103" t="s">
        <v>12</v>
      </c>
      <c r="G2103" t="str">
        <f>HYPERLINK(_xlfn.CONCAT("https://tablet.otzar.org/",CHAR(35),"/book/26983/p/-1/t/1/fs/0/start/0/end/0/c"),"ראש בני ישראל")</f>
        <v>ראש בני ישראל</v>
      </c>
      <c r="H2103" t="str">
        <f>_xlfn.CONCAT("https://tablet.otzar.org/",CHAR(35),"/book/26983/p/-1/t/1/fs/0/start/0/end/0/c")</f>
        <v>https://tablet.otzar.org/#/book/26983/p/-1/t/1/fs/0/start/0/end/0/c</v>
      </c>
    </row>
    <row r="2104" spans="1:8" x14ac:dyDescent="0.25">
      <c r="A2104">
        <v>651983</v>
      </c>
      <c r="B2104" t="s">
        <v>3317</v>
      </c>
      <c r="C2104" t="s">
        <v>3318</v>
      </c>
      <c r="E2104" t="s">
        <v>24</v>
      </c>
      <c r="F2104" t="s">
        <v>208</v>
      </c>
      <c r="G2104" t="str">
        <f>HYPERLINK(_xlfn.CONCAT("https://tablet.otzar.org/",CHAR(35),"/book/651983/p/-1/t/1/fs/0/start/0/end/0/c"),"ראש המלמדים - במדבר")</f>
        <v>ראש המלמדים - במדבר</v>
      </c>
      <c r="H2104" t="str">
        <f>_xlfn.CONCAT("https://tablet.otzar.org/",CHAR(35),"/book/651983/p/-1/t/1/fs/0/start/0/end/0/c")</f>
        <v>https://tablet.otzar.org/#/book/651983/p/-1/t/1/fs/0/start/0/end/0/c</v>
      </c>
    </row>
    <row r="2105" spans="1:8" x14ac:dyDescent="0.25">
      <c r="A2105">
        <v>146412</v>
      </c>
      <c r="B2105" t="s">
        <v>3319</v>
      </c>
      <c r="C2105" t="s">
        <v>1158</v>
      </c>
      <c r="D2105" t="s">
        <v>15</v>
      </c>
      <c r="E2105" t="s">
        <v>91</v>
      </c>
      <c r="F2105" t="s">
        <v>12</v>
      </c>
      <c r="G2105" t="str">
        <f>HYPERLINK(_xlfn.CONCAT("https://tablet.otzar.org/",CHAR(35),"/book/146412/p/-1/t/1/fs/0/start/0/end/0/c"),"ראש חודש כסלו")</f>
        <v>ראש חודש כסלו</v>
      </c>
      <c r="H2105" t="str">
        <f>_xlfn.CONCAT("https://tablet.otzar.org/",CHAR(35),"/book/146412/p/-1/t/1/fs/0/start/0/end/0/c")</f>
        <v>https://tablet.otzar.org/#/book/146412/p/-1/t/1/fs/0/start/0/end/0/c</v>
      </c>
    </row>
    <row r="2106" spans="1:8" x14ac:dyDescent="0.25">
      <c r="A2106">
        <v>635153</v>
      </c>
      <c r="B2106" t="s">
        <v>3320</v>
      </c>
      <c r="C2106" t="s">
        <v>45</v>
      </c>
      <c r="D2106" t="s">
        <v>10</v>
      </c>
      <c r="E2106" t="s">
        <v>11</v>
      </c>
      <c r="F2106" t="s">
        <v>12</v>
      </c>
      <c r="G2106" t="str">
        <f>HYPERLINK(_xlfn.CONCAT("https://tablet.otzar.org/",CHAR(35),"/book/635153/p/-1/t/1/fs/0/start/0/end/0/c"),"ראשי פרקים מתולדות ארבעה מחברים")</f>
        <v>ראשי פרקים מתולדות ארבעה מחברים</v>
      </c>
      <c r="H2106" t="str">
        <f>_xlfn.CONCAT("https://tablet.otzar.org/",CHAR(35),"/book/635153/p/-1/t/1/fs/0/start/0/end/0/c")</f>
        <v>https://tablet.otzar.org/#/book/635153/p/-1/t/1/fs/0/start/0/end/0/c</v>
      </c>
    </row>
    <row r="2107" spans="1:8" x14ac:dyDescent="0.25">
      <c r="A2107">
        <v>146542</v>
      </c>
      <c r="B2107" t="s">
        <v>3321</v>
      </c>
      <c r="C2107" t="s">
        <v>254</v>
      </c>
      <c r="E2107" t="s">
        <v>91</v>
      </c>
      <c r="F2107" t="s">
        <v>76</v>
      </c>
      <c r="G2107" t="str">
        <f>HYPERLINK(_xlfn.CONCAT("https://tablet.otzar.org/",CHAR(35),"/book/146542/p/-1/t/1/fs/0/start/0/end/0/c"),"ראשי תיבות וקיצורים בספרות החסידות והקבלה")</f>
        <v>ראשי תיבות וקיצורים בספרות החסידות והקבלה</v>
      </c>
      <c r="H2107" t="str">
        <f>_xlfn.CONCAT("https://tablet.otzar.org/",CHAR(35),"/book/146542/p/-1/t/1/fs/0/start/0/end/0/c")</f>
        <v>https://tablet.otzar.org/#/book/146542/p/-1/t/1/fs/0/start/0/end/0/c</v>
      </c>
    </row>
    <row r="2108" spans="1:8" x14ac:dyDescent="0.25">
      <c r="A2108">
        <v>607843</v>
      </c>
      <c r="B2108" t="s">
        <v>3322</v>
      </c>
      <c r="C2108" t="s">
        <v>348</v>
      </c>
      <c r="D2108" t="s">
        <v>15</v>
      </c>
      <c r="E2108" t="s">
        <v>404</v>
      </c>
      <c r="F2108" t="s">
        <v>12</v>
      </c>
      <c r="G2108" t="str">
        <f>HYPERLINK(_xlfn.CONCAT("https://tablet.otzar.org/",CHAR(35),"/book/607843/p/-1/t/1/fs/0/start/0/end/0/c"),"רב - מורה דרך")</f>
        <v>רב - מורה דרך</v>
      </c>
      <c r="H2108" t="str">
        <f>_xlfn.CONCAT("https://tablet.otzar.org/",CHAR(35),"/book/607843/p/-1/t/1/fs/0/start/0/end/0/c")</f>
        <v>https://tablet.otzar.org/#/book/607843/p/-1/t/1/fs/0/start/0/end/0/c</v>
      </c>
    </row>
    <row r="2109" spans="1:8" x14ac:dyDescent="0.25">
      <c r="A2109">
        <v>650246</v>
      </c>
      <c r="B2109" t="s">
        <v>3323</v>
      </c>
      <c r="C2109" t="s">
        <v>348</v>
      </c>
      <c r="D2109" t="s">
        <v>28</v>
      </c>
      <c r="E2109" t="s">
        <v>185</v>
      </c>
      <c r="G2109" t="str">
        <f>HYPERLINK(_xlfn.CONCAT("https://tablet.otzar.org/",CHAR(35),"/book/650246/p/-1/t/1/fs/0/start/0/end/0/c"),"רב בישראל")</f>
        <v>רב בישראל</v>
      </c>
      <c r="H2109" t="str">
        <f>_xlfn.CONCAT("https://tablet.otzar.org/",CHAR(35),"/book/650246/p/-1/t/1/fs/0/start/0/end/0/c")</f>
        <v>https://tablet.otzar.org/#/book/650246/p/-1/t/1/fs/0/start/0/end/0/c</v>
      </c>
    </row>
    <row r="2110" spans="1:8" x14ac:dyDescent="0.25">
      <c r="A2110">
        <v>141543</v>
      </c>
      <c r="B2110" t="s">
        <v>3324</v>
      </c>
      <c r="C2110" t="s">
        <v>1350</v>
      </c>
      <c r="D2110" t="s">
        <v>431</v>
      </c>
      <c r="E2110" t="s">
        <v>192</v>
      </c>
      <c r="F2110" t="s">
        <v>12</v>
      </c>
      <c r="G2110" t="str">
        <f>HYPERLINK(_xlfn.CONCAT("https://tablet.otzar.org/",CHAR(35),"/book/141543/p/-1/t/1/fs/0/start/0/end/0/c"),"רב להושיע - א")</f>
        <v>רב להושיע - א</v>
      </c>
      <c r="H2110" t="str">
        <f>_xlfn.CONCAT("https://tablet.otzar.org/",CHAR(35),"/book/141543/p/-1/t/1/fs/0/start/0/end/0/c")</f>
        <v>https://tablet.otzar.org/#/book/141543/p/-1/t/1/fs/0/start/0/end/0/c</v>
      </c>
    </row>
    <row r="2111" spans="1:8" x14ac:dyDescent="0.25">
      <c r="A2111">
        <v>27755</v>
      </c>
      <c r="B2111" t="s">
        <v>3325</v>
      </c>
      <c r="C2111" t="s">
        <v>3326</v>
      </c>
      <c r="D2111" t="s">
        <v>15</v>
      </c>
      <c r="E2111" t="s">
        <v>382</v>
      </c>
      <c r="F2111" t="s">
        <v>12</v>
      </c>
      <c r="G2111" t="str">
        <f>HYPERLINK(_xlfn.CONCAT("https://tablet.otzar.org/",CHAR(35),"/book/27755/p/-1/t/1/fs/0/start/0/end/0/c"),"רבות מופתי")</f>
        <v>רבות מופתי</v>
      </c>
      <c r="H2111" t="str">
        <f>_xlfn.CONCAT("https://tablet.otzar.org/",CHAR(35),"/book/27755/p/-1/t/1/fs/0/start/0/end/0/c")</f>
        <v>https://tablet.otzar.org/#/book/27755/p/-1/t/1/fs/0/start/0/end/0/c</v>
      </c>
    </row>
    <row r="2112" spans="1:8" x14ac:dyDescent="0.25">
      <c r="A2112">
        <v>27441</v>
      </c>
      <c r="B2112" t="s">
        <v>3327</v>
      </c>
      <c r="C2112" t="s">
        <v>3328</v>
      </c>
      <c r="D2112" t="s">
        <v>15</v>
      </c>
      <c r="E2112" t="s">
        <v>46</v>
      </c>
      <c r="F2112" t="s">
        <v>12</v>
      </c>
      <c r="G2112" t="str">
        <f>HYPERLINK(_xlfn.CONCAT("https://tablet.otzar.org/",CHAR(35),"/exKotar/27441"),"רבותינו נשיאינו - 6 כרכים")</f>
        <v>רבותינו נשיאינו - 6 כרכים</v>
      </c>
      <c r="H2112" t="str">
        <f>_xlfn.CONCAT("https://tablet.otzar.org/",CHAR(35),"/exKotar/27441")</f>
        <v>https://tablet.otzar.org/#/exKotar/27441</v>
      </c>
    </row>
    <row r="2113" spans="1:8" x14ac:dyDescent="0.25">
      <c r="A2113">
        <v>27647</v>
      </c>
      <c r="B2113" t="s">
        <v>3329</v>
      </c>
      <c r="C2113" t="s">
        <v>3330</v>
      </c>
      <c r="D2113" t="s">
        <v>37</v>
      </c>
      <c r="E2113" t="s">
        <v>79</v>
      </c>
      <c r="F2113" t="s">
        <v>12</v>
      </c>
      <c r="G2113" t="str">
        <f>HYPERLINK(_xlfn.CONCAT("https://tablet.otzar.org/",CHAR(35),"/book/27647/p/-1/t/1/fs/0/start/0/end/0/c"),"רבותינו נשיאינו ומדינת אשכנז")</f>
        <v>רבותינו נשיאינו ומדינת אשכנז</v>
      </c>
      <c r="H2113" t="str">
        <f>_xlfn.CONCAT("https://tablet.otzar.org/",CHAR(35),"/book/27647/p/-1/t/1/fs/0/start/0/end/0/c")</f>
        <v>https://tablet.otzar.org/#/book/27647/p/-1/t/1/fs/0/start/0/end/0/c</v>
      </c>
    </row>
    <row r="2114" spans="1:8" x14ac:dyDescent="0.25">
      <c r="A2114">
        <v>141544</v>
      </c>
      <c r="B2114" t="s">
        <v>3331</v>
      </c>
      <c r="C2114" t="s">
        <v>595</v>
      </c>
      <c r="E2114" t="s">
        <v>414</v>
      </c>
      <c r="F2114" t="s">
        <v>12</v>
      </c>
      <c r="G2114" t="str">
        <f>HYPERLINK(_xlfn.CONCAT("https://tablet.otzar.org/",CHAR(35),"/book/141544/p/-1/t/1/fs/0/start/0/end/0/c"),"רבי ישראל בעל שם טוב")</f>
        <v>רבי ישראל בעל שם טוב</v>
      </c>
      <c r="H2114" t="str">
        <f>_xlfn.CONCAT("https://tablet.otzar.org/",CHAR(35),"/book/141544/p/-1/t/1/fs/0/start/0/end/0/c")</f>
        <v>https://tablet.otzar.org/#/book/141544/p/-1/t/1/fs/0/start/0/end/0/c</v>
      </c>
    </row>
    <row r="2115" spans="1:8" x14ac:dyDescent="0.25">
      <c r="A2115">
        <v>191900</v>
      </c>
      <c r="B2115" t="s">
        <v>3331</v>
      </c>
      <c r="C2115" t="s">
        <v>178</v>
      </c>
      <c r="D2115" t="s">
        <v>10</v>
      </c>
      <c r="E2115" t="s">
        <v>414</v>
      </c>
      <c r="F2115" t="s">
        <v>319</v>
      </c>
      <c r="G2115" t="str">
        <f>HYPERLINK(_xlfn.CONCAT("https://tablet.otzar.org/",CHAR(35),"/book/191900/p/-1/t/1/fs/0/start/0/end/0/c"),"רבי ישראל בעל שם טוב")</f>
        <v>רבי ישראל בעל שם טוב</v>
      </c>
      <c r="H2115" t="str">
        <f>_xlfn.CONCAT("https://tablet.otzar.org/",CHAR(35),"/book/191900/p/-1/t/1/fs/0/start/0/end/0/c")</f>
        <v>https://tablet.otzar.org/#/book/191900/p/-1/t/1/fs/0/start/0/end/0/c</v>
      </c>
    </row>
    <row r="2116" spans="1:8" x14ac:dyDescent="0.25">
      <c r="A2116">
        <v>146502</v>
      </c>
      <c r="B2116" t="s">
        <v>3332</v>
      </c>
      <c r="C2116" t="s">
        <v>3333</v>
      </c>
      <c r="D2116" t="s">
        <v>15</v>
      </c>
      <c r="E2116" t="s">
        <v>91</v>
      </c>
      <c r="F2116" t="s">
        <v>12</v>
      </c>
      <c r="G2116" t="str">
        <f>HYPERLINK(_xlfn.CONCAT("https://tablet.otzar.org/",CHAR(35),"/book/146502/p/-1/t/1/fs/0/start/0/end/0/c"),"רבי לוי יצחק ע""""ה שניאורסאהן")</f>
        <v>רבי לוי יצחק ע""ה שניאורסאהן</v>
      </c>
      <c r="H2116" t="str">
        <f>_xlfn.CONCAT("https://tablet.otzar.org/",CHAR(35),"/book/146502/p/-1/t/1/fs/0/start/0/end/0/c")</f>
        <v>https://tablet.otzar.org/#/book/146502/p/-1/t/1/fs/0/start/0/end/0/c</v>
      </c>
    </row>
    <row r="2117" spans="1:8" x14ac:dyDescent="0.25">
      <c r="A2117">
        <v>608417</v>
      </c>
      <c r="B2117" t="s">
        <v>3334</v>
      </c>
      <c r="C2117" t="s">
        <v>770</v>
      </c>
      <c r="D2117" t="s">
        <v>10</v>
      </c>
      <c r="E2117" t="s">
        <v>226</v>
      </c>
      <c r="F2117" t="s">
        <v>12</v>
      </c>
      <c r="G2117" t="str">
        <f>HYPERLINK(_xlfn.CONCAT("https://tablet.otzar.org/",CHAR(35),"/book/608417/p/-1/t/1/fs/0/start/0/end/0/c"),"רבי מאיר שלמה הלוי ינובסקי")</f>
        <v>רבי מאיר שלמה הלוי ינובסקי</v>
      </c>
      <c r="H2117" t="str">
        <f>_xlfn.CONCAT("https://tablet.otzar.org/",CHAR(35),"/book/608417/p/-1/t/1/fs/0/start/0/end/0/c")</f>
        <v>https://tablet.otzar.org/#/book/608417/p/-1/t/1/fs/0/start/0/end/0/c</v>
      </c>
    </row>
    <row r="2118" spans="1:8" x14ac:dyDescent="0.25">
      <c r="A2118">
        <v>608419</v>
      </c>
      <c r="B2118" t="s">
        <v>3335</v>
      </c>
      <c r="C2118" t="s">
        <v>770</v>
      </c>
      <c r="D2118" t="s">
        <v>10</v>
      </c>
      <c r="E2118" t="s">
        <v>226</v>
      </c>
      <c r="F2118" t="s">
        <v>12</v>
      </c>
      <c r="G2118" t="str">
        <f>HYPERLINK(_xlfn.CONCAT("https://tablet.otzar.org/",CHAR(35),"/book/608419/p/-1/t/1/fs/0/start/0/end/0/c"),"רבי מיכאל דער אלעטר")</f>
        <v>רבי מיכאל דער אלעטר</v>
      </c>
      <c r="H2118" t="str">
        <f>_xlfn.CONCAT("https://tablet.otzar.org/",CHAR(35),"/book/608419/p/-1/t/1/fs/0/start/0/end/0/c")</f>
        <v>https://tablet.otzar.org/#/book/608419/p/-1/t/1/fs/0/start/0/end/0/c</v>
      </c>
    </row>
    <row r="2119" spans="1:8" x14ac:dyDescent="0.25">
      <c r="A2119">
        <v>27607</v>
      </c>
      <c r="B2119" t="s">
        <v>3336</v>
      </c>
      <c r="C2119" t="s">
        <v>1502</v>
      </c>
      <c r="E2119" t="s">
        <v>181</v>
      </c>
      <c r="F2119" t="s">
        <v>12</v>
      </c>
      <c r="G2119" t="str">
        <f>HYPERLINK(_xlfn.CONCAT("https://tablet.otzar.org/",CHAR(35),"/book/27607/p/-1/t/1/fs/0/start/0/end/0/c"),"רבן של ישראל")</f>
        <v>רבן של ישראל</v>
      </c>
      <c r="H2119" t="str">
        <f>_xlfn.CONCAT("https://tablet.otzar.org/",CHAR(35),"/book/27607/p/-1/t/1/fs/0/start/0/end/0/c")</f>
        <v>https://tablet.otzar.org/#/book/27607/p/-1/t/1/fs/0/start/0/end/0/c</v>
      </c>
    </row>
    <row r="2120" spans="1:8" x14ac:dyDescent="0.25">
      <c r="A2120">
        <v>27768</v>
      </c>
      <c r="B2120" t="s">
        <v>3336</v>
      </c>
      <c r="C2120" t="s">
        <v>3337</v>
      </c>
      <c r="D2120" t="s">
        <v>15</v>
      </c>
      <c r="E2120" t="s">
        <v>192</v>
      </c>
      <c r="F2120" t="s">
        <v>12</v>
      </c>
      <c r="G2120" t="str">
        <f>HYPERLINK(_xlfn.CONCAT("https://tablet.otzar.org/",CHAR(35),"/book/27768/p/-1/t/1/fs/0/start/0/end/0/c"),"רבן של ישראל")</f>
        <v>רבן של ישראל</v>
      </c>
      <c r="H2120" t="str">
        <f>_xlfn.CONCAT("https://tablet.otzar.org/",CHAR(35),"/book/27768/p/-1/t/1/fs/0/start/0/end/0/c")</f>
        <v>https://tablet.otzar.org/#/book/27768/p/-1/t/1/fs/0/start/0/end/0/c</v>
      </c>
    </row>
    <row r="2121" spans="1:8" x14ac:dyDescent="0.25">
      <c r="A2121">
        <v>153371</v>
      </c>
      <c r="B2121" t="s">
        <v>3338</v>
      </c>
      <c r="C2121" t="s">
        <v>3339</v>
      </c>
      <c r="D2121" t="s">
        <v>387</v>
      </c>
      <c r="E2121" t="s">
        <v>49</v>
      </c>
      <c r="F2121" t="s">
        <v>12</v>
      </c>
      <c r="G2121" t="str">
        <f>HYPERLINK(_xlfn.CONCAT("https://tablet.otzar.org/",CHAR(35),"/book/153371/p/-1/t/1/fs/0/start/0/end/0/c"),"רוחו בקרבנו")</f>
        <v>רוחו בקרבנו</v>
      </c>
      <c r="H2121" t="str">
        <f>_xlfn.CONCAT("https://tablet.otzar.org/",CHAR(35),"/book/153371/p/-1/t/1/fs/0/start/0/end/0/c")</f>
        <v>https://tablet.otzar.org/#/book/153371/p/-1/t/1/fs/0/start/0/end/0/c</v>
      </c>
    </row>
    <row r="2122" spans="1:8" x14ac:dyDescent="0.25">
      <c r="A2122">
        <v>628572</v>
      </c>
      <c r="B2122" t="s">
        <v>3340</v>
      </c>
      <c r="C2122" t="s">
        <v>102</v>
      </c>
      <c r="D2122" t="s">
        <v>15</v>
      </c>
      <c r="E2122" t="s">
        <v>49</v>
      </c>
      <c r="F2122" t="s">
        <v>379</v>
      </c>
      <c r="G2122" t="str">
        <f>HYPERLINK(_xlfn.CONCAT("https://tablet.otzar.org/",CHAR(35),"/book/628572/p/-1/t/1/fs/0/start/0/end/0/c"),"רוחו של משיח")</f>
        <v>רוחו של משיח</v>
      </c>
      <c r="H2122" t="str">
        <f>_xlfn.CONCAT("https://tablet.otzar.org/",CHAR(35),"/book/628572/p/-1/t/1/fs/0/start/0/end/0/c")</f>
        <v>https://tablet.otzar.org/#/book/628572/p/-1/t/1/fs/0/start/0/end/0/c</v>
      </c>
    </row>
    <row r="2123" spans="1:8" x14ac:dyDescent="0.25">
      <c r="A2123">
        <v>27642</v>
      </c>
      <c r="B2123" t="s">
        <v>3341</v>
      </c>
      <c r="C2123" t="s">
        <v>3342</v>
      </c>
      <c r="D2123" t="s">
        <v>3050</v>
      </c>
      <c r="E2123" t="s">
        <v>29</v>
      </c>
      <c r="F2123" t="s">
        <v>12</v>
      </c>
      <c r="G2123" t="str">
        <f>HYPERLINK(_xlfn.CONCAT("https://tablet.otzar.org/",CHAR(35),"/book/27642/p/-1/t/1/fs/0/start/0/end/0/c"),"רוסטוב על נהר דון")</f>
        <v>רוסטוב על נהר דון</v>
      </c>
      <c r="H2123" t="str">
        <f>_xlfn.CONCAT("https://tablet.otzar.org/",CHAR(35),"/book/27642/p/-1/t/1/fs/0/start/0/end/0/c")</f>
        <v>https://tablet.otzar.org/#/book/27642/p/-1/t/1/fs/0/start/0/end/0/c</v>
      </c>
    </row>
    <row r="2124" spans="1:8" x14ac:dyDescent="0.25">
      <c r="A2124">
        <v>145929</v>
      </c>
      <c r="B2124" t="s">
        <v>3343</v>
      </c>
      <c r="C2124" t="s">
        <v>3344</v>
      </c>
      <c r="D2124" t="s">
        <v>10</v>
      </c>
      <c r="E2124" t="s">
        <v>91</v>
      </c>
      <c r="F2124" t="s">
        <v>12</v>
      </c>
      <c r="G2124" t="str">
        <f>HYPERLINK(_xlfn.CONCAT("https://tablet.otzar.org/",CHAR(35),"/book/145929/p/-1/t/1/fs/0/start/0/end/0/c"),"רועה אבן ישראל - א")</f>
        <v>רועה אבן ישראל - א</v>
      </c>
      <c r="H2124" t="str">
        <f>_xlfn.CONCAT("https://tablet.otzar.org/",CHAR(35),"/book/145929/p/-1/t/1/fs/0/start/0/end/0/c")</f>
        <v>https://tablet.otzar.org/#/book/145929/p/-1/t/1/fs/0/start/0/end/0/c</v>
      </c>
    </row>
    <row r="2125" spans="1:8" x14ac:dyDescent="0.25">
      <c r="A2125">
        <v>657647</v>
      </c>
      <c r="B2125" t="s">
        <v>3345</v>
      </c>
      <c r="C2125" t="s">
        <v>3346</v>
      </c>
      <c r="D2125" t="s">
        <v>10</v>
      </c>
      <c r="E2125" t="s">
        <v>82</v>
      </c>
      <c r="G2125" t="str">
        <f>HYPERLINK(_xlfn.CONCAT("https://tablet.otzar.org/",CHAR(35),"/book/657647/p/-1/t/1/fs/0/start/0/end/0/c"),"רועי אמונה")</f>
        <v>רועי אמונה</v>
      </c>
      <c r="H2125" t="str">
        <f>_xlfn.CONCAT("https://tablet.otzar.org/",CHAR(35),"/book/657647/p/-1/t/1/fs/0/start/0/end/0/c")</f>
        <v>https://tablet.otzar.org/#/book/657647/p/-1/t/1/fs/0/start/0/end/0/c</v>
      </c>
    </row>
    <row r="2126" spans="1:8" x14ac:dyDescent="0.25">
      <c r="A2126">
        <v>195728</v>
      </c>
      <c r="B2126" t="s">
        <v>3347</v>
      </c>
      <c r="C2126" t="s">
        <v>3348</v>
      </c>
      <c r="D2126" t="s">
        <v>3349</v>
      </c>
      <c r="E2126" t="s">
        <v>19</v>
      </c>
      <c r="F2126" t="s">
        <v>3350</v>
      </c>
      <c r="G2126" t="str">
        <f>HYPERLINK(_xlfn.CONCAT("https://tablet.otzar.org/",CHAR(35),"/book/195728/p/-1/t/1/fs/0/start/0/end/0/c"),"רזא דשבת")</f>
        <v>רזא דשבת</v>
      </c>
      <c r="H2126" t="str">
        <f>_xlfn.CONCAT("https://tablet.otzar.org/",CHAR(35),"/book/195728/p/-1/t/1/fs/0/start/0/end/0/c")</f>
        <v>https://tablet.otzar.org/#/book/195728/p/-1/t/1/fs/0/start/0/end/0/c</v>
      </c>
    </row>
    <row r="2127" spans="1:8" x14ac:dyDescent="0.25">
      <c r="A2127">
        <v>27294</v>
      </c>
      <c r="B2127" t="s">
        <v>3351</v>
      </c>
      <c r="C2127" t="s">
        <v>183</v>
      </c>
      <c r="D2127" t="s">
        <v>15</v>
      </c>
      <c r="E2127" t="s">
        <v>250</v>
      </c>
      <c r="F2127" t="s">
        <v>12</v>
      </c>
      <c r="G2127" t="str">
        <f>HYPERLINK(_xlfn.CONCAT("https://tablet.otzar.org/",CHAR(35),"/book/27294/p/-1/t/1/fs/0/start/0/end/0/c"),"רזא דשבתא")</f>
        <v>רזא דשבתא</v>
      </c>
      <c r="H2127" t="str">
        <f>_xlfn.CONCAT("https://tablet.otzar.org/",CHAR(35),"/book/27294/p/-1/t/1/fs/0/start/0/end/0/c")</f>
        <v>https://tablet.otzar.org/#/book/27294/p/-1/t/1/fs/0/start/0/end/0/c</v>
      </c>
    </row>
    <row r="2128" spans="1:8" x14ac:dyDescent="0.25">
      <c r="A2128">
        <v>143250</v>
      </c>
      <c r="B2128" t="s">
        <v>3352</v>
      </c>
      <c r="C2128" t="s">
        <v>3353</v>
      </c>
      <c r="D2128" t="s">
        <v>28</v>
      </c>
      <c r="E2128" t="s">
        <v>33</v>
      </c>
      <c r="F2128" t="s">
        <v>12</v>
      </c>
      <c r="G2128" t="str">
        <f>HYPERLINK(_xlfn.CONCAT("https://tablet.otzar.org/",CHAR(35),"/book/143250/p/-1/t/1/fs/0/start/0/end/0/c"),"רזין דאורייתא")</f>
        <v>רזין דאורייתא</v>
      </c>
      <c r="H2128" t="str">
        <f>_xlfn.CONCAT("https://tablet.otzar.org/",CHAR(35),"/book/143250/p/-1/t/1/fs/0/start/0/end/0/c")</f>
        <v>https://tablet.otzar.org/#/book/143250/p/-1/t/1/fs/0/start/0/end/0/c</v>
      </c>
    </row>
    <row r="2129" spans="1:8" x14ac:dyDescent="0.25">
      <c r="A2129">
        <v>27730</v>
      </c>
      <c r="B2129" t="s">
        <v>3354</v>
      </c>
      <c r="C2129" t="s">
        <v>125</v>
      </c>
      <c r="D2129" t="s">
        <v>363</v>
      </c>
      <c r="E2129" t="s">
        <v>346</v>
      </c>
      <c r="F2129" t="s">
        <v>12</v>
      </c>
      <c r="G2129" t="str">
        <f>HYPERLINK(_xlfn.CONCAT("https://tablet.otzar.org/",CHAR(35),"/exKotar/27730"),"רחובות הנהר - 5 כרכים")</f>
        <v>רחובות הנהר - 5 כרכים</v>
      </c>
      <c r="H2129" t="str">
        <f>_xlfn.CONCAT("https://tablet.otzar.org/",CHAR(35),"/exKotar/27730")</f>
        <v>https://tablet.otzar.org/#/exKotar/27730</v>
      </c>
    </row>
    <row r="2130" spans="1:8" x14ac:dyDescent="0.25">
      <c r="A2130">
        <v>28781</v>
      </c>
      <c r="B2130" t="s">
        <v>3355</v>
      </c>
      <c r="C2130" t="s">
        <v>125</v>
      </c>
      <c r="D2130" t="s">
        <v>10</v>
      </c>
      <c r="E2130" t="s">
        <v>236</v>
      </c>
      <c r="F2130" t="s">
        <v>12</v>
      </c>
      <c r="G2130" t="str">
        <f>HYPERLINK(_xlfn.CONCAT("https://tablet.otzar.org/",CHAR(35),"/book/28781/p/-1/t/1/fs/0/start/0/end/0/c"),"רישומה של שנה")</f>
        <v>רישומה של שנה</v>
      </c>
      <c r="H2130" t="str">
        <f>_xlfn.CONCAT("https://tablet.otzar.org/",CHAR(35),"/book/28781/p/-1/t/1/fs/0/start/0/end/0/c")</f>
        <v>https://tablet.otzar.org/#/book/28781/p/-1/t/1/fs/0/start/0/end/0/c</v>
      </c>
    </row>
    <row r="2131" spans="1:8" x14ac:dyDescent="0.25">
      <c r="A2131">
        <v>28802</v>
      </c>
      <c r="B2131" t="s">
        <v>3356</v>
      </c>
      <c r="C2131" t="s">
        <v>136</v>
      </c>
      <c r="D2131" t="s">
        <v>656</v>
      </c>
      <c r="E2131" t="s">
        <v>174</v>
      </c>
      <c r="F2131" t="s">
        <v>12</v>
      </c>
      <c r="G2131" t="str">
        <f>HYPERLINK(_xlfn.CONCAT("https://tablet.otzar.org/",CHAR(35),"/book/28802/p/-1/t/1/fs/0/start/0/end/0/c"),"רמ""""ח אותיות")</f>
        <v>רמ""ח אותיות</v>
      </c>
      <c r="H2131" t="str">
        <f>_xlfn.CONCAT("https://tablet.otzar.org/",CHAR(35),"/book/28802/p/-1/t/1/fs/0/start/0/end/0/c")</f>
        <v>https://tablet.otzar.org/#/book/28802/p/-1/t/1/fs/0/start/0/end/0/c</v>
      </c>
    </row>
    <row r="2132" spans="1:8" x14ac:dyDescent="0.25">
      <c r="A2132">
        <v>26976</v>
      </c>
      <c r="B2132" t="s">
        <v>3357</v>
      </c>
      <c r="C2132" t="s">
        <v>3358</v>
      </c>
      <c r="D2132" t="s">
        <v>10</v>
      </c>
      <c r="E2132" t="s">
        <v>217</v>
      </c>
      <c r="F2132" t="s">
        <v>12</v>
      </c>
      <c r="G2132" t="str">
        <f>HYPERLINK(_xlfn.CONCAT("https://tablet.otzar.org/",CHAR(35),"/exKotar/26976"),"רמב""""ם הערוך - 8 כרכים")</f>
        <v>רמב""ם הערוך - 8 כרכים</v>
      </c>
      <c r="H2132" t="str">
        <f>_xlfn.CONCAT("https://tablet.otzar.org/",CHAR(35),"/exKotar/26976")</f>
        <v>https://tablet.otzar.org/#/exKotar/26976</v>
      </c>
    </row>
    <row r="2133" spans="1:8" x14ac:dyDescent="0.25">
      <c r="A2133">
        <v>141630</v>
      </c>
      <c r="B2133" t="s">
        <v>3359</v>
      </c>
      <c r="C2133" t="s">
        <v>3360</v>
      </c>
      <c r="D2133" t="s">
        <v>10</v>
      </c>
      <c r="E2133" t="s">
        <v>192</v>
      </c>
      <c r="F2133" t="s">
        <v>12</v>
      </c>
      <c r="G2133" t="str">
        <f>HYPERLINK(_xlfn.CONCAT("https://tablet.otzar.org/",CHAR(35),"/book/141630/p/-1/t/1/fs/0/start/0/end/0/c"),"רמב""""ם מבואר - הלכות תלמוד תורה")</f>
        <v>רמב""ם מבואר - הלכות תלמוד תורה</v>
      </c>
      <c r="H2133" t="str">
        <f>_xlfn.CONCAT("https://tablet.otzar.org/",CHAR(35),"/book/141630/p/-1/t/1/fs/0/start/0/end/0/c")</f>
        <v>https://tablet.otzar.org/#/book/141630/p/-1/t/1/fs/0/start/0/end/0/c</v>
      </c>
    </row>
    <row r="2134" spans="1:8" x14ac:dyDescent="0.25">
      <c r="A2134">
        <v>160610</v>
      </c>
      <c r="B2134" t="s">
        <v>3361</v>
      </c>
      <c r="C2134" t="s">
        <v>125</v>
      </c>
      <c r="D2134" t="s">
        <v>15</v>
      </c>
      <c r="E2134" t="s">
        <v>33</v>
      </c>
      <c r="F2134" t="s">
        <v>12</v>
      </c>
      <c r="G2134" t="str">
        <f>HYPERLINK(_xlfn.CONCAT("https://tablet.otzar.org/",CHAR(35),"/book/160610/p/-1/t/1/fs/0/start/0/end/0/c"),"רעיא מהימנא")</f>
        <v>רעיא מהימנא</v>
      </c>
      <c r="H2134" t="str">
        <f>_xlfn.CONCAT("https://tablet.otzar.org/",CHAR(35),"/book/160610/p/-1/t/1/fs/0/start/0/end/0/c")</f>
        <v>https://tablet.otzar.org/#/book/160610/p/-1/t/1/fs/0/start/0/end/0/c</v>
      </c>
    </row>
    <row r="2135" spans="1:8" x14ac:dyDescent="0.25">
      <c r="A2135">
        <v>141368</v>
      </c>
      <c r="B2135" t="s">
        <v>3362</v>
      </c>
      <c r="C2135" t="s">
        <v>3363</v>
      </c>
      <c r="D2135" t="s">
        <v>10</v>
      </c>
      <c r="E2135" t="s">
        <v>57</v>
      </c>
      <c r="F2135" t="s">
        <v>12</v>
      </c>
      <c r="G2135" t="str">
        <f>HYPERLINK(_xlfn.CONCAT("https://tablet.otzar.org/",CHAR(35),"/book/141368/p/-1/t/1/fs/0/start/0/end/0/c"),"רעיון החודש")</f>
        <v>רעיון החודש</v>
      </c>
      <c r="H2135" t="str">
        <f>_xlfn.CONCAT("https://tablet.otzar.org/",CHAR(35),"/book/141368/p/-1/t/1/fs/0/start/0/end/0/c")</f>
        <v>https://tablet.otzar.org/#/book/141368/p/-1/t/1/fs/0/start/0/end/0/c</v>
      </c>
    </row>
    <row r="2136" spans="1:8" x14ac:dyDescent="0.25">
      <c r="A2136">
        <v>140823</v>
      </c>
      <c r="B2136" t="s">
        <v>3364</v>
      </c>
      <c r="C2136" t="s">
        <v>1113</v>
      </c>
      <c r="D2136" t="s">
        <v>15</v>
      </c>
      <c r="E2136" t="s">
        <v>46</v>
      </c>
      <c r="F2136" t="s">
        <v>12</v>
      </c>
      <c r="G2136" t="str">
        <f>HYPERLINK(_xlfn.CONCAT("https://tablet.otzar.org/",CHAR(35),"/book/140823/p/-1/t/1/fs/0/start/0/end/0/c"),"רפואה שלמה")</f>
        <v>רפואה שלמה</v>
      </c>
      <c r="H2136" t="str">
        <f>_xlfn.CONCAT("https://tablet.otzar.org/",CHAR(35),"/book/140823/p/-1/t/1/fs/0/start/0/end/0/c")</f>
        <v>https://tablet.otzar.org/#/book/140823/p/-1/t/1/fs/0/start/0/end/0/c</v>
      </c>
    </row>
    <row r="2137" spans="1:8" x14ac:dyDescent="0.25">
      <c r="A2137">
        <v>629100</v>
      </c>
      <c r="B2137" t="s">
        <v>3365</v>
      </c>
      <c r="C2137" t="s">
        <v>3366</v>
      </c>
      <c r="E2137" t="s">
        <v>145</v>
      </c>
      <c r="F2137" t="s">
        <v>163</v>
      </c>
      <c r="G2137" t="str">
        <f>HYPERLINK(_xlfn.CONCAT("https://tablet.otzar.org/",CHAR(35),"/book/629100/p/-1/t/1/fs/0/start/0/end/0/c"),"רשימה מיחידות כ""""ק אדמו""""ר מסדיגורא שליט""""א אצל כ""""ק אדמו""""ר שליט""""א")</f>
        <v>רשימה מיחידות כ""ק אדמו""ר מסדיגורא שליט""א אצל כ""ק אדמו""ר שליט""א</v>
      </c>
      <c r="H2137" t="str">
        <f>_xlfn.CONCAT("https://tablet.otzar.org/",CHAR(35),"/book/629100/p/-1/t/1/fs/0/start/0/end/0/c")</f>
        <v>https://tablet.otzar.org/#/book/629100/p/-1/t/1/fs/0/start/0/end/0/c</v>
      </c>
    </row>
    <row r="2138" spans="1:8" x14ac:dyDescent="0.25">
      <c r="A2138">
        <v>143286</v>
      </c>
      <c r="B2138" t="s">
        <v>3367</v>
      </c>
      <c r="C2138" t="s">
        <v>61</v>
      </c>
      <c r="D2138" t="s">
        <v>10</v>
      </c>
      <c r="E2138" t="s">
        <v>3368</v>
      </c>
      <c r="G2138" t="str">
        <f>HYPERLINK(_xlfn.CONCAT("https://tablet.otzar.org/",CHAR(35),"/book/143286/p/-1/t/1/fs/0/start/0/end/0/c"),"רשימות - על מגילת איכה")</f>
        <v>רשימות - על מגילת איכה</v>
      </c>
      <c r="H2138" t="str">
        <f>_xlfn.CONCAT("https://tablet.otzar.org/",CHAR(35),"/book/143286/p/-1/t/1/fs/0/start/0/end/0/c")</f>
        <v>https://tablet.otzar.org/#/book/143286/p/-1/t/1/fs/0/start/0/end/0/c</v>
      </c>
    </row>
    <row r="2139" spans="1:8" x14ac:dyDescent="0.25">
      <c r="A2139">
        <v>145962</v>
      </c>
      <c r="B2139" t="s">
        <v>3369</v>
      </c>
      <c r="C2139" t="s">
        <v>3370</v>
      </c>
      <c r="D2139" t="s">
        <v>374</v>
      </c>
      <c r="E2139" t="s">
        <v>353</v>
      </c>
      <c r="F2139" t="s">
        <v>12</v>
      </c>
      <c r="G2139" t="str">
        <f>HYPERLINK(_xlfn.CONCAT("https://tablet.otzar.org/",CHAR(35),"/book/145962/p/-1/t/1/fs/0/start/0/end/0/c"),"רשימות - חלק ה")</f>
        <v>רשימות - חלק ה</v>
      </c>
      <c r="H2139" t="str">
        <f>_xlfn.CONCAT("https://tablet.otzar.org/",CHAR(35),"/book/145962/p/-1/t/1/fs/0/start/0/end/0/c")</f>
        <v>https://tablet.otzar.org/#/book/145962/p/-1/t/1/fs/0/start/0/end/0/c</v>
      </c>
    </row>
    <row r="2140" spans="1:8" x14ac:dyDescent="0.25">
      <c r="A2140">
        <v>146380</v>
      </c>
      <c r="B2140" t="s">
        <v>3371</v>
      </c>
      <c r="C2140" t="s">
        <v>3372</v>
      </c>
      <c r="D2140" t="s">
        <v>37</v>
      </c>
      <c r="E2140" t="s">
        <v>66</v>
      </c>
      <c r="F2140" t="s">
        <v>12</v>
      </c>
      <c r="G2140" t="str">
        <f>HYPERLINK(_xlfn.CONCAT("https://tablet.otzar.org/",CHAR(35),"/book/146380/p/-1/t/1/fs/0/start/0/end/0/c"),"רשימות")</f>
        <v>רשימות</v>
      </c>
      <c r="H2140" t="str">
        <f>_xlfn.CONCAT("https://tablet.otzar.org/",CHAR(35),"/book/146380/p/-1/t/1/fs/0/start/0/end/0/c")</f>
        <v>https://tablet.otzar.org/#/book/146380/p/-1/t/1/fs/0/start/0/end/0/c</v>
      </c>
    </row>
    <row r="2141" spans="1:8" x14ac:dyDescent="0.25">
      <c r="A2141">
        <v>654229</v>
      </c>
      <c r="B2141" t="s">
        <v>3373</v>
      </c>
      <c r="C2141" t="s">
        <v>3374</v>
      </c>
      <c r="D2141" t="s">
        <v>28</v>
      </c>
      <c r="E2141" t="s">
        <v>91</v>
      </c>
      <c r="F2141" t="s">
        <v>12</v>
      </c>
      <c r="G2141" t="str">
        <f>HYPERLINK(_xlfn.CONCAT("https://tablet.otzar.org/",CHAR(35),"/book/654229/p/-1/t/1/fs/0/start/0/end/0/c"),"רשימות - ג")</f>
        <v>רשימות - ג</v>
      </c>
      <c r="H2141" t="str">
        <f>_xlfn.CONCAT("https://tablet.otzar.org/",CHAR(35),"/book/654229/p/-1/t/1/fs/0/start/0/end/0/c")</f>
        <v>https://tablet.otzar.org/#/book/654229/p/-1/t/1/fs/0/start/0/end/0/c</v>
      </c>
    </row>
    <row r="2142" spans="1:8" x14ac:dyDescent="0.25">
      <c r="A2142">
        <v>26614</v>
      </c>
      <c r="B2142" t="s">
        <v>3375</v>
      </c>
      <c r="C2142" t="s">
        <v>45</v>
      </c>
      <c r="D2142" t="s">
        <v>10</v>
      </c>
      <c r="E2142" t="s">
        <v>382</v>
      </c>
      <c r="F2142" t="s">
        <v>12</v>
      </c>
      <c r="G2142" t="str">
        <f>HYPERLINK(_xlfn.CONCAT("https://tablet.otzar.org/",CHAR(35),"/exKotar/26614"),"רשימות - 5 כרכים")</f>
        <v>רשימות - 5 כרכים</v>
      </c>
      <c r="H2142" t="str">
        <f>_xlfn.CONCAT("https://tablet.otzar.org/",CHAR(35),"/exKotar/26614")</f>
        <v>https://tablet.otzar.org/#/exKotar/26614</v>
      </c>
    </row>
    <row r="2143" spans="1:8" x14ac:dyDescent="0.25">
      <c r="A2143">
        <v>160597</v>
      </c>
      <c r="B2143" t="s">
        <v>3376</v>
      </c>
      <c r="C2143" t="s">
        <v>59</v>
      </c>
      <c r="D2143" t="s">
        <v>10</v>
      </c>
      <c r="E2143" t="s">
        <v>226</v>
      </c>
      <c r="G2143" t="str">
        <f>HYPERLINK(_xlfn.CONCAT("https://tablet.otzar.org/",CHAR(35),"/exKotar/160597"),"רשימות - 4 כרכים")</f>
        <v>רשימות - 4 כרכים</v>
      </c>
      <c r="H2143" t="str">
        <f>_xlfn.CONCAT("https://tablet.otzar.org/",CHAR(35),"/exKotar/160597")</f>
        <v>https://tablet.otzar.org/#/exKotar/160597</v>
      </c>
    </row>
    <row r="2144" spans="1:8" x14ac:dyDescent="0.25">
      <c r="A2144">
        <v>147692</v>
      </c>
      <c r="B2144" t="s">
        <v>3377</v>
      </c>
      <c r="C2144" t="s">
        <v>3378</v>
      </c>
      <c r="D2144" t="s">
        <v>10</v>
      </c>
      <c r="E2144" t="s">
        <v>57</v>
      </c>
      <c r="F2144" t="s">
        <v>12</v>
      </c>
      <c r="G2144" t="str">
        <f>HYPERLINK(_xlfn.CONCAT("https://tablet.otzar.org/",CHAR(35),"/exKotar/147692"),"רשימות דברים - 4 כרכים")</f>
        <v>רשימות דברים - 4 כרכים</v>
      </c>
      <c r="H2144" t="str">
        <f>_xlfn.CONCAT("https://tablet.otzar.org/",CHAR(35),"/exKotar/147692")</f>
        <v>https://tablet.otzar.org/#/exKotar/147692</v>
      </c>
    </row>
    <row r="2145" spans="1:8" x14ac:dyDescent="0.25">
      <c r="A2145">
        <v>26889</v>
      </c>
      <c r="B2145" t="s">
        <v>3379</v>
      </c>
      <c r="C2145" t="s">
        <v>3380</v>
      </c>
      <c r="D2145" t="s">
        <v>10</v>
      </c>
      <c r="E2145" t="s">
        <v>217</v>
      </c>
      <c r="F2145" t="s">
        <v>12</v>
      </c>
      <c r="G2145" t="str">
        <f>HYPERLINK(_xlfn.CONCAT("https://tablet.otzar.org/",CHAR(35),"/book/26889/p/-1/t/1/fs/0/start/0/end/0/c"),"רשימות הרב""""ש")</f>
        <v>רשימות הרב""ש</v>
      </c>
      <c r="H2145" t="str">
        <f>_xlfn.CONCAT("https://tablet.otzar.org/",CHAR(35),"/book/26889/p/-1/t/1/fs/0/start/0/end/0/c")</f>
        <v>https://tablet.otzar.org/#/book/26889/p/-1/t/1/fs/0/start/0/end/0/c</v>
      </c>
    </row>
    <row r="2146" spans="1:8" x14ac:dyDescent="0.25">
      <c r="A2146">
        <v>26485</v>
      </c>
      <c r="B2146" t="s">
        <v>3381</v>
      </c>
      <c r="C2146" t="s">
        <v>45</v>
      </c>
      <c r="D2146" t="s">
        <v>28</v>
      </c>
      <c r="E2146" t="s">
        <v>103</v>
      </c>
      <c r="G2146" t="str">
        <f>HYPERLINK(_xlfn.CONCAT("https://tablet.otzar.org/",CHAR(35),"/book/26485/p/-1/t/1/fs/0/start/0/end/0/c"),"רשימות חתונה")</f>
        <v>רשימות חתונה</v>
      </c>
      <c r="H2146" t="str">
        <f>_xlfn.CONCAT("https://tablet.otzar.org/",CHAR(35),"/book/26485/p/-1/t/1/fs/0/start/0/end/0/c")</f>
        <v>https://tablet.otzar.org/#/book/26485/p/-1/t/1/fs/0/start/0/end/0/c</v>
      </c>
    </row>
    <row r="2147" spans="1:8" x14ac:dyDescent="0.25">
      <c r="A2147">
        <v>169951</v>
      </c>
      <c r="B2147" t="s">
        <v>3382</v>
      </c>
      <c r="C2147" t="s">
        <v>3383</v>
      </c>
      <c r="D2147" t="s">
        <v>15</v>
      </c>
      <c r="E2147" t="s">
        <v>82</v>
      </c>
      <c r="F2147" t="s">
        <v>12</v>
      </c>
      <c r="G2147" t="str">
        <f>HYPERLINK(_xlfn.CONCAT("https://tablet.otzar.org/",CHAR(35),"/exKotar/169951"),"רשימות סיפורים - 2 כרכים")</f>
        <v>רשימות סיפורים - 2 כרכים</v>
      </c>
      <c r="H2147" t="str">
        <f>_xlfn.CONCAT("https://tablet.otzar.org/",CHAR(35),"/exKotar/169951")</f>
        <v>https://tablet.otzar.org/#/exKotar/169951</v>
      </c>
    </row>
    <row r="2148" spans="1:8" x14ac:dyDescent="0.25">
      <c r="A2148">
        <v>164336</v>
      </c>
      <c r="B2148" t="s">
        <v>3384</v>
      </c>
      <c r="C2148" t="s">
        <v>59</v>
      </c>
      <c r="D2148" t="s">
        <v>10</v>
      </c>
      <c r="E2148" t="s">
        <v>16</v>
      </c>
      <c r="F2148" t="s">
        <v>12</v>
      </c>
      <c r="G2148" t="str">
        <f>HYPERLINK(_xlfn.CONCAT("https://tablet.otzar.org/",CHAR(35),"/book/164336/p/-1/t/1/fs/0/start/0/end/0/c"),"רשימת אדמו""""ר כ""""ק יוסף יצחק יא - יג ניסן תרנ""""ג")</f>
        <v>רשימת אדמו""ר כ""ק יוסף יצחק יא - יג ניסן תרנ""ג</v>
      </c>
      <c r="H2148" t="str">
        <f>_xlfn.CONCAT("https://tablet.otzar.org/",CHAR(35),"/book/164336/p/-1/t/1/fs/0/start/0/end/0/c")</f>
        <v>https://tablet.otzar.org/#/book/164336/p/-1/t/1/fs/0/start/0/end/0/c</v>
      </c>
    </row>
    <row r="2149" spans="1:8" x14ac:dyDescent="0.25">
      <c r="A2149">
        <v>614750</v>
      </c>
      <c r="B2149" t="s">
        <v>3385</v>
      </c>
      <c r="C2149" t="s">
        <v>59</v>
      </c>
      <c r="D2149" t="s">
        <v>10</v>
      </c>
      <c r="E2149" t="s">
        <v>82</v>
      </c>
      <c r="F2149" t="s">
        <v>12</v>
      </c>
      <c r="G2149" t="str">
        <f>HYPERLINK(_xlfn.CONCAT("https://tablet.otzar.org/",CHAR(35),"/book/614750/p/-1/t/1/fs/0/start/0/end/0/c"),"רשימת אדמו""""ר כ""""ק יוסף יצחק שנת תערב")</f>
        <v>רשימת אדמו""ר כ""ק יוסף יצחק שנת תערב</v>
      </c>
      <c r="H2149" t="str">
        <f>_xlfn.CONCAT("https://tablet.otzar.org/",CHAR(35),"/book/614750/p/-1/t/1/fs/0/start/0/end/0/c")</f>
        <v>https://tablet.otzar.org/#/book/614750/p/-1/t/1/fs/0/start/0/end/0/c</v>
      </c>
    </row>
    <row r="2150" spans="1:8" x14ac:dyDescent="0.25">
      <c r="A2150">
        <v>150923</v>
      </c>
      <c r="B2150" t="s">
        <v>3386</v>
      </c>
      <c r="C2150" t="s">
        <v>45</v>
      </c>
      <c r="D2150" t="s">
        <v>28</v>
      </c>
      <c r="E2150" t="s">
        <v>226</v>
      </c>
      <c r="F2150" t="s">
        <v>12</v>
      </c>
      <c r="G2150" t="str">
        <f>HYPERLINK(_xlfn.CONCAT("https://tablet.otzar.org/",CHAR(35),"/book/150923/p/-1/t/1/fs/0/start/0/end/0/c"),"רשימת דברי הכ""""ק אדמו""""ר")</f>
        <v>רשימת דברי הכ""ק אדמו""ר</v>
      </c>
      <c r="H2150" t="str">
        <f>_xlfn.CONCAT("https://tablet.otzar.org/",CHAR(35),"/book/150923/p/-1/t/1/fs/0/start/0/end/0/c")</f>
        <v>https://tablet.otzar.org/#/book/150923/p/-1/t/1/fs/0/start/0/end/0/c</v>
      </c>
    </row>
    <row r="2151" spans="1:8" x14ac:dyDescent="0.25">
      <c r="A2151">
        <v>189305</v>
      </c>
      <c r="B2151" t="s">
        <v>3387</v>
      </c>
      <c r="C2151" t="s">
        <v>45</v>
      </c>
      <c r="D2151" t="s">
        <v>28</v>
      </c>
      <c r="E2151" t="s">
        <v>19</v>
      </c>
      <c r="F2151" t="s">
        <v>12</v>
      </c>
      <c r="G2151" t="str">
        <f>HYPERLINK(_xlfn.CONCAT("https://tablet.otzar.org/",CHAR(35),"/book/189305/p/-1/t/1/fs/0/start/0/end/0/c"),"רשימת דברים")</f>
        <v>רשימת דברים</v>
      </c>
      <c r="H2151" t="str">
        <f>_xlfn.CONCAT("https://tablet.otzar.org/",CHAR(35),"/book/189305/p/-1/t/1/fs/0/start/0/end/0/c")</f>
        <v>https://tablet.otzar.org/#/book/189305/p/-1/t/1/fs/0/start/0/end/0/c</v>
      </c>
    </row>
    <row r="2152" spans="1:8" x14ac:dyDescent="0.25">
      <c r="A2152">
        <v>160624</v>
      </c>
      <c r="B2152" t="s">
        <v>3388</v>
      </c>
      <c r="C2152" t="s">
        <v>59</v>
      </c>
      <c r="D2152" t="s">
        <v>10</v>
      </c>
      <c r="E2152" t="s">
        <v>33</v>
      </c>
      <c r="G2152" t="str">
        <f>HYPERLINK(_xlfn.CONCAT("https://tablet.otzar.org/",CHAR(35),"/book/160624/p/-1/t/1/fs/0/start/0/end/0/c"),"רשימת המאסר")</f>
        <v>רשימת המאסר</v>
      </c>
      <c r="H2152" t="str">
        <f>_xlfn.CONCAT("https://tablet.otzar.org/",CHAR(35),"/book/160624/p/-1/t/1/fs/0/start/0/end/0/c")</f>
        <v>https://tablet.otzar.org/#/book/160624/p/-1/t/1/fs/0/start/0/end/0/c</v>
      </c>
    </row>
    <row r="2153" spans="1:8" x14ac:dyDescent="0.25">
      <c r="A2153">
        <v>165200</v>
      </c>
      <c r="B2153" t="s">
        <v>3389</v>
      </c>
      <c r="C2153" t="s">
        <v>45</v>
      </c>
      <c r="D2153" t="s">
        <v>10</v>
      </c>
      <c r="E2153" t="s">
        <v>129</v>
      </c>
      <c r="F2153" t="s">
        <v>12</v>
      </c>
      <c r="G2153" t="str">
        <f>HYPERLINK(_xlfn.CONCAT("https://tablet.otzar.org/",CHAR(35),"/book/165200/p/-1/t/1/fs/0/start/0/end/0/c"),"רשימת המנורה")</f>
        <v>רשימת המנורה</v>
      </c>
      <c r="H2153" t="str">
        <f>_xlfn.CONCAT("https://tablet.otzar.org/",CHAR(35),"/book/165200/p/-1/t/1/fs/0/start/0/end/0/c")</f>
        <v>https://tablet.otzar.org/#/book/165200/p/-1/t/1/fs/0/start/0/end/0/c</v>
      </c>
    </row>
    <row r="2154" spans="1:8" x14ac:dyDescent="0.25">
      <c r="A2154">
        <v>677832</v>
      </c>
      <c r="B2154" t="s">
        <v>3390</v>
      </c>
      <c r="C2154" t="s">
        <v>3391</v>
      </c>
      <c r="D2154" t="s">
        <v>10</v>
      </c>
      <c r="E2154" t="s">
        <v>82</v>
      </c>
      <c r="F2154" t="s">
        <v>12</v>
      </c>
      <c r="G2154" t="str">
        <f>HYPERLINK(_xlfn.CONCAT("https://tablet.otzar.org/",CHAR(35),"/book/677832/p/-1/t/1/fs/0/start/0/end/0/c"),"רשימת זכרונות - כו-לט")</f>
        <v>רשימת זכרונות - כו-לט</v>
      </c>
      <c r="H2154" t="str">
        <f>_xlfn.CONCAT("https://tablet.otzar.org/",CHAR(35),"/book/677832/p/-1/t/1/fs/0/start/0/end/0/c")</f>
        <v>https://tablet.otzar.org/#/book/677832/p/-1/t/1/fs/0/start/0/end/0/c</v>
      </c>
    </row>
    <row r="2155" spans="1:8" x14ac:dyDescent="0.25">
      <c r="A2155">
        <v>163584</v>
      </c>
      <c r="B2155" t="s">
        <v>3392</v>
      </c>
      <c r="C2155" t="s">
        <v>2527</v>
      </c>
      <c r="D2155" t="s">
        <v>10</v>
      </c>
      <c r="E2155" t="s">
        <v>16</v>
      </c>
      <c r="G2155" t="str">
        <f>HYPERLINK(_xlfn.CONCAT("https://tablet.otzar.org/",CHAR(35),"/book/163584/p/-1/t/1/fs/0/start/0/end/0/c"),"רשימת כ""""ק אדמו""""ר יוסף יצחק - דברי ימי חיי אדמו""""ר הזקן")</f>
        <v>רשימת כ""ק אדמו""ר יוסף יצחק - דברי ימי חיי אדמו""ר הזקן</v>
      </c>
      <c r="H2155" t="str">
        <f>_xlfn.CONCAT("https://tablet.otzar.org/",CHAR(35),"/book/163584/p/-1/t/1/fs/0/start/0/end/0/c")</f>
        <v>https://tablet.otzar.org/#/book/163584/p/-1/t/1/fs/0/start/0/end/0/c</v>
      </c>
    </row>
    <row r="2156" spans="1:8" x14ac:dyDescent="0.25">
      <c r="A2156">
        <v>607899</v>
      </c>
      <c r="B2156" t="s">
        <v>3393</v>
      </c>
      <c r="C2156" t="s">
        <v>45</v>
      </c>
      <c r="D2156" t="s">
        <v>10</v>
      </c>
      <c r="E2156" t="s">
        <v>99</v>
      </c>
      <c r="F2156" t="s">
        <v>12</v>
      </c>
      <c r="G2156" t="str">
        <f>HYPERLINK(_xlfn.CONCAT("https://tablet.otzar.org/",CHAR(35),"/book/607899/p/-1/t/1/fs/0/start/0/end/0/c"),"רשימת כ""""ק אדמו""""ר מנחם מענדל - שמחת בית השואבה תרצ""""ב")</f>
        <v>רשימת כ""ק אדמו""ר מנחם מענדל - שמחת בית השואבה תרצ""ב</v>
      </c>
      <c r="H2156" t="str">
        <f>_xlfn.CONCAT("https://tablet.otzar.org/",CHAR(35),"/book/607899/p/-1/t/1/fs/0/start/0/end/0/c")</f>
        <v>https://tablet.otzar.org/#/book/607899/p/-1/t/1/fs/0/start/0/end/0/c</v>
      </c>
    </row>
    <row r="2157" spans="1:8" x14ac:dyDescent="0.25">
      <c r="A2157">
        <v>150674</v>
      </c>
      <c r="B2157" t="s">
        <v>3394</v>
      </c>
      <c r="C2157" t="s">
        <v>2527</v>
      </c>
      <c r="D2157" t="s">
        <v>10</v>
      </c>
      <c r="E2157" t="s">
        <v>226</v>
      </c>
      <c r="F2157" t="s">
        <v>12</v>
      </c>
      <c r="G2157" t="str">
        <f>HYPERLINK(_xlfn.CONCAT("https://tablet.otzar.org/",CHAR(35),"/book/150674/p/-1/t/1/fs/0/start/0/end/0/c"),"רשימת כבוד קדושת אדמו""""ר יוסף יצחק - ו")</f>
        <v>רשימת כבוד קדושת אדמו""ר יוסף יצחק - ו</v>
      </c>
      <c r="H2157" t="str">
        <f>_xlfn.CONCAT("https://tablet.otzar.org/",CHAR(35),"/book/150674/p/-1/t/1/fs/0/start/0/end/0/c")</f>
        <v>https://tablet.otzar.org/#/book/150674/p/-1/t/1/fs/0/start/0/end/0/c</v>
      </c>
    </row>
    <row r="2158" spans="1:8" x14ac:dyDescent="0.25">
      <c r="A2158">
        <v>26168</v>
      </c>
      <c r="B2158" t="s">
        <v>3395</v>
      </c>
      <c r="C2158" t="s">
        <v>2527</v>
      </c>
      <c r="D2158" t="s">
        <v>10</v>
      </c>
      <c r="E2158" t="s">
        <v>75</v>
      </c>
      <c r="F2158" t="s">
        <v>12</v>
      </c>
      <c r="G2158" t="str">
        <f>HYPERLINK(_xlfn.CONCAT("https://tablet.otzar.org/",CHAR(35),"/book/26168/p/-1/t/1/fs/0/start/0/end/0/c"),"רשימת מאמרי דא""""ח של כ""""ק אדמו""""ר הצמח צדק")</f>
        <v>רשימת מאמרי דא""ח של כ""ק אדמו""ר הצמח צדק</v>
      </c>
      <c r="H2158" t="str">
        <f>_xlfn.CONCAT("https://tablet.otzar.org/",CHAR(35),"/book/26168/p/-1/t/1/fs/0/start/0/end/0/c")</f>
        <v>https://tablet.otzar.org/#/book/26168/p/-1/t/1/fs/0/start/0/end/0/c</v>
      </c>
    </row>
    <row r="2159" spans="1:8" x14ac:dyDescent="0.25">
      <c r="A2159">
        <v>615030</v>
      </c>
      <c r="B2159" t="s">
        <v>3396</v>
      </c>
      <c r="C2159" t="s">
        <v>1021</v>
      </c>
      <c r="D2159" t="s">
        <v>23</v>
      </c>
      <c r="E2159" t="s">
        <v>115</v>
      </c>
      <c r="F2159" t="s">
        <v>12</v>
      </c>
      <c r="G2159" t="str">
        <f>HYPERLINK(_xlfn.CONCAT("https://tablet.otzar.org/",CHAR(35),"/book/615030/p/-1/t/1/fs/0/start/0/end/0/c"),"רשימת מאמרי כ""""ק אדמו""""ר על המשך תער""""ב")</f>
        <v>רשימת מאמרי כ""ק אדמו""ר על המשך תער""ב</v>
      </c>
      <c r="H2159" t="str">
        <f>_xlfn.CONCAT("https://tablet.otzar.org/",CHAR(35),"/book/615030/p/-1/t/1/fs/0/start/0/end/0/c")</f>
        <v>https://tablet.otzar.org/#/book/615030/p/-1/t/1/fs/0/start/0/end/0/c</v>
      </c>
    </row>
    <row r="2160" spans="1:8" x14ac:dyDescent="0.25">
      <c r="A2160">
        <v>26978</v>
      </c>
      <c r="B2160" t="s">
        <v>3397</v>
      </c>
      <c r="C2160" t="s">
        <v>3398</v>
      </c>
      <c r="D2160" t="s">
        <v>10</v>
      </c>
      <c r="E2160" t="s">
        <v>129</v>
      </c>
      <c r="F2160" t="s">
        <v>12</v>
      </c>
      <c r="G2160" t="str">
        <f>HYPERLINK(_xlfn.CONCAT("https://tablet.otzar.org/",CHAR(35),"/book/26978/p/-1/t/1/fs/0/start/0/end/0/c"),"רשמי ביאורים - א")</f>
        <v>רשמי ביאורים - א</v>
      </c>
      <c r="H2160" t="str">
        <f>_xlfn.CONCAT("https://tablet.otzar.org/",CHAR(35),"/book/26978/p/-1/t/1/fs/0/start/0/end/0/c")</f>
        <v>https://tablet.otzar.org/#/book/26978/p/-1/t/1/fs/0/start/0/end/0/c</v>
      </c>
    </row>
    <row r="2161" spans="1:8" x14ac:dyDescent="0.25">
      <c r="A2161">
        <v>146197</v>
      </c>
      <c r="B2161" t="s">
        <v>3399</v>
      </c>
      <c r="C2161" t="s">
        <v>489</v>
      </c>
      <c r="D2161" t="s">
        <v>28</v>
      </c>
      <c r="E2161" t="s">
        <v>1841</v>
      </c>
      <c r="F2161" t="s">
        <v>12</v>
      </c>
      <c r="G2161" t="str">
        <f>HYPERLINK(_xlfn.CONCAT("https://tablet.otzar.org/",CHAR(35),"/book/146197/p/-1/t/1/fs/0/start/0/end/0/c"),"רשת &lt;בטאון ארגון מורי חב""""ד&gt; - 8")</f>
        <v>רשת &lt;בטאון ארגון מורי חב""ד&gt; - 8</v>
      </c>
      <c r="H2161" t="str">
        <f>_xlfn.CONCAT("https://tablet.otzar.org/",CHAR(35),"/book/146197/p/-1/t/1/fs/0/start/0/end/0/c")</f>
        <v>https://tablet.otzar.org/#/book/146197/p/-1/t/1/fs/0/start/0/end/0/c</v>
      </c>
    </row>
    <row r="2162" spans="1:8" x14ac:dyDescent="0.25">
      <c r="A2162">
        <v>160797</v>
      </c>
      <c r="B2162" t="s">
        <v>3400</v>
      </c>
      <c r="C2162" t="s">
        <v>974</v>
      </c>
      <c r="D2162" t="s">
        <v>15</v>
      </c>
      <c r="E2162" t="s">
        <v>16</v>
      </c>
      <c r="F2162" t="s">
        <v>12</v>
      </c>
      <c r="G2162" t="str">
        <f>HYPERLINK(_xlfn.CONCAT("https://tablet.otzar.org/",CHAR(35),"/book/160797/p/-1/t/1/fs/0/start/0/end/0/c"),"שאי תפילה")</f>
        <v>שאי תפילה</v>
      </c>
      <c r="H2162" t="str">
        <f>_xlfn.CONCAT("https://tablet.otzar.org/",CHAR(35),"/book/160797/p/-1/t/1/fs/0/start/0/end/0/c")</f>
        <v>https://tablet.otzar.org/#/book/160797/p/-1/t/1/fs/0/start/0/end/0/c</v>
      </c>
    </row>
    <row r="2163" spans="1:8" x14ac:dyDescent="0.25">
      <c r="A2163">
        <v>601614</v>
      </c>
      <c r="B2163" t="s">
        <v>3401</v>
      </c>
      <c r="C2163" t="s">
        <v>3402</v>
      </c>
      <c r="D2163" t="s">
        <v>10</v>
      </c>
      <c r="E2163" t="s">
        <v>88</v>
      </c>
      <c r="F2163" t="s">
        <v>12</v>
      </c>
      <c r="G2163" t="str">
        <f>HYPERLINK(_xlfn.CONCAT("https://tablet.otzar.org/",CHAR(35),"/book/601614/p/-1/t/1/fs/0/start/0/end/0/c"),"שאלות בלקוטי טעמים")</f>
        <v>שאלות בלקוטי טעמים</v>
      </c>
      <c r="H2163" t="str">
        <f>_xlfn.CONCAT("https://tablet.otzar.org/",CHAR(35),"/book/601614/p/-1/t/1/fs/0/start/0/end/0/c")</f>
        <v>https://tablet.otzar.org/#/book/601614/p/-1/t/1/fs/0/start/0/end/0/c</v>
      </c>
    </row>
    <row r="2164" spans="1:8" x14ac:dyDescent="0.25">
      <c r="A2164">
        <v>145640</v>
      </c>
      <c r="B2164" t="s">
        <v>3403</v>
      </c>
      <c r="C2164" t="s">
        <v>3404</v>
      </c>
      <c r="D2164" t="s">
        <v>37</v>
      </c>
      <c r="E2164" t="s">
        <v>64</v>
      </c>
      <c r="F2164" t="s">
        <v>100</v>
      </c>
      <c r="G2164" t="str">
        <f>HYPERLINK(_xlfn.CONCAT("https://tablet.otzar.org/",CHAR(35),"/book/145640/p/-1/t/1/fs/0/start/0/end/0/c"),"שאלות בפירש""""י על פרשת השבוע")</f>
        <v>שאלות בפירש""י על פרשת השבוע</v>
      </c>
      <c r="H2164" t="str">
        <f>_xlfn.CONCAT("https://tablet.otzar.org/",CHAR(35),"/book/145640/p/-1/t/1/fs/0/start/0/end/0/c")</f>
        <v>https://tablet.otzar.org/#/book/145640/p/-1/t/1/fs/0/start/0/end/0/c</v>
      </c>
    </row>
    <row r="2165" spans="1:8" x14ac:dyDescent="0.25">
      <c r="A2165">
        <v>145636</v>
      </c>
      <c r="B2165" t="s">
        <v>3405</v>
      </c>
      <c r="C2165" t="s">
        <v>3406</v>
      </c>
      <c r="D2165" t="s">
        <v>1475</v>
      </c>
      <c r="E2165" t="s">
        <v>64</v>
      </c>
      <c r="F2165" t="s">
        <v>100</v>
      </c>
      <c r="G2165" t="str">
        <f>HYPERLINK(_xlfn.CONCAT("https://tablet.otzar.org/",CHAR(35),"/book/145636/p/-1/t/1/fs/0/start/0/end/0/c"),"שאלות וביאורים בפרש""""י על פרשת השבוע - י")</f>
        <v>שאלות וביאורים בפרש""י על פרשת השבוע - י</v>
      </c>
      <c r="H2165" t="str">
        <f>_xlfn.CONCAT("https://tablet.otzar.org/",CHAR(35),"/book/145636/p/-1/t/1/fs/0/start/0/end/0/c")</f>
        <v>https://tablet.otzar.org/#/book/145636/p/-1/t/1/fs/0/start/0/end/0/c</v>
      </c>
    </row>
    <row r="2166" spans="1:8" x14ac:dyDescent="0.25">
      <c r="A2166">
        <v>643044</v>
      </c>
      <c r="B2166" t="s">
        <v>3407</v>
      </c>
      <c r="C2166" t="s">
        <v>3408</v>
      </c>
      <c r="D2166" t="s">
        <v>23</v>
      </c>
      <c r="E2166" t="s">
        <v>185</v>
      </c>
      <c r="F2166" t="s">
        <v>2846</v>
      </c>
      <c r="G2166" t="str">
        <f>HYPERLINK(_xlfn.CONCAT("https://tablet.otzar.org/",CHAR(35),"/book/643044/p/-1/t/1/fs/0/start/0/end/0/c"),"שאלות ותשובות מהר""""י תומרקין")</f>
        <v>שאלות ותשובות מהר""י תומרקין</v>
      </c>
      <c r="H2166" t="str">
        <f>_xlfn.CONCAT("https://tablet.otzar.org/",CHAR(35),"/book/643044/p/-1/t/1/fs/0/start/0/end/0/c")</f>
        <v>https://tablet.otzar.org/#/book/643044/p/-1/t/1/fs/0/start/0/end/0/c</v>
      </c>
    </row>
    <row r="2167" spans="1:8" x14ac:dyDescent="0.25">
      <c r="A2167">
        <v>629548</v>
      </c>
      <c r="B2167" t="s">
        <v>3409</v>
      </c>
      <c r="C2167" t="s">
        <v>3005</v>
      </c>
      <c r="D2167" t="s">
        <v>28</v>
      </c>
      <c r="E2167" t="s">
        <v>11</v>
      </c>
      <c r="F2167" t="s">
        <v>12</v>
      </c>
      <c r="G2167" t="str">
        <f>HYPERLINK(_xlfn.CONCAT("https://tablet.otzar.org/",CHAR(35),"/book/629548/p/-1/t/1/fs/0/start/0/end/0/c"),"שאלות חזרה")</f>
        <v>שאלות חזרה</v>
      </c>
      <c r="H2167" t="str">
        <f>_xlfn.CONCAT("https://tablet.otzar.org/",CHAR(35),"/book/629548/p/-1/t/1/fs/0/start/0/end/0/c")</f>
        <v>https://tablet.otzar.org/#/book/629548/p/-1/t/1/fs/0/start/0/end/0/c</v>
      </c>
    </row>
    <row r="2168" spans="1:8" x14ac:dyDescent="0.25">
      <c r="A2168">
        <v>146328</v>
      </c>
      <c r="B2168" t="s">
        <v>3410</v>
      </c>
      <c r="C2168" t="s">
        <v>1580</v>
      </c>
      <c r="D2168" t="s">
        <v>10</v>
      </c>
      <c r="E2168" t="s">
        <v>91</v>
      </c>
      <c r="F2168" t="s">
        <v>12</v>
      </c>
      <c r="G2168" t="str">
        <f>HYPERLINK(_xlfn.CONCAT("https://tablet.otzar.org/",CHAR(35),"/book/146328/p/-1/t/1/fs/0/start/0/end/0/c"),"שאלות לחזרה בקונטרס """"ומעין""""")</f>
        <v>שאלות לחזרה בקונטרס ""ומעין""</v>
      </c>
      <c r="H2168" t="str">
        <f>_xlfn.CONCAT("https://tablet.otzar.org/",CHAR(35),"/book/146328/p/-1/t/1/fs/0/start/0/end/0/c")</f>
        <v>https://tablet.otzar.org/#/book/146328/p/-1/t/1/fs/0/start/0/end/0/c</v>
      </c>
    </row>
    <row r="2169" spans="1:8" x14ac:dyDescent="0.25">
      <c r="A2169">
        <v>607934</v>
      </c>
      <c r="B2169" t="s">
        <v>3411</v>
      </c>
      <c r="C2169" t="s">
        <v>3402</v>
      </c>
      <c r="D2169" t="s">
        <v>10</v>
      </c>
      <c r="E2169" t="s">
        <v>99</v>
      </c>
      <c r="F2169" t="s">
        <v>131</v>
      </c>
      <c r="G2169" t="str">
        <f>HYPERLINK(_xlfn.CONCAT("https://tablet.otzar.org/",CHAR(35),"/book/607934/p/-1/t/1/fs/0/start/0/end/0/c"),"שאלות לתינוקות של בית רבן - הגדה ש""""פ")</f>
        <v>שאלות לתינוקות של בית רבן - הגדה ש""פ</v>
      </c>
      <c r="H2169" t="str">
        <f>_xlfn.CONCAT("https://tablet.otzar.org/",CHAR(35),"/book/607934/p/-1/t/1/fs/0/start/0/end/0/c")</f>
        <v>https://tablet.otzar.org/#/book/607934/p/-1/t/1/fs/0/start/0/end/0/c</v>
      </c>
    </row>
    <row r="2170" spans="1:8" x14ac:dyDescent="0.25">
      <c r="A2170">
        <v>155393</v>
      </c>
      <c r="B2170" t="s">
        <v>3412</v>
      </c>
      <c r="C2170" t="s">
        <v>3413</v>
      </c>
      <c r="D2170" t="s">
        <v>3414</v>
      </c>
      <c r="E2170" t="s">
        <v>75</v>
      </c>
      <c r="F2170" t="s">
        <v>12</v>
      </c>
      <c r="G2170" t="str">
        <f>HYPERLINK(_xlfn.CONCAT("https://tablet.otzar.org/",CHAR(35),"/exKotar/155393"),"שאלות פירושים וביאורים - 12 כרכים")</f>
        <v>שאלות פירושים וביאורים - 12 כרכים</v>
      </c>
      <c r="H2170" t="str">
        <f>_xlfn.CONCAT("https://tablet.otzar.org/",CHAR(35),"/exKotar/155393")</f>
        <v>https://tablet.otzar.org/#/exKotar/155393</v>
      </c>
    </row>
    <row r="2171" spans="1:8" x14ac:dyDescent="0.25">
      <c r="A2171">
        <v>27061</v>
      </c>
      <c r="B2171" t="s">
        <v>3415</v>
      </c>
      <c r="C2171" t="s">
        <v>3416</v>
      </c>
      <c r="D2171" t="s">
        <v>118</v>
      </c>
      <c r="E2171" t="s">
        <v>79</v>
      </c>
      <c r="F2171" t="s">
        <v>12</v>
      </c>
      <c r="G2171" t="str">
        <f>HYPERLINK(_xlfn.CONCAT("https://tablet.otzar.org/",CHAR(35),"/book/27061/p/-1/t/1/fs/0/start/0/end/0/c"),"שאמיל")</f>
        <v>שאמיל</v>
      </c>
      <c r="H2171" t="str">
        <f>_xlfn.CONCAT("https://tablet.otzar.org/",CHAR(35),"/book/27061/p/-1/t/1/fs/0/start/0/end/0/c")</f>
        <v>https://tablet.otzar.org/#/book/27061/p/-1/t/1/fs/0/start/0/end/0/c</v>
      </c>
    </row>
    <row r="2172" spans="1:8" x14ac:dyDescent="0.25">
      <c r="A2172">
        <v>101867</v>
      </c>
      <c r="B2172" t="s">
        <v>3417</v>
      </c>
      <c r="C2172" t="s">
        <v>3418</v>
      </c>
      <c r="D2172" t="s">
        <v>1845</v>
      </c>
      <c r="E2172" t="s">
        <v>3419</v>
      </c>
      <c r="F2172" t="s">
        <v>3420</v>
      </c>
      <c r="G2172" t="str">
        <f>HYPERLINK(_xlfn.CONCAT("https://tablet.otzar.org/",CHAR(35),"/exKotar/101867"),"שארית יהודה - 2 כרכים")</f>
        <v>שארית יהודה - 2 כרכים</v>
      </c>
      <c r="H2172" t="str">
        <f>_xlfn.CONCAT("https://tablet.otzar.org/",CHAR(35),"/exKotar/101867")</f>
        <v>https://tablet.otzar.org/#/exKotar/101867</v>
      </c>
    </row>
    <row r="2173" spans="1:8" x14ac:dyDescent="0.25">
      <c r="A2173">
        <v>141553</v>
      </c>
      <c r="B2173" t="s">
        <v>3421</v>
      </c>
      <c r="C2173" t="s">
        <v>3422</v>
      </c>
      <c r="D2173" t="s">
        <v>15</v>
      </c>
      <c r="E2173" t="s">
        <v>79</v>
      </c>
      <c r="F2173" t="s">
        <v>12</v>
      </c>
      <c r="G2173" t="str">
        <f>HYPERLINK(_xlfn.CONCAT("https://tablet.otzar.org/",CHAR(35),"/book/141553/p/-1/t/1/fs/0/start/0/end/0/c"),"שבועות חסידי")</f>
        <v>שבועות חסידי</v>
      </c>
      <c r="H2173" t="str">
        <f>_xlfn.CONCAT("https://tablet.otzar.org/",CHAR(35),"/book/141553/p/-1/t/1/fs/0/start/0/end/0/c")</f>
        <v>https://tablet.otzar.org/#/book/141553/p/-1/t/1/fs/0/start/0/end/0/c</v>
      </c>
    </row>
    <row r="2174" spans="1:8" x14ac:dyDescent="0.25">
      <c r="A2174">
        <v>27096</v>
      </c>
      <c r="B2174" t="s">
        <v>3423</v>
      </c>
      <c r="C2174" t="s">
        <v>3424</v>
      </c>
      <c r="D2174" t="s">
        <v>10</v>
      </c>
      <c r="E2174" t="s">
        <v>148</v>
      </c>
      <c r="F2174" t="s">
        <v>12</v>
      </c>
      <c r="G2174" t="str">
        <f>HYPERLINK(_xlfn.CONCAT("https://tablet.otzar.org/",CHAR(35),"/book/27096/p/-1/t/1/fs/0/start/0/end/0/c"),"שבח המועדים")</f>
        <v>שבח המועדים</v>
      </c>
      <c r="H2174" t="str">
        <f>_xlfn.CONCAT("https://tablet.otzar.org/",CHAR(35),"/book/27096/p/-1/t/1/fs/0/start/0/end/0/c")</f>
        <v>https://tablet.otzar.org/#/book/27096/p/-1/t/1/fs/0/start/0/end/0/c</v>
      </c>
    </row>
    <row r="2175" spans="1:8" x14ac:dyDescent="0.25">
      <c r="A2175">
        <v>164309</v>
      </c>
      <c r="B2175" t="s">
        <v>3425</v>
      </c>
      <c r="C2175" t="s">
        <v>3424</v>
      </c>
      <c r="D2175" t="s">
        <v>10</v>
      </c>
      <c r="E2175" t="s">
        <v>16</v>
      </c>
      <c r="F2175" t="s">
        <v>12</v>
      </c>
      <c r="G2175" t="str">
        <f>HYPERLINK(_xlfn.CONCAT("https://tablet.otzar.org/",CHAR(35),"/book/164309/p/-1/t/1/fs/0/start/0/end/0/c"),"שבח הנישואין")</f>
        <v>שבח הנישואין</v>
      </c>
      <c r="H2175" t="str">
        <f>_xlfn.CONCAT("https://tablet.otzar.org/",CHAR(35),"/book/164309/p/-1/t/1/fs/0/start/0/end/0/c")</f>
        <v>https://tablet.otzar.org/#/book/164309/p/-1/t/1/fs/0/start/0/end/0/c</v>
      </c>
    </row>
    <row r="2176" spans="1:8" x14ac:dyDescent="0.25">
      <c r="A2176">
        <v>140824</v>
      </c>
      <c r="B2176" t="s">
        <v>3426</v>
      </c>
      <c r="C2176" t="s">
        <v>3424</v>
      </c>
      <c r="D2176" t="s">
        <v>10</v>
      </c>
      <c r="E2176" t="s">
        <v>174</v>
      </c>
      <c r="F2176" t="s">
        <v>12</v>
      </c>
      <c r="G2176" t="str">
        <f>HYPERLINK(_xlfn.CONCAT("https://tablet.otzar.org/",CHAR(35),"/book/140824/p/-1/t/1/fs/0/start/0/end/0/c"),"שבח יקר")</f>
        <v>שבח יקר</v>
      </c>
      <c r="H2176" t="str">
        <f>_xlfn.CONCAT("https://tablet.otzar.org/",CHAR(35),"/book/140824/p/-1/t/1/fs/0/start/0/end/0/c")</f>
        <v>https://tablet.otzar.org/#/book/140824/p/-1/t/1/fs/0/start/0/end/0/c</v>
      </c>
    </row>
    <row r="2177" spans="1:8" x14ac:dyDescent="0.25">
      <c r="A2177">
        <v>29321</v>
      </c>
      <c r="B2177" t="s">
        <v>3427</v>
      </c>
      <c r="C2177" t="s">
        <v>3428</v>
      </c>
      <c r="D2177" t="s">
        <v>37</v>
      </c>
      <c r="E2177" t="s">
        <v>66</v>
      </c>
      <c r="F2177" t="s">
        <v>12</v>
      </c>
      <c r="G2177" t="str">
        <f>HYPERLINK(_xlfn.CONCAT("https://tablet.otzar.org/",CHAR(35),"/book/29321/p/-1/t/1/fs/0/start/0/end/0/c"),"שבחי הבעש""""ט &lt;מהדורת מונדשיין&gt;")</f>
        <v>שבחי הבעש""ט &lt;מהדורת מונדשיין&gt;</v>
      </c>
      <c r="H2177" t="str">
        <f>_xlfn.CONCAT("https://tablet.otzar.org/",CHAR(35),"/book/29321/p/-1/t/1/fs/0/start/0/end/0/c")</f>
        <v>https://tablet.otzar.org/#/book/29321/p/-1/t/1/fs/0/start/0/end/0/c</v>
      </c>
    </row>
    <row r="2178" spans="1:8" x14ac:dyDescent="0.25">
      <c r="A2178">
        <v>143275</v>
      </c>
      <c r="B2178" t="s">
        <v>3429</v>
      </c>
      <c r="C2178" t="s">
        <v>3430</v>
      </c>
      <c r="D2178" t="s">
        <v>37</v>
      </c>
      <c r="E2178" t="s">
        <v>3431</v>
      </c>
      <c r="F2178" t="s">
        <v>342</v>
      </c>
      <c r="G2178" t="str">
        <f>HYPERLINK(_xlfn.CONCAT("https://tablet.otzar.org/",CHAR(35),"/book/143275/p/-1/t/1/fs/0/start/0/end/0/c"),"שבחי הרב")</f>
        <v>שבחי הרב</v>
      </c>
      <c r="H2178" t="str">
        <f>_xlfn.CONCAT("https://tablet.otzar.org/",CHAR(35),"/book/143275/p/-1/t/1/fs/0/start/0/end/0/c")</f>
        <v>https://tablet.otzar.org/#/book/143275/p/-1/t/1/fs/0/start/0/end/0/c</v>
      </c>
    </row>
    <row r="2179" spans="1:8" x14ac:dyDescent="0.25">
      <c r="A2179">
        <v>643039</v>
      </c>
      <c r="B2179" t="s">
        <v>3432</v>
      </c>
      <c r="C2179" t="s">
        <v>3433</v>
      </c>
      <c r="D2179" t="s">
        <v>28</v>
      </c>
      <c r="E2179" t="s">
        <v>24</v>
      </c>
      <c r="G2179" t="str">
        <f>HYPERLINK(_xlfn.CONCAT("https://tablet.otzar.org/",CHAR(35),"/book/643039/p/-1/t/1/fs/0/start/0/end/0/c"),"שביעי של פסח")</f>
        <v>שביעי של פסח</v>
      </c>
      <c r="H2179" t="str">
        <f>_xlfn.CONCAT("https://tablet.otzar.org/",CHAR(35),"/book/643039/p/-1/t/1/fs/0/start/0/end/0/c")</f>
        <v>https://tablet.otzar.org/#/book/643039/p/-1/t/1/fs/0/start/0/end/0/c</v>
      </c>
    </row>
    <row r="2180" spans="1:8" x14ac:dyDescent="0.25">
      <c r="A2180">
        <v>607662</v>
      </c>
      <c r="B2180" t="s">
        <v>3434</v>
      </c>
      <c r="C2180" t="s">
        <v>541</v>
      </c>
      <c r="D2180" t="s">
        <v>118</v>
      </c>
      <c r="E2180" t="s">
        <v>91</v>
      </c>
      <c r="F2180" t="s">
        <v>229</v>
      </c>
      <c r="G2180" t="str">
        <f>HYPERLINK(_xlfn.CONCAT("https://tablet.otzar.org/",CHAR(35),"/book/607662/p/-1/t/1/fs/0/start/0/end/0/c"),"שביעית כהלכתה")</f>
        <v>שביעית כהלכתה</v>
      </c>
      <c r="H2180" t="str">
        <f>_xlfn.CONCAT("https://tablet.otzar.org/",CHAR(35),"/book/607662/p/-1/t/1/fs/0/start/0/end/0/c")</f>
        <v>https://tablet.otzar.org/#/book/607662/p/-1/t/1/fs/0/start/0/end/0/c</v>
      </c>
    </row>
    <row r="2181" spans="1:8" x14ac:dyDescent="0.25">
      <c r="A2181">
        <v>635108</v>
      </c>
      <c r="B2181" t="s">
        <v>3435</v>
      </c>
      <c r="C2181" t="s">
        <v>3436</v>
      </c>
      <c r="D2181" t="s">
        <v>412</v>
      </c>
      <c r="E2181" t="s">
        <v>185</v>
      </c>
      <c r="F2181" t="s">
        <v>12</v>
      </c>
      <c r="G2181" t="str">
        <f>HYPERLINK(_xlfn.CONCAT("https://tablet.otzar.org/",CHAR(35),"/book/635108/p/-1/t/1/fs/0/start/0/end/0/c"),"שבעים למלך")</f>
        <v>שבעים למלך</v>
      </c>
      <c r="H2181" t="str">
        <f>_xlfn.CONCAT("https://tablet.otzar.org/",CHAR(35),"/book/635108/p/-1/t/1/fs/0/start/0/end/0/c")</f>
        <v>https://tablet.otzar.org/#/book/635108/p/-1/t/1/fs/0/start/0/end/0/c</v>
      </c>
    </row>
    <row r="2182" spans="1:8" x14ac:dyDescent="0.25">
      <c r="A2182">
        <v>141438</v>
      </c>
      <c r="B2182" t="s">
        <v>3437</v>
      </c>
      <c r="C2182" t="s">
        <v>45</v>
      </c>
      <c r="D2182" t="s">
        <v>10</v>
      </c>
      <c r="E2182" t="s">
        <v>46</v>
      </c>
      <c r="F2182" t="s">
        <v>12</v>
      </c>
      <c r="G2182" t="str">
        <f>HYPERLINK(_xlfn.CONCAT("https://tablet.otzar.org/",CHAR(35),"/book/141438/p/-1/t/1/fs/0/start/0/end/0/c"),"שבעת התורות שאמר מורנו הבעש""""ט בגן עדן")</f>
        <v>שבעת התורות שאמר מורנו הבעש""ט בגן עדן</v>
      </c>
      <c r="H2182" t="str">
        <f>_xlfn.CONCAT("https://tablet.otzar.org/",CHAR(35),"/book/141438/p/-1/t/1/fs/0/start/0/end/0/c")</f>
        <v>https://tablet.otzar.org/#/book/141438/p/-1/t/1/fs/0/start/0/end/0/c</v>
      </c>
    </row>
    <row r="2183" spans="1:8" x14ac:dyDescent="0.25">
      <c r="A2183">
        <v>614942</v>
      </c>
      <c r="B2183" t="s">
        <v>3438</v>
      </c>
      <c r="C2183" t="s">
        <v>1930</v>
      </c>
      <c r="D2183" t="s">
        <v>3439</v>
      </c>
      <c r="E2183" t="s">
        <v>16</v>
      </c>
      <c r="F2183" t="s">
        <v>12</v>
      </c>
      <c r="G2183" t="str">
        <f>HYPERLINK(_xlfn.CONCAT("https://tablet.otzar.org/",CHAR(35),"/exKotar/614942"),"שבת אחדות - 4 כרכים")</f>
        <v>שבת אחדות - 4 כרכים</v>
      </c>
      <c r="H2183" t="str">
        <f>_xlfn.CONCAT("https://tablet.otzar.org/",CHAR(35),"/exKotar/614942")</f>
        <v>https://tablet.otzar.org/#/exKotar/614942</v>
      </c>
    </row>
    <row r="2184" spans="1:8" x14ac:dyDescent="0.25">
      <c r="A2184">
        <v>650283</v>
      </c>
      <c r="B2184" t="s">
        <v>3440</v>
      </c>
      <c r="D2184" t="s">
        <v>23</v>
      </c>
      <c r="E2184" t="s">
        <v>166</v>
      </c>
      <c r="G2184" t="str">
        <f>HYPERLINK(_xlfn.CONCAT("https://tablet.otzar.org/",CHAR(35),"/book/650283/p/-1/t/1/fs/0/start/0/end/0/c"),"שבת בראשית")</f>
        <v>שבת בראשית</v>
      </c>
      <c r="H2184" t="str">
        <f>_xlfn.CONCAT("https://tablet.otzar.org/",CHAR(35),"/book/650283/p/-1/t/1/fs/0/start/0/end/0/c")</f>
        <v>https://tablet.otzar.org/#/book/650283/p/-1/t/1/fs/0/start/0/end/0/c</v>
      </c>
    </row>
    <row r="2185" spans="1:8" x14ac:dyDescent="0.25">
      <c r="A2185">
        <v>146570</v>
      </c>
      <c r="B2185" t="s">
        <v>3441</v>
      </c>
      <c r="C2185" t="s">
        <v>45</v>
      </c>
      <c r="D2185" t="s">
        <v>28</v>
      </c>
      <c r="E2185" t="s">
        <v>382</v>
      </c>
      <c r="F2185" t="s">
        <v>12</v>
      </c>
      <c r="G2185" t="str">
        <f>HYPERLINK(_xlfn.CONCAT("https://tablet.otzar.org/",CHAR(35),"/book/146570/p/-1/t/1/fs/0/start/0/end/0/c"),"שבת של אחדות ישראל")</f>
        <v>שבת של אחדות ישראל</v>
      </c>
      <c r="H2185" t="str">
        <f>_xlfn.CONCAT("https://tablet.otzar.org/",CHAR(35),"/book/146570/p/-1/t/1/fs/0/start/0/end/0/c")</f>
        <v>https://tablet.otzar.org/#/book/146570/p/-1/t/1/fs/0/start/0/end/0/c</v>
      </c>
    </row>
    <row r="2186" spans="1:8" x14ac:dyDescent="0.25">
      <c r="A2186">
        <v>141451</v>
      </c>
      <c r="B2186" t="s">
        <v>3442</v>
      </c>
      <c r="C2186" t="s">
        <v>1679</v>
      </c>
      <c r="D2186" t="s">
        <v>15</v>
      </c>
      <c r="E2186" t="s">
        <v>86</v>
      </c>
      <c r="F2186" t="s">
        <v>12</v>
      </c>
      <c r="G2186" t="str">
        <f>HYPERLINK(_xlfn.CONCAT("https://tablet.otzar.org/",CHAR(35),"/book/141451/p/-1/t/1/fs/0/start/0/end/0/c"),"שבת, כיבוד אב ואם, כיסוי ראש, מזוזה")</f>
        <v>שבת, כיבוד אב ואם, כיסוי ראש, מזוזה</v>
      </c>
      <c r="H2186" t="str">
        <f>_xlfn.CONCAT("https://tablet.otzar.org/",CHAR(35),"/book/141451/p/-1/t/1/fs/0/start/0/end/0/c")</f>
        <v>https://tablet.otzar.org/#/book/141451/p/-1/t/1/fs/0/start/0/end/0/c</v>
      </c>
    </row>
    <row r="2187" spans="1:8" x14ac:dyDescent="0.25">
      <c r="A2187">
        <v>171723</v>
      </c>
      <c r="B2187" t="s">
        <v>3443</v>
      </c>
      <c r="C2187" t="s">
        <v>81</v>
      </c>
      <c r="D2187" t="s">
        <v>10</v>
      </c>
      <c r="E2187" t="s">
        <v>60</v>
      </c>
      <c r="F2187" t="s">
        <v>1141</v>
      </c>
      <c r="G2187" t="str">
        <f>HYPERLINK(_xlfn.CONCAT("https://tablet.otzar.org/",CHAR(35),"/book/171723/p/-1/t/1/fs/0/start/0/end/0/c"),"שו""""ת אדמו""""ר הזקן")</f>
        <v>שו""ת אדמו""ר הזקן</v>
      </c>
      <c r="H2187" t="str">
        <f>_xlfn.CONCAT("https://tablet.otzar.org/",CHAR(35),"/book/171723/p/-1/t/1/fs/0/start/0/end/0/c")</f>
        <v>https://tablet.otzar.org/#/book/171723/p/-1/t/1/fs/0/start/0/end/0/c</v>
      </c>
    </row>
    <row r="2188" spans="1:8" x14ac:dyDescent="0.25">
      <c r="A2188">
        <v>27120</v>
      </c>
      <c r="B2188" t="s">
        <v>3444</v>
      </c>
      <c r="C2188" t="s">
        <v>3445</v>
      </c>
      <c r="D2188" t="s">
        <v>10</v>
      </c>
      <c r="E2188" t="s">
        <v>79</v>
      </c>
      <c r="F2188" t="s">
        <v>12</v>
      </c>
      <c r="G2188" t="str">
        <f>HYPERLINK(_xlfn.CONCAT("https://tablet.otzar.org/",CHAR(35),"/book/27120/p/-1/t/1/fs/0/start/0/end/0/c"),"שו""""ת במאמרי ליקוטי תורה לאדמו""""ר הזקן")</f>
        <v>שו""ת במאמרי ליקוטי תורה לאדמו""ר הזקן</v>
      </c>
      <c r="H2188" t="str">
        <f>_xlfn.CONCAT("https://tablet.otzar.org/",CHAR(35),"/book/27120/p/-1/t/1/fs/0/start/0/end/0/c")</f>
        <v>https://tablet.otzar.org/#/book/27120/p/-1/t/1/fs/0/start/0/end/0/c</v>
      </c>
    </row>
    <row r="2189" spans="1:8" x14ac:dyDescent="0.25">
      <c r="A2189">
        <v>141452</v>
      </c>
      <c r="B2189" t="s">
        <v>3446</v>
      </c>
      <c r="C2189" t="s">
        <v>3139</v>
      </c>
      <c r="D2189" t="s">
        <v>10</v>
      </c>
      <c r="E2189" t="s">
        <v>46</v>
      </c>
      <c r="F2189" t="s">
        <v>12</v>
      </c>
      <c r="G2189" t="str">
        <f>HYPERLINK(_xlfn.CONCAT("https://tablet.otzar.org/",CHAR(35),"/book/141452/p/-1/t/1/fs/0/start/0/end/0/c"),"שו""""ת בענין הגאולה העתידה וביאת המשיח")</f>
        <v>שו""ת בענין הגאולה העתידה וביאת המשיח</v>
      </c>
      <c r="H2189" t="str">
        <f>_xlfn.CONCAT("https://tablet.otzar.org/",CHAR(35),"/book/141452/p/-1/t/1/fs/0/start/0/end/0/c")</f>
        <v>https://tablet.otzar.org/#/book/141452/p/-1/t/1/fs/0/start/0/end/0/c</v>
      </c>
    </row>
    <row r="2190" spans="1:8" x14ac:dyDescent="0.25">
      <c r="A2190">
        <v>27159</v>
      </c>
      <c r="B2190" t="s">
        <v>3447</v>
      </c>
      <c r="C2190" t="s">
        <v>81</v>
      </c>
      <c r="D2190" t="s">
        <v>15</v>
      </c>
      <c r="E2190" t="s">
        <v>192</v>
      </c>
      <c r="F2190" t="s">
        <v>12</v>
      </c>
      <c r="G2190" t="str">
        <f>HYPERLINK(_xlfn.CONCAT("https://tablet.otzar.org/",CHAR(35),"/book/27159/p/-1/t/1/fs/0/start/0/end/0/c"),"שו""""ת הרב")</f>
        <v>שו""ת הרב</v>
      </c>
      <c r="H2190" t="str">
        <f>_xlfn.CONCAT("https://tablet.otzar.org/",CHAR(35),"/book/27159/p/-1/t/1/fs/0/start/0/end/0/c")</f>
        <v>https://tablet.otzar.org/#/book/27159/p/-1/t/1/fs/0/start/0/end/0/c</v>
      </c>
    </row>
    <row r="2191" spans="1:8" x14ac:dyDescent="0.25">
      <c r="A2191">
        <v>600289</v>
      </c>
      <c r="B2191" t="s">
        <v>3448</v>
      </c>
      <c r="C2191" t="s">
        <v>3449</v>
      </c>
      <c r="D2191" t="s">
        <v>28</v>
      </c>
      <c r="E2191" t="s">
        <v>88</v>
      </c>
      <c r="F2191" t="s">
        <v>12</v>
      </c>
      <c r="G2191" t="str">
        <f>HYPERLINK(_xlfn.CONCAT("https://tablet.otzar.org/",CHAR(35),"/book/600289/p/-1/t/1/fs/0/start/0/end/0/c"),"שו""""ת שלוחי המלך")</f>
        <v>שו""ת שלוחי המלך</v>
      </c>
      <c r="H2191" t="str">
        <f>_xlfn.CONCAT("https://tablet.otzar.org/",CHAR(35),"/book/600289/p/-1/t/1/fs/0/start/0/end/0/c")</f>
        <v>https://tablet.otzar.org/#/book/600289/p/-1/t/1/fs/0/start/0/end/0/c</v>
      </c>
    </row>
    <row r="2192" spans="1:8" x14ac:dyDescent="0.25">
      <c r="A2192">
        <v>27615</v>
      </c>
      <c r="B2192" t="s">
        <v>3450</v>
      </c>
      <c r="C2192" t="s">
        <v>125</v>
      </c>
      <c r="D2192" t="s">
        <v>118</v>
      </c>
      <c r="E2192" t="s">
        <v>79</v>
      </c>
      <c r="F2192" t="s">
        <v>12</v>
      </c>
      <c r="G2192" t="str">
        <f>HYPERLINK(_xlfn.CONCAT("https://tablet.otzar.org/",CHAR(35),"/book/27615/p/-1/t/1/fs/0/start/0/end/0/c"),"שואלים ודורשים - בענייני הפסח")</f>
        <v>שואלים ודורשים - בענייני הפסח</v>
      </c>
      <c r="H2192" t="str">
        <f>_xlfn.CONCAT("https://tablet.otzar.org/",CHAR(35),"/book/27615/p/-1/t/1/fs/0/start/0/end/0/c")</f>
        <v>https://tablet.otzar.org/#/book/27615/p/-1/t/1/fs/0/start/0/end/0/c</v>
      </c>
    </row>
    <row r="2193" spans="1:8" x14ac:dyDescent="0.25">
      <c r="A2193">
        <v>145650</v>
      </c>
      <c r="B2193" t="s">
        <v>3451</v>
      </c>
      <c r="C2193" t="s">
        <v>3424</v>
      </c>
      <c r="D2193" t="s">
        <v>10</v>
      </c>
      <c r="E2193" t="s">
        <v>66</v>
      </c>
      <c r="F2193" t="s">
        <v>201</v>
      </c>
      <c r="G2193" t="str">
        <f>HYPERLINK(_xlfn.CONCAT("https://tablet.otzar.org/",CHAR(35),"/book/145650/p/-1/t/1/fs/0/start/0/end/0/c"),"שואלין ודורשין וסדר פסח")</f>
        <v>שואלין ודורשין וסדר פסח</v>
      </c>
      <c r="H2193" t="str">
        <f>_xlfn.CONCAT("https://tablet.otzar.org/",CHAR(35),"/book/145650/p/-1/t/1/fs/0/start/0/end/0/c")</f>
        <v>https://tablet.otzar.org/#/book/145650/p/-1/t/1/fs/0/start/0/end/0/c</v>
      </c>
    </row>
    <row r="2194" spans="1:8" x14ac:dyDescent="0.25">
      <c r="A2194">
        <v>196251</v>
      </c>
      <c r="B2194" t="s">
        <v>3452</v>
      </c>
      <c r="C2194" t="s">
        <v>1438</v>
      </c>
      <c r="D2194" t="s">
        <v>28</v>
      </c>
      <c r="E2194" t="s">
        <v>91</v>
      </c>
      <c r="F2194" t="s">
        <v>131</v>
      </c>
      <c r="G2194" t="str">
        <f>HYPERLINK(_xlfn.CONCAT("https://tablet.otzar.org/",CHAR(35),"/exKotar/196251"),"שווה לכל נפש - 2 כרכים")</f>
        <v>שווה לכל נפש - 2 כרכים</v>
      </c>
      <c r="H2194" t="str">
        <f>_xlfn.CONCAT("https://tablet.otzar.org/",CHAR(35),"/exKotar/196251")</f>
        <v>https://tablet.otzar.org/#/exKotar/196251</v>
      </c>
    </row>
    <row r="2195" spans="1:8" x14ac:dyDescent="0.25">
      <c r="A2195">
        <v>613939</v>
      </c>
      <c r="B2195" t="s">
        <v>3453</v>
      </c>
      <c r="C2195" t="s">
        <v>3454</v>
      </c>
      <c r="D2195" t="s">
        <v>37</v>
      </c>
      <c r="E2195" t="s">
        <v>404</v>
      </c>
      <c r="F2195" t="s">
        <v>100</v>
      </c>
      <c r="G2195" t="str">
        <f>HYPERLINK(_xlfn.CONCAT("https://tablet.otzar.org/",CHAR(35),"/book/613939/p/-1/t/1/fs/0/start/0/end/0/c"),"שולחן השבת עם הרבי מלובביץ")</f>
        <v>שולחן השבת עם הרבי מלובביץ</v>
      </c>
      <c r="H2195" t="str">
        <f>_xlfn.CONCAT("https://tablet.otzar.org/",CHAR(35),"/book/613939/p/-1/t/1/fs/0/start/0/end/0/c")</f>
        <v>https://tablet.otzar.org/#/book/613939/p/-1/t/1/fs/0/start/0/end/0/c</v>
      </c>
    </row>
    <row r="2196" spans="1:8" x14ac:dyDescent="0.25">
      <c r="A2196">
        <v>160796</v>
      </c>
      <c r="B2196" t="s">
        <v>3455</v>
      </c>
      <c r="C2196" t="s">
        <v>1060</v>
      </c>
      <c r="D2196" t="s">
        <v>15</v>
      </c>
      <c r="E2196" t="s">
        <v>16</v>
      </c>
      <c r="F2196" t="s">
        <v>12</v>
      </c>
      <c r="G2196" t="str">
        <f>HYPERLINK(_xlfn.CONCAT("https://tablet.otzar.org/",CHAR(35),"/book/160796/p/-1/t/1/fs/0/start/0/end/0/c"),"שולחן חג")</f>
        <v>שולחן חג</v>
      </c>
      <c r="H2196" t="str">
        <f>_xlfn.CONCAT("https://tablet.otzar.org/",CHAR(35),"/book/160796/p/-1/t/1/fs/0/start/0/end/0/c")</f>
        <v>https://tablet.otzar.org/#/book/160796/p/-1/t/1/fs/0/start/0/end/0/c</v>
      </c>
    </row>
    <row r="2197" spans="1:8" x14ac:dyDescent="0.25">
      <c r="A2197">
        <v>181652</v>
      </c>
      <c r="B2197" t="s">
        <v>3456</v>
      </c>
      <c r="C2197" t="s">
        <v>3457</v>
      </c>
      <c r="D2197" t="s">
        <v>15</v>
      </c>
      <c r="E2197" t="s">
        <v>29</v>
      </c>
      <c r="F2197" t="s">
        <v>100</v>
      </c>
      <c r="G2197" t="str">
        <f>HYPERLINK(_xlfn.CONCAT("https://tablet.otzar.org/",CHAR(35),"/exKotar/181652"),"שולחן שבת - 5 כרכים")</f>
        <v>שולחן שבת - 5 כרכים</v>
      </c>
      <c r="H2197" t="str">
        <f>_xlfn.CONCAT("https://tablet.otzar.org/",CHAR(35),"/exKotar/181652")</f>
        <v>https://tablet.otzar.org/#/exKotar/181652</v>
      </c>
    </row>
    <row r="2198" spans="1:8" x14ac:dyDescent="0.25">
      <c r="A2198">
        <v>635123</v>
      </c>
      <c r="B2198" t="s">
        <v>3458</v>
      </c>
      <c r="C2198" t="s">
        <v>48</v>
      </c>
      <c r="D2198" t="s">
        <v>28</v>
      </c>
      <c r="E2198" t="s">
        <v>11</v>
      </c>
      <c r="G2198" t="str">
        <f>HYPERLINK(_xlfn.CONCAT("https://tablet.otzar.org/",CHAR(35),"/book/635123/p/-1/t/1/fs/0/start/0/end/0/c"),"שולחן שבת וחג")</f>
        <v>שולחן שבת וחג</v>
      </c>
      <c r="H2198" t="str">
        <f>_xlfn.CONCAT("https://tablet.otzar.org/",CHAR(35),"/book/635123/p/-1/t/1/fs/0/start/0/end/0/c")</f>
        <v>https://tablet.otzar.org/#/book/635123/p/-1/t/1/fs/0/start/0/end/0/c</v>
      </c>
    </row>
    <row r="2199" spans="1:8" x14ac:dyDescent="0.25">
      <c r="A2199">
        <v>27747</v>
      </c>
      <c r="B2199" t="s">
        <v>3459</v>
      </c>
      <c r="C2199" t="s">
        <v>125</v>
      </c>
      <c r="D2199" t="s">
        <v>3290</v>
      </c>
      <c r="E2199" t="s">
        <v>75</v>
      </c>
      <c r="F2199" t="s">
        <v>12</v>
      </c>
      <c r="G2199" t="str">
        <f>HYPERLINK(_xlfn.CONCAT("https://tablet.otzar.org/",CHAR(35),"/book/27747/p/-1/t/1/fs/0/start/0/end/0/c"),"שומרי החומות")</f>
        <v>שומרי החומות</v>
      </c>
      <c r="H2199" t="str">
        <f>_xlfn.CONCAT("https://tablet.otzar.org/",CHAR(35),"/book/27747/p/-1/t/1/fs/0/start/0/end/0/c")</f>
        <v>https://tablet.otzar.org/#/book/27747/p/-1/t/1/fs/0/start/0/end/0/c</v>
      </c>
    </row>
    <row r="2200" spans="1:8" x14ac:dyDescent="0.25">
      <c r="A2200">
        <v>196217</v>
      </c>
      <c r="B2200" t="s">
        <v>3460</v>
      </c>
      <c r="C2200" t="s">
        <v>3461</v>
      </c>
      <c r="D2200" t="s">
        <v>15</v>
      </c>
      <c r="E2200" t="s">
        <v>226</v>
      </c>
      <c r="F2200" t="s">
        <v>12</v>
      </c>
      <c r="G2200" t="str">
        <f>HYPERLINK(_xlfn.CONCAT("https://tablet.otzar.org/",CHAR(35),"/book/196217/p/-1/t/1/fs/0/start/0/end/0/c"),"שורש מצות התפילה - א")</f>
        <v>שורש מצות התפילה - א</v>
      </c>
      <c r="H2200" t="str">
        <f>_xlfn.CONCAT("https://tablet.otzar.org/",CHAR(35),"/book/196217/p/-1/t/1/fs/0/start/0/end/0/c")</f>
        <v>https://tablet.otzar.org/#/book/196217/p/-1/t/1/fs/0/start/0/end/0/c</v>
      </c>
    </row>
    <row r="2201" spans="1:8" x14ac:dyDescent="0.25">
      <c r="A2201">
        <v>141440</v>
      </c>
      <c r="B2201" t="s">
        <v>3462</v>
      </c>
      <c r="C2201" t="s">
        <v>125</v>
      </c>
      <c r="D2201" t="s">
        <v>377</v>
      </c>
      <c r="E2201" t="s">
        <v>346</v>
      </c>
      <c r="F2201" t="s">
        <v>12</v>
      </c>
      <c r="G2201" t="str">
        <f>HYPERLINK(_xlfn.CONCAT("https://tablet.otzar.org/",CHAR(35),"/book/141440/p/-1/t/1/fs/0/start/0/end/0/c"),"שושנת העמקים")</f>
        <v>שושנת העמקים</v>
      </c>
      <c r="H2201" t="str">
        <f>_xlfn.CONCAT("https://tablet.otzar.org/",CHAR(35),"/book/141440/p/-1/t/1/fs/0/start/0/end/0/c")</f>
        <v>https://tablet.otzar.org/#/book/141440/p/-1/t/1/fs/0/start/0/end/0/c</v>
      </c>
    </row>
    <row r="2202" spans="1:8" x14ac:dyDescent="0.25">
      <c r="A2202">
        <v>27456</v>
      </c>
      <c r="B2202" t="s">
        <v>3463</v>
      </c>
      <c r="C2202" t="s">
        <v>125</v>
      </c>
      <c r="D2202" t="s">
        <v>15</v>
      </c>
      <c r="E2202" t="s">
        <v>236</v>
      </c>
      <c r="F2202" t="s">
        <v>12</v>
      </c>
      <c r="G2202" t="str">
        <f>HYPERLINK(_xlfn.CONCAT("https://tablet.otzar.org/",CHAR(35),"/exKotar/27456"),"שי למלך - 2 כרכים")</f>
        <v>שי למלך - 2 כרכים</v>
      </c>
      <c r="H2202" t="str">
        <f>_xlfn.CONCAT("https://tablet.otzar.org/",CHAR(35),"/exKotar/27456")</f>
        <v>https://tablet.otzar.org/#/exKotar/27456</v>
      </c>
    </row>
    <row r="2203" spans="1:8" x14ac:dyDescent="0.25">
      <c r="A2203">
        <v>26904</v>
      </c>
      <c r="B2203" t="s">
        <v>3464</v>
      </c>
      <c r="C2203" t="s">
        <v>2193</v>
      </c>
      <c r="D2203" t="s">
        <v>197</v>
      </c>
      <c r="E2203" t="s">
        <v>46</v>
      </c>
      <c r="F2203" t="s">
        <v>12</v>
      </c>
      <c r="G2203" t="str">
        <f>HYPERLINK(_xlfn.CONCAT("https://tablet.otzar.org/",CHAR(35),"/book/26904/p/-1/t/1/fs/0/start/0/end/0/c"),"שי לצדיק")</f>
        <v>שי לצדיק</v>
      </c>
      <c r="H2203" t="str">
        <f>_xlfn.CONCAT("https://tablet.otzar.org/",CHAR(35),"/book/26904/p/-1/t/1/fs/0/start/0/end/0/c")</f>
        <v>https://tablet.otzar.org/#/book/26904/p/-1/t/1/fs/0/start/0/end/0/c</v>
      </c>
    </row>
    <row r="2204" spans="1:8" x14ac:dyDescent="0.25">
      <c r="A2204">
        <v>169945</v>
      </c>
      <c r="B2204" t="s">
        <v>3465</v>
      </c>
      <c r="C2204" t="s">
        <v>45</v>
      </c>
      <c r="D2204" t="s">
        <v>15</v>
      </c>
      <c r="E2204" t="s">
        <v>82</v>
      </c>
      <c r="F2204" t="s">
        <v>12</v>
      </c>
      <c r="G2204" t="str">
        <f>HYPERLINK(_xlfn.CONCAT("https://tablet.otzar.org/",CHAR(35),"/book/169945/p/-1/t/1/fs/0/start/0/end/0/c"),"שידוך טוב")</f>
        <v>שידוך טוב</v>
      </c>
      <c r="H2204" t="str">
        <f>_xlfn.CONCAT("https://tablet.otzar.org/",CHAR(35),"/book/169945/p/-1/t/1/fs/0/start/0/end/0/c")</f>
        <v>https://tablet.otzar.org/#/book/169945/p/-1/t/1/fs/0/start/0/end/0/c</v>
      </c>
    </row>
    <row r="2205" spans="1:8" x14ac:dyDescent="0.25">
      <c r="A2205">
        <v>146255</v>
      </c>
      <c r="B2205" t="s">
        <v>3466</v>
      </c>
      <c r="C2205" t="s">
        <v>3467</v>
      </c>
      <c r="D2205" t="s">
        <v>15</v>
      </c>
      <c r="E2205" t="s">
        <v>139</v>
      </c>
      <c r="F2205" t="s">
        <v>76</v>
      </c>
      <c r="G2205" t="str">
        <f>HYPERLINK(_xlfn.CONCAT("https://tablet.otzar.org/",CHAR(35),"/book/146255/p/-1/t/1/fs/0/start/0/end/0/c"),"שיח")</f>
        <v>שיח</v>
      </c>
      <c r="H2205" t="str">
        <f>_xlfn.CONCAT("https://tablet.otzar.org/",CHAR(35),"/book/146255/p/-1/t/1/fs/0/start/0/end/0/c")</f>
        <v>https://tablet.otzar.org/#/book/146255/p/-1/t/1/fs/0/start/0/end/0/c</v>
      </c>
    </row>
    <row r="2206" spans="1:8" x14ac:dyDescent="0.25">
      <c r="A2206">
        <v>142722</v>
      </c>
      <c r="B2206" t="s">
        <v>3468</v>
      </c>
      <c r="C2206" t="s">
        <v>2404</v>
      </c>
      <c r="D2206" t="s">
        <v>37</v>
      </c>
      <c r="E2206" t="s">
        <v>33</v>
      </c>
      <c r="F2206" t="s">
        <v>76</v>
      </c>
      <c r="G2206" t="str">
        <f>HYPERLINK(_xlfn.CONCAT("https://tablet.otzar.org/",CHAR(35),"/book/142722/p/-1/t/1/fs/0/start/0/end/0/c"),"שיח שרפי קודש")</f>
        <v>שיח שרפי קודש</v>
      </c>
      <c r="H2206" t="str">
        <f>_xlfn.CONCAT("https://tablet.otzar.org/",CHAR(35),"/book/142722/p/-1/t/1/fs/0/start/0/end/0/c")</f>
        <v>https://tablet.otzar.org/#/book/142722/p/-1/t/1/fs/0/start/0/end/0/c</v>
      </c>
    </row>
    <row r="2207" spans="1:8" x14ac:dyDescent="0.25">
      <c r="A2207">
        <v>146158</v>
      </c>
      <c r="B2207" t="s">
        <v>3469</v>
      </c>
      <c r="C2207" t="s">
        <v>125</v>
      </c>
      <c r="D2207" t="s">
        <v>859</v>
      </c>
      <c r="E2207" t="s">
        <v>3470</v>
      </c>
      <c r="F2207" t="s">
        <v>251</v>
      </c>
      <c r="G2207" t="str">
        <f>HYPERLINK(_xlfn.CONCAT("https://tablet.otzar.org/",CHAR(35),"/exKotar/146158"),"שיח תמים - 2 כרכים")</f>
        <v>שיח תמים - 2 כרכים</v>
      </c>
      <c r="H2207" t="str">
        <f>_xlfn.CONCAT("https://tablet.otzar.org/",CHAR(35),"/exKotar/146158")</f>
        <v>https://tablet.otzar.org/#/exKotar/146158</v>
      </c>
    </row>
    <row r="2208" spans="1:8" x14ac:dyDescent="0.25">
      <c r="A2208">
        <v>173563</v>
      </c>
      <c r="B2208" t="s">
        <v>3471</v>
      </c>
      <c r="C2208" t="s">
        <v>3472</v>
      </c>
      <c r="D2208" t="s">
        <v>15</v>
      </c>
      <c r="E2208" t="s">
        <v>62</v>
      </c>
      <c r="F2208" t="s">
        <v>12</v>
      </c>
      <c r="G2208" t="str">
        <f>HYPERLINK(_xlfn.CONCAT("https://tablet.otzar.org/",CHAR(35),"/book/173563/p/-1/t/1/fs/0/start/0/end/0/c"),"שיחו בכל נפלאותיו")</f>
        <v>שיחו בכל נפלאותיו</v>
      </c>
      <c r="H2208" t="str">
        <f>_xlfn.CONCAT("https://tablet.otzar.org/",CHAR(35),"/book/173563/p/-1/t/1/fs/0/start/0/end/0/c")</f>
        <v>https://tablet.otzar.org/#/book/173563/p/-1/t/1/fs/0/start/0/end/0/c</v>
      </c>
    </row>
    <row r="2209" spans="1:8" x14ac:dyDescent="0.25">
      <c r="A2209">
        <v>181533</v>
      </c>
      <c r="B2209" t="s">
        <v>3473</v>
      </c>
      <c r="C2209" t="s">
        <v>45</v>
      </c>
      <c r="D2209" t="s">
        <v>15</v>
      </c>
      <c r="E2209" t="s">
        <v>88</v>
      </c>
      <c r="F2209" t="s">
        <v>100</v>
      </c>
      <c r="G2209" t="str">
        <f>HYPERLINK(_xlfn.CONCAT("https://tablet.otzar.org/",CHAR(35),"/exKotar/181533"),"שיחות הרבי לילדים - 4 כרכים")</f>
        <v>שיחות הרבי לילדים - 4 כרכים</v>
      </c>
      <c r="H2209" t="str">
        <f>_xlfn.CONCAT("https://tablet.otzar.org/",CHAR(35),"/exKotar/181533")</f>
        <v>https://tablet.otzar.org/#/exKotar/181533</v>
      </c>
    </row>
    <row r="2210" spans="1:8" x14ac:dyDescent="0.25">
      <c r="A2210">
        <v>639569</v>
      </c>
      <c r="B2210" t="s">
        <v>3474</v>
      </c>
      <c r="C2210" t="s">
        <v>3475</v>
      </c>
      <c r="D2210" t="s">
        <v>28</v>
      </c>
      <c r="E2210" t="s">
        <v>115</v>
      </c>
      <c r="F2210" t="s">
        <v>3476</v>
      </c>
      <c r="G2210" t="str">
        <f>HYPERLINK(_xlfn.CONCAT("https://tablet.otzar.org/",CHAR(35),"/exKotar/639569"),"שיחות הרבי לעם - 2 כרכים")</f>
        <v>שיחות הרבי לעם - 2 כרכים</v>
      </c>
      <c r="H2210" t="str">
        <f>_xlfn.CONCAT("https://tablet.otzar.org/",CHAR(35),"/exKotar/639569")</f>
        <v>https://tablet.otzar.org/#/exKotar/639569</v>
      </c>
    </row>
    <row r="2211" spans="1:8" x14ac:dyDescent="0.25">
      <c r="A2211">
        <v>199195</v>
      </c>
      <c r="B2211" t="s">
        <v>3477</v>
      </c>
      <c r="C2211" t="s">
        <v>59</v>
      </c>
      <c r="D2211" t="s">
        <v>10</v>
      </c>
      <c r="E2211" t="s">
        <v>99</v>
      </c>
      <c r="F2211" t="s">
        <v>12</v>
      </c>
      <c r="G2211" t="str">
        <f>HYPERLINK(_xlfn.CONCAT("https://tablet.otzar.org/",CHAR(35),"/book/199195/p/-1/t/1/fs/0/start/0/end/0/c"),"שיחות חג הגאולה י""""ב - י""""ג תמוז תרצ""""ו")</f>
        <v>שיחות חג הגאולה י""ב - י""ג תמוז תרצ""ו</v>
      </c>
      <c r="H2211" t="str">
        <f>_xlfn.CONCAT("https://tablet.otzar.org/",CHAR(35),"/book/199195/p/-1/t/1/fs/0/start/0/end/0/c")</f>
        <v>https://tablet.otzar.org/#/book/199195/p/-1/t/1/fs/0/start/0/end/0/c</v>
      </c>
    </row>
    <row r="2212" spans="1:8" x14ac:dyDescent="0.25">
      <c r="A2212">
        <v>29312</v>
      </c>
      <c r="B2212" t="s">
        <v>3478</v>
      </c>
      <c r="C2212" t="s">
        <v>451</v>
      </c>
      <c r="D2212" t="s">
        <v>15</v>
      </c>
      <c r="E2212" t="s">
        <v>3479</v>
      </c>
      <c r="F2212" t="s">
        <v>12</v>
      </c>
      <c r="G2212" t="str">
        <f>HYPERLINK(_xlfn.CONCAT("https://tablet.otzar.org/",CHAR(35),"/exKotar/29312"),"שיחות לנוער - 9 כרכים")</f>
        <v>שיחות לנוער - 9 כרכים</v>
      </c>
      <c r="H2212" t="str">
        <f>_xlfn.CONCAT("https://tablet.otzar.org/",CHAR(35),"/exKotar/29312")</f>
        <v>https://tablet.otzar.org/#/exKotar/29312</v>
      </c>
    </row>
    <row r="2213" spans="1:8" x14ac:dyDescent="0.25">
      <c r="A2213">
        <v>27854</v>
      </c>
      <c r="B2213" t="s">
        <v>3480</v>
      </c>
      <c r="C2213" t="s">
        <v>3481</v>
      </c>
      <c r="D2213" t="s">
        <v>15</v>
      </c>
      <c r="E2213" t="s">
        <v>29</v>
      </c>
      <c r="F2213" t="s">
        <v>12</v>
      </c>
      <c r="G2213" t="str">
        <f>HYPERLINK(_xlfn.CONCAT("https://tablet.otzar.org/",CHAR(35),"/exKotar/27854"),"שיחות לנוער &lt;סדרה ב&gt;  - 2 כרכים")</f>
        <v>שיחות לנוער &lt;סדרה ב&gt;  - 2 כרכים</v>
      </c>
      <c r="H2213" t="str">
        <f>_xlfn.CONCAT("https://tablet.otzar.org/",CHAR(35),"/exKotar/27854")</f>
        <v>https://tablet.otzar.org/#/exKotar/27854</v>
      </c>
    </row>
    <row r="2214" spans="1:8" x14ac:dyDescent="0.25">
      <c r="A2214">
        <v>27954</v>
      </c>
      <c r="B2214" t="s">
        <v>3482</v>
      </c>
      <c r="C2214" t="s">
        <v>45</v>
      </c>
      <c r="D2214" t="s">
        <v>10</v>
      </c>
      <c r="E2214" t="s">
        <v>69</v>
      </c>
      <c r="F2214" t="s">
        <v>12</v>
      </c>
      <c r="G2214" t="str">
        <f>HYPERLINK(_xlfn.CONCAT("https://tablet.otzar.org/",CHAR(35),"/exKotar/27954"),"שיחות קודש - 53 כרכים")</f>
        <v>שיחות קודש - 53 כרכים</v>
      </c>
      <c r="H2214" t="str">
        <f>_xlfn.CONCAT("https://tablet.otzar.org/",CHAR(35),"/exKotar/27954")</f>
        <v>https://tablet.otzar.org/#/exKotar/27954</v>
      </c>
    </row>
    <row r="2215" spans="1:8" x14ac:dyDescent="0.25">
      <c r="A2215">
        <v>145761</v>
      </c>
      <c r="B2215" t="s">
        <v>3483</v>
      </c>
      <c r="C2215" t="s">
        <v>59</v>
      </c>
      <c r="D2215" t="s">
        <v>15</v>
      </c>
      <c r="E2215" t="s">
        <v>57</v>
      </c>
      <c r="F2215" t="s">
        <v>12</v>
      </c>
      <c r="G2215" t="str">
        <f>HYPERLINK(_xlfn.CONCAT("https://tablet.otzar.org/",CHAR(35),"/book/145761/p/-1/t/1/fs/0/start/0/end/0/c"),"שיחות קודש מכ""""ק אדמו""""ר מוהריי""""ץ")</f>
        <v>שיחות קודש מכ""ק אדמו""ר מוהריי""ץ</v>
      </c>
      <c r="H2215" t="str">
        <f>_xlfn.CONCAT("https://tablet.otzar.org/",CHAR(35),"/book/145761/p/-1/t/1/fs/0/start/0/end/0/c")</f>
        <v>https://tablet.otzar.org/#/book/145761/p/-1/t/1/fs/0/start/0/end/0/c</v>
      </c>
    </row>
    <row r="2216" spans="1:8" x14ac:dyDescent="0.25">
      <c r="A2216">
        <v>196261</v>
      </c>
      <c r="B2216" t="s">
        <v>3484</v>
      </c>
      <c r="C2216" t="s">
        <v>45</v>
      </c>
      <c r="D2216" t="s">
        <v>15</v>
      </c>
      <c r="E2216" t="s">
        <v>99</v>
      </c>
      <c r="F2216" t="s">
        <v>12</v>
      </c>
      <c r="G2216" t="str">
        <f>HYPERLINK(_xlfn.CONCAT("https://tablet.otzar.org/",CHAR(35),"/book/196261/p/-1/t/1/fs/0/start/0/end/0/c"),"שיחת היום")</f>
        <v>שיחת היום</v>
      </c>
      <c r="H2216" t="str">
        <f>_xlfn.CONCAT("https://tablet.otzar.org/",CHAR(35),"/book/196261/p/-1/t/1/fs/0/start/0/end/0/c")</f>
        <v>https://tablet.otzar.org/#/book/196261/p/-1/t/1/fs/0/start/0/end/0/c</v>
      </c>
    </row>
    <row r="2217" spans="1:8" x14ac:dyDescent="0.25">
      <c r="A2217">
        <v>193157</v>
      </c>
      <c r="B2217" t="s">
        <v>3485</v>
      </c>
      <c r="C2217" t="s">
        <v>3486</v>
      </c>
      <c r="D2217" t="s">
        <v>15</v>
      </c>
      <c r="E2217" t="s">
        <v>3487</v>
      </c>
      <c r="F2217" t="s">
        <v>12</v>
      </c>
      <c r="G2217" t="str">
        <f>HYPERLINK(_xlfn.CONCAT("https://tablet.otzar.org/",CHAR(35),"/exKotar/193157"),"שיחת השבוע - 6 כרכים")</f>
        <v>שיחת השבוע - 6 כרכים</v>
      </c>
      <c r="H2217" t="str">
        <f>_xlfn.CONCAT("https://tablet.otzar.org/",CHAR(35),"/exKotar/193157")</f>
        <v>https://tablet.otzar.org/#/exKotar/193157</v>
      </c>
    </row>
    <row r="2218" spans="1:8" x14ac:dyDescent="0.25">
      <c r="A2218">
        <v>146246</v>
      </c>
      <c r="B2218" t="s">
        <v>3488</v>
      </c>
      <c r="C2218" t="s">
        <v>45</v>
      </c>
      <c r="D2218" t="s">
        <v>412</v>
      </c>
      <c r="E2218" t="s">
        <v>515</v>
      </c>
      <c r="F2218" t="s">
        <v>12</v>
      </c>
      <c r="G2218" t="str">
        <f>HYPERLINK(_xlfn.CONCAT("https://tablet.otzar.org/",CHAR(35),"/book/146246/p/-1/t/1/fs/0/start/0/end/0/c"),"שיחת כ""""ק הרבי מליובאוויץ לילדים וילדות")</f>
        <v>שיחת כ""ק הרבי מליובאוויץ לילדים וילדות</v>
      </c>
      <c r="H2218" t="str">
        <f>_xlfn.CONCAT("https://tablet.otzar.org/",CHAR(35),"/book/146246/p/-1/t/1/fs/0/start/0/end/0/c")</f>
        <v>https://tablet.otzar.org/#/book/146246/p/-1/t/1/fs/0/start/0/end/0/c</v>
      </c>
    </row>
    <row r="2219" spans="1:8" x14ac:dyDescent="0.25">
      <c r="A2219">
        <v>27284</v>
      </c>
      <c r="B2219" t="s">
        <v>3489</v>
      </c>
      <c r="C2219" t="s">
        <v>3490</v>
      </c>
      <c r="D2219" t="s">
        <v>15</v>
      </c>
      <c r="E2219" t="s">
        <v>64</v>
      </c>
      <c r="F2219" t="s">
        <v>12</v>
      </c>
      <c r="G2219" t="str">
        <f>HYPERLINK(_xlfn.CONCAT("https://tablet.otzar.org/",CHAR(35),"/book/27284/p/-1/t/1/fs/0/start/0/end/0/c"),"שיטת לימודו של הרוגוצ'ובי ז""""ל")</f>
        <v>שיטת לימודו של הרוגוצ'ובי ז""ל</v>
      </c>
      <c r="H2219" t="str">
        <f>_xlfn.CONCAT("https://tablet.otzar.org/",CHAR(35),"/book/27284/p/-1/t/1/fs/0/start/0/end/0/c")</f>
        <v>https://tablet.otzar.org/#/book/27284/p/-1/t/1/fs/0/start/0/end/0/c</v>
      </c>
    </row>
    <row r="2220" spans="1:8" x14ac:dyDescent="0.25">
      <c r="A2220">
        <v>167751</v>
      </c>
      <c r="B2220" t="s">
        <v>3491</v>
      </c>
      <c r="C2220" t="s">
        <v>3492</v>
      </c>
      <c r="D2220" t="s">
        <v>28</v>
      </c>
      <c r="E2220" t="s">
        <v>16</v>
      </c>
      <c r="F2220" t="s">
        <v>229</v>
      </c>
      <c r="G2220" t="str">
        <f>HYPERLINK(_xlfn.CONCAT("https://tablet.otzar.org/",CHAR(35),"/book/167751/p/-1/t/1/fs/0/start/0/end/0/c"),"שיטת רבינו ישראל אבוחצירא בענין גידול וגילוח הזקן")</f>
        <v>שיטת רבינו ישראל אבוחצירא בענין גידול וגילוח הזקן</v>
      </c>
      <c r="H2220" t="str">
        <f>_xlfn.CONCAT("https://tablet.otzar.org/",CHAR(35),"/book/167751/p/-1/t/1/fs/0/start/0/end/0/c")</f>
        <v>https://tablet.otzar.org/#/book/167751/p/-1/t/1/fs/0/start/0/end/0/c</v>
      </c>
    </row>
    <row r="2221" spans="1:8" x14ac:dyDescent="0.25">
      <c r="A2221">
        <v>189106</v>
      </c>
      <c r="B2221" t="s">
        <v>3493</v>
      </c>
      <c r="C2221" t="s">
        <v>27</v>
      </c>
      <c r="D2221" t="s">
        <v>10</v>
      </c>
      <c r="E2221" t="s">
        <v>88</v>
      </c>
      <c r="F2221" t="s">
        <v>12</v>
      </c>
      <c r="G2221" t="str">
        <f>HYPERLINK(_xlfn.CONCAT("https://tablet.otzar.org/",CHAR(35),"/exKotar/189106"),"שיעורי הלכה למעשה - 2 כרכים")</f>
        <v>שיעורי הלכה למעשה - 2 כרכים</v>
      </c>
      <c r="H2221" t="str">
        <f>_xlfn.CONCAT("https://tablet.otzar.org/",CHAR(35),"/exKotar/189106")</f>
        <v>https://tablet.otzar.org/#/exKotar/189106</v>
      </c>
    </row>
    <row r="2222" spans="1:8" x14ac:dyDescent="0.25">
      <c r="A2222">
        <v>607807</v>
      </c>
      <c r="B2222" t="s">
        <v>3494</v>
      </c>
      <c r="C2222" t="s">
        <v>3495</v>
      </c>
      <c r="D2222" t="s">
        <v>363</v>
      </c>
      <c r="E2222" t="s">
        <v>82</v>
      </c>
      <c r="F2222" t="s">
        <v>12</v>
      </c>
      <c r="G2222" t="str">
        <f>HYPERLINK(_xlfn.CONCAT("https://tablet.otzar.org/",CHAR(35),"/exKotar/607807"),"שיעורים בהמשך המאמרים בשעה שהקדימו תער""""ב - 14 כרכים")</f>
        <v>שיעורים בהמשך המאמרים בשעה שהקדימו תער""ב - 14 כרכים</v>
      </c>
      <c r="H2222" t="str">
        <f>_xlfn.CONCAT("https://tablet.otzar.org/",CHAR(35),"/exKotar/607807")</f>
        <v>https://tablet.otzar.org/#/exKotar/607807</v>
      </c>
    </row>
    <row r="2223" spans="1:8" x14ac:dyDescent="0.25">
      <c r="A2223">
        <v>174174</v>
      </c>
      <c r="B2223" t="s">
        <v>3496</v>
      </c>
      <c r="C2223" t="s">
        <v>279</v>
      </c>
      <c r="D2223" t="s">
        <v>10</v>
      </c>
      <c r="E2223" t="s">
        <v>62</v>
      </c>
      <c r="F2223" t="s">
        <v>12</v>
      </c>
      <c r="G2223" t="str">
        <f>HYPERLINK(_xlfn.CONCAT("https://tablet.otzar.org/",CHAR(35),"/exKotar/174174"),"שיעורים בחסידות - 7 כרכים")</f>
        <v>שיעורים בחסידות - 7 כרכים</v>
      </c>
      <c r="H2223" t="str">
        <f>_xlfn.CONCAT("https://tablet.otzar.org/",CHAR(35),"/exKotar/174174")</f>
        <v>https://tablet.otzar.org/#/exKotar/174174</v>
      </c>
    </row>
    <row r="2224" spans="1:8" x14ac:dyDescent="0.25">
      <c r="A2224">
        <v>643210</v>
      </c>
      <c r="B2224" t="s">
        <v>3497</v>
      </c>
      <c r="C2224" t="s">
        <v>3498</v>
      </c>
      <c r="D2224" t="s">
        <v>28</v>
      </c>
      <c r="E2224" t="s">
        <v>24</v>
      </c>
      <c r="F2224" t="s">
        <v>12</v>
      </c>
      <c r="G2224" t="str">
        <f>HYPERLINK(_xlfn.CONCAT("https://tablet.otzar.org/",CHAR(35),"/exKotar/643210"),"שיעורים בלקוטי שיחות - 2 כרכים")</f>
        <v>שיעורים בלקוטי שיחות - 2 כרכים</v>
      </c>
      <c r="H2224" t="str">
        <f>_xlfn.CONCAT("https://tablet.otzar.org/",CHAR(35),"/exKotar/643210")</f>
        <v>https://tablet.otzar.org/#/exKotar/643210</v>
      </c>
    </row>
    <row r="2225" spans="1:8" x14ac:dyDescent="0.25">
      <c r="A2225">
        <v>26918</v>
      </c>
      <c r="B2225" t="s">
        <v>3499</v>
      </c>
      <c r="C2225" t="s">
        <v>3500</v>
      </c>
      <c r="D2225" t="s">
        <v>10</v>
      </c>
      <c r="E2225" t="s">
        <v>46</v>
      </c>
      <c r="F2225" t="s">
        <v>12</v>
      </c>
      <c r="G2225" t="str">
        <f>HYPERLINK(_xlfn.CONCAT("https://tablet.otzar.org/",CHAR(35),"/exKotar/26918"),"שיעורים בספר התניא - 3 כרכים")</f>
        <v>שיעורים בספר התניא - 3 כרכים</v>
      </c>
      <c r="H2225" t="str">
        <f>_xlfn.CONCAT("https://tablet.otzar.org/",CHAR(35),"/exKotar/26918")</f>
        <v>https://tablet.otzar.org/#/exKotar/26918</v>
      </c>
    </row>
    <row r="2226" spans="1:8" x14ac:dyDescent="0.25">
      <c r="A2226">
        <v>26490</v>
      </c>
      <c r="B2226" t="s">
        <v>3501</v>
      </c>
      <c r="C2226" t="s">
        <v>3502</v>
      </c>
      <c r="D2226" t="s">
        <v>10</v>
      </c>
      <c r="E2226" t="s">
        <v>134</v>
      </c>
      <c r="F2226" t="s">
        <v>12</v>
      </c>
      <c r="G2226" t="str">
        <f>HYPERLINK(_xlfn.CONCAT("https://tablet.otzar.org/",CHAR(35),"/exKotar/26490"),"שיעורים בספר התניא (בל' הקדש) - 4 כרכים")</f>
        <v>שיעורים בספר התניא (בל' הקדש) - 4 כרכים</v>
      </c>
      <c r="H2226" t="str">
        <f>_xlfn.CONCAT("https://tablet.otzar.org/",CHAR(35),"/exKotar/26490")</f>
        <v>https://tablet.otzar.org/#/exKotar/26490</v>
      </c>
    </row>
    <row r="2227" spans="1:8" x14ac:dyDescent="0.25">
      <c r="A2227">
        <v>626864</v>
      </c>
      <c r="B2227" t="s">
        <v>3503</v>
      </c>
      <c r="C2227" t="s">
        <v>102</v>
      </c>
      <c r="D2227" t="s">
        <v>15</v>
      </c>
      <c r="E2227" t="s">
        <v>3504</v>
      </c>
      <c r="F2227" t="s">
        <v>163</v>
      </c>
      <c r="G2227" t="str">
        <f>HYPERLINK(_xlfn.CONCAT("https://tablet.otzar.org/",CHAR(35),"/exKotar/626864"),"שיעורים בספר סוד ה' ליראיו - 4 כרכים")</f>
        <v>שיעורים בספר סוד ה' ליראיו - 4 כרכים</v>
      </c>
      <c r="H2227" t="str">
        <f>_xlfn.CONCAT("https://tablet.otzar.org/",CHAR(35),"/exKotar/626864")</f>
        <v>https://tablet.otzar.org/#/exKotar/626864</v>
      </c>
    </row>
    <row r="2228" spans="1:8" x14ac:dyDescent="0.25">
      <c r="A2228">
        <v>169925</v>
      </c>
      <c r="B2228" t="s">
        <v>3505</v>
      </c>
      <c r="C2228" t="s">
        <v>90</v>
      </c>
      <c r="D2228" t="s">
        <v>10</v>
      </c>
      <c r="E2228" t="s">
        <v>82</v>
      </c>
      <c r="F2228" t="s">
        <v>12</v>
      </c>
      <c r="G2228" t="str">
        <f>HYPERLINK(_xlfn.CONCAT("https://tablet.otzar.org/",CHAR(35),"/book/169925/p/-1/t/1/fs/0/start/0/end/0/c"),"שיעורים בתורת החסידות - המשך תרס""""ו א")</f>
        <v>שיעורים בתורת החסידות - המשך תרס""ו א</v>
      </c>
      <c r="H2228" t="str">
        <f>_xlfn.CONCAT("https://tablet.otzar.org/",CHAR(35),"/book/169925/p/-1/t/1/fs/0/start/0/end/0/c")</f>
        <v>https://tablet.otzar.org/#/book/169925/p/-1/t/1/fs/0/start/0/end/0/c</v>
      </c>
    </row>
    <row r="2229" spans="1:8" x14ac:dyDescent="0.25">
      <c r="A2229">
        <v>28806</v>
      </c>
      <c r="B2229" t="s">
        <v>3506</v>
      </c>
      <c r="C2229" t="s">
        <v>90</v>
      </c>
      <c r="D2229" t="s">
        <v>15</v>
      </c>
      <c r="E2229" t="s">
        <v>91</v>
      </c>
      <c r="F2229" t="s">
        <v>12</v>
      </c>
      <c r="G2229" t="str">
        <f>HYPERLINK(_xlfn.CONCAT("https://tablet.otzar.org/",CHAR(35),"/book/28806/p/-1/t/1/fs/0/start/0/end/0/c"),"שיעורים בתורת חב""""ד")</f>
        <v>שיעורים בתורת חב""ד</v>
      </c>
      <c r="H2229" t="str">
        <f>_xlfn.CONCAT("https://tablet.otzar.org/",CHAR(35),"/book/28806/p/-1/t/1/fs/0/start/0/end/0/c")</f>
        <v>https://tablet.otzar.org/#/book/28806/p/-1/t/1/fs/0/start/0/end/0/c</v>
      </c>
    </row>
    <row r="2230" spans="1:8" x14ac:dyDescent="0.25">
      <c r="A2230">
        <v>626873</v>
      </c>
      <c r="B2230" t="s">
        <v>3507</v>
      </c>
      <c r="C2230" t="s">
        <v>102</v>
      </c>
      <c r="D2230" t="s">
        <v>15</v>
      </c>
      <c r="E2230" t="s">
        <v>3508</v>
      </c>
      <c r="F2230" t="s">
        <v>163</v>
      </c>
      <c r="G2230" t="str">
        <f>HYPERLINK(_xlfn.CONCAT("https://tablet.otzar.org/",CHAR(35),"/exKotar/626873"),"שיעורים והתוועדויות - 14 כרכים")</f>
        <v>שיעורים והתוועדויות - 14 כרכים</v>
      </c>
      <c r="H2230" t="str">
        <f>_xlfn.CONCAT("https://tablet.otzar.org/",CHAR(35),"/exKotar/626873")</f>
        <v>https://tablet.otzar.org/#/exKotar/626873</v>
      </c>
    </row>
    <row r="2231" spans="1:8" x14ac:dyDescent="0.25">
      <c r="A2231">
        <v>146290</v>
      </c>
      <c r="B2231" t="s">
        <v>3509</v>
      </c>
      <c r="C2231" t="s">
        <v>3510</v>
      </c>
      <c r="D2231" t="s">
        <v>28</v>
      </c>
      <c r="E2231" t="s">
        <v>139</v>
      </c>
      <c r="F2231" t="s">
        <v>76</v>
      </c>
      <c r="G2231" t="str">
        <f>HYPERLINK(_xlfn.CONCAT("https://tablet.otzar.org/",CHAR(35),"/book/146290/p/-1/t/1/fs/0/start/0/end/0/c"),"שירים אארוג")</f>
        <v>שירים אארוג</v>
      </c>
      <c r="H2231" t="str">
        <f>_xlfn.CONCAT("https://tablet.otzar.org/",CHAR(35),"/book/146290/p/-1/t/1/fs/0/start/0/end/0/c")</f>
        <v>https://tablet.otzar.org/#/book/146290/p/-1/t/1/fs/0/start/0/end/0/c</v>
      </c>
    </row>
    <row r="2232" spans="1:8" x14ac:dyDescent="0.25">
      <c r="A2232">
        <v>153360</v>
      </c>
      <c r="B2232" t="s">
        <v>3511</v>
      </c>
      <c r="C2232" t="s">
        <v>821</v>
      </c>
      <c r="D2232" t="s">
        <v>15</v>
      </c>
      <c r="E2232" t="s">
        <v>49</v>
      </c>
      <c r="F2232" t="s">
        <v>25</v>
      </c>
      <c r="G2232" t="str">
        <f>HYPERLINK(_xlfn.CONCAT("https://tablet.otzar.org/",CHAR(35),"/book/153360/p/-1/t/1/fs/0/start/0/end/0/c"),"שירת מרים")</f>
        <v>שירת מרים</v>
      </c>
      <c r="H2232" t="str">
        <f>_xlfn.CONCAT("https://tablet.otzar.org/",CHAR(35),"/book/153360/p/-1/t/1/fs/0/start/0/end/0/c")</f>
        <v>https://tablet.otzar.org/#/book/153360/p/-1/t/1/fs/0/start/0/end/0/c</v>
      </c>
    </row>
    <row r="2233" spans="1:8" x14ac:dyDescent="0.25">
      <c r="A2233">
        <v>27416</v>
      </c>
      <c r="B2233" t="s">
        <v>3512</v>
      </c>
      <c r="C2233" t="s">
        <v>3513</v>
      </c>
      <c r="D2233" t="s">
        <v>15</v>
      </c>
      <c r="E2233" t="s">
        <v>54</v>
      </c>
      <c r="F2233" t="s">
        <v>12</v>
      </c>
      <c r="G2233" t="str">
        <f>HYPERLINK(_xlfn.CONCAT("https://tablet.otzar.org/",CHAR(35),"/book/27416/p/-1/t/1/fs/0/start/0/end/0/c"),"שירת משה &lt;מהדורה חדשה&gt;")</f>
        <v>שירת משה &lt;מהדורה חדשה&gt;</v>
      </c>
      <c r="H2233" t="str">
        <f>_xlfn.CONCAT("https://tablet.otzar.org/",CHAR(35),"/book/27416/p/-1/t/1/fs/0/start/0/end/0/c")</f>
        <v>https://tablet.otzar.org/#/book/27416/p/-1/t/1/fs/0/start/0/end/0/c</v>
      </c>
    </row>
    <row r="2234" spans="1:8" x14ac:dyDescent="0.25">
      <c r="A2234">
        <v>621029</v>
      </c>
      <c r="B2234" t="s">
        <v>3514</v>
      </c>
      <c r="C2234" t="s">
        <v>3515</v>
      </c>
      <c r="D2234" t="s">
        <v>374</v>
      </c>
      <c r="E2234" t="s">
        <v>99</v>
      </c>
      <c r="F2234" t="s">
        <v>12</v>
      </c>
      <c r="G2234" t="str">
        <f>HYPERLINK(_xlfn.CONCAT("https://tablet.otzar.org/",CHAR(35),"/book/621029/p/-1/t/1/fs/0/start/0/end/0/c"),"שישאר בינינו")</f>
        <v>שישאר בינינו</v>
      </c>
      <c r="H2234" t="str">
        <f>_xlfn.CONCAT("https://tablet.otzar.org/",CHAR(35),"/book/621029/p/-1/t/1/fs/0/start/0/end/0/c")</f>
        <v>https://tablet.otzar.org/#/book/621029/p/-1/t/1/fs/0/start/0/end/0/c</v>
      </c>
    </row>
    <row r="2235" spans="1:8" x14ac:dyDescent="0.25">
      <c r="A2235">
        <v>146301</v>
      </c>
      <c r="B2235" t="s">
        <v>3516</v>
      </c>
      <c r="C2235" t="s">
        <v>3516</v>
      </c>
      <c r="D2235" t="s">
        <v>28</v>
      </c>
      <c r="E2235" t="s">
        <v>91</v>
      </c>
      <c r="F2235" t="s">
        <v>12</v>
      </c>
      <c r="G2235" t="str">
        <f>HYPERLINK(_xlfn.CONCAT("https://tablet.otzar.org/",CHAR(35),"/book/146301/p/-1/t/1/fs/0/start/0/end/0/c"),"שכונת נוה שלום ירושלים")</f>
        <v>שכונת נוה שלום ירושלים</v>
      </c>
      <c r="H2235" t="str">
        <f>_xlfn.CONCAT("https://tablet.otzar.org/",CHAR(35),"/book/146301/p/-1/t/1/fs/0/start/0/end/0/c")</f>
        <v>https://tablet.otzar.org/#/book/146301/p/-1/t/1/fs/0/start/0/end/0/c</v>
      </c>
    </row>
    <row r="2236" spans="1:8" x14ac:dyDescent="0.25">
      <c r="A2236">
        <v>628573</v>
      </c>
      <c r="B2236" t="s">
        <v>3517</v>
      </c>
      <c r="C2236" t="s">
        <v>102</v>
      </c>
      <c r="D2236" t="s">
        <v>15</v>
      </c>
      <c r="E2236" t="s">
        <v>192</v>
      </c>
      <c r="F2236" t="s">
        <v>379</v>
      </c>
      <c r="G2236" t="str">
        <f>HYPERLINK(_xlfn.CONCAT("https://tablet.otzar.org/",CHAR(35),"/book/628573/p/-1/t/1/fs/0/start/0/end/0/c"),"שכינה ביניהם")</f>
        <v>שכינה ביניהם</v>
      </c>
      <c r="H2236" t="str">
        <f>_xlfn.CONCAT("https://tablet.otzar.org/",CHAR(35),"/book/628573/p/-1/t/1/fs/0/start/0/end/0/c")</f>
        <v>https://tablet.otzar.org/#/book/628573/p/-1/t/1/fs/0/start/0/end/0/c</v>
      </c>
    </row>
    <row r="2237" spans="1:8" x14ac:dyDescent="0.25">
      <c r="A2237">
        <v>169904</v>
      </c>
      <c r="B2237" t="s">
        <v>3518</v>
      </c>
      <c r="C2237" t="s">
        <v>3519</v>
      </c>
      <c r="D2237" t="s">
        <v>191</v>
      </c>
      <c r="E2237" t="s">
        <v>82</v>
      </c>
      <c r="F2237" t="s">
        <v>43</v>
      </c>
      <c r="G2237" t="str">
        <f>HYPERLINK(_xlfn.CONCAT("https://tablet.otzar.org/",CHAR(35),"/book/169904/p/-1/t/1/fs/0/start/0/end/0/c"),"שלבי החינוך לתורה באור ההלכה")</f>
        <v>שלבי החינוך לתורה באור ההלכה</v>
      </c>
      <c r="H2237" t="str">
        <f>_xlfn.CONCAT("https://tablet.otzar.org/",CHAR(35),"/book/169904/p/-1/t/1/fs/0/start/0/end/0/c")</f>
        <v>https://tablet.otzar.org/#/book/169904/p/-1/t/1/fs/0/start/0/end/0/c</v>
      </c>
    </row>
    <row r="2238" spans="1:8" x14ac:dyDescent="0.25">
      <c r="A2238">
        <v>680460</v>
      </c>
      <c r="B2238" t="s">
        <v>3520</v>
      </c>
      <c r="C2238" t="s">
        <v>3521</v>
      </c>
      <c r="D2238" t="s">
        <v>870</v>
      </c>
      <c r="E2238" t="s">
        <v>2258</v>
      </c>
      <c r="F2238" t="s">
        <v>12</v>
      </c>
      <c r="G2238" t="str">
        <f>HYPERLINK(_xlfn.CONCAT("https://tablet.otzar.org/",CHAR(35),"/book/680460/p/-1/t/1/fs/0/start/0/end/0/c"),"שלהבות התניא")</f>
        <v>שלהבות התניא</v>
      </c>
      <c r="H2238" t="str">
        <f>_xlfn.CONCAT("https://tablet.otzar.org/",CHAR(35),"/book/680460/p/-1/t/1/fs/0/start/0/end/0/c")</f>
        <v>https://tablet.otzar.org/#/book/680460/p/-1/t/1/fs/0/start/0/end/0/c</v>
      </c>
    </row>
    <row r="2239" spans="1:8" x14ac:dyDescent="0.25">
      <c r="A2239">
        <v>145934</v>
      </c>
      <c r="B2239" t="s">
        <v>3522</v>
      </c>
      <c r="C2239" t="s">
        <v>102</v>
      </c>
      <c r="D2239" t="s">
        <v>37</v>
      </c>
      <c r="E2239" t="s">
        <v>91</v>
      </c>
      <c r="F2239" t="s">
        <v>12</v>
      </c>
      <c r="G2239" t="str">
        <f>HYPERLINK(_xlfn.CONCAT("https://tablet.otzar.org/",CHAR(35),"/book/145934/p/-1/t/1/fs/0/start/0/end/0/c"),"שלהבת עולה מאליה")</f>
        <v>שלהבת עולה מאליה</v>
      </c>
      <c r="H2239" t="str">
        <f>_xlfn.CONCAT("https://tablet.otzar.org/",CHAR(35),"/book/145934/p/-1/t/1/fs/0/start/0/end/0/c")</f>
        <v>https://tablet.otzar.org/#/book/145934/p/-1/t/1/fs/0/start/0/end/0/c</v>
      </c>
    </row>
    <row r="2240" spans="1:8" x14ac:dyDescent="0.25">
      <c r="A2240">
        <v>27413</v>
      </c>
      <c r="B2240" t="s">
        <v>476</v>
      </c>
      <c r="C2240" t="s">
        <v>476</v>
      </c>
      <c r="D2240" t="s">
        <v>15</v>
      </c>
      <c r="E2240" t="s">
        <v>29</v>
      </c>
      <c r="F2240" t="s">
        <v>12</v>
      </c>
      <c r="G2240" t="str">
        <f>HYPERLINK(_xlfn.CONCAT("https://tablet.otzar.org/",CHAR(35),"/book/27413/p/-1/t/1/fs/0/start/0/end/0/c"),"שלוחים מספרים")</f>
        <v>שלוחים מספרים</v>
      </c>
      <c r="H2240" t="str">
        <f>_xlfn.CONCAT("https://tablet.otzar.org/",CHAR(35),"/book/27413/p/-1/t/1/fs/0/start/0/end/0/c")</f>
        <v>https://tablet.otzar.org/#/book/27413/p/-1/t/1/fs/0/start/0/end/0/c</v>
      </c>
    </row>
    <row r="2241" spans="1:8" x14ac:dyDescent="0.25">
      <c r="A2241">
        <v>166726</v>
      </c>
      <c r="B2241" t="s">
        <v>3523</v>
      </c>
      <c r="C2241" t="s">
        <v>784</v>
      </c>
      <c r="D2241" t="s">
        <v>197</v>
      </c>
      <c r="E2241" t="s">
        <v>16</v>
      </c>
      <c r="F2241" t="s">
        <v>12</v>
      </c>
      <c r="G2241" t="str">
        <f>HYPERLINK(_xlfn.CONCAT("https://tablet.otzar.org/",CHAR(35),"/exKotar/166726"),"שלום שלום ואין שלום - 2 כרכים")</f>
        <v>שלום שלום ואין שלום - 2 כרכים</v>
      </c>
      <c r="H2241" t="str">
        <f>_xlfn.CONCAT("https://tablet.otzar.org/",CHAR(35),"/exKotar/166726")</f>
        <v>https://tablet.otzar.org/#/exKotar/166726</v>
      </c>
    </row>
    <row r="2242" spans="1:8" x14ac:dyDescent="0.25">
      <c r="A2242">
        <v>647867</v>
      </c>
      <c r="B2242" t="s">
        <v>3524</v>
      </c>
      <c r="C2242" t="s">
        <v>1021</v>
      </c>
      <c r="D2242" t="s">
        <v>28</v>
      </c>
      <c r="E2242" t="s">
        <v>166</v>
      </c>
      <c r="F2242" t="s">
        <v>12</v>
      </c>
      <c r="G2242" t="str">
        <f>HYPERLINK(_xlfn.CONCAT("https://tablet.otzar.org/",CHAR(35),"/book/647867/p/-1/t/1/fs/0/start/0/end/0/c"),"שלושים שנה לקונטרס 'בית רבינו שבבבל'")</f>
        <v>שלושים שנה לקונטרס 'בית רבינו שבבבל'</v>
      </c>
      <c r="H2242" t="str">
        <f>_xlfn.CONCAT("https://tablet.otzar.org/",CHAR(35),"/book/647867/p/-1/t/1/fs/0/start/0/end/0/c")</f>
        <v>https://tablet.otzar.org/#/book/647867/p/-1/t/1/fs/0/start/0/end/0/c</v>
      </c>
    </row>
    <row r="2243" spans="1:8" x14ac:dyDescent="0.25">
      <c r="A2243">
        <v>157263</v>
      </c>
      <c r="B2243" t="s">
        <v>3525</v>
      </c>
      <c r="C2243" t="s">
        <v>3526</v>
      </c>
      <c r="D2243" t="s">
        <v>15</v>
      </c>
      <c r="E2243" t="s">
        <v>49</v>
      </c>
      <c r="F2243" t="s">
        <v>12</v>
      </c>
      <c r="G2243" t="str">
        <f>HYPERLINK(_xlfn.CONCAT("https://tablet.otzar.org/",CHAR(35),"/book/157263/p/-1/t/1/fs/0/start/0/end/0/c"),"שלחן הזהב")</f>
        <v>שלחן הזהב</v>
      </c>
      <c r="H2243" t="str">
        <f>_xlfn.CONCAT("https://tablet.otzar.org/",CHAR(35),"/book/157263/p/-1/t/1/fs/0/start/0/end/0/c")</f>
        <v>https://tablet.otzar.org/#/book/157263/p/-1/t/1/fs/0/start/0/end/0/c</v>
      </c>
    </row>
    <row r="2244" spans="1:8" x14ac:dyDescent="0.25">
      <c r="A2244">
        <v>27543</v>
      </c>
      <c r="B2244" t="s">
        <v>3527</v>
      </c>
      <c r="C2244" t="s">
        <v>125</v>
      </c>
      <c r="D2244" t="s">
        <v>197</v>
      </c>
      <c r="E2244" t="s">
        <v>91</v>
      </c>
      <c r="F2244" t="s">
        <v>12</v>
      </c>
      <c r="G2244" t="str">
        <f>HYPERLINK(_xlfn.CONCAT("https://tablet.otzar.org/",CHAR(35),"/book/27543/p/-1/t/1/fs/0/start/0/end/0/c"),"שלחן הפסח (תדפיס מהספר)")</f>
        <v>שלחן הפסח (תדפיס מהספר)</v>
      </c>
      <c r="H2244" t="str">
        <f>_xlfn.CONCAT("https://tablet.otzar.org/",CHAR(35),"/book/27543/p/-1/t/1/fs/0/start/0/end/0/c")</f>
        <v>https://tablet.otzar.org/#/book/27543/p/-1/t/1/fs/0/start/0/end/0/c</v>
      </c>
    </row>
    <row r="2245" spans="1:8" x14ac:dyDescent="0.25">
      <c r="A2245">
        <v>175909</v>
      </c>
      <c r="B2245" t="s">
        <v>3528</v>
      </c>
      <c r="C2245" t="s">
        <v>45</v>
      </c>
      <c r="D2245" t="s">
        <v>37</v>
      </c>
      <c r="E2245" t="s">
        <v>62</v>
      </c>
      <c r="F2245" t="s">
        <v>12</v>
      </c>
      <c r="G2245" t="str">
        <f>HYPERLINK(_xlfn.CONCAT("https://tablet.otzar.org/",CHAR(35),"/exKotar/175909"),"שלחן מנחם - 7 כרכים")</f>
        <v>שלחן מנחם - 7 כרכים</v>
      </c>
      <c r="H2245" t="str">
        <f>_xlfn.CONCAT("https://tablet.otzar.org/",CHAR(35),"/exKotar/175909")</f>
        <v>https://tablet.otzar.org/#/exKotar/175909</v>
      </c>
    </row>
    <row r="2246" spans="1:8" x14ac:dyDescent="0.25">
      <c r="A2246">
        <v>650278</v>
      </c>
      <c r="B2246" t="s">
        <v>3529</v>
      </c>
      <c r="C2246" t="s">
        <v>81</v>
      </c>
      <c r="D2246" t="s">
        <v>23</v>
      </c>
      <c r="E2246" t="s">
        <v>166</v>
      </c>
      <c r="F2246" t="s">
        <v>3275</v>
      </c>
      <c r="G2246" t="str">
        <f>HYPERLINK(_xlfn.CONCAT("https://tablet.otzar.org/",CHAR(35),"/book/650278/p/-1/t/1/fs/0/start/0/end/0/c"),"שלחן ערוך - או""""ח קנה קנו")</f>
        <v>שלחן ערוך - או""ח קנה קנו</v>
      </c>
      <c r="H2246" t="str">
        <f>_xlfn.CONCAT("https://tablet.otzar.org/",CHAR(35),"/book/650278/p/-1/t/1/fs/0/start/0/end/0/c")</f>
        <v>https://tablet.otzar.org/#/book/650278/p/-1/t/1/fs/0/start/0/end/0/c</v>
      </c>
    </row>
    <row r="2247" spans="1:8" x14ac:dyDescent="0.25">
      <c r="A2247">
        <v>613890</v>
      </c>
      <c r="B2247" t="s">
        <v>3530</v>
      </c>
      <c r="C2247" t="s">
        <v>3531</v>
      </c>
      <c r="D2247" t="s">
        <v>10</v>
      </c>
      <c r="E2247" t="s">
        <v>115</v>
      </c>
      <c r="F2247" t="s">
        <v>229</v>
      </c>
      <c r="G2247" t="str">
        <f>HYPERLINK(_xlfn.CONCAT("https://tablet.otzar.org/",CHAR(35),"/book/613890/p/-1/t/1/fs/0/start/0/end/0/c"),"שלחן ערוך אדמו""""ר הזקן המבואר - או""""ח פט-קלא, קנה-קנו")</f>
        <v>שלחן ערוך אדמו""ר הזקן המבואר - או""ח פט-קלא, קנה-קנו</v>
      </c>
      <c r="H2247" t="str">
        <f>_xlfn.CONCAT("https://tablet.otzar.org/",CHAR(35),"/book/613890/p/-1/t/1/fs/0/start/0/end/0/c")</f>
        <v>https://tablet.otzar.org/#/book/613890/p/-1/t/1/fs/0/start/0/end/0/c</v>
      </c>
    </row>
    <row r="2248" spans="1:8" x14ac:dyDescent="0.25">
      <c r="A2248">
        <v>26936</v>
      </c>
      <c r="B2248" t="s">
        <v>3532</v>
      </c>
      <c r="C2248" t="s">
        <v>3533</v>
      </c>
      <c r="D2248" t="s">
        <v>10</v>
      </c>
      <c r="E2248" t="s">
        <v>46</v>
      </c>
      <c r="F2248" t="s">
        <v>12</v>
      </c>
      <c r="G2248" t="str">
        <f>HYPERLINK(_xlfn.CONCAT("https://tablet.otzar.org/",CHAR(35),"/exKotar/26936"),"שלחן ערוך הקצר - 2 כרכים")</f>
        <v>שלחן ערוך הקצר - 2 כרכים</v>
      </c>
      <c r="H2248" t="str">
        <f>_xlfn.CONCAT("https://tablet.otzar.org/",CHAR(35),"/exKotar/26936")</f>
        <v>https://tablet.otzar.org/#/exKotar/26936</v>
      </c>
    </row>
    <row r="2249" spans="1:8" x14ac:dyDescent="0.25">
      <c r="A2249">
        <v>141685</v>
      </c>
      <c r="B2249" t="s">
        <v>3534</v>
      </c>
      <c r="C2249" t="s">
        <v>81</v>
      </c>
      <c r="D2249" t="s">
        <v>37</v>
      </c>
      <c r="E2249" t="s">
        <v>60</v>
      </c>
      <c r="F2249" t="s">
        <v>12</v>
      </c>
      <c r="G2249" t="str">
        <f>HYPERLINK(_xlfn.CONCAT("https://tablet.otzar.org/",CHAR(35),"/book/141685/p/-1/t/1/fs/0/start/0/end/0/c"),"שלחן ערוך הרב &lt;טקסט&gt;")</f>
        <v>שלחן ערוך הרב &lt;טקסט&gt;</v>
      </c>
      <c r="H2249" t="str">
        <f>_xlfn.CONCAT("https://tablet.otzar.org/",CHAR(35),"/book/141685/p/-1/t/1/fs/0/start/0/end/0/c")</f>
        <v>https://tablet.otzar.org/#/book/141685/p/-1/t/1/fs/0/start/0/end/0/c</v>
      </c>
    </row>
    <row r="2250" spans="1:8" x14ac:dyDescent="0.25">
      <c r="A2250">
        <v>653419</v>
      </c>
      <c r="B2250" t="s">
        <v>3535</v>
      </c>
      <c r="C2250" t="s">
        <v>81</v>
      </c>
      <c r="D2250" t="s">
        <v>10</v>
      </c>
      <c r="E2250" t="s">
        <v>166</v>
      </c>
      <c r="G2250" t="str">
        <f>HYPERLINK(_xlfn.CONCAT("https://tablet.otzar.org/",CHAR(35),"/book/653419/p/-1/t/1/fs/0/start/0/end/0/c"),"שלחן ערוך הרב &lt;מהדורה מתוקנת ומבוארת עם הוספות מכתב יד&gt; סימנים קנה-קנו ")</f>
        <v xml:space="preserve">שלחן ערוך הרב &lt;מהדורה מתוקנת ומבוארת עם הוספות מכתב יד&gt; סימנים קנה-קנו </v>
      </c>
      <c r="H2250" t="str">
        <f>_xlfn.CONCAT("https://tablet.otzar.org/",CHAR(35),"/book/653419/p/-1/t/1/fs/0/start/0/end/0/c")</f>
        <v>https://tablet.otzar.org/#/book/653419/p/-1/t/1/fs/0/start/0/end/0/c</v>
      </c>
    </row>
    <row r="2251" spans="1:8" x14ac:dyDescent="0.25">
      <c r="A2251">
        <v>26523</v>
      </c>
      <c r="B2251" t="s">
        <v>3536</v>
      </c>
      <c r="C2251" t="s">
        <v>81</v>
      </c>
      <c r="D2251" t="s">
        <v>10</v>
      </c>
      <c r="E2251" t="s">
        <v>29</v>
      </c>
      <c r="F2251" t="s">
        <v>12</v>
      </c>
      <c r="G2251" t="str">
        <f>HYPERLINK(_xlfn.CONCAT("https://tablet.otzar.org/",CHAR(35),"/exKotar/26523"),"שלחן ערוך הרב &lt;מנוקד&gt;  - 5 כרכים")</f>
        <v>שלחן ערוך הרב &lt;מנוקד&gt;  - 5 כרכים</v>
      </c>
      <c r="H2251" t="str">
        <f>_xlfn.CONCAT("https://tablet.otzar.org/",CHAR(35),"/exKotar/26523")</f>
        <v>https://tablet.otzar.org/#/exKotar/26523</v>
      </c>
    </row>
    <row r="2252" spans="1:8" x14ac:dyDescent="0.25">
      <c r="A2252">
        <v>141633</v>
      </c>
      <c r="B2252" t="s">
        <v>3537</v>
      </c>
      <c r="C2252" t="s">
        <v>81</v>
      </c>
      <c r="D2252" t="s">
        <v>10</v>
      </c>
      <c r="E2252" t="s">
        <v>174</v>
      </c>
      <c r="F2252" t="s">
        <v>12</v>
      </c>
      <c r="G2252" t="str">
        <f>HYPERLINK(_xlfn.CONCAT("https://tablet.otzar.org/",CHAR(35),"/exKotar/141633"),"שלחן ערוך הרב &lt;עם ציונים ומקורות&gt;  - 7 כרכים")</f>
        <v>שלחן ערוך הרב &lt;עם ציונים ומקורות&gt;  - 7 כרכים</v>
      </c>
      <c r="H2252" t="str">
        <f>_xlfn.CONCAT("https://tablet.otzar.org/",CHAR(35),"/exKotar/141633")</f>
        <v>https://tablet.otzar.org/#/exKotar/141633</v>
      </c>
    </row>
    <row r="2253" spans="1:8" x14ac:dyDescent="0.25">
      <c r="A2253">
        <v>27807</v>
      </c>
      <c r="B2253" t="s">
        <v>3538</v>
      </c>
      <c r="C2253" t="s">
        <v>81</v>
      </c>
      <c r="D2253" t="s">
        <v>10</v>
      </c>
      <c r="E2253" t="s">
        <v>79</v>
      </c>
      <c r="F2253" t="s">
        <v>12</v>
      </c>
      <c r="G2253" t="str">
        <f>HYPERLINK(_xlfn.CONCAT("https://tablet.otzar.org/",CHAR(35),"/exKotar/27807"),"שלחן ערוך הרב &lt;עם תרגום אנגלית&gt;  - 5 כרכים")</f>
        <v>שלחן ערוך הרב &lt;עם תרגום אנגלית&gt;  - 5 כרכים</v>
      </c>
      <c r="H2253" t="str">
        <f>_xlfn.CONCAT("https://tablet.otzar.org/",CHAR(35),"/exKotar/27807")</f>
        <v>https://tablet.otzar.org/#/exKotar/27807</v>
      </c>
    </row>
    <row r="2254" spans="1:8" x14ac:dyDescent="0.25">
      <c r="A2254">
        <v>611921</v>
      </c>
      <c r="B2254" t="s">
        <v>3539</v>
      </c>
      <c r="C2254" t="s">
        <v>81</v>
      </c>
      <c r="D2254" t="s">
        <v>10</v>
      </c>
      <c r="E2254" t="s">
        <v>88</v>
      </c>
      <c r="G2254" t="str">
        <f>HYPERLINK(_xlfn.CONCAT("https://tablet.otzar.org/",CHAR(35),"/exKotar/611921"),"שלחן ערוך הרב &lt;בלכתך בדרך&gt;  - 43 כרכים")</f>
        <v>שלחן ערוך הרב &lt;בלכתך בדרך&gt;  - 43 כרכים</v>
      </c>
      <c r="H2254" t="str">
        <f>_xlfn.CONCAT("https://tablet.otzar.org/",CHAR(35),"/exKotar/611921")</f>
        <v>https://tablet.otzar.org/#/exKotar/611921</v>
      </c>
    </row>
    <row r="2255" spans="1:8" x14ac:dyDescent="0.25">
      <c r="A2255">
        <v>639682</v>
      </c>
      <c r="B2255" t="s">
        <v>3540</v>
      </c>
      <c r="C2255" t="s">
        <v>81</v>
      </c>
      <c r="D2255" t="s">
        <v>3541</v>
      </c>
      <c r="E2255" t="s">
        <v>3542</v>
      </c>
      <c r="F2255" t="s">
        <v>229</v>
      </c>
      <c r="G2255" t="str">
        <f>HYPERLINK(_xlfn.CONCAT("https://tablet.otzar.org/",CHAR(35),"/exKotar/639682"),"שלחן ערוך הרב &lt;דפוס ראשון&gt;  - 2 כרכים")</f>
        <v>שלחן ערוך הרב &lt;דפוס ראשון&gt;  - 2 כרכים</v>
      </c>
      <c r="H2255" t="str">
        <f>_xlfn.CONCAT("https://tablet.otzar.org/",CHAR(35),"/exKotar/639682")</f>
        <v>https://tablet.otzar.org/#/exKotar/639682</v>
      </c>
    </row>
    <row r="2256" spans="1:8" x14ac:dyDescent="0.25">
      <c r="A2256">
        <v>26969</v>
      </c>
      <c r="B2256" t="s">
        <v>3543</v>
      </c>
      <c r="C2256" t="s">
        <v>3544</v>
      </c>
      <c r="D2256" t="s">
        <v>387</v>
      </c>
      <c r="E2256" t="s">
        <v>79</v>
      </c>
      <c r="F2256" t="s">
        <v>12</v>
      </c>
      <c r="G2256" t="str">
        <f>HYPERLINK(_xlfn.CONCAT("https://tablet.otzar.org/",CHAR(35),"/book/26969/p/-1/t/1/fs/0/start/0/end/0/c"),"שלחן ערוך הרב הל' יו""""ט עם ביאור נימוקי יו""""ט")</f>
        <v>שלחן ערוך הרב הל' יו""ט עם ביאור נימוקי יו""ט</v>
      </c>
      <c r="H2256" t="str">
        <f>_xlfn.CONCAT("https://tablet.otzar.org/",CHAR(35),"/book/26969/p/-1/t/1/fs/0/start/0/end/0/c")</f>
        <v>https://tablet.otzar.org/#/book/26969/p/-1/t/1/fs/0/start/0/end/0/c</v>
      </c>
    </row>
    <row r="2257" spans="1:8" x14ac:dyDescent="0.25">
      <c r="A2257">
        <v>681612</v>
      </c>
      <c r="B2257" t="s">
        <v>3545</v>
      </c>
      <c r="C2257" t="s">
        <v>3546</v>
      </c>
      <c r="D2257" t="s">
        <v>10</v>
      </c>
      <c r="E2257" t="s">
        <v>705</v>
      </c>
      <c r="F2257" t="s">
        <v>229</v>
      </c>
      <c r="G2257" t="str">
        <f>HYPERLINK(_xlfn.CONCAT("https://tablet.otzar.org/",CHAR(35),"/exKotar/681612"),"שלחן ערוך הרב עם ביאור דברי שלום - 23 כרכים")</f>
        <v>שלחן ערוך הרב עם ביאור דברי שלום - 23 כרכים</v>
      </c>
      <c r="H2257" t="str">
        <f>_xlfn.CONCAT("https://tablet.otzar.org/",CHAR(35),"/exKotar/681612")</f>
        <v>https://tablet.otzar.org/#/exKotar/681612</v>
      </c>
    </row>
    <row r="2258" spans="1:8" x14ac:dyDescent="0.25">
      <c r="A2258">
        <v>142190</v>
      </c>
      <c r="B2258" t="s">
        <v>3547</v>
      </c>
      <c r="C2258" t="s">
        <v>1060</v>
      </c>
      <c r="D2258" t="s">
        <v>15</v>
      </c>
      <c r="E2258" t="s">
        <v>60</v>
      </c>
      <c r="G2258" t="str">
        <f>HYPERLINK(_xlfn.CONCAT("https://tablet.otzar.org/",CHAR(35),"/book/142190/p/-1/t/1/fs/0/start/0/end/0/c"),"שלחן שבת")</f>
        <v>שלחן שבת</v>
      </c>
      <c r="H2258" t="str">
        <f>_xlfn.CONCAT("https://tablet.otzar.org/",CHAR(35),"/book/142190/p/-1/t/1/fs/0/start/0/end/0/c")</f>
        <v>https://tablet.otzar.org/#/book/142190/p/-1/t/1/fs/0/start/0/end/0/c</v>
      </c>
    </row>
    <row r="2259" spans="1:8" x14ac:dyDescent="0.25">
      <c r="A2259">
        <v>27836</v>
      </c>
      <c r="B2259" t="s">
        <v>3548</v>
      </c>
      <c r="C2259" t="s">
        <v>2071</v>
      </c>
      <c r="E2259" t="s">
        <v>29</v>
      </c>
      <c r="F2259" t="s">
        <v>12</v>
      </c>
      <c r="G2259" t="str">
        <f>HYPERLINK(_xlfn.CONCAT("https://tablet.otzar.org/",CHAR(35),"/book/27836/p/-1/t/1/fs/0/start/0/end/0/c"),"שליחות חיי")</f>
        <v>שליחות חיי</v>
      </c>
      <c r="H2259" t="str">
        <f>_xlfn.CONCAT("https://tablet.otzar.org/",CHAR(35),"/book/27836/p/-1/t/1/fs/0/start/0/end/0/c")</f>
        <v>https://tablet.otzar.org/#/book/27836/p/-1/t/1/fs/0/start/0/end/0/c</v>
      </c>
    </row>
    <row r="2260" spans="1:8" x14ac:dyDescent="0.25">
      <c r="A2260">
        <v>145734</v>
      </c>
      <c r="B2260" t="s">
        <v>3549</v>
      </c>
      <c r="C2260" t="s">
        <v>2923</v>
      </c>
      <c r="D2260" t="s">
        <v>1594</v>
      </c>
      <c r="E2260" t="s">
        <v>91</v>
      </c>
      <c r="F2260" t="s">
        <v>12</v>
      </c>
      <c r="G2260" t="str">
        <f>HYPERLINK(_xlfn.CONCAT("https://tablet.otzar.org/",CHAR(35),"/exKotar/145734"),"שלם בתלמודו - 6 כרכים")</f>
        <v>שלם בתלמודו - 6 כרכים</v>
      </c>
      <c r="H2260" t="str">
        <f>_xlfn.CONCAT("https://tablet.otzar.org/",CHAR(35),"/exKotar/145734")</f>
        <v>https://tablet.otzar.org/#/exKotar/145734</v>
      </c>
    </row>
    <row r="2261" spans="1:8" x14ac:dyDescent="0.25">
      <c r="A2261">
        <v>174118</v>
      </c>
      <c r="B2261" t="s">
        <v>3550</v>
      </c>
      <c r="C2261" t="s">
        <v>3551</v>
      </c>
      <c r="E2261" t="s">
        <v>145</v>
      </c>
      <c r="F2261" t="s">
        <v>251</v>
      </c>
      <c r="G2261" t="str">
        <f>HYPERLINK(_xlfn.CONCAT("https://tablet.otzar.org/",CHAR(35),"/exKotar/174118"),"שלמות - 47 כרכים")</f>
        <v>שלמות - 47 כרכים</v>
      </c>
      <c r="H2261" t="str">
        <f>_xlfn.CONCAT("https://tablet.otzar.org/",CHAR(35),"/exKotar/174118")</f>
        <v>https://tablet.otzar.org/#/exKotar/174118</v>
      </c>
    </row>
    <row r="2262" spans="1:8" x14ac:dyDescent="0.25">
      <c r="A2262">
        <v>22080</v>
      </c>
      <c r="B2262" t="s">
        <v>3552</v>
      </c>
      <c r="C2262" t="s">
        <v>3553</v>
      </c>
      <c r="D2262" t="s">
        <v>37</v>
      </c>
      <c r="E2262" t="s">
        <v>148</v>
      </c>
      <c r="F2262" t="s">
        <v>12</v>
      </c>
      <c r="G2262" t="str">
        <f>HYPERLINK(_xlfn.CONCAT("https://tablet.otzar.org/",CHAR(35),"/book/22080/p/-1/t/1/fs/0/start/0/end/0/c"),"שלמות הארץ")</f>
        <v>שלמות הארץ</v>
      </c>
      <c r="H2262" t="str">
        <f>_xlfn.CONCAT("https://tablet.otzar.org/",CHAR(35),"/book/22080/p/-1/t/1/fs/0/start/0/end/0/c")</f>
        <v>https://tablet.otzar.org/#/book/22080/p/-1/t/1/fs/0/start/0/end/0/c</v>
      </c>
    </row>
    <row r="2263" spans="1:8" x14ac:dyDescent="0.25">
      <c r="A2263">
        <v>146523</v>
      </c>
      <c r="B2263" t="s">
        <v>3552</v>
      </c>
      <c r="C2263" t="s">
        <v>45</v>
      </c>
      <c r="D2263" t="s">
        <v>28</v>
      </c>
      <c r="E2263" t="s">
        <v>91</v>
      </c>
      <c r="F2263" t="s">
        <v>12</v>
      </c>
      <c r="G2263" t="str">
        <f>HYPERLINK(_xlfn.CONCAT("https://tablet.otzar.org/",CHAR(35),"/book/146523/p/-1/t/1/fs/0/start/0/end/0/c"),"שלמות הארץ")</f>
        <v>שלמות הארץ</v>
      </c>
      <c r="H2263" t="str">
        <f>_xlfn.CONCAT("https://tablet.otzar.org/",CHAR(35),"/book/146523/p/-1/t/1/fs/0/start/0/end/0/c")</f>
        <v>https://tablet.otzar.org/#/book/146523/p/-1/t/1/fs/0/start/0/end/0/c</v>
      </c>
    </row>
    <row r="2264" spans="1:8" x14ac:dyDescent="0.25">
      <c r="A2264">
        <v>628574</v>
      </c>
      <c r="B2264" t="s">
        <v>3554</v>
      </c>
      <c r="C2264" t="s">
        <v>102</v>
      </c>
      <c r="D2264" t="s">
        <v>15</v>
      </c>
      <c r="E2264" t="s">
        <v>49</v>
      </c>
      <c r="F2264" t="s">
        <v>2660</v>
      </c>
      <c r="G2264" t="str">
        <f>HYPERLINK(_xlfn.CONCAT("https://tablet.otzar.org/",CHAR(35),"/book/628574/p/-1/t/1/fs/0/start/0/end/0/c"),"שלשה כתרים")</f>
        <v>שלשה כתרים</v>
      </c>
      <c r="H2264" t="str">
        <f>_xlfn.CONCAT("https://tablet.otzar.org/",CHAR(35),"/book/628574/p/-1/t/1/fs/0/start/0/end/0/c")</f>
        <v>https://tablet.otzar.org/#/book/628574/p/-1/t/1/fs/0/start/0/end/0/c</v>
      </c>
    </row>
    <row r="2265" spans="1:8" x14ac:dyDescent="0.25">
      <c r="A2265">
        <v>650281</v>
      </c>
      <c r="B2265" t="s">
        <v>3555</v>
      </c>
      <c r="C2265" t="s">
        <v>3556</v>
      </c>
      <c r="E2265" t="s">
        <v>166</v>
      </c>
      <c r="G2265" t="str">
        <f>HYPERLINK(_xlfn.CONCAT("https://tablet.otzar.org/",CHAR(35),"/book/650281/p/-1/t/1/fs/0/start/0/end/0/c"),"שלשה מאמרים נפתחים - לך לך")</f>
        <v>שלשה מאמרים נפתחים - לך לך</v>
      </c>
      <c r="H2265" t="str">
        <f>_xlfn.CONCAT("https://tablet.otzar.org/",CHAR(35),"/book/650281/p/-1/t/1/fs/0/start/0/end/0/c")</f>
        <v>https://tablet.otzar.org/#/book/650281/p/-1/t/1/fs/0/start/0/end/0/c</v>
      </c>
    </row>
    <row r="2266" spans="1:8" x14ac:dyDescent="0.25">
      <c r="A2266">
        <v>146216</v>
      </c>
      <c r="B2266" t="s">
        <v>3557</v>
      </c>
      <c r="C2266" t="s">
        <v>3558</v>
      </c>
      <c r="D2266" t="s">
        <v>28</v>
      </c>
      <c r="E2266" t="s">
        <v>33</v>
      </c>
      <c r="F2266" t="s">
        <v>12</v>
      </c>
      <c r="G2266" t="str">
        <f>HYPERLINK(_xlfn.CONCAT("https://tablet.otzar.org/",CHAR(35),"/book/146216/p/-1/t/1/fs/0/start/0/end/0/c"),"שלשים שנה לר""""ח כסלו תשל""""ח")</f>
        <v>שלשים שנה לר""ח כסלו תשל""ח</v>
      </c>
      <c r="H2266" t="str">
        <f>_xlfn.CONCAT("https://tablet.otzar.org/",CHAR(35),"/book/146216/p/-1/t/1/fs/0/start/0/end/0/c")</f>
        <v>https://tablet.otzar.org/#/book/146216/p/-1/t/1/fs/0/start/0/end/0/c</v>
      </c>
    </row>
    <row r="2267" spans="1:8" x14ac:dyDescent="0.25">
      <c r="A2267">
        <v>164333</v>
      </c>
      <c r="B2267" t="s">
        <v>3559</v>
      </c>
      <c r="C2267" t="s">
        <v>3560</v>
      </c>
      <c r="D2267" t="s">
        <v>10</v>
      </c>
      <c r="E2267" t="s">
        <v>16</v>
      </c>
      <c r="F2267" t="s">
        <v>12</v>
      </c>
      <c r="G2267" t="str">
        <f>HYPERLINK(_xlfn.CONCAT("https://tablet.otzar.org/",CHAR(35),"/book/164333/p/-1/t/1/fs/0/start/0/end/0/c"),"שלשלת היחס")</f>
        <v>שלשלת היחס</v>
      </c>
      <c r="H2267" t="str">
        <f>_xlfn.CONCAT("https://tablet.otzar.org/",CHAR(35),"/book/164333/p/-1/t/1/fs/0/start/0/end/0/c")</f>
        <v>https://tablet.otzar.org/#/book/164333/p/-1/t/1/fs/0/start/0/end/0/c</v>
      </c>
    </row>
    <row r="2268" spans="1:8" x14ac:dyDescent="0.25">
      <c r="A2268">
        <v>635085</v>
      </c>
      <c r="B2268" t="s">
        <v>3561</v>
      </c>
      <c r="C2268" t="s">
        <v>3562</v>
      </c>
      <c r="D2268" t="s">
        <v>28</v>
      </c>
      <c r="E2268" t="s">
        <v>185</v>
      </c>
      <c r="F2268" t="s">
        <v>43</v>
      </c>
      <c r="G2268" t="str">
        <f>HYPERLINK(_xlfn.CONCAT("https://tablet.otzar.org/",CHAR(35),"/book/635085/p/-1/t/1/fs/0/start/0/end/0/c"),"שם בנימין צעיר רדם")</f>
        <v>שם בנימין צעיר רדם</v>
      </c>
      <c r="H2268" t="str">
        <f>_xlfn.CONCAT("https://tablet.otzar.org/",CHAR(35),"/book/635085/p/-1/t/1/fs/0/start/0/end/0/c")</f>
        <v>https://tablet.otzar.org/#/book/635085/p/-1/t/1/fs/0/start/0/end/0/c</v>
      </c>
    </row>
    <row r="2269" spans="1:8" x14ac:dyDescent="0.25">
      <c r="A2269">
        <v>11110</v>
      </c>
      <c r="B2269" t="s">
        <v>3563</v>
      </c>
      <c r="C2269" t="s">
        <v>3564</v>
      </c>
      <c r="D2269" t="s">
        <v>15</v>
      </c>
      <c r="E2269" t="s">
        <v>620</v>
      </c>
      <c r="F2269" t="s">
        <v>12</v>
      </c>
      <c r="G2269" t="str">
        <f>HYPERLINK(_xlfn.CONCAT("https://tablet.otzar.org/",CHAR(35),"/exKotar/11110"),"שמועות וסיפורים מרבותינו הקדושים - 5 כרכים")</f>
        <v>שמועות וסיפורים מרבותינו הקדושים - 5 כרכים</v>
      </c>
      <c r="H2269" t="str">
        <f>_xlfn.CONCAT("https://tablet.otzar.org/",CHAR(35),"/exKotar/11110")</f>
        <v>https://tablet.otzar.org/#/exKotar/11110</v>
      </c>
    </row>
    <row r="2270" spans="1:8" x14ac:dyDescent="0.25">
      <c r="A2270">
        <v>85379</v>
      </c>
      <c r="B2270" t="s">
        <v>3565</v>
      </c>
      <c r="C2270" t="s">
        <v>451</v>
      </c>
      <c r="D2270" t="s">
        <v>10</v>
      </c>
      <c r="E2270" t="s">
        <v>3566</v>
      </c>
      <c r="F2270" t="s">
        <v>12</v>
      </c>
      <c r="G2270" t="str">
        <f>HYPERLINK(_xlfn.CONCAT("https://tablet.otzar.org/",CHAR(35),"/exKotar/85379"),"שמועסן מיט קינדער - 5 כרכים")</f>
        <v>שמועסן מיט קינדער - 5 כרכים</v>
      </c>
      <c r="H2270" t="str">
        <f>_xlfn.CONCAT("https://tablet.otzar.org/",CHAR(35),"/exKotar/85379")</f>
        <v>https://tablet.otzar.org/#/exKotar/85379</v>
      </c>
    </row>
    <row r="2271" spans="1:8" x14ac:dyDescent="0.25">
      <c r="A2271">
        <v>27420</v>
      </c>
      <c r="B2271" t="s">
        <v>3567</v>
      </c>
      <c r="C2271" t="s">
        <v>1130</v>
      </c>
      <c r="D2271" t="s">
        <v>10</v>
      </c>
      <c r="E2271" t="s">
        <v>217</v>
      </c>
      <c r="F2271" t="s">
        <v>12</v>
      </c>
      <c r="G2271" t="str">
        <f>HYPERLINK(_xlfn.CONCAT("https://tablet.otzar.org/",CHAR(35),"/book/27420/p/-1/t/1/fs/0/start/0/end/0/c"),"שמחה כאתגר - הגישה החסידית")</f>
        <v>שמחה כאתגר - הגישה החסידית</v>
      </c>
      <c r="H2271" t="str">
        <f>_xlfn.CONCAT("https://tablet.otzar.org/",CHAR(35),"/book/27420/p/-1/t/1/fs/0/start/0/end/0/c")</f>
        <v>https://tablet.otzar.org/#/book/27420/p/-1/t/1/fs/0/start/0/end/0/c</v>
      </c>
    </row>
    <row r="2272" spans="1:8" x14ac:dyDescent="0.25">
      <c r="A2272">
        <v>141333</v>
      </c>
      <c r="B2272" t="s">
        <v>3568</v>
      </c>
      <c r="C2272" t="s">
        <v>3569</v>
      </c>
      <c r="D2272" t="s">
        <v>3570</v>
      </c>
      <c r="E2272" t="s">
        <v>181</v>
      </c>
      <c r="F2272" t="s">
        <v>12</v>
      </c>
      <c r="G2272" t="str">
        <f>HYPERLINK(_xlfn.CONCAT("https://tablet.otzar.org/",CHAR(35),"/book/141333/p/-1/t/1/fs/0/start/0/end/0/c"),"שמחת מלך")</f>
        <v>שמחת מלך</v>
      </c>
      <c r="H2272" t="str">
        <f>_xlfn.CONCAT("https://tablet.otzar.org/",CHAR(35),"/book/141333/p/-1/t/1/fs/0/start/0/end/0/c")</f>
        <v>https://tablet.otzar.org/#/book/141333/p/-1/t/1/fs/0/start/0/end/0/c</v>
      </c>
    </row>
    <row r="2273" spans="1:8" x14ac:dyDescent="0.25">
      <c r="A2273">
        <v>141453</v>
      </c>
      <c r="B2273" t="s">
        <v>3571</v>
      </c>
      <c r="C2273" t="s">
        <v>3572</v>
      </c>
      <c r="D2273" t="s">
        <v>37</v>
      </c>
      <c r="E2273" t="s">
        <v>139</v>
      </c>
      <c r="F2273" t="s">
        <v>12</v>
      </c>
      <c r="G2273" t="str">
        <f>HYPERLINK(_xlfn.CONCAT("https://tablet.otzar.org/",CHAR(35),"/book/141453/p/-1/t/1/fs/0/start/0/end/0/c"),"שמחת סיום הרמב""""ם מחזור חמישי")</f>
        <v>שמחת סיום הרמב""ם מחזור חמישי</v>
      </c>
      <c r="H2273" t="str">
        <f>_xlfn.CONCAT("https://tablet.otzar.org/",CHAR(35),"/book/141453/p/-1/t/1/fs/0/start/0/end/0/c")</f>
        <v>https://tablet.otzar.org/#/book/141453/p/-1/t/1/fs/0/start/0/end/0/c</v>
      </c>
    </row>
    <row r="2274" spans="1:8" x14ac:dyDescent="0.25">
      <c r="A2274">
        <v>27439</v>
      </c>
      <c r="B2274" t="s">
        <v>3573</v>
      </c>
      <c r="C2274" t="s">
        <v>3574</v>
      </c>
      <c r="D2274" t="s">
        <v>15</v>
      </c>
      <c r="E2274" t="s">
        <v>40</v>
      </c>
      <c r="F2274" t="s">
        <v>12</v>
      </c>
      <c r="G2274" t="str">
        <f>HYPERLINK(_xlfn.CONCAT("https://tablet.otzar.org/",CHAR(35),"/book/27439/p/-1/t/1/fs/0/start/0/end/0/c"),"שמחת עולם")</f>
        <v>שמחת עולם</v>
      </c>
      <c r="H2274" t="str">
        <f>_xlfn.CONCAT("https://tablet.otzar.org/",CHAR(35),"/book/27439/p/-1/t/1/fs/0/start/0/end/0/c")</f>
        <v>https://tablet.otzar.org/#/book/27439/p/-1/t/1/fs/0/start/0/end/0/c</v>
      </c>
    </row>
    <row r="2275" spans="1:8" x14ac:dyDescent="0.25">
      <c r="A2275">
        <v>607744</v>
      </c>
      <c r="B2275" t="s">
        <v>3575</v>
      </c>
      <c r="C2275" t="s">
        <v>244</v>
      </c>
      <c r="D2275" t="s">
        <v>10</v>
      </c>
      <c r="E2275" t="s">
        <v>404</v>
      </c>
      <c r="F2275" t="s">
        <v>12</v>
      </c>
      <c r="G2275" t="str">
        <f>HYPERLINK(_xlfn.CONCAT("https://tablet.otzar.org/",CHAR(35),"/book/607744/p/-1/t/1/fs/0/start/0/end/0/c"),"שמחת תורה")</f>
        <v>שמחת תורה</v>
      </c>
      <c r="H2275" t="str">
        <f>_xlfn.CONCAT("https://tablet.otzar.org/",CHAR(35),"/book/607744/p/-1/t/1/fs/0/start/0/end/0/c")</f>
        <v>https://tablet.otzar.org/#/book/607744/p/-1/t/1/fs/0/start/0/end/0/c</v>
      </c>
    </row>
    <row r="2276" spans="1:8" x14ac:dyDescent="0.25">
      <c r="A2276">
        <v>607863</v>
      </c>
      <c r="B2276" t="s">
        <v>3576</v>
      </c>
      <c r="C2276" t="s">
        <v>3577</v>
      </c>
      <c r="D2276" t="s">
        <v>37</v>
      </c>
      <c r="E2276" t="s">
        <v>99</v>
      </c>
      <c r="G2276" t="str">
        <f>HYPERLINK(_xlfn.CONCAT("https://tablet.otzar.org/",CHAR(35),"/book/607863/p/-1/t/1/fs/0/start/0/end/0/c"),"שמחת תורה - ענייני דיומא")</f>
        <v>שמחת תורה - ענייני דיומא</v>
      </c>
      <c r="H2276" t="str">
        <f>_xlfn.CONCAT("https://tablet.otzar.org/",CHAR(35),"/book/607863/p/-1/t/1/fs/0/start/0/end/0/c")</f>
        <v>https://tablet.otzar.org/#/book/607863/p/-1/t/1/fs/0/start/0/end/0/c</v>
      </c>
    </row>
    <row r="2277" spans="1:8" x14ac:dyDescent="0.25">
      <c r="A2277">
        <v>146308</v>
      </c>
      <c r="B2277" t="s">
        <v>3578</v>
      </c>
      <c r="C2277" t="s">
        <v>125</v>
      </c>
      <c r="D2277" t="s">
        <v>2970</v>
      </c>
      <c r="E2277" t="s">
        <v>66</v>
      </c>
      <c r="F2277" t="s">
        <v>12</v>
      </c>
      <c r="G2277" t="str">
        <f>HYPERLINK(_xlfn.CONCAT("https://tablet.otzar.org/",CHAR(35),"/book/146308/p/-1/t/1/fs/0/start/0/end/0/c"),"שמים חדשים")</f>
        <v>שמים חדשים</v>
      </c>
      <c r="H2277" t="str">
        <f>_xlfn.CONCAT("https://tablet.otzar.org/",CHAR(35),"/book/146308/p/-1/t/1/fs/0/start/0/end/0/c")</f>
        <v>https://tablet.otzar.org/#/book/146308/p/-1/t/1/fs/0/start/0/end/0/c</v>
      </c>
    </row>
    <row r="2278" spans="1:8" x14ac:dyDescent="0.25">
      <c r="A2278">
        <v>157292</v>
      </c>
      <c r="B2278" t="s">
        <v>3579</v>
      </c>
      <c r="C2278" t="s">
        <v>228</v>
      </c>
      <c r="D2278" t="s">
        <v>15</v>
      </c>
      <c r="E2278" t="s">
        <v>49</v>
      </c>
      <c r="F2278" t="s">
        <v>161</v>
      </c>
      <c r="G2278" t="str">
        <f>HYPERLINK(_xlfn.CONCAT("https://tablet.otzar.org/",CHAR(35),"/book/157292/p/-1/t/1/fs/0/start/0/end/0/c"),"שמירת הברכות")</f>
        <v>שמירת הברכות</v>
      </c>
      <c r="H2278" t="str">
        <f>_xlfn.CONCAT("https://tablet.otzar.org/",CHAR(35),"/book/157292/p/-1/t/1/fs/0/start/0/end/0/c")</f>
        <v>https://tablet.otzar.org/#/book/157292/p/-1/t/1/fs/0/start/0/end/0/c</v>
      </c>
    </row>
    <row r="2279" spans="1:8" x14ac:dyDescent="0.25">
      <c r="A2279">
        <v>173577</v>
      </c>
      <c r="B2279" t="s">
        <v>3580</v>
      </c>
      <c r="C2279" t="s">
        <v>228</v>
      </c>
      <c r="D2279" t="s">
        <v>15</v>
      </c>
      <c r="E2279" t="s">
        <v>82</v>
      </c>
      <c r="F2279" t="s">
        <v>12</v>
      </c>
      <c r="G2279" t="str">
        <f>HYPERLINK(_xlfn.CONCAT("https://tablet.otzar.org/",CHAR(35),"/book/173577/p/-1/t/1/fs/0/start/0/end/0/c"),"שמירת הטהרה")</f>
        <v>שמירת הטהרה</v>
      </c>
      <c r="H2279" t="str">
        <f>_xlfn.CONCAT("https://tablet.otzar.org/",CHAR(35),"/book/173577/p/-1/t/1/fs/0/start/0/end/0/c")</f>
        <v>https://tablet.otzar.org/#/book/173577/p/-1/t/1/fs/0/start/0/end/0/c</v>
      </c>
    </row>
    <row r="2280" spans="1:8" x14ac:dyDescent="0.25">
      <c r="A2280">
        <v>175916</v>
      </c>
      <c r="B2280" t="s">
        <v>3581</v>
      </c>
      <c r="C2280" t="s">
        <v>228</v>
      </c>
      <c r="D2280" t="s">
        <v>15</v>
      </c>
      <c r="E2280" t="s">
        <v>62</v>
      </c>
      <c r="F2280" t="s">
        <v>12</v>
      </c>
      <c r="G2280" t="str">
        <f>HYPERLINK(_xlfn.CONCAT("https://tablet.otzar.org/",CHAR(35),"/book/175916/p/-1/t/1/fs/0/start/0/end/0/c"),"שמירת המצוות לאישה ולבת")</f>
        <v>שמירת המצוות לאישה ולבת</v>
      </c>
      <c r="H2280" t="str">
        <f>_xlfn.CONCAT("https://tablet.otzar.org/",CHAR(35),"/book/175916/p/-1/t/1/fs/0/start/0/end/0/c")</f>
        <v>https://tablet.otzar.org/#/book/175916/p/-1/t/1/fs/0/start/0/end/0/c</v>
      </c>
    </row>
    <row r="2281" spans="1:8" x14ac:dyDescent="0.25">
      <c r="A2281">
        <v>657002</v>
      </c>
      <c r="B2281" t="s">
        <v>3582</v>
      </c>
      <c r="C2281" t="s">
        <v>3583</v>
      </c>
      <c r="D2281" t="s">
        <v>387</v>
      </c>
      <c r="E2281" t="s">
        <v>40</v>
      </c>
      <c r="G2281" t="str">
        <f>HYPERLINK(_xlfn.CONCAT("https://tablet.otzar.org/",CHAR(35),"/book/657002/p/-1/t/1/fs/0/start/0/end/0/c"),"שמירת השביעית")</f>
        <v>שמירת השביעית</v>
      </c>
      <c r="H2281" t="str">
        <f>_xlfn.CONCAT("https://tablet.otzar.org/",CHAR(35),"/book/657002/p/-1/t/1/fs/0/start/0/end/0/c")</f>
        <v>https://tablet.otzar.org/#/book/657002/p/-1/t/1/fs/0/start/0/end/0/c</v>
      </c>
    </row>
    <row r="2282" spans="1:8" x14ac:dyDescent="0.25">
      <c r="A2282">
        <v>181649</v>
      </c>
      <c r="B2282" t="s">
        <v>3584</v>
      </c>
      <c r="C2282" t="s">
        <v>228</v>
      </c>
      <c r="D2282" t="s">
        <v>15</v>
      </c>
      <c r="E2282" t="s">
        <v>88</v>
      </c>
      <c r="F2282" t="s">
        <v>12</v>
      </c>
      <c r="G2282" t="str">
        <f>HYPERLINK(_xlfn.CONCAT("https://tablet.otzar.org/",CHAR(35),"/book/181649/p/-1/t/1/fs/0/start/0/end/0/c"),"שמירת השמחות")</f>
        <v>שמירת השמחות</v>
      </c>
      <c r="H2282" t="str">
        <f>_xlfn.CONCAT("https://tablet.otzar.org/",CHAR(35),"/book/181649/p/-1/t/1/fs/0/start/0/end/0/c")</f>
        <v>https://tablet.otzar.org/#/book/181649/p/-1/t/1/fs/0/start/0/end/0/c</v>
      </c>
    </row>
    <row r="2283" spans="1:8" x14ac:dyDescent="0.25">
      <c r="A2283">
        <v>164370</v>
      </c>
      <c r="B2283" t="s">
        <v>3585</v>
      </c>
      <c r="C2283" t="s">
        <v>228</v>
      </c>
      <c r="D2283" t="s">
        <v>215</v>
      </c>
      <c r="E2283" t="s">
        <v>16</v>
      </c>
      <c r="F2283" t="s">
        <v>12</v>
      </c>
      <c r="G2283" t="str">
        <f>HYPERLINK(_xlfn.CONCAT("https://tablet.otzar.org/",CHAR(35),"/book/164370/p/-1/t/1/fs/0/start/0/end/0/c"),"שמירת התפילה - מהדו""""א")</f>
        <v>שמירת התפילה - מהדו""א</v>
      </c>
      <c r="H2283" t="str">
        <f>_xlfn.CONCAT("https://tablet.otzar.org/",CHAR(35),"/book/164370/p/-1/t/1/fs/0/start/0/end/0/c")</f>
        <v>https://tablet.otzar.org/#/book/164370/p/-1/t/1/fs/0/start/0/end/0/c</v>
      </c>
    </row>
    <row r="2284" spans="1:8" x14ac:dyDescent="0.25">
      <c r="A2284">
        <v>164372</v>
      </c>
      <c r="B2284" t="s">
        <v>3586</v>
      </c>
      <c r="C2284" t="s">
        <v>228</v>
      </c>
      <c r="D2284" t="s">
        <v>215</v>
      </c>
      <c r="E2284" t="s">
        <v>16</v>
      </c>
      <c r="F2284" t="s">
        <v>12</v>
      </c>
      <c r="G2284" t="str">
        <f>HYPERLINK(_xlfn.CONCAT("https://tablet.otzar.org/",CHAR(35),"/book/164372/p/-1/t/1/fs/0/start/0/end/0/c"),"שמירת מצוות היום")</f>
        <v>שמירת מצוות היום</v>
      </c>
      <c r="H2284" t="str">
        <f>_xlfn.CONCAT("https://tablet.otzar.org/",CHAR(35),"/book/164372/p/-1/t/1/fs/0/start/0/end/0/c")</f>
        <v>https://tablet.otzar.org/#/book/164372/p/-1/t/1/fs/0/start/0/end/0/c</v>
      </c>
    </row>
    <row r="2285" spans="1:8" x14ac:dyDescent="0.25">
      <c r="A2285">
        <v>611980</v>
      </c>
      <c r="B2285" t="s">
        <v>3587</v>
      </c>
      <c r="C2285" t="s">
        <v>3588</v>
      </c>
      <c r="D2285" t="s">
        <v>28</v>
      </c>
      <c r="E2285" t="s">
        <v>91</v>
      </c>
      <c r="F2285" t="s">
        <v>161</v>
      </c>
      <c r="G2285" t="str">
        <f>HYPERLINK(_xlfn.CONCAT("https://tablet.otzar.org/",CHAR(35),"/book/611980/p/-1/t/1/fs/0/start/0/end/0/c"),"שמלה חדשה עם בגדי מלכות (תדפיס)")</f>
        <v>שמלה חדשה עם בגדי מלכות (תדפיס)</v>
      </c>
      <c r="H2285" t="str">
        <f>_xlfn.CONCAT("https://tablet.otzar.org/",CHAR(35),"/book/611980/p/-1/t/1/fs/0/start/0/end/0/c")</f>
        <v>https://tablet.otzar.org/#/book/611980/p/-1/t/1/fs/0/start/0/end/0/c</v>
      </c>
    </row>
    <row r="2286" spans="1:8" x14ac:dyDescent="0.25">
      <c r="A2286">
        <v>639282</v>
      </c>
      <c r="B2286" t="s">
        <v>3589</v>
      </c>
      <c r="C2286" t="s">
        <v>492</v>
      </c>
      <c r="D2286" t="s">
        <v>28</v>
      </c>
      <c r="E2286" t="s">
        <v>99</v>
      </c>
      <c r="F2286" t="s">
        <v>12</v>
      </c>
      <c r="G2286" t="str">
        <f>HYPERLINK(_xlfn.CONCAT("https://tablet.otzar.org/",CHAR(35),"/exKotar/639282"),"שמן ששון מחבריך - 3 כרכים")</f>
        <v>שמן ששון מחבריך - 3 כרכים</v>
      </c>
      <c r="H2286" t="str">
        <f>_xlfn.CONCAT("https://tablet.otzar.org/",CHAR(35),"/exKotar/639282")</f>
        <v>https://tablet.otzar.org/#/exKotar/639282</v>
      </c>
    </row>
    <row r="2287" spans="1:8" x14ac:dyDescent="0.25">
      <c r="A2287">
        <v>643196</v>
      </c>
      <c r="B2287" t="s">
        <v>3590</v>
      </c>
      <c r="C2287" t="s">
        <v>3591</v>
      </c>
      <c r="D2287" t="s">
        <v>3592</v>
      </c>
      <c r="E2287" t="s">
        <v>24</v>
      </c>
      <c r="F2287" t="s">
        <v>3593</v>
      </c>
      <c r="G2287" t="str">
        <f>HYPERLINK(_xlfn.CONCAT("https://tablet.otzar.org/",CHAR(35),"/book/643196/p/-1/t/1/fs/0/start/0/end/0/c"),"שמעתתא אליבא דהילכתא א")</f>
        <v>שמעתתא אליבא דהילכתא א</v>
      </c>
      <c r="H2287" t="str">
        <f>_xlfn.CONCAT("https://tablet.otzar.org/",CHAR(35),"/book/643196/p/-1/t/1/fs/0/start/0/end/0/c")</f>
        <v>https://tablet.otzar.org/#/book/643196/p/-1/t/1/fs/0/start/0/end/0/c</v>
      </c>
    </row>
    <row r="2288" spans="1:8" x14ac:dyDescent="0.25">
      <c r="A2288">
        <v>639927</v>
      </c>
      <c r="B2288" t="s">
        <v>3594</v>
      </c>
      <c r="C2288" t="s">
        <v>3595</v>
      </c>
      <c r="F2288" t="s">
        <v>25</v>
      </c>
      <c r="G2288" t="str">
        <f>HYPERLINK(_xlfn.CONCAT("https://tablet.otzar.org/",CHAR(35),"/book/639927/p/-1/t/1/fs/0/start/0/end/0/c"),"שני חיי עמרם")</f>
        <v>שני חיי עמרם</v>
      </c>
      <c r="H2288" t="str">
        <f>_xlfn.CONCAT("https://tablet.otzar.org/",CHAR(35),"/book/639927/p/-1/t/1/fs/0/start/0/end/0/c")</f>
        <v>https://tablet.otzar.org/#/book/639927/p/-1/t/1/fs/0/start/0/end/0/c</v>
      </c>
    </row>
    <row r="2289" spans="1:8" x14ac:dyDescent="0.25">
      <c r="A2289">
        <v>643211</v>
      </c>
      <c r="B2289" t="s">
        <v>3596</v>
      </c>
      <c r="C2289" t="s">
        <v>45</v>
      </c>
      <c r="D2289" t="s">
        <v>23</v>
      </c>
      <c r="E2289" t="s">
        <v>24</v>
      </c>
      <c r="G2289" t="str">
        <f>HYPERLINK(_xlfn.CONCAT("https://tablet.otzar.org/",CHAR(35),"/book/643211/p/-1/t/1/fs/0/start/0/end/0/c"),"שנים אוחזים בטלית")</f>
        <v>שנים אוחזים בטלית</v>
      </c>
      <c r="H2289" t="str">
        <f>_xlfn.CONCAT("https://tablet.otzar.org/",CHAR(35),"/book/643211/p/-1/t/1/fs/0/start/0/end/0/c")</f>
        <v>https://tablet.otzar.org/#/book/643211/p/-1/t/1/fs/0/start/0/end/0/c</v>
      </c>
    </row>
    <row r="2290" spans="1:8" x14ac:dyDescent="0.25">
      <c r="A2290">
        <v>26620</v>
      </c>
      <c r="B2290" t="s">
        <v>3597</v>
      </c>
      <c r="C2290" t="s">
        <v>45</v>
      </c>
      <c r="D2290" t="s">
        <v>10</v>
      </c>
      <c r="E2290" t="s">
        <v>148</v>
      </c>
      <c r="F2290" t="s">
        <v>12</v>
      </c>
      <c r="G2290" t="str">
        <f>HYPERLINK(_xlfn.CONCAT("https://tablet.otzar.org/",CHAR(35),"/book/26620/p/-1/t/1/fs/0/start/0/end/0/c"),"שנים אוחזין בטלית")</f>
        <v>שנים אוחזין בטלית</v>
      </c>
      <c r="H2290" t="str">
        <f>_xlfn.CONCAT("https://tablet.otzar.org/",CHAR(35),"/book/26620/p/-1/t/1/fs/0/start/0/end/0/c")</f>
        <v>https://tablet.otzar.org/#/book/26620/p/-1/t/1/fs/0/start/0/end/0/c</v>
      </c>
    </row>
    <row r="2291" spans="1:8" x14ac:dyDescent="0.25">
      <c r="A2291">
        <v>27739</v>
      </c>
      <c r="B2291" t="s">
        <v>3598</v>
      </c>
      <c r="C2291" t="s">
        <v>125</v>
      </c>
      <c r="D2291" t="s">
        <v>15</v>
      </c>
      <c r="E2291" t="s">
        <v>145</v>
      </c>
      <c r="F2291" t="s">
        <v>12</v>
      </c>
      <c r="G2291" t="str">
        <f>HYPERLINK(_xlfn.CONCAT("https://tablet.otzar.org/",CHAR(35),"/book/27739/p/-1/t/1/fs/0/start/0/end/0/c"),"שעורי התמימים")</f>
        <v>שעורי התמימים</v>
      </c>
      <c r="H2291" t="str">
        <f>_xlfn.CONCAT("https://tablet.otzar.org/",CHAR(35),"/book/27739/p/-1/t/1/fs/0/start/0/end/0/c")</f>
        <v>https://tablet.otzar.org/#/book/27739/p/-1/t/1/fs/0/start/0/end/0/c</v>
      </c>
    </row>
    <row r="2292" spans="1:8" x14ac:dyDescent="0.25">
      <c r="A2292">
        <v>141455</v>
      </c>
      <c r="B2292" t="s">
        <v>3599</v>
      </c>
      <c r="C2292" t="s">
        <v>639</v>
      </c>
      <c r="D2292" t="s">
        <v>37</v>
      </c>
      <c r="E2292" t="s">
        <v>145</v>
      </c>
      <c r="F2292" t="s">
        <v>12</v>
      </c>
      <c r="G2292" t="str">
        <f>HYPERLINK(_xlfn.CONCAT("https://tablet.otzar.org/",CHAR(35),"/book/141455/p/-1/t/1/fs/0/start/0/end/0/c"),"שער היחוד")</f>
        <v>שער היחוד</v>
      </c>
      <c r="H2292" t="str">
        <f>_xlfn.CONCAT("https://tablet.otzar.org/",CHAR(35),"/book/141455/p/-1/t/1/fs/0/start/0/end/0/c")</f>
        <v>https://tablet.otzar.org/#/book/141455/p/-1/t/1/fs/0/start/0/end/0/c</v>
      </c>
    </row>
    <row r="2293" spans="1:8" x14ac:dyDescent="0.25">
      <c r="A2293">
        <v>189069</v>
      </c>
      <c r="B2293" t="s">
        <v>3600</v>
      </c>
      <c r="C2293" t="s">
        <v>3601</v>
      </c>
      <c r="D2293" t="s">
        <v>28</v>
      </c>
      <c r="E2293" t="s">
        <v>19</v>
      </c>
      <c r="F2293" t="s">
        <v>12</v>
      </c>
      <c r="G2293" t="str">
        <f>HYPERLINK(_xlfn.CONCAT("https://tablet.otzar.org/",CHAR(35),"/book/189069/p/-1/t/1/fs/0/start/0/end/0/c"),"שער היחוד והאמונה &lt;עם ביאור המאור שבתורה&gt;")</f>
        <v>שער היחוד והאמונה &lt;עם ביאור המאור שבתורה&gt;</v>
      </c>
      <c r="H2293" t="str">
        <f>_xlfn.CONCAT("https://tablet.otzar.org/",CHAR(35),"/book/189069/p/-1/t/1/fs/0/start/0/end/0/c")</f>
        <v>https://tablet.otzar.org/#/book/189069/p/-1/t/1/fs/0/start/0/end/0/c</v>
      </c>
    </row>
    <row r="2294" spans="1:8" x14ac:dyDescent="0.25">
      <c r="A2294">
        <v>173503</v>
      </c>
      <c r="B2294" t="s">
        <v>3602</v>
      </c>
      <c r="C2294" t="s">
        <v>90</v>
      </c>
      <c r="D2294" t="s">
        <v>37</v>
      </c>
      <c r="E2294" t="s">
        <v>62</v>
      </c>
      <c r="F2294" t="s">
        <v>12</v>
      </c>
      <c r="G2294" t="str">
        <f>HYPERLINK(_xlfn.CONCAT("https://tablet.otzar.org/",CHAR(35),"/book/173503/p/-1/t/1/fs/0/start/0/end/0/c"),"שער היחוד והאמונה עם פירוש ועיונים")</f>
        <v>שער היחוד והאמונה עם פירוש ועיונים</v>
      </c>
      <c r="H2294" t="str">
        <f>_xlfn.CONCAT("https://tablet.otzar.org/",CHAR(35),"/book/173503/p/-1/t/1/fs/0/start/0/end/0/c")</f>
        <v>https://tablet.otzar.org/#/book/173503/p/-1/t/1/fs/0/start/0/end/0/c</v>
      </c>
    </row>
    <row r="2295" spans="1:8" x14ac:dyDescent="0.25">
      <c r="A2295">
        <v>167748</v>
      </c>
      <c r="B2295" t="s">
        <v>3603</v>
      </c>
      <c r="C2295" t="s">
        <v>90</v>
      </c>
      <c r="D2295" t="s">
        <v>28</v>
      </c>
      <c r="E2295" t="s">
        <v>91</v>
      </c>
      <c r="F2295" t="s">
        <v>96</v>
      </c>
      <c r="G2295" t="str">
        <f>HYPERLINK(_xlfn.CONCAT("https://tablet.otzar.org/",CHAR(35),"/book/167748/p/-1/t/1/fs/0/start/0/end/0/c"),"שער היחוד והאמונה עם שיעורי הרב יואל כהן")</f>
        <v>שער היחוד והאמונה עם שיעורי הרב יואל כהן</v>
      </c>
      <c r="H2295" t="str">
        <f>_xlfn.CONCAT("https://tablet.otzar.org/",CHAR(35),"/book/167748/p/-1/t/1/fs/0/start/0/end/0/c")</f>
        <v>https://tablet.otzar.org/#/book/167748/p/-1/t/1/fs/0/start/0/end/0/c</v>
      </c>
    </row>
    <row r="2296" spans="1:8" x14ac:dyDescent="0.25">
      <c r="A2296">
        <v>27037</v>
      </c>
      <c r="B2296" t="s">
        <v>3604</v>
      </c>
      <c r="C2296" t="s">
        <v>2782</v>
      </c>
      <c r="D2296" t="s">
        <v>10</v>
      </c>
      <c r="E2296" t="s">
        <v>192</v>
      </c>
      <c r="F2296" t="s">
        <v>12</v>
      </c>
      <c r="G2296" t="str">
        <f>HYPERLINK(_xlfn.CONCAT("https://tablet.otzar.org/",CHAR(35),"/book/27037/p/-1/t/1/fs/0/start/0/end/0/c"),"שער הכולל")</f>
        <v>שער הכולל</v>
      </c>
      <c r="H2296" t="str">
        <f>_xlfn.CONCAT("https://tablet.otzar.org/",CHAR(35),"/book/27037/p/-1/t/1/fs/0/start/0/end/0/c")</f>
        <v>https://tablet.otzar.org/#/book/27037/p/-1/t/1/fs/0/start/0/end/0/c</v>
      </c>
    </row>
    <row r="2297" spans="1:8" x14ac:dyDescent="0.25">
      <c r="A2297">
        <v>141714</v>
      </c>
      <c r="B2297" t="s">
        <v>3605</v>
      </c>
      <c r="C2297" t="s">
        <v>72</v>
      </c>
      <c r="D2297" t="s">
        <v>37</v>
      </c>
      <c r="E2297" t="s">
        <v>60</v>
      </c>
      <c r="G2297" t="str">
        <f>HYPERLINK(_xlfn.CONCAT("https://tablet.otzar.org/",CHAR(35),"/book/141714/p/-1/t/1/fs/0/start/0/end/0/c"),"שער התשובה והתפלה &lt;טקסט&gt;")</f>
        <v>שער התשובה והתפלה &lt;טקסט&gt;</v>
      </c>
      <c r="H2297" t="str">
        <f>_xlfn.CONCAT("https://tablet.otzar.org/",CHAR(35),"/book/141714/p/-1/t/1/fs/0/start/0/end/0/c")</f>
        <v>https://tablet.otzar.org/#/book/141714/p/-1/t/1/fs/0/start/0/end/0/c</v>
      </c>
    </row>
    <row r="2298" spans="1:8" x14ac:dyDescent="0.25">
      <c r="A2298">
        <v>628575</v>
      </c>
      <c r="B2298" t="s">
        <v>3606</v>
      </c>
      <c r="C2298" t="s">
        <v>102</v>
      </c>
      <c r="D2298" t="s">
        <v>15</v>
      </c>
      <c r="E2298" t="s">
        <v>148</v>
      </c>
      <c r="F2298" t="s">
        <v>379</v>
      </c>
      <c r="G2298" t="str">
        <f>HYPERLINK(_xlfn.CONCAT("https://tablet.otzar.org/",CHAR(35),"/book/628575/p/-1/t/1/fs/0/start/0/end/0/c"),"שערי אהבה ורצון")</f>
        <v>שערי אהבה ורצון</v>
      </c>
      <c r="H2298" t="str">
        <f>_xlfn.CONCAT("https://tablet.otzar.org/",CHAR(35),"/book/628575/p/-1/t/1/fs/0/start/0/end/0/c")</f>
        <v>https://tablet.otzar.org/#/book/628575/p/-1/t/1/fs/0/start/0/end/0/c</v>
      </c>
    </row>
    <row r="2299" spans="1:8" x14ac:dyDescent="0.25">
      <c r="A2299">
        <v>22067</v>
      </c>
      <c r="B2299" t="s">
        <v>3607</v>
      </c>
      <c r="C2299" t="s">
        <v>45</v>
      </c>
      <c r="D2299" t="s">
        <v>37</v>
      </c>
      <c r="E2299" t="s">
        <v>29</v>
      </c>
      <c r="F2299" t="s">
        <v>12</v>
      </c>
      <c r="G2299" t="str">
        <f>HYPERLINK(_xlfn.CONCAT("https://tablet.otzar.org/",CHAR(35),"/book/22067/p/-1/t/1/fs/0/start/0/end/0/c"),"שערי אהבת ישראל")</f>
        <v>שערי אהבת ישראל</v>
      </c>
      <c r="H2299" t="str">
        <f>_xlfn.CONCAT("https://tablet.otzar.org/",CHAR(35),"/book/22067/p/-1/t/1/fs/0/start/0/end/0/c")</f>
        <v>https://tablet.otzar.org/#/book/22067/p/-1/t/1/fs/0/start/0/end/0/c</v>
      </c>
    </row>
    <row r="2300" spans="1:8" x14ac:dyDescent="0.25">
      <c r="A2300">
        <v>141715</v>
      </c>
      <c r="B2300" t="s">
        <v>3608</v>
      </c>
      <c r="C2300" t="s">
        <v>72</v>
      </c>
      <c r="D2300" t="s">
        <v>37</v>
      </c>
      <c r="E2300" t="s">
        <v>60</v>
      </c>
      <c r="G2300" t="str">
        <f>HYPERLINK(_xlfn.CONCAT("https://tablet.otzar.org/",CHAR(35),"/book/141715/p/-1/t/1/fs/0/start/0/end/0/c"),"שערי אורה &lt;טקסט&gt;")</f>
        <v>שערי אורה &lt;טקסט&gt;</v>
      </c>
      <c r="H2300" t="str">
        <f>_xlfn.CONCAT("https://tablet.otzar.org/",CHAR(35),"/book/141715/p/-1/t/1/fs/0/start/0/end/0/c")</f>
        <v>https://tablet.otzar.org/#/book/141715/p/-1/t/1/fs/0/start/0/end/0/c</v>
      </c>
    </row>
    <row r="2301" spans="1:8" x14ac:dyDescent="0.25">
      <c r="A2301">
        <v>28762</v>
      </c>
      <c r="B2301" t="s">
        <v>3609</v>
      </c>
      <c r="C2301" t="s">
        <v>72</v>
      </c>
      <c r="D2301" t="s">
        <v>10</v>
      </c>
      <c r="E2301" t="s">
        <v>64</v>
      </c>
      <c r="F2301" t="s">
        <v>12</v>
      </c>
      <c r="G2301" t="str">
        <f>HYPERLINK(_xlfn.CONCAT("https://tablet.otzar.org/",CHAR(35),"/book/28762/p/-1/t/1/fs/0/start/0/end/0/c"),"שערי אורה")</f>
        <v>שערי אורה</v>
      </c>
      <c r="H2301" t="str">
        <f>_xlfn.CONCAT("https://tablet.otzar.org/",CHAR(35),"/book/28762/p/-1/t/1/fs/0/start/0/end/0/c")</f>
        <v>https://tablet.otzar.org/#/book/28762/p/-1/t/1/fs/0/start/0/end/0/c</v>
      </c>
    </row>
    <row r="2302" spans="1:8" x14ac:dyDescent="0.25">
      <c r="A2302">
        <v>22066</v>
      </c>
      <c r="B2302" t="s">
        <v>3610</v>
      </c>
      <c r="C2302" t="s">
        <v>45</v>
      </c>
      <c r="D2302" t="s">
        <v>37</v>
      </c>
      <c r="E2302" t="s">
        <v>260</v>
      </c>
      <c r="F2302" t="s">
        <v>12</v>
      </c>
      <c r="G2302" t="str">
        <f>HYPERLINK(_xlfn.CONCAT("https://tablet.otzar.org/",CHAR(35),"/exKotar/22066"),"שערי אמונה - 2 כרכים")</f>
        <v>שערי אמונה - 2 כרכים</v>
      </c>
      <c r="H2302" t="str">
        <f>_xlfn.CONCAT("https://tablet.otzar.org/",CHAR(35),"/exKotar/22066")</f>
        <v>https://tablet.otzar.org/#/exKotar/22066</v>
      </c>
    </row>
    <row r="2303" spans="1:8" x14ac:dyDescent="0.25">
      <c r="A2303">
        <v>22070</v>
      </c>
      <c r="B2303" t="s">
        <v>3611</v>
      </c>
      <c r="C2303" t="s">
        <v>45</v>
      </c>
      <c r="D2303" t="s">
        <v>37</v>
      </c>
      <c r="E2303" t="s">
        <v>54</v>
      </c>
      <c r="F2303" t="s">
        <v>12</v>
      </c>
      <c r="G2303" t="str">
        <f>HYPERLINK(_xlfn.CONCAT("https://tablet.otzar.org/",CHAR(35),"/book/22070/p/-1/t/1/fs/0/start/0/end/0/c"),"שערי ארץ ישראל")</f>
        <v>שערי ארץ ישראל</v>
      </c>
      <c r="H2303" t="str">
        <f>_xlfn.CONCAT("https://tablet.otzar.org/",CHAR(35),"/book/22070/p/-1/t/1/fs/0/start/0/end/0/c")</f>
        <v>https://tablet.otzar.org/#/book/22070/p/-1/t/1/fs/0/start/0/end/0/c</v>
      </c>
    </row>
    <row r="2304" spans="1:8" x14ac:dyDescent="0.25">
      <c r="A2304">
        <v>652321</v>
      </c>
      <c r="B2304" t="s">
        <v>3612</v>
      </c>
      <c r="C2304" t="s">
        <v>45</v>
      </c>
      <c r="D2304" t="s">
        <v>387</v>
      </c>
      <c r="E2304" t="s">
        <v>33</v>
      </c>
      <c r="F2304" t="s">
        <v>12</v>
      </c>
      <c r="G2304" t="str">
        <f>HYPERLINK(_xlfn.CONCAT("https://tablet.otzar.org/",CHAR(35),"/book/652321/p/-1/t/1/fs/0/start/0/end/0/c"),"שערי בר מצוה ומצות תפילין")</f>
        <v>שערי בר מצוה ומצות תפילין</v>
      </c>
      <c r="H2304" t="str">
        <f>_xlfn.CONCAT("https://tablet.otzar.org/",CHAR(35),"/book/652321/p/-1/t/1/fs/0/start/0/end/0/c")</f>
        <v>https://tablet.otzar.org/#/book/652321/p/-1/t/1/fs/0/start/0/end/0/c</v>
      </c>
    </row>
    <row r="2305" spans="1:8" x14ac:dyDescent="0.25">
      <c r="A2305">
        <v>22069</v>
      </c>
      <c r="B2305" t="s">
        <v>3613</v>
      </c>
      <c r="C2305" t="s">
        <v>45</v>
      </c>
      <c r="D2305" t="s">
        <v>37</v>
      </c>
      <c r="E2305" t="s">
        <v>46</v>
      </c>
      <c r="F2305" t="s">
        <v>12</v>
      </c>
      <c r="G2305" t="str">
        <f>HYPERLINK(_xlfn.CONCAT("https://tablet.otzar.org/",CHAR(35),"/exKotar/22069"),"שערי גאולה - 2 כרכים")</f>
        <v>שערי גאולה - 2 כרכים</v>
      </c>
      <c r="H2305" t="str">
        <f>_xlfn.CONCAT("https://tablet.otzar.org/",CHAR(35),"/exKotar/22069")</f>
        <v>https://tablet.otzar.org/#/exKotar/22069</v>
      </c>
    </row>
    <row r="2306" spans="1:8" x14ac:dyDescent="0.25">
      <c r="A2306">
        <v>22060</v>
      </c>
      <c r="B2306" t="s">
        <v>3614</v>
      </c>
      <c r="C2306" t="s">
        <v>45</v>
      </c>
      <c r="D2306" t="s">
        <v>37</v>
      </c>
      <c r="E2306" t="s">
        <v>38</v>
      </c>
      <c r="F2306" t="s">
        <v>12</v>
      </c>
      <c r="G2306" t="str">
        <f>HYPERLINK(_xlfn.CONCAT("https://tablet.otzar.org/",CHAR(35),"/exKotar/22060"),"שערי הלכה ומנהג - 4 כרכים")</f>
        <v>שערי הלכה ומנהג - 4 כרכים</v>
      </c>
      <c r="H2306" t="str">
        <f>_xlfn.CONCAT("https://tablet.otzar.org/",CHAR(35),"/exKotar/22060")</f>
        <v>https://tablet.otzar.org/#/exKotar/22060</v>
      </c>
    </row>
    <row r="2307" spans="1:8" x14ac:dyDescent="0.25">
      <c r="A2307">
        <v>22055</v>
      </c>
      <c r="B2307" t="s">
        <v>3615</v>
      </c>
      <c r="C2307" t="s">
        <v>45</v>
      </c>
      <c r="D2307" t="s">
        <v>37</v>
      </c>
      <c r="E2307" t="s">
        <v>134</v>
      </c>
      <c r="F2307" t="s">
        <v>12</v>
      </c>
      <c r="G2307" t="str">
        <f>HYPERLINK(_xlfn.CONCAT("https://tablet.otzar.org/",CHAR(35),"/exKotar/22055"),"שערי המועדים - 12 כרכים")</f>
        <v>שערי המועדים - 12 כרכים</v>
      </c>
      <c r="H2307" t="str">
        <f>_xlfn.CONCAT("https://tablet.otzar.org/",CHAR(35),"/exKotar/22055")</f>
        <v>https://tablet.otzar.org/#/exKotar/22055</v>
      </c>
    </row>
    <row r="2308" spans="1:8" x14ac:dyDescent="0.25">
      <c r="A2308">
        <v>145780</v>
      </c>
      <c r="B2308" t="s">
        <v>3616</v>
      </c>
      <c r="C2308" t="s">
        <v>125</v>
      </c>
      <c r="D2308" t="s">
        <v>629</v>
      </c>
      <c r="E2308" t="s">
        <v>103</v>
      </c>
      <c r="F2308" t="s">
        <v>251</v>
      </c>
      <c r="G2308" t="str">
        <f>HYPERLINK(_xlfn.CONCAT("https://tablet.otzar.org/",CHAR(35),"/exKotar/145780"),"שערי התמימים - 20 כרכים")</f>
        <v>שערי התמימים - 20 כרכים</v>
      </c>
      <c r="H2308" t="str">
        <f>_xlfn.CONCAT("https://tablet.otzar.org/",CHAR(35),"/exKotar/145780")</f>
        <v>https://tablet.otzar.org/#/exKotar/145780</v>
      </c>
    </row>
    <row r="2309" spans="1:8" x14ac:dyDescent="0.25">
      <c r="A2309">
        <v>53170</v>
      </c>
      <c r="B2309" t="s">
        <v>3617</v>
      </c>
      <c r="C2309" t="s">
        <v>45</v>
      </c>
      <c r="D2309" t="s">
        <v>37</v>
      </c>
      <c r="E2309" t="s">
        <v>60</v>
      </c>
      <c r="F2309" t="s">
        <v>12</v>
      </c>
      <c r="G2309" t="str">
        <f>HYPERLINK(_xlfn.CONCAT("https://tablet.otzar.org/",CHAR(35),"/book/53170/p/-1/t/1/fs/0/start/0/end/0/c"),"שערי חינוך")</f>
        <v>שערי חינוך</v>
      </c>
      <c r="H2309" t="str">
        <f>_xlfn.CONCAT("https://tablet.otzar.org/",CHAR(35),"/book/53170/p/-1/t/1/fs/0/start/0/end/0/c")</f>
        <v>https://tablet.otzar.org/#/book/53170/p/-1/t/1/fs/0/start/0/end/0/c</v>
      </c>
    </row>
    <row r="2310" spans="1:8" x14ac:dyDescent="0.25">
      <c r="A2310">
        <v>141249</v>
      </c>
      <c r="B2310" t="s">
        <v>3618</v>
      </c>
      <c r="C2310" t="s">
        <v>3619</v>
      </c>
      <c r="D2310" t="s">
        <v>10</v>
      </c>
      <c r="E2310" t="s">
        <v>757</v>
      </c>
      <c r="F2310" t="s">
        <v>12</v>
      </c>
      <c r="G2310" t="str">
        <f>HYPERLINK(_xlfn.CONCAT("https://tablet.otzar.org/",CHAR(35),"/book/141249/p/-1/t/1/fs/0/start/0/end/0/c"),"שערי יהודה - כתובות גיטין קידושין")</f>
        <v>שערי יהודה - כתובות גיטין קידושין</v>
      </c>
      <c r="H2310" t="str">
        <f>_xlfn.CONCAT("https://tablet.otzar.org/",CHAR(35),"/book/141249/p/-1/t/1/fs/0/start/0/end/0/c")</f>
        <v>https://tablet.otzar.org/#/book/141249/p/-1/t/1/fs/0/start/0/end/0/c</v>
      </c>
    </row>
    <row r="2311" spans="1:8" x14ac:dyDescent="0.25">
      <c r="A2311">
        <v>643042</v>
      </c>
      <c r="B2311" t="s">
        <v>3620</v>
      </c>
      <c r="C2311" t="s">
        <v>2019</v>
      </c>
      <c r="D2311" t="s">
        <v>15</v>
      </c>
      <c r="E2311" t="s">
        <v>54</v>
      </c>
      <c r="F2311" t="s">
        <v>3275</v>
      </c>
      <c r="G2311" t="str">
        <f>HYPERLINK(_xlfn.CONCAT("https://tablet.otzar.org/",CHAR(35),"/book/643042/p/-1/t/1/fs/0/start/0/end/0/c"),"שערי יורה דעה - (תערובות)")</f>
        <v>שערי יורה דעה - (תערובות)</v>
      </c>
      <c r="H2311" t="str">
        <f>_xlfn.CONCAT("https://tablet.otzar.org/",CHAR(35),"/book/643042/p/-1/t/1/fs/0/start/0/end/0/c")</f>
        <v>https://tablet.otzar.org/#/book/643042/p/-1/t/1/fs/0/start/0/end/0/c</v>
      </c>
    </row>
    <row r="2312" spans="1:8" x14ac:dyDescent="0.25">
      <c r="A2312">
        <v>27335</v>
      </c>
      <c r="B2312" t="s">
        <v>3621</v>
      </c>
      <c r="C2312" t="s">
        <v>125</v>
      </c>
      <c r="D2312" t="s">
        <v>412</v>
      </c>
      <c r="E2312" t="s">
        <v>515</v>
      </c>
      <c r="F2312" t="s">
        <v>12</v>
      </c>
      <c r="G2312" t="str">
        <f>HYPERLINK(_xlfn.CONCAT("https://tablet.otzar.org/",CHAR(35),"/exKotar/27335"),"שערי ישיבה - 16 כרכים")</f>
        <v>שערי ישיבה - 16 כרכים</v>
      </c>
      <c r="H2312" t="str">
        <f>_xlfn.CONCAT("https://tablet.otzar.org/",CHAR(35),"/exKotar/27335")</f>
        <v>https://tablet.otzar.org/#/exKotar/27335</v>
      </c>
    </row>
    <row r="2313" spans="1:8" x14ac:dyDescent="0.25">
      <c r="A2313">
        <v>145779</v>
      </c>
      <c r="B2313" t="s">
        <v>3622</v>
      </c>
      <c r="C2313" t="s">
        <v>125</v>
      </c>
      <c r="D2313" t="s">
        <v>1088</v>
      </c>
      <c r="E2313" t="s">
        <v>142</v>
      </c>
      <c r="F2313" t="s">
        <v>251</v>
      </c>
      <c r="G2313" t="str">
        <f>HYPERLINK(_xlfn.CONCAT("https://tablet.otzar.org/",CHAR(35),"/exKotar/145779"),"שערי ישיבה גדולה - 12 כרכים")</f>
        <v>שערי ישיבה גדולה - 12 כרכים</v>
      </c>
      <c r="H2313" t="str">
        <f>_xlfn.CONCAT("https://tablet.otzar.org/",CHAR(35),"/exKotar/145779")</f>
        <v>https://tablet.otzar.org/#/exKotar/145779</v>
      </c>
    </row>
    <row r="2314" spans="1:8" x14ac:dyDescent="0.25">
      <c r="A2314">
        <v>164371</v>
      </c>
      <c r="B2314" t="s">
        <v>3623</v>
      </c>
      <c r="C2314" t="s">
        <v>45</v>
      </c>
      <c r="D2314" t="s">
        <v>10</v>
      </c>
      <c r="E2314" t="s">
        <v>40</v>
      </c>
      <c r="F2314" t="s">
        <v>12</v>
      </c>
      <c r="G2314" t="str">
        <f>HYPERLINK(_xlfn.CONCAT("https://tablet.otzar.org/",CHAR(35),"/book/164371/p/-1/t/1/fs/0/start/0/end/0/c"),"שערי לימוד החסידות")</f>
        <v>שערי לימוד החסידות</v>
      </c>
      <c r="H2314" t="str">
        <f>_xlfn.CONCAT("https://tablet.otzar.org/",CHAR(35),"/book/164371/p/-1/t/1/fs/0/start/0/end/0/c")</f>
        <v>https://tablet.otzar.org/#/book/164371/p/-1/t/1/fs/0/start/0/end/0/c</v>
      </c>
    </row>
    <row r="2315" spans="1:8" x14ac:dyDescent="0.25">
      <c r="A2315">
        <v>53169</v>
      </c>
      <c r="B2315" t="s">
        <v>3624</v>
      </c>
      <c r="C2315" t="s">
        <v>45</v>
      </c>
      <c r="D2315" t="s">
        <v>37</v>
      </c>
      <c r="E2315" t="s">
        <v>60</v>
      </c>
      <c r="F2315" t="s">
        <v>12</v>
      </c>
      <c r="G2315" t="str">
        <f>HYPERLINK(_xlfn.CONCAT("https://tablet.otzar.org/",CHAR(35),"/book/53169/p/-1/t/1/fs/0/start/0/end/0/c"),"שערי נישואין")</f>
        <v>שערי נישואין</v>
      </c>
      <c r="H2315" t="str">
        <f>_xlfn.CONCAT("https://tablet.otzar.org/",CHAR(35),"/book/53169/p/-1/t/1/fs/0/start/0/end/0/c")</f>
        <v>https://tablet.otzar.org/#/book/53169/p/-1/t/1/fs/0/start/0/end/0/c</v>
      </c>
    </row>
    <row r="2316" spans="1:8" x14ac:dyDescent="0.25">
      <c r="A2316">
        <v>143260</v>
      </c>
      <c r="B2316" t="s">
        <v>3625</v>
      </c>
      <c r="C2316" t="s">
        <v>2527</v>
      </c>
      <c r="D2316" t="s">
        <v>10</v>
      </c>
      <c r="E2316" t="s">
        <v>75</v>
      </c>
      <c r="F2316" t="s">
        <v>94</v>
      </c>
      <c r="G2316" t="str">
        <f>HYPERLINK(_xlfn.CONCAT("https://tablet.otzar.org/",CHAR(35),"/exKotar/143260"),"שערי ספר התניא - 4 כרכים")</f>
        <v>שערי ספר התניא - 4 כרכים</v>
      </c>
      <c r="H2316" t="str">
        <f>_xlfn.CONCAT("https://tablet.otzar.org/",CHAR(35),"/exKotar/143260")</f>
        <v>https://tablet.otzar.org/#/exKotar/143260</v>
      </c>
    </row>
    <row r="2317" spans="1:8" x14ac:dyDescent="0.25">
      <c r="A2317">
        <v>607665</v>
      </c>
      <c r="B2317" t="s">
        <v>3626</v>
      </c>
      <c r="C2317" t="s">
        <v>3627</v>
      </c>
      <c r="D2317" t="s">
        <v>197</v>
      </c>
      <c r="E2317" t="s">
        <v>88</v>
      </c>
      <c r="F2317" t="s">
        <v>12</v>
      </c>
      <c r="G2317" t="str">
        <f>HYPERLINK(_xlfn.CONCAT("https://tablet.otzar.org/",CHAR(35),"/book/607665/p/-1/t/1/fs/0/start/0/end/0/c"),"שערי עיון")</f>
        <v>שערי עיון</v>
      </c>
      <c r="H2317" t="str">
        <f>_xlfn.CONCAT("https://tablet.otzar.org/",CHAR(35),"/book/607665/p/-1/t/1/fs/0/start/0/end/0/c")</f>
        <v>https://tablet.otzar.org/#/book/607665/p/-1/t/1/fs/0/start/0/end/0/c</v>
      </c>
    </row>
    <row r="2318" spans="1:8" x14ac:dyDescent="0.25">
      <c r="A2318">
        <v>26468</v>
      </c>
      <c r="B2318" t="s">
        <v>3628</v>
      </c>
      <c r="C2318" t="s">
        <v>1858</v>
      </c>
      <c r="D2318" t="s">
        <v>10</v>
      </c>
      <c r="E2318" t="s">
        <v>29</v>
      </c>
      <c r="F2318" t="s">
        <v>12</v>
      </c>
      <c r="G2318" t="str">
        <f>HYPERLINK(_xlfn.CONCAT("https://tablet.otzar.org/",CHAR(35),"/book/26468/p/-1/t/1/fs/0/start/0/end/0/c"),"שערי עיונים בדא""""ח")</f>
        <v>שערי עיונים בדא""ח</v>
      </c>
      <c r="H2318" t="str">
        <f>_xlfn.CONCAT("https://tablet.otzar.org/",CHAR(35),"/book/26468/p/-1/t/1/fs/0/start/0/end/0/c")</f>
        <v>https://tablet.otzar.org/#/book/26468/p/-1/t/1/fs/0/start/0/end/0/c</v>
      </c>
    </row>
    <row r="2319" spans="1:8" x14ac:dyDescent="0.25">
      <c r="A2319">
        <v>22071</v>
      </c>
      <c r="B2319" t="s">
        <v>3629</v>
      </c>
      <c r="C2319" t="s">
        <v>45</v>
      </c>
      <c r="D2319" t="s">
        <v>37</v>
      </c>
      <c r="E2319" t="s">
        <v>40</v>
      </c>
      <c r="F2319" t="s">
        <v>12</v>
      </c>
      <c r="G2319" t="str">
        <f>HYPERLINK(_xlfn.CONCAT("https://tablet.otzar.org/",CHAR(35),"/book/22071/p/-1/t/1/fs/0/start/0/end/0/c"),"שערי צדקה")</f>
        <v>שערי צדקה</v>
      </c>
      <c r="H2319" t="str">
        <f>_xlfn.CONCAT("https://tablet.otzar.org/",CHAR(35),"/book/22071/p/-1/t/1/fs/0/start/0/end/0/c")</f>
        <v>https://tablet.otzar.org/#/book/22071/p/-1/t/1/fs/0/start/0/end/0/c</v>
      </c>
    </row>
    <row r="2320" spans="1:8" x14ac:dyDescent="0.25">
      <c r="A2320">
        <v>154716</v>
      </c>
      <c r="B2320" t="s">
        <v>3630</v>
      </c>
      <c r="C2320" t="s">
        <v>3631</v>
      </c>
      <c r="D2320" t="s">
        <v>37</v>
      </c>
      <c r="E2320" t="s">
        <v>75</v>
      </c>
      <c r="F2320" t="s">
        <v>12</v>
      </c>
      <c r="G2320" t="str">
        <f>HYPERLINK(_xlfn.CONCAT("https://tablet.otzar.org/",CHAR(35),"/book/154716/p/-1/t/1/fs/0/start/0/end/0/c"),"שערי ציון")</f>
        <v>שערי ציון</v>
      </c>
      <c r="H2320" t="str">
        <f>_xlfn.CONCAT("https://tablet.otzar.org/",CHAR(35),"/book/154716/p/-1/t/1/fs/0/start/0/end/0/c")</f>
        <v>https://tablet.otzar.org/#/book/154716/p/-1/t/1/fs/0/start/0/end/0/c</v>
      </c>
    </row>
    <row r="2321" spans="1:8" x14ac:dyDescent="0.25">
      <c r="A2321">
        <v>144968</v>
      </c>
      <c r="B2321" t="s">
        <v>3632</v>
      </c>
      <c r="C2321" t="s">
        <v>45</v>
      </c>
      <c r="D2321" t="s">
        <v>37</v>
      </c>
      <c r="E2321" t="s">
        <v>33</v>
      </c>
      <c r="F2321" t="s">
        <v>76</v>
      </c>
      <c r="G2321" t="str">
        <f>HYPERLINK(_xlfn.CONCAT("https://tablet.otzar.org/",CHAR(35),"/book/144968/p/-1/t/1/fs/0/start/0/end/0/c"),"שערי שידוכין")</f>
        <v>שערי שידוכין</v>
      </c>
      <c r="H2321" t="str">
        <f>_xlfn.CONCAT("https://tablet.otzar.org/",CHAR(35),"/book/144968/p/-1/t/1/fs/0/start/0/end/0/c")</f>
        <v>https://tablet.otzar.org/#/book/144968/p/-1/t/1/fs/0/start/0/end/0/c</v>
      </c>
    </row>
    <row r="2322" spans="1:8" x14ac:dyDescent="0.25">
      <c r="A2322">
        <v>26515</v>
      </c>
      <c r="B2322" t="s">
        <v>3633</v>
      </c>
      <c r="C2322" t="s">
        <v>2650</v>
      </c>
      <c r="D2322" t="s">
        <v>1229</v>
      </c>
      <c r="E2322" t="s">
        <v>192</v>
      </c>
      <c r="F2322" t="s">
        <v>12</v>
      </c>
      <c r="G2322" t="str">
        <f>HYPERLINK(_xlfn.CONCAT("https://tablet.otzar.org/",CHAR(35),"/book/26515/p/-1/t/1/fs/0/start/0/end/0/c"),"שערי שלום")</f>
        <v>שערי שלום</v>
      </c>
      <c r="H2322" t="str">
        <f>_xlfn.CONCAT("https://tablet.otzar.org/",CHAR(35),"/book/26515/p/-1/t/1/fs/0/start/0/end/0/c")</f>
        <v>https://tablet.otzar.org/#/book/26515/p/-1/t/1/fs/0/start/0/end/0/c</v>
      </c>
    </row>
    <row r="2323" spans="1:8" x14ac:dyDescent="0.25">
      <c r="A2323">
        <v>22065</v>
      </c>
      <c r="B2323" t="s">
        <v>3634</v>
      </c>
      <c r="C2323" t="s">
        <v>45</v>
      </c>
      <c r="D2323" t="s">
        <v>37</v>
      </c>
      <c r="E2323" t="s">
        <v>29</v>
      </c>
      <c r="F2323" t="s">
        <v>12</v>
      </c>
      <c r="G2323" t="str">
        <f>HYPERLINK(_xlfn.CONCAT("https://tablet.otzar.org/",CHAR(35),"/book/22065/p/-1/t/1/fs/0/start/0/end/0/c"),"שערי שמיטה")</f>
        <v>שערי שמיטה</v>
      </c>
      <c r="H2323" t="str">
        <f>_xlfn.CONCAT("https://tablet.otzar.org/",CHAR(35),"/book/22065/p/-1/t/1/fs/0/start/0/end/0/c")</f>
        <v>https://tablet.otzar.org/#/book/22065/p/-1/t/1/fs/0/start/0/end/0/c</v>
      </c>
    </row>
    <row r="2324" spans="1:8" x14ac:dyDescent="0.25">
      <c r="A2324">
        <v>27903</v>
      </c>
      <c r="B2324" t="s">
        <v>3635</v>
      </c>
      <c r="C2324" t="s">
        <v>125</v>
      </c>
      <c r="D2324" t="s">
        <v>3636</v>
      </c>
      <c r="E2324" t="s">
        <v>57</v>
      </c>
      <c r="F2324" t="s">
        <v>12</v>
      </c>
      <c r="G2324" t="str">
        <f>HYPERLINK(_xlfn.CONCAT("https://tablet.otzar.org/",CHAR(35),"/book/27903/p/-1/t/1/fs/0/start/0/end/0/c"),"שערי תורה &lt;חב""""ד קרית גת&gt; - א")</f>
        <v>שערי תורה &lt;חב""ד קרית גת&gt; - א</v>
      </c>
      <c r="H2324" t="str">
        <f>_xlfn.CONCAT("https://tablet.otzar.org/",CHAR(35),"/book/27903/p/-1/t/1/fs/0/start/0/end/0/c")</f>
        <v>https://tablet.otzar.org/#/book/27903/p/-1/t/1/fs/0/start/0/end/0/c</v>
      </c>
    </row>
    <row r="2325" spans="1:8" x14ac:dyDescent="0.25">
      <c r="A2325">
        <v>145474</v>
      </c>
      <c r="B2325" t="s">
        <v>3637</v>
      </c>
      <c r="C2325" t="s">
        <v>125</v>
      </c>
      <c r="D2325" t="s">
        <v>3636</v>
      </c>
      <c r="E2325" t="s">
        <v>145</v>
      </c>
      <c r="F2325" t="s">
        <v>251</v>
      </c>
      <c r="G2325" t="str">
        <f>HYPERLINK(_xlfn.CONCAT("https://tablet.otzar.org/",CHAR(35),"/exKotar/145474"),"שערי תורה &lt;חב""""ד קאראקס&gt;  - 3 כרכים")</f>
        <v>שערי תורה &lt;חב""ד קאראקס&gt;  - 3 כרכים</v>
      </c>
      <c r="H2325" t="str">
        <f>_xlfn.CONCAT("https://tablet.otzar.org/",CHAR(35),"/exKotar/145474")</f>
        <v>https://tablet.otzar.org/#/exKotar/145474</v>
      </c>
    </row>
    <row r="2326" spans="1:8" x14ac:dyDescent="0.25">
      <c r="A2326">
        <v>165186</v>
      </c>
      <c r="B2326" t="s">
        <v>3638</v>
      </c>
      <c r="C2326" t="s">
        <v>125</v>
      </c>
      <c r="D2326" t="s">
        <v>3639</v>
      </c>
      <c r="E2326" t="s">
        <v>16</v>
      </c>
      <c r="F2326" t="s">
        <v>143</v>
      </c>
      <c r="G2326" t="str">
        <f>HYPERLINK(_xlfn.CONCAT("https://tablet.otzar.org/",CHAR(35),"/exKotar/165186"),"שערי תורה &lt;חב""""ד טבריא&gt; - 2 כרכים")</f>
        <v>שערי תורה &lt;חב""ד טבריא&gt; - 2 כרכים</v>
      </c>
      <c r="H2326" t="str">
        <f>_xlfn.CONCAT("https://tablet.otzar.org/",CHAR(35),"/exKotar/165186")</f>
        <v>https://tablet.otzar.org/#/exKotar/165186</v>
      </c>
    </row>
    <row r="2327" spans="1:8" x14ac:dyDescent="0.25">
      <c r="A2327">
        <v>85021</v>
      </c>
      <c r="B2327" t="s">
        <v>3640</v>
      </c>
      <c r="C2327" t="s">
        <v>45</v>
      </c>
      <c r="D2327" t="s">
        <v>37</v>
      </c>
      <c r="E2327" t="s">
        <v>226</v>
      </c>
      <c r="F2327" t="s">
        <v>149</v>
      </c>
      <c r="G2327" t="str">
        <f>HYPERLINK(_xlfn.CONCAT("https://tablet.otzar.org/",CHAR(35),"/book/85021/p/-1/t/1/fs/0/start/0/end/0/c"),"שערי תפילה")</f>
        <v>שערי תפילה</v>
      </c>
      <c r="H2327" t="str">
        <f>_xlfn.CONCAT("https://tablet.otzar.org/",CHAR(35),"/book/85021/p/-1/t/1/fs/0/start/0/end/0/c")</f>
        <v>https://tablet.otzar.org/#/book/85021/p/-1/t/1/fs/0/start/0/end/0/c</v>
      </c>
    </row>
    <row r="2328" spans="1:8" x14ac:dyDescent="0.25">
      <c r="A2328">
        <v>181495</v>
      </c>
      <c r="B2328" t="s">
        <v>3641</v>
      </c>
      <c r="C2328" t="s">
        <v>990</v>
      </c>
      <c r="D2328" t="s">
        <v>15</v>
      </c>
      <c r="E2328" t="s">
        <v>88</v>
      </c>
      <c r="F2328" t="s">
        <v>12</v>
      </c>
      <c r="G2328" t="str">
        <f>HYPERLINK(_xlfn.CONCAT("https://tablet.otzar.org/",CHAR(35),"/exKotar/181495"),"שערי תפילה ומנהג - 3 כרכים")</f>
        <v>שערי תפילה ומנהג - 3 כרכים</v>
      </c>
      <c r="H2328" t="str">
        <f>_xlfn.CONCAT("https://tablet.otzar.org/",CHAR(35),"/exKotar/181495")</f>
        <v>https://tablet.otzar.org/#/exKotar/181495</v>
      </c>
    </row>
    <row r="2329" spans="1:8" x14ac:dyDescent="0.25">
      <c r="A2329">
        <v>27068</v>
      </c>
      <c r="B2329" t="s">
        <v>3642</v>
      </c>
      <c r="C2329" t="s">
        <v>72</v>
      </c>
      <c r="D2329" t="s">
        <v>10</v>
      </c>
      <c r="E2329" t="s">
        <v>134</v>
      </c>
      <c r="G2329" t="str">
        <f>HYPERLINK(_xlfn.CONCAT("https://tablet.otzar.org/",CHAR(35),"/book/27068/p/-1/t/1/fs/0/start/0/end/0/c"),"שערי תשובה")</f>
        <v>שערי תשובה</v>
      </c>
      <c r="H2329" t="str">
        <f>_xlfn.CONCAT("https://tablet.otzar.org/",CHAR(35),"/book/27068/p/-1/t/1/fs/0/start/0/end/0/c")</f>
        <v>https://tablet.otzar.org/#/book/27068/p/-1/t/1/fs/0/start/0/end/0/c</v>
      </c>
    </row>
    <row r="2330" spans="1:8" x14ac:dyDescent="0.25">
      <c r="A2330">
        <v>626903</v>
      </c>
      <c r="B2330" t="s">
        <v>3643</v>
      </c>
      <c r="C2330" t="s">
        <v>102</v>
      </c>
      <c r="D2330" t="s">
        <v>15</v>
      </c>
      <c r="E2330" t="s">
        <v>99</v>
      </c>
      <c r="F2330" t="s">
        <v>208</v>
      </c>
      <c r="G2330" t="str">
        <f>HYPERLINK(_xlfn.CONCAT("https://tablet.otzar.org/",CHAR(35),"/exKotar/626903"),"שעשועים יום יום - 3 כרכים")</f>
        <v>שעשועים יום יום - 3 כרכים</v>
      </c>
      <c r="H2330" t="str">
        <f>_xlfn.CONCAT("https://tablet.otzar.org/",CHAR(35),"/exKotar/626903")</f>
        <v>https://tablet.otzar.org/#/exKotar/626903</v>
      </c>
    </row>
    <row r="2331" spans="1:8" x14ac:dyDescent="0.25">
      <c r="A2331">
        <v>195652</v>
      </c>
      <c r="B2331" t="s">
        <v>3644</v>
      </c>
      <c r="C2331" t="s">
        <v>48</v>
      </c>
      <c r="D2331" t="s">
        <v>15</v>
      </c>
      <c r="E2331" t="s">
        <v>19</v>
      </c>
      <c r="F2331" t="s">
        <v>12</v>
      </c>
      <c r="G2331" t="str">
        <f>HYPERLINK(_xlfn.CONCAT("https://tablet.otzar.org/",CHAR(35),"/book/195652/p/-1/t/1/fs/0/start/0/end/0/c"),"שפתי חיים")</f>
        <v>שפתי חיים</v>
      </c>
      <c r="H2331" t="str">
        <f>_xlfn.CONCAT("https://tablet.otzar.org/",CHAR(35),"/book/195652/p/-1/t/1/fs/0/start/0/end/0/c")</f>
        <v>https://tablet.otzar.org/#/book/195652/p/-1/t/1/fs/0/start/0/end/0/c</v>
      </c>
    </row>
    <row r="2332" spans="1:8" x14ac:dyDescent="0.25">
      <c r="A2332">
        <v>623762</v>
      </c>
      <c r="B2332" t="s">
        <v>3645</v>
      </c>
      <c r="C2332" t="s">
        <v>1350</v>
      </c>
      <c r="D2332" t="s">
        <v>28</v>
      </c>
      <c r="E2332" t="s">
        <v>62</v>
      </c>
      <c r="F2332" t="s">
        <v>131</v>
      </c>
      <c r="G2332" t="str">
        <f>HYPERLINK(_xlfn.CONCAT("https://tablet.otzar.org/",CHAR(35),"/book/623762/p/-1/t/1/fs/0/start/0/end/0/c"),"שש אנכי על אמרתך")</f>
        <v>שש אנכי על אמרתך</v>
      </c>
      <c r="H2332" t="str">
        <f>_xlfn.CONCAT("https://tablet.otzar.org/",CHAR(35),"/book/623762/p/-1/t/1/fs/0/start/0/end/0/c")</f>
        <v>https://tablet.otzar.org/#/book/623762/p/-1/t/1/fs/0/start/0/end/0/c</v>
      </c>
    </row>
    <row r="2333" spans="1:8" x14ac:dyDescent="0.25">
      <c r="A2333">
        <v>171803</v>
      </c>
      <c r="B2333" t="s">
        <v>3646</v>
      </c>
      <c r="C2333" t="s">
        <v>3647</v>
      </c>
      <c r="D2333" t="s">
        <v>431</v>
      </c>
      <c r="E2333" t="s">
        <v>62</v>
      </c>
      <c r="F2333" t="s">
        <v>12</v>
      </c>
      <c r="G2333" t="str">
        <f>HYPERLINK(_xlfn.CONCAT("https://tablet.otzar.org/",CHAR(35),"/book/171803/p/-1/t/1/fs/0/start/0/end/0/c"),"שש על אמרתך - בר מצוה")</f>
        <v>שש על אמרתך - בר מצוה</v>
      </c>
      <c r="H2333" t="str">
        <f>_xlfn.CONCAT("https://tablet.otzar.org/",CHAR(35),"/book/171803/p/-1/t/1/fs/0/start/0/end/0/c")</f>
        <v>https://tablet.otzar.org/#/book/171803/p/-1/t/1/fs/0/start/0/end/0/c</v>
      </c>
    </row>
    <row r="2334" spans="1:8" x14ac:dyDescent="0.25">
      <c r="A2334">
        <v>181634</v>
      </c>
      <c r="B2334" t="s">
        <v>3648</v>
      </c>
      <c r="C2334" t="s">
        <v>125</v>
      </c>
      <c r="D2334" t="s">
        <v>10</v>
      </c>
      <c r="E2334" t="s">
        <v>88</v>
      </c>
      <c r="F2334" t="s">
        <v>25</v>
      </c>
      <c r="G2334" t="str">
        <f>HYPERLINK(_xlfn.CONCAT("https://tablet.otzar.org/",CHAR(35),"/book/181634/p/-1/t/1/fs/0/start/0/end/0/c"),"תא חזי")</f>
        <v>תא חזי</v>
      </c>
      <c r="H2334" t="str">
        <f>_xlfn.CONCAT("https://tablet.otzar.org/",CHAR(35),"/book/181634/p/-1/t/1/fs/0/start/0/end/0/c")</f>
        <v>https://tablet.otzar.org/#/book/181634/p/-1/t/1/fs/0/start/0/end/0/c</v>
      </c>
    </row>
    <row r="2335" spans="1:8" x14ac:dyDescent="0.25">
      <c r="A2335">
        <v>26943</v>
      </c>
      <c r="B2335" t="s">
        <v>3649</v>
      </c>
      <c r="C2335" t="s">
        <v>381</v>
      </c>
      <c r="D2335" t="s">
        <v>15</v>
      </c>
      <c r="E2335" t="s">
        <v>40</v>
      </c>
      <c r="F2335" t="s">
        <v>12</v>
      </c>
      <c r="G2335" t="str">
        <f>HYPERLINK(_xlfn.CONCAT("https://tablet.otzar.org/",CHAR(35),"/book/26943/p/-1/t/1/fs/0/start/0/end/0/c"),"תאריכים בדברי ימי חב""""ד")</f>
        <v>תאריכים בדברי ימי חב""ד</v>
      </c>
      <c r="H2335" t="str">
        <f>_xlfn.CONCAT("https://tablet.otzar.org/",CHAR(35),"/book/26943/p/-1/t/1/fs/0/start/0/end/0/c")</f>
        <v>https://tablet.otzar.org/#/book/26943/p/-1/t/1/fs/0/start/0/end/0/c</v>
      </c>
    </row>
    <row r="2336" spans="1:8" x14ac:dyDescent="0.25">
      <c r="A2336">
        <v>174539</v>
      </c>
      <c r="B2336" t="s">
        <v>3650</v>
      </c>
      <c r="C2336" t="s">
        <v>1265</v>
      </c>
      <c r="D2336" t="s">
        <v>28</v>
      </c>
      <c r="E2336" t="s">
        <v>91</v>
      </c>
      <c r="F2336" t="s">
        <v>12</v>
      </c>
      <c r="G2336" t="str">
        <f>HYPERLINK(_xlfn.CONCAT("https://tablet.otzar.org/",CHAR(35),"/book/174539/p/-1/t/1/fs/0/start/0/end/0/c"),"תגלנה עצמות דיכית")</f>
        <v>תגלנה עצמות דיכית</v>
      </c>
      <c r="H2336" t="str">
        <f>_xlfn.CONCAT("https://tablet.otzar.org/",CHAR(35),"/book/174539/p/-1/t/1/fs/0/start/0/end/0/c")</f>
        <v>https://tablet.otzar.org/#/book/174539/p/-1/t/1/fs/0/start/0/end/0/c</v>
      </c>
    </row>
    <row r="2337" spans="1:8" x14ac:dyDescent="0.25">
      <c r="A2337">
        <v>27563</v>
      </c>
      <c r="B2337" t="s">
        <v>3651</v>
      </c>
      <c r="C2337" t="s">
        <v>3652</v>
      </c>
      <c r="D2337" t="s">
        <v>469</v>
      </c>
      <c r="E2337" t="s">
        <v>54</v>
      </c>
      <c r="F2337" t="s">
        <v>12</v>
      </c>
      <c r="G2337" t="str">
        <f>HYPERLINK(_xlfn.CONCAT("https://tablet.otzar.org/",CHAR(35),"/book/27563/p/-1/t/1/fs/0/start/0/end/0/c"),"תדפיס מספר תולדות בערל בוימגארטען")</f>
        <v>תדפיס מספר תולדות בערל בוימגארטען</v>
      </c>
      <c r="H2337" t="str">
        <f>_xlfn.CONCAT("https://tablet.otzar.org/",CHAR(35),"/book/27563/p/-1/t/1/fs/0/start/0/end/0/c")</f>
        <v>https://tablet.otzar.org/#/book/27563/p/-1/t/1/fs/0/start/0/end/0/c</v>
      </c>
    </row>
    <row r="2338" spans="1:8" x14ac:dyDescent="0.25">
      <c r="A2338">
        <v>142185</v>
      </c>
      <c r="B2338" t="s">
        <v>3653</v>
      </c>
      <c r="C2338" t="s">
        <v>45</v>
      </c>
      <c r="D2338" t="s">
        <v>10</v>
      </c>
      <c r="E2338" t="s">
        <v>174</v>
      </c>
      <c r="F2338" t="s">
        <v>12</v>
      </c>
      <c r="G2338" t="str">
        <f>HYPERLINK(_xlfn.CONCAT("https://tablet.otzar.org/",CHAR(35),"/exKotar/142185"),"תהלים אהל יוסף יצחק ע""""פ תהלות מנחם - 5 כרכים")</f>
        <v>תהלים אהל יוסף יצחק ע""פ תהלות מנחם - 5 כרכים</v>
      </c>
      <c r="H2338" t="str">
        <f>_xlfn.CONCAT("https://tablet.otzar.org/",CHAR(35),"/exKotar/142185")</f>
        <v>https://tablet.otzar.org/#/exKotar/142185</v>
      </c>
    </row>
    <row r="2339" spans="1:8" x14ac:dyDescent="0.25">
      <c r="A2339">
        <v>102516</v>
      </c>
      <c r="B2339" t="s">
        <v>3654</v>
      </c>
      <c r="C2339" t="s">
        <v>61</v>
      </c>
      <c r="D2339" t="s">
        <v>10</v>
      </c>
      <c r="E2339" t="s">
        <v>3655</v>
      </c>
      <c r="G2339" t="str">
        <f>HYPERLINK(_xlfn.CONCAT("https://tablet.otzar.org/",CHAR(35),"/book/102516/p/-1/t/1/fs/0/start/0/end/0/c"),"תהלים עם פירוש יהל אור")</f>
        <v>תהלים עם פירוש יהל אור</v>
      </c>
      <c r="H2339" t="str">
        <f>_xlfn.CONCAT("https://tablet.otzar.org/",CHAR(35),"/book/102516/p/-1/t/1/fs/0/start/0/end/0/c")</f>
        <v>https://tablet.otzar.org/#/book/102516/p/-1/t/1/fs/0/start/0/end/0/c</v>
      </c>
    </row>
    <row r="2340" spans="1:8" x14ac:dyDescent="0.25">
      <c r="A2340">
        <v>150685</v>
      </c>
      <c r="B2340" t="s">
        <v>3656</v>
      </c>
      <c r="C2340" t="s">
        <v>45</v>
      </c>
      <c r="D2340" t="s">
        <v>10</v>
      </c>
      <c r="E2340" t="s">
        <v>174</v>
      </c>
      <c r="F2340" t="s">
        <v>12</v>
      </c>
      <c r="G2340" t="str">
        <f>HYPERLINK(_xlfn.CONCAT("https://tablet.otzar.org/",CHAR(35),"/exKotar/150685"),"תהלים עם פירוש תהלות מנחם - 2 כרכים")</f>
        <v>תהלים עם פירוש תהלות מנחם - 2 כרכים</v>
      </c>
      <c r="H2340" t="str">
        <f>_xlfn.CONCAT("https://tablet.otzar.org/",CHAR(35),"/exKotar/150685")</f>
        <v>https://tablet.otzar.org/#/exKotar/150685</v>
      </c>
    </row>
    <row r="2341" spans="1:8" x14ac:dyDescent="0.25">
      <c r="A2341">
        <v>167730</v>
      </c>
      <c r="B2341" t="s">
        <v>3657</v>
      </c>
      <c r="C2341" t="s">
        <v>3658</v>
      </c>
      <c r="D2341" t="s">
        <v>315</v>
      </c>
      <c r="E2341" t="s">
        <v>49</v>
      </c>
      <c r="F2341" t="s">
        <v>12</v>
      </c>
      <c r="G2341" t="str">
        <f>HYPERLINK(_xlfn.CONCAT("https://tablet.otzar.org/",CHAR(35),"/book/167730/p/-1/t/1/fs/0/start/0/end/0/c"),"תהלים עם תרגום ספרדית")</f>
        <v>תהלים עם תרגום ספרדית</v>
      </c>
      <c r="H2341" t="str">
        <f>_xlfn.CONCAT("https://tablet.otzar.org/",CHAR(35),"/book/167730/p/-1/t/1/fs/0/start/0/end/0/c")</f>
        <v>https://tablet.otzar.org/#/book/167730/p/-1/t/1/fs/0/start/0/end/0/c</v>
      </c>
    </row>
    <row r="2342" spans="1:8" x14ac:dyDescent="0.25">
      <c r="A2342">
        <v>162745</v>
      </c>
      <c r="B2342" t="s">
        <v>3659</v>
      </c>
      <c r="C2342" t="s">
        <v>2863</v>
      </c>
      <c r="D2342" t="s">
        <v>15</v>
      </c>
      <c r="E2342" t="s">
        <v>49</v>
      </c>
      <c r="F2342" t="s">
        <v>208</v>
      </c>
      <c r="G2342" t="str">
        <f>HYPERLINK(_xlfn.CONCAT("https://tablet.otzar.org/",CHAR(35),"/book/162745/p/-1/t/1/fs/0/start/0/end/0/c"),"תהלים עם תרגום רוסית")</f>
        <v>תהלים עם תרגום רוסית</v>
      </c>
      <c r="H2342" t="str">
        <f>_xlfn.CONCAT("https://tablet.otzar.org/",CHAR(35),"/book/162745/p/-1/t/1/fs/0/start/0/end/0/c")</f>
        <v>https://tablet.otzar.org/#/book/162745/p/-1/t/1/fs/0/start/0/end/0/c</v>
      </c>
    </row>
    <row r="2343" spans="1:8" x14ac:dyDescent="0.25">
      <c r="A2343">
        <v>145957</v>
      </c>
      <c r="B2343" t="s">
        <v>3660</v>
      </c>
      <c r="C2343" t="s">
        <v>122</v>
      </c>
      <c r="D2343" t="s">
        <v>28</v>
      </c>
      <c r="E2343" t="s">
        <v>91</v>
      </c>
      <c r="F2343" t="s">
        <v>12</v>
      </c>
      <c r="G2343" t="str">
        <f>HYPERLINK(_xlfn.CONCAT("https://tablet.otzar.org/",CHAR(35),"/book/145957/p/-1/t/1/fs/0/start/0/end/0/c"),"תהלים פ""""ט עם ילקוט פירושים")</f>
        <v>תהלים פ""ט עם ילקוט פירושים</v>
      </c>
      <c r="H2343" t="str">
        <f>_xlfn.CONCAT("https://tablet.otzar.org/",CHAR(35),"/book/145957/p/-1/t/1/fs/0/start/0/end/0/c")</f>
        <v>https://tablet.otzar.org/#/book/145957/p/-1/t/1/fs/0/start/0/end/0/c</v>
      </c>
    </row>
    <row r="2344" spans="1:8" x14ac:dyDescent="0.25">
      <c r="A2344">
        <v>173570</v>
      </c>
      <c r="B2344" t="s">
        <v>3661</v>
      </c>
      <c r="C2344" t="s">
        <v>990</v>
      </c>
      <c r="D2344" t="s">
        <v>15</v>
      </c>
      <c r="E2344" t="s">
        <v>16</v>
      </c>
      <c r="F2344" t="s">
        <v>12</v>
      </c>
      <c r="G2344" t="str">
        <f>HYPERLINK(_xlfn.CONCAT("https://tablet.otzar.org/",CHAR(35),"/book/173570/p/-1/t/1/fs/0/start/0/end/0/c"),"תהלת רבותינו - ברכות השחר, הודו")</f>
        <v>תהלת רבותינו - ברכות השחר, הודו</v>
      </c>
      <c r="H2344" t="str">
        <f>_xlfn.CONCAT("https://tablet.otzar.org/",CHAR(35),"/book/173570/p/-1/t/1/fs/0/start/0/end/0/c")</f>
        <v>https://tablet.otzar.org/#/book/173570/p/-1/t/1/fs/0/start/0/end/0/c</v>
      </c>
    </row>
    <row r="2345" spans="1:8" x14ac:dyDescent="0.25">
      <c r="A2345">
        <v>167753</v>
      </c>
      <c r="B2345" t="s">
        <v>3662</v>
      </c>
      <c r="C2345" t="s">
        <v>125</v>
      </c>
      <c r="D2345" t="s">
        <v>15</v>
      </c>
      <c r="E2345" t="s">
        <v>82</v>
      </c>
      <c r="F2345" t="s">
        <v>12</v>
      </c>
      <c r="G2345" t="str">
        <f>HYPERLINK(_xlfn.CONCAT("https://tablet.otzar.org/",CHAR(35),"/book/167753/p/-1/t/1/fs/0/start/0/end/0/c"),"תהלתו עומדת לעד")</f>
        <v>תהלתו עומדת לעד</v>
      </c>
      <c r="H2345" t="str">
        <f>_xlfn.CONCAT("https://tablet.otzar.org/",CHAR(35),"/book/167753/p/-1/t/1/fs/0/start/0/end/0/c")</f>
        <v>https://tablet.otzar.org/#/book/167753/p/-1/t/1/fs/0/start/0/end/0/c</v>
      </c>
    </row>
    <row r="2346" spans="1:8" x14ac:dyDescent="0.25">
      <c r="A2346">
        <v>181122</v>
      </c>
      <c r="B2346" t="s">
        <v>3663</v>
      </c>
      <c r="C2346" t="s">
        <v>3664</v>
      </c>
      <c r="D2346" t="s">
        <v>15</v>
      </c>
      <c r="E2346" t="s">
        <v>88</v>
      </c>
      <c r="F2346" t="s">
        <v>12</v>
      </c>
      <c r="G2346" t="str">
        <f>HYPERLINK(_xlfn.CONCAT("https://tablet.otzar.org/",CHAR(35),"/book/181122/p/-1/t/1/fs/0/start/0/end/0/c"),"תוכן הענינים על לקוטי שיחות ספר בראשית חודש ניסן")</f>
        <v>תוכן הענינים על לקוטי שיחות ספר בראשית חודש ניסן</v>
      </c>
      <c r="H2346" t="str">
        <f>_xlfn.CONCAT("https://tablet.otzar.org/",CHAR(35),"/book/181122/p/-1/t/1/fs/0/start/0/end/0/c")</f>
        <v>https://tablet.otzar.org/#/book/181122/p/-1/t/1/fs/0/start/0/end/0/c</v>
      </c>
    </row>
    <row r="2347" spans="1:8" x14ac:dyDescent="0.25">
      <c r="A2347">
        <v>146537</v>
      </c>
      <c r="B2347" t="s">
        <v>3665</v>
      </c>
      <c r="C2347" t="s">
        <v>3665</v>
      </c>
      <c r="D2347" t="s">
        <v>910</v>
      </c>
      <c r="E2347" t="s">
        <v>29</v>
      </c>
      <c r="F2347" t="s">
        <v>12</v>
      </c>
      <c r="G2347" t="str">
        <f>HYPERLINK(_xlfn.CONCAT("https://tablet.otzar.org/",CHAR(35),"/book/146537/p/-1/t/1/fs/0/start/0/end/0/c"),"תוכן השיחות היומיות")</f>
        <v>תוכן השיחות היומיות</v>
      </c>
      <c r="H2347" t="str">
        <f>_xlfn.CONCAT("https://tablet.otzar.org/",CHAR(35),"/book/146537/p/-1/t/1/fs/0/start/0/end/0/c")</f>
        <v>https://tablet.otzar.org/#/book/146537/p/-1/t/1/fs/0/start/0/end/0/c</v>
      </c>
    </row>
    <row r="2348" spans="1:8" x14ac:dyDescent="0.25">
      <c r="A2348">
        <v>146170</v>
      </c>
      <c r="B2348" t="s">
        <v>3666</v>
      </c>
      <c r="C2348" t="s">
        <v>45</v>
      </c>
      <c r="D2348" t="s">
        <v>440</v>
      </c>
      <c r="E2348" t="s">
        <v>107</v>
      </c>
      <c r="F2348" t="s">
        <v>12</v>
      </c>
      <c r="G2348" t="str">
        <f>HYPERLINK(_xlfn.CONCAT("https://tablet.otzar.org/",CHAR(35),"/exKotar/146170"),"תוכן התועדות - 3 כרכים")</f>
        <v>תוכן התועדות - 3 כרכים</v>
      </c>
      <c r="H2348" t="str">
        <f>_xlfn.CONCAT("https://tablet.otzar.org/",CHAR(35),"/exKotar/146170")</f>
        <v>https://tablet.otzar.org/#/exKotar/146170</v>
      </c>
    </row>
    <row r="2349" spans="1:8" x14ac:dyDescent="0.25">
      <c r="A2349">
        <v>642059</v>
      </c>
      <c r="B2349" t="s">
        <v>3667</v>
      </c>
      <c r="C2349" t="s">
        <v>595</v>
      </c>
      <c r="E2349" t="s">
        <v>757</v>
      </c>
      <c r="F2349" t="s">
        <v>12</v>
      </c>
      <c r="G2349" t="str">
        <f>HYPERLINK(_xlfn.CONCAT("https://tablet.otzar.org/",CHAR(35),"/exKotar/642059"),"תוכן עניינים בדא""""ח לחזור בבתי כנסיות - 47 כרכים")</f>
        <v>תוכן עניינים בדא""ח לחזור בבתי כנסיות - 47 כרכים</v>
      </c>
      <c r="H2349" t="str">
        <f>_xlfn.CONCAT("https://tablet.otzar.org/",CHAR(35),"/exKotar/642059")</f>
        <v>https://tablet.otzar.org/#/exKotar/642059</v>
      </c>
    </row>
    <row r="2350" spans="1:8" x14ac:dyDescent="0.25">
      <c r="A2350">
        <v>653701</v>
      </c>
      <c r="B2350" t="s">
        <v>3668</v>
      </c>
      <c r="C2350" t="s">
        <v>1021</v>
      </c>
      <c r="D2350" t="s">
        <v>28</v>
      </c>
      <c r="E2350" t="s">
        <v>166</v>
      </c>
      <c r="G2350" t="str">
        <f>HYPERLINK(_xlfn.CONCAT("https://tablet.otzar.org/",CHAR(35),"/book/653701/p/-1/t/1/fs/0/start/0/end/0/c"),"תוכן קצר ליקוטי תורה ותורה אור")</f>
        <v>תוכן קצר ליקוטי תורה ותורה אור</v>
      </c>
      <c r="H2350" t="str">
        <f>_xlfn.CONCAT("https://tablet.otzar.org/",CHAR(35),"/book/653701/p/-1/t/1/fs/0/start/0/end/0/c")</f>
        <v>https://tablet.otzar.org/#/book/653701/p/-1/t/1/fs/0/start/0/end/0/c</v>
      </c>
    </row>
    <row r="2351" spans="1:8" x14ac:dyDescent="0.25">
      <c r="A2351">
        <v>27078</v>
      </c>
      <c r="B2351" t="s">
        <v>3669</v>
      </c>
      <c r="C2351" t="s">
        <v>27</v>
      </c>
      <c r="D2351" t="s">
        <v>10</v>
      </c>
      <c r="E2351" t="s">
        <v>129</v>
      </c>
      <c r="F2351" t="s">
        <v>12</v>
      </c>
      <c r="G2351" t="str">
        <f>HYPERLINK(_xlfn.CONCAT("https://tablet.otzar.org/",CHAR(35),"/book/27078/p/-1/t/1/fs/0/start/0/end/0/c"),"תולדות אברהם חיים")</f>
        <v>תולדות אברהם חיים</v>
      </c>
      <c r="H2351" t="str">
        <f>_xlfn.CONCAT("https://tablet.otzar.org/",CHAR(35),"/book/27078/p/-1/t/1/fs/0/start/0/end/0/c")</f>
        <v>https://tablet.otzar.org/#/book/27078/p/-1/t/1/fs/0/start/0/end/0/c</v>
      </c>
    </row>
    <row r="2352" spans="1:8" x14ac:dyDescent="0.25">
      <c r="A2352">
        <v>141716</v>
      </c>
      <c r="B2352" t="s">
        <v>3670</v>
      </c>
      <c r="C2352" t="s">
        <v>27</v>
      </c>
      <c r="D2352" t="s">
        <v>37</v>
      </c>
      <c r="E2352" t="s">
        <v>60</v>
      </c>
      <c r="F2352" t="s">
        <v>12</v>
      </c>
      <c r="G2352" t="str">
        <f>HYPERLINK(_xlfn.CONCAT("https://tablet.otzar.org/",CHAR(35),"/book/141716/p/-1/t/1/fs/0/start/0/end/0/c"),"תולדות אברהם חיים &lt;טקסט&gt;")</f>
        <v>תולדות אברהם חיים &lt;טקסט&gt;</v>
      </c>
      <c r="H2352" t="str">
        <f>_xlfn.CONCAT("https://tablet.otzar.org/",CHAR(35),"/book/141716/p/-1/t/1/fs/0/start/0/end/0/c")</f>
        <v>https://tablet.otzar.org/#/book/141716/p/-1/t/1/fs/0/start/0/end/0/c</v>
      </c>
    </row>
    <row r="2353" spans="1:8" x14ac:dyDescent="0.25">
      <c r="A2353">
        <v>28753</v>
      </c>
      <c r="B2353" t="s">
        <v>3671</v>
      </c>
      <c r="C2353" t="s">
        <v>27</v>
      </c>
      <c r="D2353" t="s">
        <v>10</v>
      </c>
      <c r="E2353" t="s">
        <v>181</v>
      </c>
      <c r="F2353" t="s">
        <v>12</v>
      </c>
      <c r="G2353" t="str">
        <f>HYPERLINK(_xlfn.CONCAT("https://tablet.otzar.org/",CHAR(35),"/book/28753/p/-1/t/1/fs/0/start/0/end/0/c"),"תולדות חב""""ד בארץ הקודש")</f>
        <v>תולדות חב""ד בארץ הקודש</v>
      </c>
      <c r="H2353" t="str">
        <f>_xlfn.CONCAT("https://tablet.otzar.org/",CHAR(35),"/book/28753/p/-1/t/1/fs/0/start/0/end/0/c")</f>
        <v>https://tablet.otzar.org/#/book/28753/p/-1/t/1/fs/0/start/0/end/0/c</v>
      </c>
    </row>
    <row r="2354" spans="1:8" x14ac:dyDescent="0.25">
      <c r="A2354">
        <v>141717</v>
      </c>
      <c r="B2354" t="s">
        <v>3672</v>
      </c>
      <c r="C2354" t="s">
        <v>27</v>
      </c>
      <c r="D2354" t="s">
        <v>37</v>
      </c>
      <c r="E2354" t="s">
        <v>60</v>
      </c>
      <c r="F2354" t="s">
        <v>12</v>
      </c>
      <c r="G2354" t="str">
        <f>HYPERLINK(_xlfn.CONCAT("https://tablet.otzar.org/",CHAR(35),"/book/141717/p/-1/t/1/fs/0/start/0/end/0/c"),"תולדות חב""""ד בארץ הקודש &lt;טקסט&gt;")</f>
        <v>תולדות חב""ד בארץ הקודש &lt;טקסט&gt;</v>
      </c>
      <c r="H2354" t="str">
        <f>_xlfn.CONCAT("https://tablet.otzar.org/",CHAR(35),"/book/141717/p/-1/t/1/fs/0/start/0/end/0/c")</f>
        <v>https://tablet.otzar.org/#/book/141717/p/-1/t/1/fs/0/start/0/end/0/c</v>
      </c>
    </row>
    <row r="2355" spans="1:8" x14ac:dyDescent="0.25">
      <c r="A2355">
        <v>28751</v>
      </c>
      <c r="B2355" t="s">
        <v>3673</v>
      </c>
      <c r="C2355" t="s">
        <v>27</v>
      </c>
      <c r="D2355" t="s">
        <v>10</v>
      </c>
      <c r="E2355" t="s">
        <v>181</v>
      </c>
      <c r="F2355" t="s">
        <v>12</v>
      </c>
      <c r="G2355" t="str">
        <f>HYPERLINK(_xlfn.CONCAT("https://tablet.otzar.org/",CHAR(35),"/book/28751/p/-1/t/1/fs/0/start/0/end/0/c"),"תולדות חב""""ד בארצות הברית")</f>
        <v>תולדות חב""ד בארצות הברית</v>
      </c>
      <c r="H2355" t="str">
        <f>_xlfn.CONCAT("https://tablet.otzar.org/",CHAR(35),"/book/28751/p/-1/t/1/fs/0/start/0/end/0/c")</f>
        <v>https://tablet.otzar.org/#/book/28751/p/-1/t/1/fs/0/start/0/end/0/c</v>
      </c>
    </row>
    <row r="2356" spans="1:8" x14ac:dyDescent="0.25">
      <c r="A2356">
        <v>643270</v>
      </c>
      <c r="B2356" t="s">
        <v>3674</v>
      </c>
      <c r="C2356" t="s">
        <v>3675</v>
      </c>
      <c r="D2356" t="s">
        <v>28</v>
      </c>
      <c r="E2356" t="s">
        <v>24</v>
      </c>
      <c r="F2356" t="s">
        <v>12</v>
      </c>
      <c r="G2356" t="str">
        <f>HYPERLINK(_xlfn.CONCAT("https://tablet.otzar.org/",CHAR(35),"/book/643270/p/-1/t/1/fs/0/start/0/end/0/c"),"תולדות חב""""ד בחדרה")</f>
        <v>תולדות חב""ד בחדרה</v>
      </c>
      <c r="H2356" t="str">
        <f>_xlfn.CONCAT("https://tablet.otzar.org/",CHAR(35),"/book/643270/p/-1/t/1/fs/0/start/0/end/0/c")</f>
        <v>https://tablet.otzar.org/#/book/643270/p/-1/t/1/fs/0/start/0/end/0/c</v>
      </c>
    </row>
    <row r="2357" spans="1:8" x14ac:dyDescent="0.25">
      <c r="A2357">
        <v>646616</v>
      </c>
      <c r="B2357" t="s">
        <v>3676</v>
      </c>
      <c r="C2357" t="s">
        <v>3677</v>
      </c>
      <c r="F2357" t="s">
        <v>20</v>
      </c>
      <c r="G2357" t="str">
        <f>HYPERLINK(_xlfn.CONCAT("https://tablet.otzar.org/",CHAR(35),"/book/646616/p/-1/t/1/fs/0/start/0/end/0/c"),"תולדות חב""""ד במרוקו")</f>
        <v>תולדות חב""ד במרוקו</v>
      </c>
      <c r="H2357" t="str">
        <f>_xlfn.CONCAT("https://tablet.otzar.org/",CHAR(35),"/book/646616/p/-1/t/1/fs/0/start/0/end/0/c")</f>
        <v>https://tablet.otzar.org/#/book/646616/p/-1/t/1/fs/0/start/0/end/0/c</v>
      </c>
    </row>
    <row r="2358" spans="1:8" x14ac:dyDescent="0.25">
      <c r="A2358">
        <v>167725</v>
      </c>
      <c r="B2358" t="s">
        <v>3678</v>
      </c>
      <c r="C2358" t="s">
        <v>27</v>
      </c>
      <c r="D2358" t="s">
        <v>10</v>
      </c>
      <c r="E2358" t="s">
        <v>16</v>
      </c>
      <c r="F2358" t="s">
        <v>12</v>
      </c>
      <c r="G2358" t="str">
        <f>HYPERLINK(_xlfn.CONCAT("https://tablet.otzar.org/",CHAR(35),"/book/167725/p/-1/t/1/fs/0/start/0/end/0/c"),"תולדות חב""""ד בפולין, ליטא ולטביא")</f>
        <v>תולדות חב""ד בפולין, ליטא ולטביא</v>
      </c>
      <c r="H2358" t="str">
        <f>_xlfn.CONCAT("https://tablet.otzar.org/",CHAR(35),"/book/167725/p/-1/t/1/fs/0/start/0/end/0/c")</f>
        <v>https://tablet.otzar.org/#/book/167725/p/-1/t/1/fs/0/start/0/end/0/c</v>
      </c>
    </row>
    <row r="2359" spans="1:8" x14ac:dyDescent="0.25">
      <c r="A2359">
        <v>162899</v>
      </c>
      <c r="B2359" t="s">
        <v>3679</v>
      </c>
      <c r="C2359" t="s">
        <v>402</v>
      </c>
      <c r="D2359" t="s">
        <v>15</v>
      </c>
      <c r="E2359" t="s">
        <v>16</v>
      </c>
      <c r="F2359" t="s">
        <v>12</v>
      </c>
      <c r="G2359" t="str">
        <f>HYPERLINK(_xlfn.CONCAT("https://tablet.otzar.org/",CHAR(35),"/book/162899/p/-1/t/1/fs/0/start/0/end/0/c"),"תולדות חב""""ד בפטרבורג")</f>
        <v>תולדות חב""ד בפטרבורג</v>
      </c>
      <c r="H2359" t="str">
        <f>_xlfn.CONCAT("https://tablet.otzar.org/",CHAR(35),"/book/162899/p/-1/t/1/fs/0/start/0/end/0/c")</f>
        <v>https://tablet.otzar.org/#/book/162899/p/-1/t/1/fs/0/start/0/end/0/c</v>
      </c>
    </row>
    <row r="2360" spans="1:8" x14ac:dyDescent="0.25">
      <c r="A2360">
        <v>171724</v>
      </c>
      <c r="B2360" t="s">
        <v>3680</v>
      </c>
      <c r="C2360" t="s">
        <v>27</v>
      </c>
      <c r="D2360" t="s">
        <v>10</v>
      </c>
      <c r="E2360" t="s">
        <v>49</v>
      </c>
      <c r="F2360" t="s">
        <v>12</v>
      </c>
      <c r="G2360" t="str">
        <f>HYPERLINK(_xlfn.CONCAT("https://tablet.otzar.org/",CHAR(35),"/book/171724/p/-1/t/1/fs/0/start/0/end/0/c"),"תולדות חב""""ד ברוסיא הצארית")</f>
        <v>תולדות חב""ד ברוסיא הצארית</v>
      </c>
      <c r="H2360" t="str">
        <f>_xlfn.CONCAT("https://tablet.otzar.org/",CHAR(35),"/book/171724/p/-1/t/1/fs/0/start/0/end/0/c")</f>
        <v>https://tablet.otzar.org/#/book/171724/p/-1/t/1/fs/0/start/0/end/0/c</v>
      </c>
    </row>
    <row r="2361" spans="1:8" x14ac:dyDescent="0.25">
      <c r="A2361">
        <v>635096</v>
      </c>
      <c r="B2361" t="s">
        <v>3681</v>
      </c>
      <c r="C2361" t="s">
        <v>1289</v>
      </c>
      <c r="D2361" t="s">
        <v>28</v>
      </c>
      <c r="E2361" t="s">
        <v>185</v>
      </c>
      <c r="G2361" t="str">
        <f>HYPERLINK(_xlfn.CONCAT("https://tablet.otzar.org/",CHAR(35),"/book/635096/p/-1/t/1/fs/0/start/0/end/0/c"),"תולדות חייו של הרה""""ת משה אקסלרוד ע""""ה")</f>
        <v>תולדות חייו של הרה""ת משה אקסלרוד ע""ה</v>
      </c>
      <c r="H2361" t="str">
        <f>_xlfn.CONCAT("https://tablet.otzar.org/",CHAR(35),"/book/635096/p/-1/t/1/fs/0/start/0/end/0/c")</f>
        <v>https://tablet.otzar.org/#/book/635096/p/-1/t/1/fs/0/start/0/end/0/c</v>
      </c>
    </row>
    <row r="2362" spans="1:8" x14ac:dyDescent="0.25">
      <c r="A2362">
        <v>27106</v>
      </c>
      <c r="B2362" t="s">
        <v>3682</v>
      </c>
      <c r="C2362" t="s">
        <v>136</v>
      </c>
      <c r="D2362" t="s">
        <v>15</v>
      </c>
      <c r="E2362" t="s">
        <v>64</v>
      </c>
      <c r="F2362" t="s">
        <v>12</v>
      </c>
      <c r="G2362" t="str">
        <f>HYPERLINK(_xlfn.CONCAT("https://tablet.otzar.org/",CHAR(35),"/book/27106/p/-1/t/1/fs/0/start/0/end/0/c"),"תולדות יצחק אייזיק")</f>
        <v>תולדות יצחק אייזיק</v>
      </c>
      <c r="H2362" t="str">
        <f>_xlfn.CONCAT("https://tablet.otzar.org/",CHAR(35),"/book/27106/p/-1/t/1/fs/0/start/0/end/0/c")</f>
        <v>https://tablet.otzar.org/#/book/27106/p/-1/t/1/fs/0/start/0/end/0/c</v>
      </c>
    </row>
    <row r="2363" spans="1:8" x14ac:dyDescent="0.25">
      <c r="A2363">
        <v>621032</v>
      </c>
      <c r="B2363" t="s">
        <v>3683</v>
      </c>
      <c r="C2363" t="s">
        <v>1460</v>
      </c>
      <c r="D2363" t="s">
        <v>15</v>
      </c>
      <c r="E2363" t="s">
        <v>115</v>
      </c>
      <c r="F2363" t="s">
        <v>12</v>
      </c>
      <c r="G2363" t="str">
        <f>HYPERLINK(_xlfn.CONCAT("https://tablet.otzar.org/",CHAR(35),"/exKotar/621032"),"תולדות לוי יצחק - 3 כרכים")</f>
        <v>תולדות לוי יצחק - 3 כרכים</v>
      </c>
      <c r="H2363" t="str">
        <f>_xlfn.CONCAT("https://tablet.otzar.org/",CHAR(35),"/exKotar/621032")</f>
        <v>https://tablet.otzar.org/#/exKotar/621032</v>
      </c>
    </row>
    <row r="2364" spans="1:8" x14ac:dyDescent="0.25">
      <c r="A2364">
        <v>621051</v>
      </c>
      <c r="B2364" t="s">
        <v>3684</v>
      </c>
      <c r="C2364" t="s">
        <v>567</v>
      </c>
      <c r="D2364" t="s">
        <v>10</v>
      </c>
      <c r="F2364" t="s">
        <v>12</v>
      </c>
      <c r="G2364" t="str">
        <f>HYPERLINK(_xlfn.CONCAT("https://tablet.otzar.org/",CHAR(35),"/book/621051/p/-1/t/1/fs/0/start/0/end/0/c"),"תולדות ספר התניא")</f>
        <v>תולדות ספר התניא</v>
      </c>
      <c r="H2364" t="str">
        <f>_xlfn.CONCAT("https://tablet.otzar.org/",CHAR(35),"/book/621051/p/-1/t/1/fs/0/start/0/end/0/c")</f>
        <v>https://tablet.otzar.org/#/book/621051/p/-1/t/1/fs/0/start/0/end/0/c</v>
      </c>
    </row>
    <row r="2365" spans="1:8" x14ac:dyDescent="0.25">
      <c r="A2365">
        <v>141497</v>
      </c>
      <c r="B2365" t="s">
        <v>3685</v>
      </c>
      <c r="C2365" t="s">
        <v>136</v>
      </c>
      <c r="D2365" t="s">
        <v>656</v>
      </c>
      <c r="E2365" t="s">
        <v>60</v>
      </c>
      <c r="F2365" t="s">
        <v>12</v>
      </c>
      <c r="G2365" t="str">
        <f>HYPERLINK(_xlfn.CONCAT("https://tablet.otzar.org/",CHAR(35),"/book/141497/p/-1/t/1/fs/0/start/0/end/0/c"),"תולדות צאצאי רבי יהונתן")</f>
        <v>תולדות צאצאי רבי יהונתן</v>
      </c>
      <c r="H2365" t="str">
        <f>_xlfn.CONCAT("https://tablet.otzar.org/",CHAR(35),"/book/141497/p/-1/t/1/fs/0/start/0/end/0/c")</f>
        <v>https://tablet.otzar.org/#/book/141497/p/-1/t/1/fs/0/start/0/end/0/c</v>
      </c>
    </row>
    <row r="2366" spans="1:8" x14ac:dyDescent="0.25">
      <c r="A2366">
        <v>164374</v>
      </c>
      <c r="B2366" t="s">
        <v>3686</v>
      </c>
      <c r="C2366" t="s">
        <v>3687</v>
      </c>
      <c r="D2366" t="s">
        <v>10</v>
      </c>
      <c r="E2366" t="s">
        <v>441</v>
      </c>
      <c r="F2366" t="s">
        <v>12</v>
      </c>
      <c r="G2366" t="str">
        <f>HYPERLINK(_xlfn.CONCAT("https://tablet.otzar.org/",CHAR(35),"/book/164374/p/-1/t/1/fs/0/start/0/end/0/c"),"תולדות ר' אברהם אבא זעליגזאן")</f>
        <v>תולדות ר' אברהם אבא זעליגזאן</v>
      </c>
      <c r="H2366" t="str">
        <f>_xlfn.CONCAT("https://tablet.otzar.org/",CHAR(35),"/book/164374/p/-1/t/1/fs/0/start/0/end/0/c")</f>
        <v>https://tablet.otzar.org/#/book/164374/p/-1/t/1/fs/0/start/0/end/0/c</v>
      </c>
    </row>
    <row r="2367" spans="1:8" x14ac:dyDescent="0.25">
      <c r="A2367">
        <v>162038</v>
      </c>
      <c r="B2367" t="s">
        <v>3688</v>
      </c>
      <c r="C2367" t="s">
        <v>2025</v>
      </c>
      <c r="D2367" t="s">
        <v>28</v>
      </c>
      <c r="E2367" t="s">
        <v>33</v>
      </c>
      <c r="F2367" t="s">
        <v>20</v>
      </c>
      <c r="G2367" t="str">
        <f>HYPERLINK(_xlfn.CONCAT("https://tablet.otzar.org/",CHAR(35),"/book/162038/p/-1/t/1/fs/0/start/0/end/0/c"),"תולדות ר' מנחם מענדל")</f>
        <v>תולדות ר' מנחם מענדל</v>
      </c>
      <c r="H2367" t="str">
        <f>_xlfn.CONCAT("https://tablet.otzar.org/",CHAR(35),"/book/162038/p/-1/t/1/fs/0/start/0/end/0/c")</f>
        <v>https://tablet.otzar.org/#/book/162038/p/-1/t/1/fs/0/start/0/end/0/c</v>
      </c>
    </row>
    <row r="2368" spans="1:8" x14ac:dyDescent="0.25">
      <c r="A2368">
        <v>610253</v>
      </c>
      <c r="B2368" t="s">
        <v>3689</v>
      </c>
      <c r="C2368" t="s">
        <v>3690</v>
      </c>
      <c r="E2368" t="s">
        <v>33</v>
      </c>
      <c r="F2368" t="s">
        <v>25</v>
      </c>
      <c r="G2368" t="str">
        <f>HYPERLINK(_xlfn.CONCAT("https://tablet.otzar.org/",CHAR(35),"/book/610253/p/-1/t/1/fs/0/start/0/end/0/c"),"תולדות ר' סעדיה")</f>
        <v>תולדות ר' סעדיה</v>
      </c>
      <c r="H2368" t="str">
        <f>_xlfn.CONCAT("https://tablet.otzar.org/",CHAR(35),"/book/610253/p/-1/t/1/fs/0/start/0/end/0/c")</f>
        <v>https://tablet.otzar.org/#/book/610253/p/-1/t/1/fs/0/start/0/end/0/c</v>
      </c>
    </row>
    <row r="2369" spans="1:8" x14ac:dyDescent="0.25">
      <c r="A2369">
        <v>181519</v>
      </c>
      <c r="B2369" t="s">
        <v>3691</v>
      </c>
      <c r="C2369" t="s">
        <v>3692</v>
      </c>
      <c r="D2369" t="s">
        <v>15</v>
      </c>
      <c r="E2369" t="s">
        <v>88</v>
      </c>
      <c r="F2369" t="s">
        <v>12</v>
      </c>
      <c r="G2369" t="str">
        <f>HYPERLINK(_xlfn.CONCAT("https://tablet.otzar.org/",CHAR(35),"/book/181519/p/-1/t/1/fs/0/start/0/end/0/c"),"תולדות רבותינו נשיאינו")</f>
        <v>תולדות רבותינו נשיאינו</v>
      </c>
      <c r="H2369" t="str">
        <f>_xlfn.CONCAT("https://tablet.otzar.org/",CHAR(35),"/book/181519/p/-1/t/1/fs/0/start/0/end/0/c")</f>
        <v>https://tablet.otzar.org/#/book/181519/p/-1/t/1/fs/0/start/0/end/0/c</v>
      </c>
    </row>
    <row r="2370" spans="1:8" x14ac:dyDescent="0.25">
      <c r="A2370">
        <v>164330</v>
      </c>
      <c r="B2370" t="s">
        <v>3693</v>
      </c>
      <c r="C2370" t="s">
        <v>1053</v>
      </c>
      <c r="D2370" t="s">
        <v>15</v>
      </c>
      <c r="E2370" t="s">
        <v>16</v>
      </c>
      <c r="F2370" t="s">
        <v>12</v>
      </c>
      <c r="G2370" t="str">
        <f>HYPERLINK(_xlfn.CONCAT("https://tablet.otzar.org/",CHAR(35),"/book/164330/p/-1/t/1/fs/0/start/0/end/0/c"),"תולדות שמואל מונקעס, החתונה הגדולה בז'לאבין")</f>
        <v>תולדות שמואל מונקעס, החתונה הגדולה בז'לאבין</v>
      </c>
      <c r="H2370" t="str">
        <f>_xlfn.CONCAT("https://tablet.otzar.org/",CHAR(35),"/book/164330/p/-1/t/1/fs/0/start/0/end/0/c")</f>
        <v>https://tablet.otzar.org/#/book/164330/p/-1/t/1/fs/0/start/0/end/0/c</v>
      </c>
    </row>
    <row r="2371" spans="1:8" x14ac:dyDescent="0.25">
      <c r="A2371">
        <v>628576</v>
      </c>
      <c r="B2371" t="s">
        <v>3694</v>
      </c>
      <c r="C2371" t="s">
        <v>102</v>
      </c>
      <c r="D2371" t="s">
        <v>15</v>
      </c>
      <c r="E2371" t="s">
        <v>382</v>
      </c>
      <c r="F2371" t="s">
        <v>1253</v>
      </c>
      <c r="G2371" t="str">
        <f>HYPERLINK(_xlfn.CONCAT("https://tablet.otzar.org/",CHAR(35),"/book/628576/p/-1/t/1/fs/0/start/0/end/0/c"),"תום ודעת")</f>
        <v>תום ודעת</v>
      </c>
      <c r="H2371" t="str">
        <f>_xlfn.CONCAT("https://tablet.otzar.org/",CHAR(35),"/book/628576/p/-1/t/1/fs/0/start/0/end/0/c")</f>
        <v>https://tablet.otzar.org/#/book/628576/p/-1/t/1/fs/0/start/0/end/0/c</v>
      </c>
    </row>
    <row r="2372" spans="1:8" x14ac:dyDescent="0.25">
      <c r="A2372">
        <v>85289</v>
      </c>
      <c r="B2372" t="s">
        <v>3695</v>
      </c>
      <c r="C2372" t="s">
        <v>178</v>
      </c>
      <c r="D2372" t="s">
        <v>10</v>
      </c>
      <c r="E2372" t="s">
        <v>1762</v>
      </c>
      <c r="F2372" t="s">
        <v>319</v>
      </c>
      <c r="G2372" t="str">
        <f>HYPERLINK(_xlfn.CONCAT("https://tablet.otzar.org/",CHAR(35),"/book/85289/p/-1/t/1/fs/0/start/0/end/0/c"),"תומכי תמימים")</f>
        <v>תומכי תמימים</v>
      </c>
      <c r="H2372" t="str">
        <f>_xlfn.CONCAT("https://tablet.otzar.org/",CHAR(35),"/book/85289/p/-1/t/1/fs/0/start/0/end/0/c")</f>
        <v>https://tablet.otzar.org/#/book/85289/p/-1/t/1/fs/0/start/0/end/0/c</v>
      </c>
    </row>
    <row r="2373" spans="1:8" x14ac:dyDescent="0.25">
      <c r="A2373">
        <v>142648</v>
      </c>
      <c r="B2373" t="s">
        <v>3695</v>
      </c>
      <c r="C2373" t="s">
        <v>1000</v>
      </c>
      <c r="D2373" t="s">
        <v>15</v>
      </c>
      <c r="E2373" t="s">
        <v>620</v>
      </c>
      <c r="F2373" t="s">
        <v>3696</v>
      </c>
      <c r="G2373" t="str">
        <f>HYPERLINK(_xlfn.CONCAT("https://tablet.otzar.org/",CHAR(35),"/book/142648/p/-1/t/1/fs/0/start/0/end/0/c"),"תומכי תמימים")</f>
        <v>תומכי תמימים</v>
      </c>
      <c r="H2373" t="str">
        <f>_xlfn.CONCAT("https://tablet.otzar.org/",CHAR(35),"/book/142648/p/-1/t/1/fs/0/start/0/end/0/c")</f>
        <v>https://tablet.otzar.org/#/book/142648/p/-1/t/1/fs/0/start/0/end/0/c</v>
      </c>
    </row>
    <row r="2374" spans="1:8" x14ac:dyDescent="0.25">
      <c r="A2374">
        <v>162736</v>
      </c>
      <c r="B2374" t="s">
        <v>3695</v>
      </c>
      <c r="C2374" t="s">
        <v>3695</v>
      </c>
      <c r="D2374" t="s">
        <v>10</v>
      </c>
      <c r="E2374" t="s">
        <v>60</v>
      </c>
      <c r="G2374" t="str">
        <f>HYPERLINK(_xlfn.CONCAT("https://tablet.otzar.org/",CHAR(35),"/book/162736/p/-1/t/1/fs/0/start/0/end/0/c"),"תומכי תמימים")</f>
        <v>תומכי תמימים</v>
      </c>
      <c r="H2374" t="str">
        <f>_xlfn.CONCAT("https://tablet.otzar.org/",CHAR(35),"/book/162736/p/-1/t/1/fs/0/start/0/end/0/c")</f>
        <v>https://tablet.otzar.org/#/book/162736/p/-1/t/1/fs/0/start/0/end/0/c</v>
      </c>
    </row>
    <row r="2375" spans="1:8" x14ac:dyDescent="0.25">
      <c r="A2375">
        <v>169907</v>
      </c>
      <c r="B2375" t="s">
        <v>3695</v>
      </c>
      <c r="C2375" t="s">
        <v>3697</v>
      </c>
      <c r="D2375" t="s">
        <v>15</v>
      </c>
      <c r="E2375" t="s">
        <v>82</v>
      </c>
      <c r="F2375" t="s">
        <v>12</v>
      </c>
      <c r="G2375" t="str">
        <f>HYPERLINK(_xlfn.CONCAT("https://tablet.otzar.org/",CHAR(35),"/book/169907/p/-1/t/1/fs/0/start/0/end/0/c"),"תומכי תמימים")</f>
        <v>תומכי תמימים</v>
      </c>
      <c r="H2375" t="str">
        <f>_xlfn.CONCAT("https://tablet.otzar.org/",CHAR(35),"/book/169907/p/-1/t/1/fs/0/start/0/end/0/c")</f>
        <v>https://tablet.otzar.org/#/book/169907/p/-1/t/1/fs/0/start/0/end/0/c</v>
      </c>
    </row>
    <row r="2376" spans="1:8" x14ac:dyDescent="0.25">
      <c r="A2376">
        <v>141718</v>
      </c>
      <c r="B2376" t="s">
        <v>3698</v>
      </c>
      <c r="C2376" t="s">
        <v>81</v>
      </c>
      <c r="D2376" t="s">
        <v>37</v>
      </c>
      <c r="E2376" t="s">
        <v>60</v>
      </c>
      <c r="F2376" t="s">
        <v>12</v>
      </c>
      <c r="G2376" t="str">
        <f>HYPERLINK(_xlfn.CONCAT("https://tablet.otzar.org/",CHAR(35),"/book/141718/p/-1/t/1/fs/0/start/0/end/0/c"),"תורה אור &lt;טקסט&gt;")</f>
        <v>תורה אור &lt;טקסט&gt;</v>
      </c>
      <c r="H2376" t="str">
        <f>_xlfn.CONCAT("https://tablet.otzar.org/",CHAR(35),"/book/141718/p/-1/t/1/fs/0/start/0/end/0/c")</f>
        <v>https://tablet.otzar.org/#/book/141718/p/-1/t/1/fs/0/start/0/end/0/c</v>
      </c>
    </row>
    <row r="2377" spans="1:8" x14ac:dyDescent="0.25">
      <c r="A2377">
        <v>26912</v>
      </c>
      <c r="B2377" t="s">
        <v>3699</v>
      </c>
      <c r="C2377" t="s">
        <v>81</v>
      </c>
      <c r="D2377" t="s">
        <v>15</v>
      </c>
      <c r="E2377" t="s">
        <v>46</v>
      </c>
      <c r="F2377" t="s">
        <v>12</v>
      </c>
      <c r="G2377" t="str">
        <f>HYPERLINK(_xlfn.CONCAT("https://tablet.otzar.org/",CHAR(35),"/book/26912/p/-1/t/1/fs/0/start/0/end/0/c"),"תורה אור")</f>
        <v>תורה אור</v>
      </c>
      <c r="H2377" t="str">
        <f>_xlfn.CONCAT("https://tablet.otzar.org/",CHAR(35),"/book/26912/p/-1/t/1/fs/0/start/0/end/0/c")</f>
        <v>https://tablet.otzar.org/#/book/26912/p/-1/t/1/fs/0/start/0/end/0/c</v>
      </c>
    </row>
    <row r="2378" spans="1:8" x14ac:dyDescent="0.25">
      <c r="A2378">
        <v>153365</v>
      </c>
      <c r="B2378" t="s">
        <v>3700</v>
      </c>
      <c r="C2378" t="s">
        <v>81</v>
      </c>
      <c r="D2378" t="s">
        <v>10</v>
      </c>
      <c r="E2378" t="s">
        <v>226</v>
      </c>
      <c r="F2378" t="s">
        <v>12</v>
      </c>
      <c r="G2378" t="str">
        <f>HYPERLINK(_xlfn.CONCAT("https://tablet.otzar.org/",CHAR(35),"/book/153365/p/-1/t/1/fs/0/start/0/end/0/c"),"תורה אור (באנגלית) - א")</f>
        <v>תורה אור (באנגלית) - א</v>
      </c>
      <c r="H2378" t="str">
        <f>_xlfn.CONCAT("https://tablet.otzar.org/",CHAR(35),"/book/153365/p/-1/t/1/fs/0/start/0/end/0/c")</f>
        <v>https://tablet.otzar.org/#/book/153365/p/-1/t/1/fs/0/start/0/end/0/c</v>
      </c>
    </row>
    <row r="2379" spans="1:8" x14ac:dyDescent="0.25">
      <c r="A2379">
        <v>142730</v>
      </c>
      <c r="B2379" t="s">
        <v>3701</v>
      </c>
      <c r="C2379" t="s">
        <v>3702</v>
      </c>
      <c r="D2379" t="s">
        <v>28</v>
      </c>
      <c r="E2379" t="s">
        <v>91</v>
      </c>
      <c r="F2379" t="s">
        <v>100</v>
      </c>
      <c r="G2379" t="str">
        <f>HYPERLINK(_xlfn.CONCAT("https://tablet.otzar.org/",CHAR(35),"/book/142730/p/-1/t/1/fs/0/start/0/end/0/c"),"תורה געדאנקען")</f>
        <v>תורה געדאנקען</v>
      </c>
      <c r="H2379" t="str">
        <f>_xlfn.CONCAT("https://tablet.otzar.org/",CHAR(35),"/book/142730/p/-1/t/1/fs/0/start/0/end/0/c")</f>
        <v>https://tablet.otzar.org/#/book/142730/p/-1/t/1/fs/0/start/0/end/0/c</v>
      </c>
    </row>
    <row r="2380" spans="1:8" x14ac:dyDescent="0.25">
      <c r="A2380">
        <v>157289</v>
      </c>
      <c r="B2380" t="s">
        <v>3703</v>
      </c>
      <c r="C2380" t="s">
        <v>3704</v>
      </c>
      <c r="D2380" t="s">
        <v>15</v>
      </c>
      <c r="E2380" t="s">
        <v>49</v>
      </c>
      <c r="F2380" t="s">
        <v>100</v>
      </c>
      <c r="G2380" t="str">
        <f>HYPERLINK(_xlfn.CONCAT("https://tablet.otzar.org/",CHAR(35),"/exKotar/157289"),"תורה ופירושה - 6 כרכים")</f>
        <v>תורה ופירושה - 6 כרכים</v>
      </c>
      <c r="H2380" t="str">
        <f>_xlfn.CONCAT("https://tablet.otzar.org/",CHAR(35),"/exKotar/157289")</f>
        <v>https://tablet.otzar.org/#/exKotar/157289</v>
      </c>
    </row>
    <row r="2381" spans="1:8" x14ac:dyDescent="0.25">
      <c r="A2381">
        <v>142712</v>
      </c>
      <c r="B2381" t="s">
        <v>3705</v>
      </c>
      <c r="C2381" t="s">
        <v>125</v>
      </c>
      <c r="D2381" t="s">
        <v>738</v>
      </c>
      <c r="E2381" t="s">
        <v>174</v>
      </c>
      <c r="F2381" t="s">
        <v>12</v>
      </c>
      <c r="G2381" t="str">
        <f>HYPERLINK(_xlfn.CONCAT("https://tablet.otzar.org/",CHAR(35),"/book/142712/p/-1/t/1/fs/0/start/0/end/0/c"),"תורותיו ינצורו")</f>
        <v>תורותיו ינצורו</v>
      </c>
      <c r="H2381" t="str">
        <f>_xlfn.CONCAT("https://tablet.otzar.org/",CHAR(35),"/book/142712/p/-1/t/1/fs/0/start/0/end/0/c")</f>
        <v>https://tablet.otzar.org/#/book/142712/p/-1/t/1/fs/0/start/0/end/0/c</v>
      </c>
    </row>
    <row r="2382" spans="1:8" x14ac:dyDescent="0.25">
      <c r="A2382">
        <v>26479</v>
      </c>
      <c r="B2382" t="s">
        <v>3706</v>
      </c>
      <c r="C2382" t="s">
        <v>125</v>
      </c>
      <c r="D2382" t="s">
        <v>10</v>
      </c>
      <c r="E2382" t="s">
        <v>79</v>
      </c>
      <c r="F2382" t="s">
        <v>12</v>
      </c>
      <c r="G2382" t="str">
        <f>HYPERLINK(_xlfn.CONCAT("https://tablet.otzar.org/",CHAR(35),"/book/26479/p/-1/t/1/fs/0/start/0/end/0/c"),"תורת אמת - ב")</f>
        <v>תורת אמת - ב</v>
      </c>
      <c r="H2382" t="str">
        <f>_xlfn.CONCAT("https://tablet.otzar.org/",CHAR(35),"/book/26479/p/-1/t/1/fs/0/start/0/end/0/c")</f>
        <v>https://tablet.otzar.org/#/book/26479/p/-1/t/1/fs/0/start/0/end/0/c</v>
      </c>
    </row>
    <row r="2383" spans="1:8" x14ac:dyDescent="0.25">
      <c r="A2383">
        <v>164308</v>
      </c>
      <c r="B2383" t="s">
        <v>3707</v>
      </c>
      <c r="C2383" t="s">
        <v>1128</v>
      </c>
      <c r="D2383" t="s">
        <v>3708</v>
      </c>
      <c r="E2383" t="s">
        <v>16</v>
      </c>
      <c r="F2383" t="s">
        <v>12</v>
      </c>
      <c r="G2383" t="str">
        <f>HYPERLINK(_xlfn.CONCAT("https://tablet.otzar.org/",CHAR(35),"/book/164308/p/-1/t/1/fs/0/start/0/end/0/c"),"תורת ברלין")</f>
        <v>תורת ברלין</v>
      </c>
      <c r="H2383" t="str">
        <f>_xlfn.CONCAT("https://tablet.otzar.org/",CHAR(35),"/book/164308/p/-1/t/1/fs/0/start/0/end/0/c")</f>
        <v>https://tablet.otzar.org/#/book/164308/p/-1/t/1/fs/0/start/0/end/0/c</v>
      </c>
    </row>
    <row r="2384" spans="1:8" x14ac:dyDescent="0.25">
      <c r="A2384">
        <v>26459</v>
      </c>
      <c r="B2384" t="s">
        <v>3709</v>
      </c>
      <c r="C2384" t="s">
        <v>59</v>
      </c>
      <c r="D2384" t="s">
        <v>10</v>
      </c>
      <c r="E2384" t="s">
        <v>260</v>
      </c>
      <c r="F2384" t="s">
        <v>12</v>
      </c>
      <c r="G2384" t="str">
        <f>HYPERLINK(_xlfn.CONCAT("https://tablet.otzar.org/",CHAR(35),"/book/26459/p/-1/t/1/fs/0/start/0/end/0/c"),"תורת החסידות")</f>
        <v>תורת החסידות</v>
      </c>
      <c r="H2384" t="str">
        <f>_xlfn.CONCAT("https://tablet.otzar.org/",CHAR(35),"/book/26459/p/-1/t/1/fs/0/start/0/end/0/c")</f>
        <v>https://tablet.otzar.org/#/book/26459/p/-1/t/1/fs/0/start/0/end/0/c</v>
      </c>
    </row>
    <row r="2385" spans="1:8" x14ac:dyDescent="0.25">
      <c r="A2385">
        <v>27292</v>
      </c>
      <c r="B2385" t="s">
        <v>3710</v>
      </c>
      <c r="C2385" t="s">
        <v>125</v>
      </c>
      <c r="D2385" t="s">
        <v>3711</v>
      </c>
      <c r="E2385" t="s">
        <v>260</v>
      </c>
      <c r="F2385" t="s">
        <v>12</v>
      </c>
      <c r="G2385" t="str">
        <f>HYPERLINK(_xlfn.CONCAT("https://tablet.otzar.org/",CHAR(35),"/book/27292/p/-1/t/1/fs/0/start/0/end/0/c"),"תורת המערב")</f>
        <v>תורת המערב</v>
      </c>
      <c r="H2385" t="str">
        <f>_xlfn.CONCAT("https://tablet.otzar.org/",CHAR(35),"/book/27292/p/-1/t/1/fs/0/start/0/end/0/c")</f>
        <v>https://tablet.otzar.org/#/book/27292/p/-1/t/1/fs/0/start/0/end/0/c</v>
      </c>
    </row>
    <row r="2386" spans="1:8" x14ac:dyDescent="0.25">
      <c r="A2386">
        <v>146202</v>
      </c>
      <c r="B2386" t="s">
        <v>3712</v>
      </c>
      <c r="C2386" t="s">
        <v>125</v>
      </c>
      <c r="D2386" t="s">
        <v>15</v>
      </c>
      <c r="E2386" t="s">
        <v>29</v>
      </c>
      <c r="F2386" t="s">
        <v>251</v>
      </c>
      <c r="G2386" t="str">
        <f>HYPERLINK(_xlfn.CONCAT("https://tablet.otzar.org/",CHAR(35),"/book/146202/p/-1/t/1/fs/0/start/0/end/0/c"),"תורת הסוגיות")</f>
        <v>תורת הסוגיות</v>
      </c>
      <c r="H2386" t="str">
        <f>_xlfn.CONCAT("https://tablet.otzar.org/",CHAR(35),"/book/146202/p/-1/t/1/fs/0/start/0/end/0/c")</f>
        <v>https://tablet.otzar.org/#/book/146202/p/-1/t/1/fs/0/start/0/end/0/c</v>
      </c>
    </row>
    <row r="2387" spans="1:8" x14ac:dyDescent="0.25">
      <c r="A2387">
        <v>27302</v>
      </c>
      <c r="B2387" t="s">
        <v>3713</v>
      </c>
      <c r="C2387" t="s">
        <v>113</v>
      </c>
      <c r="D2387" t="s">
        <v>15</v>
      </c>
      <c r="E2387" t="s">
        <v>382</v>
      </c>
      <c r="F2387" t="s">
        <v>12</v>
      </c>
      <c r="G2387" t="str">
        <f>HYPERLINK(_xlfn.CONCAT("https://tablet.otzar.org/",CHAR(35),"/book/27302/p/-1/t/1/fs/0/start/0/end/0/c"),"תורת השליחות")</f>
        <v>תורת השליחות</v>
      </c>
      <c r="H2387" t="str">
        <f>_xlfn.CONCAT("https://tablet.otzar.org/",CHAR(35),"/book/27302/p/-1/t/1/fs/0/start/0/end/0/c")</f>
        <v>https://tablet.otzar.org/#/book/27302/p/-1/t/1/fs/0/start/0/end/0/c</v>
      </c>
    </row>
    <row r="2388" spans="1:8" x14ac:dyDescent="0.25">
      <c r="A2388">
        <v>624471</v>
      </c>
      <c r="B2388" t="s">
        <v>3713</v>
      </c>
      <c r="C2388" t="s">
        <v>3714</v>
      </c>
      <c r="D2388" t="s">
        <v>37</v>
      </c>
      <c r="E2388" t="s">
        <v>260</v>
      </c>
      <c r="F2388" t="s">
        <v>3715</v>
      </c>
      <c r="G2388" t="str">
        <f>HYPERLINK(_xlfn.CONCAT("https://tablet.otzar.org/",CHAR(35),"/book/624471/p/-1/t/1/fs/0/start/0/end/0/c"),"תורת השליחות")</f>
        <v>תורת השליחות</v>
      </c>
      <c r="H2388" t="str">
        <f>_xlfn.CONCAT("https://tablet.otzar.org/",CHAR(35),"/book/624471/p/-1/t/1/fs/0/start/0/end/0/c")</f>
        <v>https://tablet.otzar.org/#/book/624471/p/-1/t/1/fs/0/start/0/end/0/c</v>
      </c>
    </row>
    <row r="2389" spans="1:8" x14ac:dyDescent="0.25">
      <c r="A2389">
        <v>147686</v>
      </c>
      <c r="B2389" t="s">
        <v>3716</v>
      </c>
      <c r="C2389" t="s">
        <v>171</v>
      </c>
      <c r="D2389" t="s">
        <v>10</v>
      </c>
      <c r="E2389" t="s">
        <v>66</v>
      </c>
      <c r="F2389" t="s">
        <v>12</v>
      </c>
      <c r="G2389" t="str">
        <f>HYPERLINK(_xlfn.CONCAT("https://tablet.otzar.org/",CHAR(35),"/exKotar/147686"),"תורת חב""""ד - 2 כרכים")</f>
        <v>תורת חב""ד - 2 כרכים</v>
      </c>
      <c r="H2389" t="str">
        <f>_xlfn.CONCAT("https://tablet.otzar.org/",CHAR(35),"/exKotar/147686")</f>
        <v>https://tablet.otzar.org/#/exKotar/147686</v>
      </c>
    </row>
    <row r="2390" spans="1:8" x14ac:dyDescent="0.25">
      <c r="A2390">
        <v>141719</v>
      </c>
      <c r="B2390" t="s">
        <v>3717</v>
      </c>
      <c r="C2390" t="s">
        <v>72</v>
      </c>
      <c r="D2390" t="s">
        <v>37</v>
      </c>
      <c r="E2390" t="s">
        <v>60</v>
      </c>
      <c r="G2390" t="str">
        <f>HYPERLINK(_xlfn.CONCAT("https://tablet.otzar.org/",CHAR(35),"/book/141719/p/-1/t/1/fs/0/start/0/end/0/c"),"תורת חיים &lt;טקסט&gt;")</f>
        <v>תורת חיים &lt;טקסט&gt;</v>
      </c>
      <c r="H2390" t="str">
        <f>_xlfn.CONCAT("https://tablet.otzar.org/",CHAR(35),"/book/141719/p/-1/t/1/fs/0/start/0/end/0/c")</f>
        <v>https://tablet.otzar.org/#/book/141719/p/-1/t/1/fs/0/start/0/end/0/c</v>
      </c>
    </row>
    <row r="2391" spans="1:8" x14ac:dyDescent="0.25">
      <c r="A2391">
        <v>26652</v>
      </c>
      <c r="B2391" t="s">
        <v>3718</v>
      </c>
      <c r="C2391" t="s">
        <v>72</v>
      </c>
      <c r="D2391" t="s">
        <v>10</v>
      </c>
      <c r="E2391" t="s">
        <v>79</v>
      </c>
      <c r="F2391" t="s">
        <v>12</v>
      </c>
      <c r="G2391" t="str">
        <f>HYPERLINK(_xlfn.CONCAT("https://tablet.otzar.org/",CHAR(35),"/exKotar/26652"),"תורת חיים - 3 כרכים")</f>
        <v>תורת חיים - 3 כרכים</v>
      </c>
      <c r="H2391" t="str">
        <f>_xlfn.CONCAT("https://tablet.otzar.org/",CHAR(35),"/exKotar/26652")</f>
        <v>https://tablet.otzar.org/#/exKotar/26652</v>
      </c>
    </row>
    <row r="2392" spans="1:8" x14ac:dyDescent="0.25">
      <c r="A2392">
        <v>173388</v>
      </c>
      <c r="B2392" t="s">
        <v>3719</v>
      </c>
      <c r="C2392" t="s">
        <v>214</v>
      </c>
      <c r="D2392" t="s">
        <v>10</v>
      </c>
      <c r="E2392" t="s">
        <v>142</v>
      </c>
      <c r="F2392" t="s">
        <v>12</v>
      </c>
      <c r="G2392" t="str">
        <f>HYPERLINK(_xlfn.CONCAT("https://tablet.otzar.org/",CHAR(35),"/book/173388/p/-1/t/1/fs/0/start/0/end/0/c"),"תורת חסד")</f>
        <v>תורת חסד</v>
      </c>
      <c r="H2392" t="str">
        <f>_xlfn.CONCAT("https://tablet.otzar.org/",CHAR(35),"/book/173388/p/-1/t/1/fs/0/start/0/end/0/c")</f>
        <v>https://tablet.otzar.org/#/book/173388/p/-1/t/1/fs/0/start/0/end/0/c</v>
      </c>
    </row>
    <row r="2393" spans="1:8" x14ac:dyDescent="0.25">
      <c r="A2393">
        <v>141341</v>
      </c>
      <c r="B2393" t="s">
        <v>3720</v>
      </c>
      <c r="C2393" t="s">
        <v>461</v>
      </c>
      <c r="D2393" t="s">
        <v>10</v>
      </c>
      <c r="E2393" t="s">
        <v>134</v>
      </c>
      <c r="F2393" t="s">
        <v>12</v>
      </c>
      <c r="G2393" t="str">
        <f>HYPERLINK(_xlfn.CONCAT("https://tablet.otzar.org/",CHAR(35),"/exKotar/141341"),"תורת יצחק - 2 כרכים")</f>
        <v>תורת יצחק - 2 כרכים</v>
      </c>
      <c r="H2393" t="str">
        <f>_xlfn.CONCAT("https://tablet.otzar.org/",CHAR(35),"/exKotar/141341")</f>
        <v>https://tablet.otzar.org/#/exKotar/141341</v>
      </c>
    </row>
    <row r="2394" spans="1:8" x14ac:dyDescent="0.25">
      <c r="A2394">
        <v>26686</v>
      </c>
      <c r="B2394" t="s">
        <v>3721</v>
      </c>
      <c r="C2394" t="s">
        <v>1525</v>
      </c>
      <c r="D2394" t="s">
        <v>10</v>
      </c>
      <c r="E2394" t="s">
        <v>382</v>
      </c>
      <c r="F2394" t="s">
        <v>12</v>
      </c>
      <c r="G2394" t="str">
        <f>HYPERLINK(_xlfn.CONCAT("https://tablet.otzar.org/",CHAR(35),"/book/26686/p/-1/t/1/fs/0/start/0/end/0/c"),"תורת לוי יצחק - ש""""ס משנה וגמרא")</f>
        <v>תורת לוי יצחק - ש""ס משנה וגמרא</v>
      </c>
      <c r="H2394" t="str">
        <f>_xlfn.CONCAT("https://tablet.otzar.org/",CHAR(35),"/book/26686/p/-1/t/1/fs/0/start/0/end/0/c")</f>
        <v>https://tablet.otzar.org/#/book/26686/p/-1/t/1/fs/0/start/0/end/0/c</v>
      </c>
    </row>
    <row r="2395" spans="1:8" x14ac:dyDescent="0.25">
      <c r="A2395">
        <v>141720</v>
      </c>
      <c r="B2395" t="s">
        <v>3722</v>
      </c>
      <c r="C2395" t="s">
        <v>45</v>
      </c>
      <c r="D2395" t="s">
        <v>37</v>
      </c>
      <c r="E2395" t="s">
        <v>60</v>
      </c>
      <c r="F2395" t="s">
        <v>12</v>
      </c>
      <c r="G2395" t="str">
        <f>HYPERLINK(_xlfn.CONCAT("https://tablet.otzar.org/",CHAR(35),"/book/141720/p/-1/t/1/fs/0/start/0/end/0/c"),"תורת מנחם &lt;טקסט&gt;")</f>
        <v>תורת מנחם &lt;טקסט&gt;</v>
      </c>
      <c r="H2395" t="str">
        <f>_xlfn.CONCAT("https://tablet.otzar.org/",CHAR(35),"/book/141720/p/-1/t/1/fs/0/start/0/end/0/c")</f>
        <v>https://tablet.otzar.org/#/book/141720/p/-1/t/1/fs/0/start/0/end/0/c</v>
      </c>
    </row>
    <row r="2396" spans="1:8" x14ac:dyDescent="0.25">
      <c r="A2396">
        <v>26221</v>
      </c>
      <c r="B2396" t="s">
        <v>3723</v>
      </c>
      <c r="C2396" t="s">
        <v>45</v>
      </c>
      <c r="D2396" t="s">
        <v>10</v>
      </c>
      <c r="E2396" t="s">
        <v>54</v>
      </c>
      <c r="G2396" t="str">
        <f>HYPERLINK(_xlfn.CONCAT("https://tablet.otzar.org/",CHAR(35),"/exKotar/26221"),"תורת מנחם - 164 כרכים")</f>
        <v>תורת מנחם - 164 כרכים</v>
      </c>
      <c r="H2396" t="str">
        <f>_xlfn.CONCAT("https://tablet.otzar.org/",CHAR(35),"/exKotar/26221")</f>
        <v>https://tablet.otzar.org/#/exKotar/26221</v>
      </c>
    </row>
    <row r="2397" spans="1:8" x14ac:dyDescent="0.25">
      <c r="A2397">
        <v>603103</v>
      </c>
      <c r="B2397" t="s">
        <v>3724</v>
      </c>
      <c r="C2397" t="s">
        <v>45</v>
      </c>
      <c r="D2397" t="s">
        <v>10</v>
      </c>
      <c r="E2397" t="s">
        <v>99</v>
      </c>
      <c r="G2397" t="str">
        <f>HYPERLINK(_xlfn.CONCAT("https://tablet.otzar.org/",CHAR(35),"/exKotar/603103"),"תורת מנחם &lt;יין מלכות&gt;  - 3 כרכים")</f>
        <v>תורת מנחם &lt;יין מלכות&gt;  - 3 כרכים</v>
      </c>
      <c r="H2397" t="str">
        <f>_xlfn.CONCAT("https://tablet.otzar.org/",CHAR(35),"/exKotar/603103")</f>
        <v>https://tablet.otzar.org/#/exKotar/603103</v>
      </c>
    </row>
    <row r="2398" spans="1:8" x14ac:dyDescent="0.25">
      <c r="A2398">
        <v>181106</v>
      </c>
      <c r="B2398" t="s">
        <v>3725</v>
      </c>
      <c r="C2398" t="s">
        <v>45</v>
      </c>
      <c r="D2398" t="s">
        <v>2619</v>
      </c>
      <c r="E2398" t="s">
        <v>62</v>
      </c>
      <c r="F2398" t="s">
        <v>12</v>
      </c>
      <c r="G2398" t="str">
        <f>HYPERLINK(_xlfn.CONCAT("https://tablet.otzar.org/",CHAR(35),"/book/181106/p/-1/t/1/fs/0/start/0/end/0/c"),"תורת מנחם (בצרפתית) - ספר המאמרים מלוקט חודש תמוז")</f>
        <v>תורת מנחם (בצרפתית) - ספר המאמרים מלוקט חודש תמוז</v>
      </c>
      <c r="H2398" t="str">
        <f>_xlfn.CONCAT("https://tablet.otzar.org/",CHAR(35),"/book/181106/p/-1/t/1/fs/0/start/0/end/0/c")</f>
        <v>https://tablet.otzar.org/#/book/181106/p/-1/t/1/fs/0/start/0/end/0/c</v>
      </c>
    </row>
    <row r="2399" spans="1:8" x14ac:dyDescent="0.25">
      <c r="A2399">
        <v>27257</v>
      </c>
      <c r="B2399" t="s">
        <v>3726</v>
      </c>
      <c r="C2399" t="s">
        <v>45</v>
      </c>
      <c r="D2399" t="s">
        <v>10</v>
      </c>
      <c r="E2399" t="s">
        <v>40</v>
      </c>
      <c r="F2399" t="s">
        <v>12</v>
      </c>
      <c r="G2399" t="str">
        <f>HYPERLINK(_xlfn.CONCAT("https://tablet.otzar.org/",CHAR(35),"/exKotar/27257"),"תורת מנחם מנחם ציון - 2 כרכים")</f>
        <v>תורת מנחם מנחם ציון - 2 כרכים</v>
      </c>
      <c r="H2399" t="str">
        <f>_xlfn.CONCAT("https://tablet.otzar.org/",CHAR(35),"/exKotar/27257")</f>
        <v>https://tablet.otzar.org/#/exKotar/27257</v>
      </c>
    </row>
    <row r="2400" spans="1:8" x14ac:dyDescent="0.25">
      <c r="A2400">
        <v>26648</v>
      </c>
      <c r="B2400" t="s">
        <v>3727</v>
      </c>
      <c r="C2400" t="s">
        <v>45</v>
      </c>
      <c r="D2400" t="s">
        <v>10</v>
      </c>
      <c r="E2400" t="s">
        <v>382</v>
      </c>
      <c r="F2400" t="s">
        <v>12</v>
      </c>
      <c r="G2400" t="str">
        <f>HYPERLINK(_xlfn.CONCAT("https://tablet.otzar.org/",CHAR(35),"/exKotar/26648"),"תורת מנחם ספר המאמרים מלוקט - 4 כרכים")</f>
        <v>תורת מנחם ספר המאמרים מלוקט - 4 כרכים</v>
      </c>
      <c r="H2400" t="str">
        <f>_xlfn.CONCAT("https://tablet.otzar.org/",CHAR(35),"/exKotar/26648")</f>
        <v>https://tablet.otzar.org/#/exKotar/26648</v>
      </c>
    </row>
    <row r="2401" spans="1:8" x14ac:dyDescent="0.25">
      <c r="A2401">
        <v>27253</v>
      </c>
      <c r="B2401" t="s">
        <v>3728</v>
      </c>
      <c r="C2401" t="s">
        <v>45</v>
      </c>
      <c r="D2401" t="s">
        <v>10</v>
      </c>
      <c r="E2401" t="s">
        <v>79</v>
      </c>
      <c r="F2401" t="s">
        <v>12</v>
      </c>
      <c r="G2401" t="str">
        <f>HYPERLINK(_xlfn.CONCAT("https://tablet.otzar.org/",CHAR(35),"/exKotar/27253"),"תורת מנחם תפארת לוי יצחק - 3 כרכים")</f>
        <v>תורת מנחם תפארת לוי יצחק - 3 כרכים</v>
      </c>
      <c r="H2401" t="str">
        <f>_xlfn.CONCAT("https://tablet.otzar.org/",CHAR(35),"/exKotar/27253")</f>
        <v>https://tablet.otzar.org/#/exKotar/27253</v>
      </c>
    </row>
    <row r="2402" spans="1:8" x14ac:dyDescent="0.25">
      <c r="A2402">
        <v>163641</v>
      </c>
      <c r="B2402" t="s">
        <v>3729</v>
      </c>
      <c r="C2402" t="s">
        <v>125</v>
      </c>
      <c r="D2402" t="s">
        <v>191</v>
      </c>
      <c r="E2402" t="s">
        <v>29</v>
      </c>
      <c r="F2402" t="s">
        <v>12</v>
      </c>
      <c r="G2402" t="str">
        <f>HYPERLINK(_xlfn.CONCAT("https://tablet.otzar.org/",CHAR(35),"/exKotar/163641"),"תורת נחלת הר חב""""ד - 136 כרכים")</f>
        <v>תורת נחלת הר חב""ד - 136 כרכים</v>
      </c>
      <c r="H2402" t="str">
        <f>_xlfn.CONCAT("https://tablet.otzar.org/",CHAR(35),"/exKotar/163641")</f>
        <v>https://tablet.otzar.org/#/exKotar/163641</v>
      </c>
    </row>
    <row r="2403" spans="1:8" x14ac:dyDescent="0.25">
      <c r="A2403">
        <v>141371</v>
      </c>
      <c r="B2403" t="s">
        <v>3730</v>
      </c>
      <c r="C2403" t="s">
        <v>125</v>
      </c>
      <c r="D2403" t="s">
        <v>37</v>
      </c>
      <c r="E2403" t="s">
        <v>69</v>
      </c>
      <c r="F2403" t="s">
        <v>12</v>
      </c>
      <c r="G2403" t="str">
        <f>HYPERLINK(_xlfn.CONCAT("https://tablet.otzar.org/",CHAR(35),"/book/141371/p/-1/t/1/fs/0/start/0/end/0/c"),"תורת צדק")</f>
        <v>תורת צדק</v>
      </c>
      <c r="H2403" t="str">
        <f>_xlfn.CONCAT("https://tablet.otzar.org/",CHAR(35),"/book/141371/p/-1/t/1/fs/0/start/0/end/0/c")</f>
        <v>https://tablet.otzar.org/#/book/141371/p/-1/t/1/fs/0/start/0/end/0/c</v>
      </c>
    </row>
    <row r="2404" spans="1:8" x14ac:dyDescent="0.25">
      <c r="A2404">
        <v>27006</v>
      </c>
      <c r="B2404" t="s">
        <v>3731</v>
      </c>
      <c r="C2404" t="s">
        <v>68</v>
      </c>
      <c r="D2404" t="s">
        <v>10</v>
      </c>
      <c r="E2404" t="s">
        <v>79</v>
      </c>
      <c r="F2404" t="s">
        <v>12</v>
      </c>
      <c r="G2404" t="str">
        <f>HYPERLINK(_xlfn.CONCAT("https://tablet.otzar.org/",CHAR(35),"/exKotar/27006"),"תורת שלום - 3 כרכים")</f>
        <v>תורת שלום - 3 כרכים</v>
      </c>
      <c r="H2404" t="str">
        <f>_xlfn.CONCAT("https://tablet.otzar.org/",CHAR(35),"/exKotar/27006")</f>
        <v>https://tablet.otzar.org/#/exKotar/27006</v>
      </c>
    </row>
    <row r="2405" spans="1:8" x14ac:dyDescent="0.25">
      <c r="A2405">
        <v>141721</v>
      </c>
      <c r="B2405" t="s">
        <v>3732</v>
      </c>
      <c r="C2405" t="s">
        <v>53</v>
      </c>
      <c r="D2405" t="s">
        <v>37</v>
      </c>
      <c r="E2405" t="s">
        <v>60</v>
      </c>
      <c r="F2405" t="s">
        <v>12</v>
      </c>
      <c r="G2405" t="str">
        <f>HYPERLINK(_xlfn.CONCAT("https://tablet.otzar.org/",CHAR(35),"/book/141721/p/-1/t/1/fs/0/start/0/end/0/c"),"תורת שמואל &lt;טקסט&gt;")</f>
        <v>תורת שמואל &lt;טקסט&gt;</v>
      </c>
      <c r="H2405" t="str">
        <f>_xlfn.CONCAT("https://tablet.otzar.org/",CHAR(35),"/book/141721/p/-1/t/1/fs/0/start/0/end/0/c")</f>
        <v>https://tablet.otzar.org/#/book/141721/p/-1/t/1/fs/0/start/0/end/0/c</v>
      </c>
    </row>
    <row r="2406" spans="1:8" x14ac:dyDescent="0.25">
      <c r="A2406">
        <v>27148</v>
      </c>
      <c r="B2406" t="s">
        <v>3733</v>
      </c>
      <c r="C2406" t="s">
        <v>53</v>
      </c>
      <c r="D2406" t="s">
        <v>15</v>
      </c>
      <c r="E2406" t="s">
        <v>38</v>
      </c>
      <c r="F2406" t="s">
        <v>12</v>
      </c>
      <c r="G2406" t="str">
        <f>HYPERLINK(_xlfn.CONCAT("https://tablet.otzar.org/",CHAR(35),"/book/27148/p/-1/t/1/fs/0/start/0/end/0/c"),"תורת שמואל ספר השיחות")</f>
        <v>תורת שמואל ספר השיחות</v>
      </c>
      <c r="H2406" t="str">
        <f>_xlfn.CONCAT("https://tablet.otzar.org/",CHAR(35),"/book/27148/p/-1/t/1/fs/0/start/0/end/0/c")</f>
        <v>https://tablet.otzar.org/#/book/27148/p/-1/t/1/fs/0/start/0/end/0/c</v>
      </c>
    </row>
    <row r="2407" spans="1:8" x14ac:dyDescent="0.25">
      <c r="A2407">
        <v>27478</v>
      </c>
      <c r="B2407" t="s">
        <v>3734</v>
      </c>
      <c r="C2407" t="s">
        <v>125</v>
      </c>
      <c r="D2407" t="s">
        <v>2181</v>
      </c>
      <c r="E2407" t="s">
        <v>54</v>
      </c>
      <c r="F2407" t="s">
        <v>12</v>
      </c>
      <c r="G2407" t="str">
        <f>HYPERLINK(_xlfn.CONCAT("https://tablet.otzar.org/",CHAR(35),"/book/27478/p/-1/t/1/fs/0/start/0/end/0/c"),"תורת תלמיד ותיק")</f>
        <v>תורת תלמיד ותיק</v>
      </c>
      <c r="H2407" t="str">
        <f>_xlfn.CONCAT("https://tablet.otzar.org/",CHAR(35),"/book/27478/p/-1/t/1/fs/0/start/0/end/0/c")</f>
        <v>https://tablet.otzar.org/#/book/27478/p/-1/t/1/fs/0/start/0/end/0/c</v>
      </c>
    </row>
    <row r="2408" spans="1:8" x14ac:dyDescent="0.25">
      <c r="A2408">
        <v>141501</v>
      </c>
      <c r="B2408" t="s">
        <v>3735</v>
      </c>
      <c r="C2408" t="s">
        <v>125</v>
      </c>
      <c r="D2408" t="s">
        <v>738</v>
      </c>
      <c r="E2408" t="s">
        <v>40</v>
      </c>
      <c r="F2408" t="s">
        <v>12</v>
      </c>
      <c r="G2408" t="str">
        <f>HYPERLINK(_xlfn.CONCAT("https://tablet.otzar.org/",CHAR(35),"/book/141501/p/-1/t/1/fs/0/start/0/end/0/c"),"תורת תמימים - א")</f>
        <v>תורת תמימים - א</v>
      </c>
      <c r="H2408" t="str">
        <f>_xlfn.CONCAT("https://tablet.otzar.org/",CHAR(35),"/book/141501/p/-1/t/1/fs/0/start/0/end/0/c")</f>
        <v>https://tablet.otzar.org/#/book/141501/p/-1/t/1/fs/0/start/0/end/0/c</v>
      </c>
    </row>
    <row r="2409" spans="1:8" x14ac:dyDescent="0.25">
      <c r="A2409">
        <v>607921</v>
      </c>
      <c r="B2409" t="s">
        <v>3736</v>
      </c>
      <c r="C2409" t="s">
        <v>482</v>
      </c>
      <c r="E2409" t="s">
        <v>99</v>
      </c>
      <c r="F2409" t="s">
        <v>12</v>
      </c>
      <c r="G2409" t="str">
        <f>HYPERLINK(_xlfn.CONCAT("https://tablet.otzar.org/",CHAR(35),"/exKotar/607921"),"תורתו אמת - 2 כרכים")</f>
        <v>תורתו אמת - 2 כרכים</v>
      </c>
      <c r="H2409" t="str">
        <f>_xlfn.CONCAT("https://tablet.otzar.org/",CHAR(35),"/exKotar/607921")</f>
        <v>https://tablet.otzar.org/#/exKotar/607921</v>
      </c>
    </row>
    <row r="2410" spans="1:8" x14ac:dyDescent="0.25">
      <c r="A2410">
        <v>155400</v>
      </c>
      <c r="B2410" t="s">
        <v>3737</v>
      </c>
      <c r="C2410" t="s">
        <v>199</v>
      </c>
      <c r="D2410" t="s">
        <v>28</v>
      </c>
      <c r="E2410" t="s">
        <v>91</v>
      </c>
      <c r="F2410" t="s">
        <v>201</v>
      </c>
      <c r="G2410" t="str">
        <f>HYPERLINK(_xlfn.CONCAT("https://tablet.otzar.org/",CHAR(35),"/book/155400/p/-1/t/1/fs/0/start/0/end/0/c"),"תורתו מגן לנו")</f>
        <v>תורתו מגן לנו</v>
      </c>
      <c r="H2410" t="str">
        <f>_xlfn.CONCAT("https://tablet.otzar.org/",CHAR(35),"/book/155400/p/-1/t/1/fs/0/start/0/end/0/c")</f>
        <v>https://tablet.otzar.org/#/book/155400/p/-1/t/1/fs/0/start/0/end/0/c</v>
      </c>
    </row>
    <row r="2411" spans="1:8" x14ac:dyDescent="0.25">
      <c r="A2411">
        <v>614757</v>
      </c>
      <c r="B2411" t="s">
        <v>3737</v>
      </c>
      <c r="C2411" t="s">
        <v>3738</v>
      </c>
      <c r="E2411" t="s">
        <v>91</v>
      </c>
      <c r="F2411" t="s">
        <v>131</v>
      </c>
      <c r="G2411" t="str">
        <f>HYPERLINK(_xlfn.CONCAT("https://tablet.otzar.org/",CHAR(35),"/book/614757/p/-1/t/1/fs/0/start/0/end/0/c"),"תורתו מגן לנו")</f>
        <v>תורתו מגן לנו</v>
      </c>
      <c r="H2411" t="str">
        <f>_xlfn.CONCAT("https://tablet.otzar.org/",CHAR(35),"/book/614757/p/-1/t/1/fs/0/start/0/end/0/c")</f>
        <v>https://tablet.otzar.org/#/book/614757/p/-1/t/1/fs/0/start/0/end/0/c</v>
      </c>
    </row>
    <row r="2412" spans="1:8" x14ac:dyDescent="0.25">
      <c r="A2412">
        <v>27460</v>
      </c>
      <c r="B2412" t="s">
        <v>3739</v>
      </c>
      <c r="C2412" t="s">
        <v>125</v>
      </c>
      <c r="D2412" t="s">
        <v>10</v>
      </c>
      <c r="E2412" t="s">
        <v>134</v>
      </c>
      <c r="F2412" t="s">
        <v>12</v>
      </c>
      <c r="G2412" t="str">
        <f>HYPERLINK(_xlfn.CONCAT("https://tablet.otzar.org/",CHAR(35),"/book/27460/p/-1/t/1/fs/0/start/0/end/0/c"),"תורתך תלמדנו")</f>
        <v>תורתך תלמדנו</v>
      </c>
      <c r="H2412" t="str">
        <f>_xlfn.CONCAT("https://tablet.otzar.org/",CHAR(35),"/book/27460/p/-1/t/1/fs/0/start/0/end/0/c")</f>
        <v>https://tablet.otzar.org/#/book/27460/p/-1/t/1/fs/0/start/0/end/0/c</v>
      </c>
    </row>
    <row r="2413" spans="1:8" x14ac:dyDescent="0.25">
      <c r="A2413">
        <v>682715</v>
      </c>
      <c r="B2413" t="s">
        <v>3740</v>
      </c>
      <c r="C2413" t="s">
        <v>904</v>
      </c>
      <c r="D2413" t="s">
        <v>28</v>
      </c>
      <c r="E2413" t="s">
        <v>3741</v>
      </c>
      <c r="F2413" t="s">
        <v>12</v>
      </c>
      <c r="G2413" t="str">
        <f>HYPERLINK(_xlfn.CONCAT("https://tablet.otzar.org/",CHAR(35),"/exKotar/682715"),"תחיינו - 8 כרכים")</f>
        <v>תחיינו - 8 כרכים</v>
      </c>
      <c r="H2413" t="str">
        <f>_xlfn.CONCAT("https://tablet.otzar.org/",CHAR(35),"/exKotar/682715")</f>
        <v>https://tablet.otzar.org/#/exKotar/682715</v>
      </c>
    </row>
    <row r="2414" spans="1:8" x14ac:dyDescent="0.25">
      <c r="A2414">
        <v>607948</v>
      </c>
      <c r="B2414" t="s">
        <v>3742</v>
      </c>
      <c r="C2414" t="s">
        <v>595</v>
      </c>
      <c r="D2414" t="s">
        <v>15</v>
      </c>
      <c r="E2414" t="s">
        <v>19</v>
      </c>
      <c r="F2414" t="s">
        <v>12</v>
      </c>
      <c r="G2414" t="str">
        <f>HYPERLINK(_xlfn.CONCAT("https://tablet.otzar.org/",CHAR(35),"/book/607948/p/-1/t/1/fs/0/start/0/end/0/c"),"תינוק נולד - מדריך יהודי ללידת הבן והבת")</f>
        <v>תינוק נולד - מדריך יהודי ללידת הבן והבת</v>
      </c>
      <c r="H2414" t="str">
        <f>_xlfn.CONCAT("https://tablet.otzar.org/",CHAR(35),"/book/607948/p/-1/t/1/fs/0/start/0/end/0/c")</f>
        <v>https://tablet.otzar.org/#/book/607948/p/-1/t/1/fs/0/start/0/end/0/c</v>
      </c>
    </row>
    <row r="2415" spans="1:8" x14ac:dyDescent="0.25">
      <c r="A2415">
        <v>628577</v>
      </c>
      <c r="B2415" t="s">
        <v>3743</v>
      </c>
      <c r="C2415" t="s">
        <v>102</v>
      </c>
      <c r="D2415" t="s">
        <v>15</v>
      </c>
      <c r="E2415" t="s">
        <v>192</v>
      </c>
      <c r="F2415" t="s">
        <v>379</v>
      </c>
      <c r="G2415" t="str">
        <f>HYPERLINK(_xlfn.CONCAT("https://tablet.otzar.org/",CHAR(35),"/book/628577/p/-1/t/1/fs/0/start/0/end/0/c"),"תיקון המדינה")</f>
        <v>תיקון המדינה</v>
      </c>
      <c r="H2415" t="str">
        <f>_xlfn.CONCAT("https://tablet.otzar.org/",CHAR(35),"/book/628577/p/-1/t/1/fs/0/start/0/end/0/c")</f>
        <v>https://tablet.otzar.org/#/book/628577/p/-1/t/1/fs/0/start/0/end/0/c</v>
      </c>
    </row>
    <row r="2416" spans="1:8" x14ac:dyDescent="0.25">
      <c r="A2416">
        <v>605338</v>
      </c>
      <c r="B2416" t="s">
        <v>3744</v>
      </c>
      <c r="C2416" t="s">
        <v>27</v>
      </c>
      <c r="D2416" t="s">
        <v>10</v>
      </c>
      <c r="E2416" t="s">
        <v>19</v>
      </c>
      <c r="G2416" t="str">
        <f>HYPERLINK(_xlfn.CONCAT("https://tablet.otzar.org/",CHAR(35),"/book/605338/p/-1/t/1/fs/0/start/0/end/0/c"),"תיקוני מקוואות לפי תקנת רבותינו")</f>
        <v>תיקוני מקוואות לפי תקנת רבותינו</v>
      </c>
      <c r="H2416" t="str">
        <f>_xlfn.CONCAT("https://tablet.otzar.org/",CHAR(35),"/book/605338/p/-1/t/1/fs/0/start/0/end/0/c")</f>
        <v>https://tablet.otzar.org/#/book/605338/p/-1/t/1/fs/0/start/0/end/0/c</v>
      </c>
    </row>
    <row r="2417" spans="1:8" x14ac:dyDescent="0.25">
      <c r="A2417">
        <v>27338</v>
      </c>
      <c r="B2417" t="s">
        <v>3745</v>
      </c>
      <c r="C2417" t="s">
        <v>3746</v>
      </c>
      <c r="D2417" t="s">
        <v>10</v>
      </c>
      <c r="E2417" t="s">
        <v>181</v>
      </c>
      <c r="F2417" t="s">
        <v>12</v>
      </c>
      <c r="G2417" t="str">
        <f>HYPERLINK(_xlfn.CONCAT("https://tablet.otzar.org/",CHAR(35),"/book/27338/p/-1/t/1/fs/0/start/0/end/0/c"),"תכונות השמים")</f>
        <v>תכונות השמים</v>
      </c>
      <c r="H2417" t="str">
        <f>_xlfn.CONCAT("https://tablet.otzar.org/",CHAR(35),"/book/27338/p/-1/t/1/fs/0/start/0/end/0/c")</f>
        <v>https://tablet.otzar.org/#/book/27338/p/-1/t/1/fs/0/start/0/end/0/c</v>
      </c>
    </row>
    <row r="2418" spans="1:8" x14ac:dyDescent="0.25">
      <c r="A2418">
        <v>141408</v>
      </c>
      <c r="B2418" t="s">
        <v>3747</v>
      </c>
      <c r="C2418" t="s">
        <v>3748</v>
      </c>
      <c r="D2418" t="s">
        <v>28</v>
      </c>
      <c r="E2418" t="s">
        <v>91</v>
      </c>
      <c r="F2418" t="s">
        <v>12</v>
      </c>
      <c r="G2418" t="str">
        <f>HYPERLINK(_xlfn.CONCAT("https://tablet.otzar.org/",CHAR(35),"/book/141408/p/-1/t/1/fs/0/start/0/end/0/c"),"תכנית לימוד דברי חכמי הדורות על הגאולה")</f>
        <v>תכנית לימוד דברי חכמי הדורות על הגאולה</v>
      </c>
      <c r="H2418" t="str">
        <f>_xlfn.CONCAT("https://tablet.otzar.org/",CHAR(35),"/book/141408/p/-1/t/1/fs/0/start/0/end/0/c")</f>
        <v>https://tablet.otzar.org/#/book/141408/p/-1/t/1/fs/0/start/0/end/0/c</v>
      </c>
    </row>
    <row r="2419" spans="1:8" x14ac:dyDescent="0.25">
      <c r="A2419">
        <v>146253</v>
      </c>
      <c r="B2419" t="s">
        <v>3749</v>
      </c>
      <c r="C2419" t="s">
        <v>2345</v>
      </c>
      <c r="D2419" t="s">
        <v>363</v>
      </c>
      <c r="E2419" t="s">
        <v>192</v>
      </c>
      <c r="F2419" t="s">
        <v>12</v>
      </c>
      <c r="G2419" t="str">
        <f>HYPERLINK(_xlfn.CONCAT("https://tablet.otzar.org/",CHAR(35),"/book/146253/p/-1/t/1/fs/0/start/0/end/0/c"),"תלת הלכתא רבתא בהלכות עירובין")</f>
        <v>תלת הלכתא רבתא בהלכות עירובין</v>
      </c>
      <c r="H2419" t="str">
        <f>_xlfn.CONCAT("https://tablet.otzar.org/",CHAR(35),"/book/146253/p/-1/t/1/fs/0/start/0/end/0/c")</f>
        <v>https://tablet.otzar.org/#/book/146253/p/-1/t/1/fs/0/start/0/end/0/c</v>
      </c>
    </row>
    <row r="2420" spans="1:8" x14ac:dyDescent="0.25">
      <c r="A2420">
        <v>657617</v>
      </c>
      <c r="B2420" t="s">
        <v>3750</v>
      </c>
      <c r="C2420" t="s">
        <v>3751</v>
      </c>
      <c r="D2420" t="s">
        <v>410</v>
      </c>
      <c r="E2420" t="s">
        <v>166</v>
      </c>
      <c r="G2420" t="str">
        <f>HYPERLINK(_xlfn.CONCAT("https://tablet.otzar.org/",CHAR(35),"/book/657617/p/-1/t/1/fs/0/start/0/end/0/c"),"תמונה ללא מסגרת")</f>
        <v>תמונה ללא מסגרת</v>
      </c>
      <c r="H2420" t="str">
        <f>_xlfn.CONCAT("https://tablet.otzar.org/",CHAR(35),"/book/657617/p/-1/t/1/fs/0/start/0/end/0/c")</f>
        <v>https://tablet.otzar.org/#/book/657617/p/-1/t/1/fs/0/start/0/end/0/c</v>
      </c>
    </row>
    <row r="2421" spans="1:8" x14ac:dyDescent="0.25">
      <c r="A2421">
        <v>143292</v>
      </c>
      <c r="B2421" t="s">
        <v>3752</v>
      </c>
      <c r="C2421" t="s">
        <v>125</v>
      </c>
      <c r="D2421" t="s">
        <v>10</v>
      </c>
      <c r="E2421" t="s">
        <v>33</v>
      </c>
      <c r="F2421" t="s">
        <v>251</v>
      </c>
      <c r="G2421" t="str">
        <f>HYPERLINK(_xlfn.CONCAT("https://tablet.otzar.org/",CHAR(35),"/book/143292/p/-1/t/1/fs/0/start/0/end/0/c"),"תמים בחוקיך")</f>
        <v>תמים בחוקיך</v>
      </c>
      <c r="H2421" t="str">
        <f>_xlfn.CONCAT("https://tablet.otzar.org/",CHAR(35),"/book/143292/p/-1/t/1/fs/0/start/0/end/0/c")</f>
        <v>https://tablet.otzar.org/#/book/143292/p/-1/t/1/fs/0/start/0/end/0/c</v>
      </c>
    </row>
    <row r="2422" spans="1:8" x14ac:dyDescent="0.25">
      <c r="A2422">
        <v>607742</v>
      </c>
      <c r="B2422" t="s">
        <v>3753</v>
      </c>
      <c r="C2422" t="s">
        <v>3754</v>
      </c>
      <c r="D2422" t="s">
        <v>28</v>
      </c>
      <c r="E2422" t="s">
        <v>99</v>
      </c>
      <c r="F2422" t="s">
        <v>12</v>
      </c>
      <c r="G2422" t="str">
        <f>HYPERLINK(_xlfn.CONCAT("https://tablet.otzar.org/",CHAR(35),"/book/607742/p/-1/t/1/fs/0/start/0/end/0/c"),"תמים תהיה")</f>
        <v>תמים תהיה</v>
      </c>
      <c r="H2422" t="str">
        <f>_xlfn.CONCAT("https://tablet.otzar.org/",CHAR(35),"/book/607742/p/-1/t/1/fs/0/start/0/end/0/c")</f>
        <v>https://tablet.otzar.org/#/book/607742/p/-1/t/1/fs/0/start/0/end/0/c</v>
      </c>
    </row>
    <row r="2423" spans="1:8" x14ac:dyDescent="0.25">
      <c r="A2423">
        <v>639290</v>
      </c>
      <c r="B2423" t="s">
        <v>3755</v>
      </c>
      <c r="C2423" t="s">
        <v>492</v>
      </c>
      <c r="D2423" t="s">
        <v>629</v>
      </c>
      <c r="E2423" t="s">
        <v>62</v>
      </c>
      <c r="F2423" t="s">
        <v>12</v>
      </c>
      <c r="G2423" t="str">
        <f>HYPERLINK(_xlfn.CONCAT("https://tablet.otzar.org/",CHAR(35),"/book/639290/p/-1/t/1/fs/0/start/0/end/0/c"),"תמת ישרים תנחם")</f>
        <v>תמת ישרים תנחם</v>
      </c>
      <c r="H2423" t="str">
        <f>_xlfn.CONCAT("https://tablet.otzar.org/",CHAR(35),"/book/639290/p/-1/t/1/fs/0/start/0/end/0/c")</f>
        <v>https://tablet.otzar.org/#/book/639290/p/-1/t/1/fs/0/start/0/end/0/c</v>
      </c>
    </row>
    <row r="2424" spans="1:8" x14ac:dyDescent="0.25">
      <c r="A2424">
        <v>27524</v>
      </c>
      <c r="B2424" t="s">
        <v>3756</v>
      </c>
      <c r="C2424" t="s">
        <v>125</v>
      </c>
      <c r="D2424" t="s">
        <v>3757</v>
      </c>
      <c r="E2424" t="s">
        <v>346</v>
      </c>
      <c r="F2424" t="s">
        <v>12</v>
      </c>
      <c r="G2424" t="str">
        <f>HYPERLINK(_xlfn.CONCAT("https://tablet.otzar.org/",CHAR(35),"/book/27524/p/-1/t/1/fs/0/start/0/end/0/c"),"תן לחכם")</f>
        <v>תן לחכם</v>
      </c>
      <c r="H2424" t="str">
        <f>_xlfn.CONCAT("https://tablet.otzar.org/",CHAR(35),"/book/27524/p/-1/t/1/fs/0/start/0/end/0/c")</f>
        <v>https://tablet.otzar.org/#/book/27524/p/-1/t/1/fs/0/start/0/end/0/c</v>
      </c>
    </row>
    <row r="2425" spans="1:8" x14ac:dyDescent="0.25">
      <c r="A2425">
        <v>613899</v>
      </c>
      <c r="B2425" t="s">
        <v>3756</v>
      </c>
      <c r="C2425" t="s">
        <v>3758</v>
      </c>
      <c r="D2425" t="s">
        <v>3757</v>
      </c>
      <c r="E2425" t="s">
        <v>91</v>
      </c>
      <c r="F2425" t="s">
        <v>3759</v>
      </c>
      <c r="G2425" t="str">
        <f>HYPERLINK(_xlfn.CONCAT("https://tablet.otzar.org/",CHAR(35),"/book/613899/p/-1/t/1/fs/0/start/0/end/0/c"),"תן לחכם")</f>
        <v>תן לחכם</v>
      </c>
      <c r="H2425" t="str">
        <f>_xlfn.CONCAT("https://tablet.otzar.org/",CHAR(35),"/book/613899/p/-1/t/1/fs/0/start/0/end/0/c")</f>
        <v>https://tablet.otzar.org/#/book/613899/p/-1/t/1/fs/0/start/0/end/0/c</v>
      </c>
    </row>
    <row r="2426" spans="1:8" x14ac:dyDescent="0.25">
      <c r="A2426">
        <v>171725</v>
      </c>
      <c r="B2426" t="s">
        <v>3760</v>
      </c>
      <c r="C2426" t="s">
        <v>27</v>
      </c>
      <c r="D2426" t="s">
        <v>10</v>
      </c>
      <c r="E2426" t="s">
        <v>16</v>
      </c>
      <c r="F2426" t="s">
        <v>12</v>
      </c>
      <c r="G2426" t="str">
        <f>HYPERLINK(_xlfn.CONCAT("https://tablet.otzar.org/",CHAR(35),"/book/171725/p/-1/t/1/fs/0/start/0/end/0/c"),"תנאים ווארט אירוסין ונישואין")</f>
        <v>תנאים ווארט אירוסין ונישואין</v>
      </c>
      <c r="H2426" t="str">
        <f>_xlfn.CONCAT("https://tablet.otzar.org/",CHAR(35),"/book/171725/p/-1/t/1/fs/0/start/0/end/0/c")</f>
        <v>https://tablet.otzar.org/#/book/171725/p/-1/t/1/fs/0/start/0/end/0/c</v>
      </c>
    </row>
    <row r="2427" spans="1:8" x14ac:dyDescent="0.25">
      <c r="A2427">
        <v>646095</v>
      </c>
      <c r="B2427" t="s">
        <v>3761</v>
      </c>
      <c r="C2427" t="s">
        <v>9</v>
      </c>
      <c r="D2427" t="s">
        <v>10</v>
      </c>
      <c r="E2427" t="s">
        <v>24</v>
      </c>
      <c r="G2427" t="str">
        <f>HYPERLINK(_xlfn.CONCAT("https://tablet.otzar.org/",CHAR(35),"/book/646095/p/-1/t/1/fs/0/start/0/end/0/c"),"תנופה חדשה - יג")</f>
        <v>תנופה חדשה - יג</v>
      </c>
      <c r="H2427" t="str">
        <f>_xlfn.CONCAT("https://tablet.otzar.org/",CHAR(35),"/book/646095/p/-1/t/1/fs/0/start/0/end/0/c")</f>
        <v>https://tablet.otzar.org/#/book/646095/p/-1/t/1/fs/0/start/0/end/0/c</v>
      </c>
    </row>
    <row r="2428" spans="1:8" x14ac:dyDescent="0.25">
      <c r="A2428">
        <v>607692</v>
      </c>
      <c r="B2428" t="s">
        <v>3762</v>
      </c>
      <c r="C2428" t="s">
        <v>3763</v>
      </c>
      <c r="D2428" t="s">
        <v>28</v>
      </c>
      <c r="E2428" t="s">
        <v>404</v>
      </c>
      <c r="F2428" t="s">
        <v>12</v>
      </c>
      <c r="G2428" t="str">
        <f>HYPERLINK(_xlfn.CONCAT("https://tablet.otzar.org/",CHAR(35),"/book/607692/p/-1/t/1/fs/0/start/0/end/0/c"),"תניא בעל פה")</f>
        <v>תניא בעל פה</v>
      </c>
      <c r="H2428" t="str">
        <f>_xlfn.CONCAT("https://tablet.otzar.org/",CHAR(35),"/book/607692/p/-1/t/1/fs/0/start/0/end/0/c")</f>
        <v>https://tablet.otzar.org/#/book/607692/p/-1/t/1/fs/0/start/0/end/0/c</v>
      </c>
    </row>
    <row r="2429" spans="1:8" x14ac:dyDescent="0.25">
      <c r="A2429">
        <v>607686</v>
      </c>
      <c r="B2429" t="s">
        <v>3764</v>
      </c>
      <c r="C2429" t="s">
        <v>3765</v>
      </c>
      <c r="D2429" t="s">
        <v>37</v>
      </c>
      <c r="E2429" t="s">
        <v>99</v>
      </c>
      <c r="F2429" t="s">
        <v>12</v>
      </c>
      <c r="G2429" t="str">
        <f>HYPERLINK(_xlfn.CONCAT("https://tablet.otzar.org/",CHAR(35),"/book/607686/p/-1/t/1/fs/0/start/0/end/0/c"),"תניא לאנשים כמוך וכמוני")</f>
        <v>תניא לאנשים כמוך וכמוני</v>
      </c>
      <c r="H2429" t="str">
        <f>_xlfn.CONCAT("https://tablet.otzar.org/",CHAR(35),"/book/607686/p/-1/t/1/fs/0/start/0/end/0/c")</f>
        <v>https://tablet.otzar.org/#/book/607686/p/-1/t/1/fs/0/start/0/end/0/c</v>
      </c>
    </row>
    <row r="2430" spans="1:8" x14ac:dyDescent="0.25">
      <c r="A2430">
        <v>164328</v>
      </c>
      <c r="B2430" t="s">
        <v>3766</v>
      </c>
      <c r="C2430" t="s">
        <v>81</v>
      </c>
      <c r="D2430" t="s">
        <v>10</v>
      </c>
      <c r="E2430" t="s">
        <v>16</v>
      </c>
      <c r="F2430" t="s">
        <v>12</v>
      </c>
      <c r="G2430" t="str">
        <f>HYPERLINK(_xlfn.CONCAT("https://tablet.otzar.org/",CHAR(35),"/book/164328/p/-1/t/1/fs/0/start/0/end/0/c"),"תניא עם תרגום לגרוזינית")</f>
        <v>תניא עם תרגום לגרוזינית</v>
      </c>
      <c r="H2430" t="str">
        <f>_xlfn.CONCAT("https://tablet.otzar.org/",CHAR(35),"/book/164328/p/-1/t/1/fs/0/start/0/end/0/c")</f>
        <v>https://tablet.otzar.org/#/book/164328/p/-1/t/1/fs/0/start/0/end/0/c</v>
      </c>
    </row>
    <row r="2431" spans="1:8" x14ac:dyDescent="0.25">
      <c r="A2431">
        <v>173573</v>
      </c>
      <c r="B2431" t="s">
        <v>3767</v>
      </c>
      <c r="C2431" t="s">
        <v>3768</v>
      </c>
      <c r="D2431" t="s">
        <v>15</v>
      </c>
      <c r="E2431" t="s">
        <v>62</v>
      </c>
      <c r="F2431" t="s">
        <v>12</v>
      </c>
      <c r="G2431" t="str">
        <f>HYPERLINK(_xlfn.CONCAT("https://tablet.otzar.org/",CHAR(35),"/book/173573/p/-1/t/1/fs/0/start/0/end/0/c"),"תספורת והכנסה לחדר")</f>
        <v>תספורת והכנסה לחדר</v>
      </c>
      <c r="H2431" t="str">
        <f>_xlfn.CONCAT("https://tablet.otzar.org/",CHAR(35),"/book/173573/p/-1/t/1/fs/0/start/0/end/0/c")</f>
        <v>https://tablet.otzar.org/#/book/173573/p/-1/t/1/fs/0/start/0/end/0/c</v>
      </c>
    </row>
    <row r="2432" spans="1:8" x14ac:dyDescent="0.25">
      <c r="A2432">
        <v>193145</v>
      </c>
      <c r="B2432" t="s">
        <v>3769</v>
      </c>
      <c r="C2432" t="s">
        <v>1353</v>
      </c>
      <c r="D2432" t="s">
        <v>10</v>
      </c>
      <c r="E2432" t="s">
        <v>62</v>
      </c>
      <c r="F2432" t="s">
        <v>229</v>
      </c>
      <c r="G2432" t="str">
        <f>HYPERLINK(_xlfn.CONCAT("https://tablet.otzar.org/",CHAR(35),"/book/193145/p/-1/t/1/fs/0/start/0/end/0/c"),"תספורת ראשונה")</f>
        <v>תספורת ראשונה</v>
      </c>
      <c r="H2432" t="str">
        <f>_xlfn.CONCAT("https://tablet.otzar.org/",CHAR(35),"/book/193145/p/-1/t/1/fs/0/start/0/end/0/c")</f>
        <v>https://tablet.otzar.org/#/book/193145/p/-1/t/1/fs/0/start/0/end/0/c</v>
      </c>
    </row>
    <row r="2433" spans="1:8" x14ac:dyDescent="0.25">
      <c r="A2433">
        <v>140938</v>
      </c>
      <c r="B2433" t="s">
        <v>3770</v>
      </c>
      <c r="C2433" t="s">
        <v>3771</v>
      </c>
      <c r="D2433" t="s">
        <v>28</v>
      </c>
      <c r="E2433" t="s">
        <v>250</v>
      </c>
      <c r="F2433" t="s">
        <v>12</v>
      </c>
      <c r="G2433" t="str">
        <f>HYPERLINK(_xlfn.CONCAT("https://tablet.otzar.org/",CHAR(35),"/book/140938/p/-1/t/1/fs/0/start/0/end/0/c"),"תערוכת חב""""ד - ליובאוויטש")</f>
        <v>תערוכת חב""ד - ליובאוויטש</v>
      </c>
      <c r="H2433" t="str">
        <f>_xlfn.CONCAT("https://tablet.otzar.org/",CHAR(35),"/book/140938/p/-1/t/1/fs/0/start/0/end/0/c")</f>
        <v>https://tablet.otzar.org/#/book/140938/p/-1/t/1/fs/0/start/0/end/0/c</v>
      </c>
    </row>
    <row r="2434" spans="1:8" x14ac:dyDescent="0.25">
      <c r="A2434">
        <v>140866</v>
      </c>
      <c r="B2434" t="s">
        <v>3772</v>
      </c>
      <c r="C2434" t="s">
        <v>3254</v>
      </c>
      <c r="D2434" t="s">
        <v>10</v>
      </c>
      <c r="E2434" t="s">
        <v>40</v>
      </c>
      <c r="F2434" t="s">
        <v>12</v>
      </c>
      <c r="G2434" t="str">
        <f>HYPERLINK(_xlfn.CONCAT("https://tablet.otzar.org/",CHAR(35),"/book/140866/p/-1/t/1/fs/0/start/0/end/0/c"),"תערוכת ספריית ליובאוויטש")</f>
        <v>תערוכת ספריית ליובאוויטש</v>
      </c>
      <c r="H2434" t="str">
        <f>_xlfn.CONCAT("https://tablet.otzar.org/",CHAR(35),"/book/140866/p/-1/t/1/fs/0/start/0/end/0/c")</f>
        <v>https://tablet.otzar.org/#/book/140866/p/-1/t/1/fs/0/start/0/end/0/c</v>
      </c>
    </row>
    <row r="2435" spans="1:8" x14ac:dyDescent="0.25">
      <c r="A2435">
        <v>27571</v>
      </c>
      <c r="B2435" t="s">
        <v>3773</v>
      </c>
      <c r="C2435" t="s">
        <v>828</v>
      </c>
      <c r="D2435" t="s">
        <v>10</v>
      </c>
      <c r="E2435" t="s">
        <v>103</v>
      </c>
      <c r="F2435" t="s">
        <v>12</v>
      </c>
      <c r="G2435" t="str">
        <f>HYPERLINK(_xlfn.CONCAT("https://tablet.otzar.org/",CHAR(35),"/book/27571/p/-1/t/1/fs/0/start/0/end/0/c"),"תערוכת רבינו הזקן")</f>
        <v>תערוכת רבינו הזקן</v>
      </c>
      <c r="H2435" t="str">
        <f>_xlfn.CONCAT("https://tablet.otzar.org/",CHAR(35),"/book/27571/p/-1/t/1/fs/0/start/0/end/0/c")</f>
        <v>https://tablet.otzar.org/#/book/27571/p/-1/t/1/fs/0/start/0/end/0/c</v>
      </c>
    </row>
    <row r="2436" spans="1:8" x14ac:dyDescent="0.25">
      <c r="A2436">
        <v>639870</v>
      </c>
      <c r="B2436" t="s">
        <v>3774</v>
      </c>
      <c r="C2436" t="s">
        <v>3775</v>
      </c>
      <c r="D2436" t="s">
        <v>28</v>
      </c>
      <c r="E2436" t="s">
        <v>91</v>
      </c>
      <c r="F2436" t="s">
        <v>25</v>
      </c>
      <c r="G2436" t="str">
        <f>HYPERLINK(_xlfn.CONCAT("https://tablet.otzar.org/",CHAR(35),"/book/639870/p/-1/t/1/fs/0/start/0/end/0/c"),"תפארת אי""""ש")</f>
        <v>תפארת אי""ש</v>
      </c>
      <c r="H2436" t="str">
        <f>_xlfn.CONCAT("https://tablet.otzar.org/",CHAR(35),"/book/639870/p/-1/t/1/fs/0/start/0/end/0/c")</f>
        <v>https://tablet.otzar.org/#/book/639870/p/-1/t/1/fs/0/start/0/end/0/c</v>
      </c>
    </row>
    <row r="2437" spans="1:8" x14ac:dyDescent="0.25">
      <c r="A2437">
        <v>140826</v>
      </c>
      <c r="B2437" t="s">
        <v>3776</v>
      </c>
      <c r="C2437" t="s">
        <v>125</v>
      </c>
      <c r="D2437" t="s">
        <v>10</v>
      </c>
      <c r="E2437" t="s">
        <v>250</v>
      </c>
      <c r="F2437" t="s">
        <v>12</v>
      </c>
      <c r="G2437" t="str">
        <f>HYPERLINK(_xlfn.CONCAT("https://tablet.otzar.org/",CHAR(35),"/book/140826/p/-1/t/1/fs/0/start/0/end/0/c"),"תפארת במקדשו")</f>
        <v>תפארת במקדשו</v>
      </c>
      <c r="H2437" t="str">
        <f>_xlfn.CONCAT("https://tablet.otzar.org/",CHAR(35),"/book/140826/p/-1/t/1/fs/0/start/0/end/0/c")</f>
        <v>https://tablet.otzar.org/#/book/140826/p/-1/t/1/fs/0/start/0/end/0/c</v>
      </c>
    </row>
    <row r="2438" spans="1:8" x14ac:dyDescent="0.25">
      <c r="A2438">
        <v>29243</v>
      </c>
      <c r="B2438" t="s">
        <v>3777</v>
      </c>
      <c r="C2438" t="s">
        <v>48</v>
      </c>
      <c r="D2438" t="s">
        <v>191</v>
      </c>
      <c r="E2438" t="s">
        <v>174</v>
      </c>
      <c r="F2438" t="s">
        <v>12</v>
      </c>
      <c r="G2438" t="str">
        <f>HYPERLINK(_xlfn.CONCAT("https://tablet.otzar.org/",CHAR(35),"/book/29243/p/-1/t/1/fs/0/start/0/end/0/c"),"תפארת בנים אבותם")</f>
        <v>תפארת בנים אבותם</v>
      </c>
      <c r="H2438" t="str">
        <f>_xlfn.CONCAT("https://tablet.otzar.org/",CHAR(35),"/book/29243/p/-1/t/1/fs/0/start/0/end/0/c")</f>
        <v>https://tablet.otzar.org/#/book/29243/p/-1/t/1/fs/0/start/0/end/0/c</v>
      </c>
    </row>
    <row r="2439" spans="1:8" x14ac:dyDescent="0.25">
      <c r="A2439">
        <v>26932</v>
      </c>
      <c r="B2439" t="s">
        <v>3778</v>
      </c>
      <c r="C2439" t="s">
        <v>348</v>
      </c>
      <c r="D2439" t="s">
        <v>15</v>
      </c>
      <c r="E2439" t="s">
        <v>29</v>
      </c>
      <c r="F2439" t="s">
        <v>12</v>
      </c>
      <c r="G2439" t="str">
        <f>HYPERLINK(_xlfn.CONCAT("https://tablet.otzar.org/",CHAR(35),"/book/26932/p/-1/t/1/fs/0/start/0/end/0/c"),"תפארת השליחות")</f>
        <v>תפארת השליחות</v>
      </c>
      <c r="H2439" t="str">
        <f>_xlfn.CONCAT("https://tablet.otzar.org/",CHAR(35),"/book/26932/p/-1/t/1/fs/0/start/0/end/0/c")</f>
        <v>https://tablet.otzar.org/#/book/26932/p/-1/t/1/fs/0/start/0/end/0/c</v>
      </c>
    </row>
    <row r="2440" spans="1:8" x14ac:dyDescent="0.25">
      <c r="A2440">
        <v>629550</v>
      </c>
      <c r="B2440" t="s">
        <v>3779</v>
      </c>
      <c r="C2440" t="s">
        <v>821</v>
      </c>
      <c r="D2440" t="s">
        <v>28</v>
      </c>
      <c r="E2440" t="s">
        <v>91</v>
      </c>
      <c r="F2440" t="s">
        <v>25</v>
      </c>
      <c r="G2440" t="str">
        <f>HYPERLINK(_xlfn.CONCAT("https://tablet.otzar.org/",CHAR(35),"/book/629550/p/-1/t/1/fs/0/start/0/end/0/c"),"תפארת יגאל")</f>
        <v>תפארת יגאל</v>
      </c>
      <c r="H2440" t="str">
        <f>_xlfn.CONCAT("https://tablet.otzar.org/",CHAR(35),"/book/629550/p/-1/t/1/fs/0/start/0/end/0/c")</f>
        <v>https://tablet.otzar.org/#/book/629550/p/-1/t/1/fs/0/start/0/end/0/c</v>
      </c>
    </row>
    <row r="2441" spans="1:8" x14ac:dyDescent="0.25">
      <c r="A2441">
        <v>26473</v>
      </c>
      <c r="B2441" t="s">
        <v>3780</v>
      </c>
      <c r="C2441" t="s">
        <v>36</v>
      </c>
      <c r="D2441" t="s">
        <v>10</v>
      </c>
      <c r="E2441" t="s">
        <v>217</v>
      </c>
      <c r="F2441" t="s">
        <v>12</v>
      </c>
      <c r="G2441" t="str">
        <f>HYPERLINK(_xlfn.CONCAT("https://tablet.otzar.org/",CHAR(35),"/exKotar/26473"),"תפארת יהודה קלמן - 2 כרכים")</f>
        <v>תפארת יהודה קלמן - 2 כרכים</v>
      </c>
      <c r="H2441" t="str">
        <f>_xlfn.CONCAT("https://tablet.otzar.org/",CHAR(35),"/exKotar/26473")</f>
        <v>https://tablet.otzar.org/#/exKotar/26473</v>
      </c>
    </row>
    <row r="2442" spans="1:8" x14ac:dyDescent="0.25">
      <c r="A2442">
        <v>189081</v>
      </c>
      <c r="B2442" t="s">
        <v>3781</v>
      </c>
      <c r="C2442" t="s">
        <v>3782</v>
      </c>
      <c r="D2442" t="s">
        <v>10</v>
      </c>
      <c r="E2442" t="s">
        <v>88</v>
      </c>
      <c r="F2442" t="s">
        <v>20</v>
      </c>
      <c r="G2442" t="str">
        <f>HYPERLINK(_xlfn.CONCAT("https://tablet.otzar.org/",CHAR(35),"/book/189081/p/-1/t/1/fs/0/start/0/end/0/c"),"תפארת יעקב - תולדות רבי יעקב הלוי פרידמאן")</f>
        <v>תפארת יעקב - תולדות רבי יעקב הלוי פרידמאן</v>
      </c>
      <c r="H2442" t="str">
        <f>_xlfn.CONCAT("https://tablet.otzar.org/",CHAR(35),"/book/189081/p/-1/t/1/fs/0/start/0/end/0/c")</f>
        <v>https://tablet.otzar.org/#/book/189081/p/-1/t/1/fs/0/start/0/end/0/c</v>
      </c>
    </row>
    <row r="2443" spans="1:8" x14ac:dyDescent="0.25">
      <c r="A2443">
        <v>27352</v>
      </c>
      <c r="B2443" t="s">
        <v>3783</v>
      </c>
      <c r="C2443" t="s">
        <v>125</v>
      </c>
      <c r="D2443" t="s">
        <v>15</v>
      </c>
      <c r="E2443" t="s">
        <v>134</v>
      </c>
      <c r="F2443" t="s">
        <v>12</v>
      </c>
      <c r="G2443" t="str">
        <f>HYPERLINK(_xlfn.CONCAT("https://tablet.otzar.org/",CHAR(35),"/book/27352/p/-1/t/1/fs/0/start/0/end/0/c"),"תפארת מלך - א")</f>
        <v>תפארת מלך - א</v>
      </c>
      <c r="H2443" t="str">
        <f>_xlfn.CONCAT("https://tablet.otzar.org/",CHAR(35),"/book/27352/p/-1/t/1/fs/0/start/0/end/0/c")</f>
        <v>https://tablet.otzar.org/#/book/27352/p/-1/t/1/fs/0/start/0/end/0/c</v>
      </c>
    </row>
    <row r="2444" spans="1:8" x14ac:dyDescent="0.25">
      <c r="A2444">
        <v>614919</v>
      </c>
      <c r="B2444" t="s">
        <v>3784</v>
      </c>
      <c r="C2444" t="s">
        <v>3627</v>
      </c>
      <c r="D2444" t="s">
        <v>197</v>
      </c>
      <c r="E2444" t="s">
        <v>91</v>
      </c>
      <c r="F2444" t="s">
        <v>163</v>
      </c>
      <c r="G2444" t="str">
        <f>HYPERLINK(_xlfn.CONCAT("https://tablet.otzar.org/",CHAR(35),"/book/614919/p/-1/t/1/fs/0/start/0/end/0/c"),"תפארת מנחם - ב")</f>
        <v>תפארת מנחם - ב</v>
      </c>
      <c r="H2444" t="str">
        <f>_xlfn.CONCAT("https://tablet.otzar.org/",CHAR(35),"/book/614919/p/-1/t/1/fs/0/start/0/end/0/c")</f>
        <v>https://tablet.otzar.org/#/book/614919/p/-1/t/1/fs/0/start/0/end/0/c</v>
      </c>
    </row>
    <row r="2445" spans="1:8" x14ac:dyDescent="0.25">
      <c r="A2445">
        <v>167772</v>
      </c>
      <c r="B2445" t="s">
        <v>3785</v>
      </c>
      <c r="C2445" t="s">
        <v>3786</v>
      </c>
      <c r="D2445" t="s">
        <v>37</v>
      </c>
      <c r="E2445" t="s">
        <v>16</v>
      </c>
      <c r="F2445" t="s">
        <v>12</v>
      </c>
      <c r="G2445" t="str">
        <f>HYPERLINK(_xlfn.CONCAT("https://tablet.otzar.org/",CHAR(35),"/book/167772/p/-1/t/1/fs/0/start/0/end/0/c"),"תפארת עזריאל")</f>
        <v>תפארת עזריאל</v>
      </c>
      <c r="H2445" t="str">
        <f>_xlfn.CONCAT("https://tablet.otzar.org/",CHAR(35),"/book/167772/p/-1/t/1/fs/0/start/0/end/0/c")</f>
        <v>https://tablet.otzar.org/#/book/167772/p/-1/t/1/fs/0/start/0/end/0/c</v>
      </c>
    </row>
    <row r="2446" spans="1:8" x14ac:dyDescent="0.25">
      <c r="A2446">
        <v>646091</v>
      </c>
      <c r="B2446" t="s">
        <v>3787</v>
      </c>
      <c r="C2446" t="s">
        <v>36</v>
      </c>
      <c r="D2446" t="s">
        <v>28</v>
      </c>
      <c r="E2446" t="s">
        <v>24</v>
      </c>
      <c r="G2446" t="str">
        <f>HYPERLINK(_xlfn.CONCAT("https://tablet.otzar.org/",CHAR(35),"/book/646091/p/-1/t/1/fs/0/start/0/end/0/c"),"תפארת פנחס")</f>
        <v>תפארת פנחס</v>
      </c>
      <c r="H2446" t="str">
        <f>_xlfn.CONCAT("https://tablet.otzar.org/",CHAR(35),"/book/646091/p/-1/t/1/fs/0/start/0/end/0/c")</f>
        <v>https://tablet.otzar.org/#/book/646091/p/-1/t/1/fs/0/start/0/end/0/c</v>
      </c>
    </row>
    <row r="2447" spans="1:8" x14ac:dyDescent="0.25">
      <c r="A2447">
        <v>607893</v>
      </c>
      <c r="B2447" t="s">
        <v>3788</v>
      </c>
      <c r="C2447" t="s">
        <v>3789</v>
      </c>
      <c r="D2447" t="s">
        <v>28</v>
      </c>
      <c r="E2447" t="s">
        <v>99</v>
      </c>
      <c r="F2447" t="s">
        <v>12</v>
      </c>
      <c r="G2447" t="str">
        <f>HYPERLINK(_xlfn.CONCAT("https://tablet.otzar.org/",CHAR(35),"/book/607893/p/-1/t/1/fs/0/start/0/end/0/c"),"תפארת שניאור זלמן")</f>
        <v>תפארת שניאור זלמן</v>
      </c>
      <c r="H2447" t="str">
        <f>_xlfn.CONCAT("https://tablet.otzar.org/",CHAR(35),"/book/607893/p/-1/t/1/fs/0/start/0/end/0/c")</f>
        <v>https://tablet.otzar.org/#/book/607893/p/-1/t/1/fs/0/start/0/end/0/c</v>
      </c>
    </row>
    <row r="2448" spans="1:8" x14ac:dyDescent="0.25">
      <c r="A2448">
        <v>157275</v>
      </c>
      <c r="B2448" t="s">
        <v>3790</v>
      </c>
      <c r="C2448" t="s">
        <v>1095</v>
      </c>
      <c r="D2448" t="s">
        <v>15</v>
      </c>
      <c r="E2448" t="s">
        <v>49</v>
      </c>
      <c r="F2448" t="s">
        <v>12</v>
      </c>
      <c r="G2448" t="str">
        <f>HYPERLINK(_xlfn.CONCAT("https://tablet.otzar.org/",CHAR(35),"/book/157275/p/-1/t/1/fs/0/start/0/end/0/c"),"תפילה לאני")</f>
        <v>תפילה לאני</v>
      </c>
      <c r="H2448" t="str">
        <f>_xlfn.CONCAT("https://tablet.otzar.org/",CHAR(35),"/book/157275/p/-1/t/1/fs/0/start/0/end/0/c")</f>
        <v>https://tablet.otzar.org/#/book/157275/p/-1/t/1/fs/0/start/0/end/0/c</v>
      </c>
    </row>
    <row r="2449" spans="1:8" x14ac:dyDescent="0.25">
      <c r="A2449">
        <v>27627</v>
      </c>
      <c r="B2449" t="s">
        <v>3791</v>
      </c>
      <c r="C2449" t="s">
        <v>3792</v>
      </c>
      <c r="D2449" t="s">
        <v>10</v>
      </c>
      <c r="E2449" t="s">
        <v>217</v>
      </c>
      <c r="F2449" t="s">
        <v>12</v>
      </c>
      <c r="G2449" t="str">
        <f>HYPERLINK(_xlfn.CONCAT("https://tablet.otzar.org/",CHAR(35),"/book/27627/p/-1/t/1/fs/0/start/0/end/0/c"),"תפילות ובקשות על קברי צדיקים")</f>
        <v>תפילות ובקשות על קברי צדיקים</v>
      </c>
      <c r="H2449" t="str">
        <f>_xlfn.CONCAT("https://tablet.otzar.org/",CHAR(35),"/book/27627/p/-1/t/1/fs/0/start/0/end/0/c")</f>
        <v>https://tablet.otzar.org/#/book/27627/p/-1/t/1/fs/0/start/0/end/0/c</v>
      </c>
    </row>
    <row r="2450" spans="1:8" x14ac:dyDescent="0.25">
      <c r="A2450">
        <v>141415</v>
      </c>
      <c r="B2450" t="s">
        <v>3793</v>
      </c>
      <c r="C2450" t="s">
        <v>2094</v>
      </c>
      <c r="D2450" t="s">
        <v>15</v>
      </c>
      <c r="E2450" t="s">
        <v>1098</v>
      </c>
      <c r="F2450" t="s">
        <v>12</v>
      </c>
      <c r="G2450" t="str">
        <f>HYPERLINK(_xlfn.CONCAT("https://tablet.otzar.org/",CHAR(35),"/book/141415/p/-1/t/1/fs/0/start/0/end/0/c"),"תפילין")</f>
        <v>תפילין</v>
      </c>
      <c r="H2450" t="str">
        <f>_xlfn.CONCAT("https://tablet.otzar.org/",CHAR(35),"/book/141415/p/-1/t/1/fs/0/start/0/end/0/c")</f>
        <v>https://tablet.otzar.org/#/book/141415/p/-1/t/1/fs/0/start/0/end/0/c</v>
      </c>
    </row>
    <row r="2451" spans="1:8" x14ac:dyDescent="0.25">
      <c r="A2451">
        <v>146545</v>
      </c>
      <c r="B2451" t="s">
        <v>3794</v>
      </c>
      <c r="C2451" t="s">
        <v>2825</v>
      </c>
      <c r="E2451" t="s">
        <v>91</v>
      </c>
      <c r="F2451" t="s">
        <v>12</v>
      </c>
      <c r="G2451" t="str">
        <f>HYPERLINK(_xlfn.CONCAT("https://tablet.otzar.org/",CHAR(35),"/exKotar/146545"),"תפילין - 2 כרכים")</f>
        <v>תפילין - 2 כרכים</v>
      </c>
      <c r="H2451" t="str">
        <f>_xlfn.CONCAT("https://tablet.otzar.org/",CHAR(35),"/exKotar/146545")</f>
        <v>https://tablet.otzar.org/#/exKotar/146545</v>
      </c>
    </row>
    <row r="2452" spans="1:8" x14ac:dyDescent="0.25">
      <c r="A2452">
        <v>27415</v>
      </c>
      <c r="B2452" t="s">
        <v>3795</v>
      </c>
      <c r="C2452" t="s">
        <v>1121</v>
      </c>
      <c r="D2452" t="s">
        <v>28</v>
      </c>
      <c r="E2452" t="s">
        <v>54</v>
      </c>
      <c r="F2452" t="s">
        <v>12</v>
      </c>
      <c r="G2452" t="str">
        <f>HYPERLINK(_xlfn.CONCAT("https://tablet.otzar.org/",CHAR(35),"/book/27415/p/-1/t/1/fs/0/start/0/end/0/c"),"תפילין דמארי עלמא")</f>
        <v>תפילין דמארי עלמא</v>
      </c>
      <c r="H2452" t="str">
        <f>_xlfn.CONCAT("https://tablet.otzar.org/",CHAR(35),"/book/27415/p/-1/t/1/fs/0/start/0/end/0/c")</f>
        <v>https://tablet.otzar.org/#/book/27415/p/-1/t/1/fs/0/start/0/end/0/c</v>
      </c>
    </row>
    <row r="2453" spans="1:8" x14ac:dyDescent="0.25">
      <c r="A2453">
        <v>140810</v>
      </c>
      <c r="B2453" t="s">
        <v>3796</v>
      </c>
      <c r="C2453" t="s">
        <v>1679</v>
      </c>
      <c r="D2453" t="s">
        <v>10</v>
      </c>
      <c r="E2453" t="s">
        <v>64</v>
      </c>
      <c r="F2453" t="s">
        <v>12</v>
      </c>
      <c r="G2453" t="str">
        <f>HYPERLINK(_xlfn.CONCAT("https://tablet.otzar.org/",CHAR(35),"/book/140810/p/-1/t/1/fs/0/start/0/end/0/c"),"תקופת לימוד הרמב""""ם")</f>
        <v>תקופת לימוד הרמב""ם</v>
      </c>
      <c r="H2453" t="str">
        <f>_xlfn.CONCAT("https://tablet.otzar.org/",CHAR(35),"/book/140810/p/-1/t/1/fs/0/start/0/end/0/c")</f>
        <v>https://tablet.otzar.org/#/book/140810/p/-1/t/1/fs/0/start/0/end/0/c</v>
      </c>
    </row>
    <row r="2454" spans="1:8" x14ac:dyDescent="0.25">
      <c r="A2454">
        <v>140967</v>
      </c>
      <c r="B2454" t="s">
        <v>3797</v>
      </c>
      <c r="C2454" t="s">
        <v>3798</v>
      </c>
      <c r="D2454" t="s">
        <v>28</v>
      </c>
      <c r="E2454" t="s">
        <v>91</v>
      </c>
      <c r="F2454" t="s">
        <v>12</v>
      </c>
      <c r="G2454" t="str">
        <f>HYPERLINK(_xlfn.CONCAT("https://tablet.otzar.org/",CHAR(35),"/book/140967/p/-1/t/1/fs/0/start/0/end/0/c"),"תקנון הלכתי לבתי חב""""ד")</f>
        <v>תקנון הלכתי לבתי חב""ד</v>
      </c>
      <c r="H2454" t="str">
        <f>_xlfn.CONCAT("https://tablet.otzar.org/",CHAR(35),"/book/140967/p/-1/t/1/fs/0/start/0/end/0/c")</f>
        <v>https://tablet.otzar.org/#/book/140967/p/-1/t/1/fs/0/start/0/end/0/c</v>
      </c>
    </row>
    <row r="2455" spans="1:8" x14ac:dyDescent="0.25">
      <c r="A2455">
        <v>169953</v>
      </c>
      <c r="B2455" t="s">
        <v>3799</v>
      </c>
      <c r="C2455" t="s">
        <v>45</v>
      </c>
      <c r="D2455" t="s">
        <v>15</v>
      </c>
      <c r="E2455" t="s">
        <v>82</v>
      </c>
      <c r="F2455" t="s">
        <v>12</v>
      </c>
      <c r="G2455" t="str">
        <f>HYPERLINK(_xlfn.CONCAT("https://tablet.otzar.org/",CHAR(35),"/book/169953/p/-1/t/1/fs/0/start/0/end/0/c"),"תקנות הרבי")</f>
        <v>תקנות הרבי</v>
      </c>
      <c r="H2455" t="str">
        <f>_xlfn.CONCAT("https://tablet.otzar.org/",CHAR(35),"/book/169953/p/-1/t/1/fs/0/start/0/end/0/c")</f>
        <v>https://tablet.otzar.org/#/book/169953/p/-1/t/1/fs/0/start/0/end/0/c</v>
      </c>
    </row>
    <row r="2456" spans="1:8" x14ac:dyDescent="0.25">
      <c r="A2456">
        <v>143361</v>
      </c>
      <c r="B2456" t="s">
        <v>3800</v>
      </c>
      <c r="C2456" t="s">
        <v>733</v>
      </c>
      <c r="D2456" t="s">
        <v>15</v>
      </c>
      <c r="E2456" t="s">
        <v>40</v>
      </c>
      <c r="F2456" t="s">
        <v>76</v>
      </c>
      <c r="G2456" t="str">
        <f>HYPERLINK(_xlfn.CONCAT("https://tablet.otzar.org/",CHAR(35),"/book/143361/p/-1/t/1/fs/0/start/0/end/0/c"),"תקע בשופר גדול")</f>
        <v>תקע בשופר גדול</v>
      </c>
      <c r="H2456" t="str">
        <f>_xlfn.CONCAT("https://tablet.otzar.org/",CHAR(35),"/book/143361/p/-1/t/1/fs/0/start/0/end/0/c")</f>
        <v>https://tablet.otzar.org/#/book/143361/p/-1/t/1/fs/0/start/0/end/0/c</v>
      </c>
    </row>
    <row r="2457" spans="1:8" x14ac:dyDescent="0.25">
      <c r="A2457">
        <v>145927</v>
      </c>
      <c r="B2457" t="s">
        <v>3801</v>
      </c>
      <c r="C2457" t="s">
        <v>3802</v>
      </c>
      <c r="D2457" t="s">
        <v>15</v>
      </c>
      <c r="E2457" t="s">
        <v>441</v>
      </c>
      <c r="F2457" t="s">
        <v>12</v>
      </c>
      <c r="G2457" t="str">
        <f>HYPERLINK(_xlfn.CONCAT("https://tablet.otzar.org/",CHAR(35),"/book/145927/p/-1/t/1/fs/0/start/0/end/0/c"),"תרי""""ג מצות")</f>
        <v>תרי""ג מצות</v>
      </c>
      <c r="H2457" t="str">
        <f>_xlfn.CONCAT("https://tablet.otzar.org/",CHAR(35),"/book/145927/p/-1/t/1/fs/0/start/0/end/0/c")</f>
        <v>https://tablet.otzar.org/#/book/145927/p/-1/t/1/fs/0/start/0/end/0/c</v>
      </c>
    </row>
    <row r="2458" spans="1:8" x14ac:dyDescent="0.25">
      <c r="A2458">
        <v>27863</v>
      </c>
      <c r="B2458" t="s">
        <v>3803</v>
      </c>
      <c r="C2458" t="s">
        <v>547</v>
      </c>
      <c r="D2458" t="s">
        <v>15</v>
      </c>
      <c r="E2458" t="s">
        <v>91</v>
      </c>
      <c r="F2458" t="s">
        <v>12</v>
      </c>
      <c r="G2458" t="str">
        <f>HYPERLINK(_xlfn.CONCAT("https://tablet.otzar.org/",CHAR(35),"/book/27863/p/-1/t/1/fs/0/start/0/end/0/c"),"תשובה בחג הגאולה")</f>
        <v>תשובה בחג הגאולה</v>
      </c>
      <c r="H2458" t="str">
        <f>_xlfn.CONCAT("https://tablet.otzar.org/",CHAR(35),"/book/27863/p/-1/t/1/fs/0/start/0/end/0/c")</f>
        <v>https://tablet.otzar.org/#/book/27863/p/-1/t/1/fs/0/start/0/end/0/c</v>
      </c>
    </row>
    <row r="2459" spans="1:8" x14ac:dyDescent="0.25">
      <c r="A2459">
        <v>145860</v>
      </c>
      <c r="B2459" t="s">
        <v>3804</v>
      </c>
      <c r="C2459" t="s">
        <v>45</v>
      </c>
      <c r="D2459" t="s">
        <v>10</v>
      </c>
      <c r="E2459" t="s">
        <v>1098</v>
      </c>
      <c r="F2459" t="s">
        <v>12</v>
      </c>
      <c r="G2459" t="str">
        <f>HYPERLINK(_xlfn.CONCAT("https://tablet.otzar.org/",CHAR(35),"/book/145860/p/-1/t/1/fs/0/start/0/end/0/c"),"תשובות וביאורים")</f>
        <v>תשובות וביאורים</v>
      </c>
      <c r="H2459" t="str">
        <f>_xlfn.CONCAT("https://tablet.otzar.org/",CHAR(35),"/book/145860/p/-1/t/1/fs/0/start/0/end/0/c")</f>
        <v>https://tablet.otzar.org/#/book/145860/p/-1/t/1/fs/0/start/0/end/0/c</v>
      </c>
    </row>
    <row r="2460" spans="1:8" x14ac:dyDescent="0.25">
      <c r="A2460">
        <v>628578</v>
      </c>
      <c r="B2460" t="s">
        <v>3805</v>
      </c>
      <c r="C2460" t="s">
        <v>102</v>
      </c>
      <c r="D2460" t="s">
        <v>15</v>
      </c>
      <c r="E2460" t="s">
        <v>250</v>
      </c>
      <c r="F2460" t="s">
        <v>163</v>
      </c>
      <c r="G2460" t="str">
        <f>HYPERLINK(_xlfn.CONCAT("https://tablet.otzar.org/",CHAR(35),"/book/628578/p/-1/t/1/fs/0/start/0/end/0/c"),"תשובת השנה")</f>
        <v>תשובת השנה</v>
      </c>
      <c r="H2460" t="str">
        <f>_xlfn.CONCAT("https://tablet.otzar.org/",CHAR(35),"/book/628578/p/-1/t/1/fs/0/start/0/end/0/c")</f>
        <v>https://tablet.otzar.org/#/book/628578/p/-1/t/1/fs/0/start/0/end/0/c</v>
      </c>
    </row>
    <row r="2461" spans="1:8" x14ac:dyDescent="0.25">
      <c r="A2461">
        <v>141540</v>
      </c>
      <c r="B2461" t="s">
        <v>3806</v>
      </c>
      <c r="C2461" t="s">
        <v>3807</v>
      </c>
      <c r="D2461" t="s">
        <v>387</v>
      </c>
      <c r="E2461" t="s">
        <v>60</v>
      </c>
      <c r="F2461" t="s">
        <v>12</v>
      </c>
      <c r="G2461" t="str">
        <f>HYPERLINK(_xlfn.CONCAT("https://tablet.otzar.org/",CHAR(35),"/book/141540/p/-1/t/1/fs/0/start/0/end/0/c"),"תשורה - תשס""""ז (סגל) ספר הצאצאים")</f>
        <v>תשורה - תשס""ז (סגל) ספר הצאצאים</v>
      </c>
      <c r="H2461" t="str">
        <f>_xlfn.CONCAT("https://tablet.otzar.org/",CHAR(35),"/book/141540/p/-1/t/1/fs/0/start/0/end/0/c")</f>
        <v>https://tablet.otzar.org/#/book/141540/p/-1/t/1/fs/0/start/0/end/0/c</v>
      </c>
    </row>
    <row r="2462" spans="1:8" x14ac:dyDescent="0.25">
      <c r="A2462">
        <v>607658</v>
      </c>
      <c r="B2462" t="s">
        <v>3808</v>
      </c>
      <c r="C2462" t="s">
        <v>1265</v>
      </c>
      <c r="D2462" t="s">
        <v>363</v>
      </c>
      <c r="E2462" t="s">
        <v>88</v>
      </c>
      <c r="F2462" t="s">
        <v>12</v>
      </c>
      <c r="G2462" t="str">
        <f>HYPERLINK(_xlfn.CONCAT("https://tablet.otzar.org/",CHAR(35),"/book/607658/p/-1/t/1/fs/0/start/0/end/0/c"),"תשורה - תשע""""ד (כ""""ץ) מאמר ואתה תצוה")</f>
        <v>תשורה - תשע""ד (כ""ץ) מאמר ואתה תצוה</v>
      </c>
      <c r="H2462" t="str">
        <f>_xlfn.CONCAT("https://tablet.otzar.org/",CHAR(35),"/book/607658/p/-1/t/1/fs/0/start/0/end/0/c")</f>
        <v>https://tablet.otzar.org/#/book/607658/p/-1/t/1/fs/0/start/0/end/0/c</v>
      </c>
    </row>
    <row r="2463" spans="1:8" x14ac:dyDescent="0.25">
      <c r="A2463">
        <v>607690</v>
      </c>
      <c r="B2463" t="s">
        <v>3809</v>
      </c>
      <c r="C2463" t="s">
        <v>3810</v>
      </c>
      <c r="D2463" t="s">
        <v>191</v>
      </c>
      <c r="E2463" t="s">
        <v>88</v>
      </c>
      <c r="F2463" t="s">
        <v>12</v>
      </c>
      <c r="G2463" t="str">
        <f>HYPERLINK(_xlfn.CONCAT("https://tablet.otzar.org/",CHAR(35),"/book/607690/p/-1/t/1/fs/0/start/0/end/0/c"),"תשורה - תשע""""ה (לרנר) מקוה ע""""ג האוצר")</f>
        <v>תשורה - תשע""ה (לרנר) מקוה ע""ג האוצר</v>
      </c>
      <c r="H2463" t="str">
        <f>_xlfn.CONCAT("https://tablet.otzar.org/",CHAR(35),"/book/607690/p/-1/t/1/fs/0/start/0/end/0/c")</f>
        <v>https://tablet.otzar.org/#/book/607690/p/-1/t/1/fs/0/start/0/end/0/c</v>
      </c>
    </row>
    <row r="2464" spans="1:8" x14ac:dyDescent="0.25">
      <c r="A2464">
        <v>678380</v>
      </c>
      <c r="B2464" t="s">
        <v>3811</v>
      </c>
      <c r="C2464" t="s">
        <v>48</v>
      </c>
      <c r="D2464" t="s">
        <v>3812</v>
      </c>
      <c r="E2464" t="s">
        <v>2258</v>
      </c>
      <c r="F2464" t="s">
        <v>12</v>
      </c>
      <c r="G2464" t="str">
        <f>HYPERLINK(_xlfn.CONCAT("https://tablet.otzar.org/",CHAR(35),"/exKotar/678380"),"תשורה - 993 כרכים")</f>
        <v>תשורה - 993 כרכים</v>
      </c>
      <c r="H2464" t="str">
        <f>_xlfn.CONCAT("https://tablet.otzar.org/",CHAR(35),"/exKotar/678380")</f>
        <v>https://tablet.otzar.org/#/exKotar/678380</v>
      </c>
    </row>
    <row r="2465" spans="1:8" x14ac:dyDescent="0.25">
      <c r="A2465">
        <v>610039</v>
      </c>
      <c r="B2465" t="s">
        <v>3813</v>
      </c>
      <c r="C2465" t="s">
        <v>48</v>
      </c>
      <c r="D2465" t="s">
        <v>1229</v>
      </c>
      <c r="E2465" t="s">
        <v>115</v>
      </c>
      <c r="F2465" t="s">
        <v>12</v>
      </c>
      <c r="G2465" t="str">
        <f>HYPERLINK(_xlfn.CONCAT("https://tablet.otzar.org/",CHAR(35),"/book/610039/p/-1/t/1/fs/0/start/0/end/0/c"),"תשורה מהפאנל - ליקוטי שיחות")</f>
        <v>תשורה מהפאנל - ליקוטי שיחות</v>
      </c>
      <c r="H2465" t="str">
        <f>_xlfn.CONCAT("https://tablet.otzar.org/",CHAR(35),"/book/610039/p/-1/t/1/fs/0/start/0/end/0/c")</f>
        <v>https://tablet.otzar.org/#/book/610039/p/-1/t/1/fs/0/start/0/end/0/c</v>
      </c>
    </row>
    <row r="2466" spans="1:8" x14ac:dyDescent="0.25">
      <c r="A2466">
        <v>650298</v>
      </c>
      <c r="B2466" t="s">
        <v>3814</v>
      </c>
      <c r="C2466" t="s">
        <v>3186</v>
      </c>
      <c r="D2466" t="s">
        <v>23</v>
      </c>
      <c r="E2466" t="s">
        <v>24</v>
      </c>
      <c r="G2466" t="str">
        <f>HYPERLINK(_xlfn.CONCAT("https://tablet.otzar.org/",CHAR(35),"/book/650298/p/-1/t/1/fs/0/start/0/end/0/c"),"תשרי ביאת משיח")</f>
        <v>תשרי ביאת משיח</v>
      </c>
      <c r="H2466" t="str">
        <f>_xlfn.CONCAT("https://tablet.otzar.org/",CHAR(35),"/book/650298/p/-1/t/1/fs/0/start/0/end/0/c")</f>
        <v>https://tablet.otzar.org/#/book/650298/p/-1/t/1/fs/0/start/0/end/0/c</v>
      </c>
    </row>
    <row r="2467" spans="1:8" x14ac:dyDescent="0.25">
      <c r="A2467">
        <v>614947</v>
      </c>
      <c r="B2467" t="s">
        <v>3815</v>
      </c>
      <c r="C2467" t="s">
        <v>582</v>
      </c>
      <c r="D2467" t="s">
        <v>10</v>
      </c>
      <c r="E2467" t="s">
        <v>49</v>
      </c>
      <c r="F2467" t="s">
        <v>12</v>
      </c>
      <c r="G2467" t="str">
        <f>HYPERLINK(_xlfn.CONCAT("https://tablet.otzar.org/",CHAR(35),"/book/614947/p/-1/t/1/fs/0/start/0/end/0/c"),"תשרי בליובאוויטש")</f>
        <v>תשרי בליובאוויטש</v>
      </c>
      <c r="H2467" t="str">
        <f>_xlfn.CONCAT("https://tablet.otzar.org/",CHAR(35),"/book/614947/p/-1/t/1/fs/0/start/0/end/0/c")</f>
        <v>https://tablet.otzar.org/#/book/614947/p/-1/t/1/fs/0/start/0/end/0/c</v>
      </c>
    </row>
    <row r="2468" spans="1:8" x14ac:dyDescent="0.25">
      <c r="A2468">
        <v>146529</v>
      </c>
      <c r="B2468" t="s">
        <v>3816</v>
      </c>
      <c r="C2468" t="s">
        <v>122</v>
      </c>
      <c r="D2468" t="s">
        <v>28</v>
      </c>
      <c r="E2468" t="s">
        <v>91</v>
      </c>
      <c r="F2468" t="s">
        <v>12</v>
      </c>
      <c r="G2468" t="str">
        <f>HYPERLINK(_xlfn.CONCAT("https://tablet.otzar.org/",CHAR(35),"/book/146529/p/-1/t/1/fs/0/start/0/end/0/c"),"תשרי של נפלאות גדולות")</f>
        <v>תשרי של נפלאות גדולות</v>
      </c>
      <c r="H2468" t="str">
        <f>_xlfn.CONCAT("https://tablet.otzar.org/",CHAR(35),"/book/146529/p/-1/t/1/fs/0/start/0/end/0/c")</f>
        <v>https://tablet.otzar.org/#/book/146529/p/-1/t/1/fs/0/start/0/end/0/c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ספריית 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2025-03-24T17:23:55Z</dcterms:created>
  <dcterms:modified xsi:type="dcterms:W3CDTF">2025-03-24T17:23:56Z</dcterms:modified>
</cp:coreProperties>
</file>