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8_{704FF790-D38D-499C-B7B6-53EC2966FED6}" xr6:coauthVersionLast="47" xr6:coauthVersionMax="47" xr10:uidLastSave="{00000000-0000-0000-0000-000000000000}"/>
  <bookViews>
    <workbookView xWindow="-120" yWindow="-120" windowWidth="29040" windowHeight="15720"/>
  </bookViews>
  <sheets>
    <sheet name="רשימת ספרים מאגרים - זכרון אהרן" sheetId="1" r:id="rId1"/>
  </sheets>
  <calcPr calcId="0"/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</calcChain>
</file>

<file path=xl/sharedStrings.xml><?xml version="1.0" encoding="utf-8"?>
<sst xmlns="http://schemas.openxmlformats.org/spreadsheetml/2006/main" count="578" uniqueCount="294">
  <si>
    <t>מספר ספר</t>
  </si>
  <si>
    <t xml:space="preserve"> שם ספר</t>
  </si>
  <si>
    <t xml:space="preserve"> שם מחבר</t>
  </si>
  <si>
    <t xml:space="preserve"> מקום הדפסה</t>
  </si>
  <si>
    <t xml:space="preserve"> שנת הדפסה</t>
  </si>
  <si>
    <t xml:space="preserve"> נושאים</t>
  </si>
  <si>
    <t xml:space="preserve"> קישור</t>
  </si>
  <si>
    <t xml:space="preserve"> LINK</t>
  </si>
  <si>
    <t>אבן השהם &lt;זכרון אהרן&gt;</t>
  </si>
  <si>
    <t>אליקים גץ בן מאיר</t>
  </si>
  <si>
    <t>תשע"ד</t>
  </si>
  <si>
    <t>שאלות ותשובות</t>
  </si>
  <si>
    <t>אבקת רוכל &lt;זכרון אהרן&gt;</t>
  </si>
  <si>
    <t>קארו, יוסף בן אפרים</t>
  </si>
  <si>
    <t>תשע"ז</t>
  </si>
  <si>
    <t>אוסף מדרשים &lt;זכרון אהרן&gt;  - 2 כרכים</t>
  </si>
  <si>
    <t>מדרשי אגדה בהוצאת זכרון אהרן</t>
  </si>
  <si>
    <t>תשע"ח</t>
  </si>
  <si>
    <t>שאר ספרי חז''ל</t>
  </si>
  <si>
    <t>אוצר הלכות רבית א</t>
  </si>
  <si>
    <t>ויצמן, יהודה לייב</t>
  </si>
  <si>
    <t>תשע"ט</t>
  </si>
  <si>
    <t>הלכה ומנהג, שלחן ערוך ומפרשיו</t>
  </si>
  <si>
    <t>אוצר הלכות רבית ב</t>
  </si>
  <si>
    <t>אוצר מדרשי איכה - איכה רבה, נוסח כת"י, מדרש זוטא, מדרש לקח טוב</t>
  </si>
  <si>
    <t>תשע"ו</t>
  </si>
  <si>
    <t>שאר ספרי חז''ל, תנ''ך</t>
  </si>
  <si>
    <t>אוצר מדרשי אסתר - אסתר רבה, אבא גוריון, פנים אחרים, מגילת אסתר, לקח טוב</t>
  </si>
  <si>
    <t>תשפ"א</t>
  </si>
  <si>
    <t>אוצר מדרשי קהלת - קהלת רבה, מדרש זוטא, לקח טוב</t>
  </si>
  <si>
    <t>אוצר מדרשי רות - רות רבה, מדרש זוטא, לקח טוב - משיב נפש, חתם סופר</t>
  </si>
  <si>
    <t>אוצר מדרשי שיר השירים - 2 כרכים</t>
  </si>
  <si>
    <t>אוצר ממעונות אריות - 2 כרכים</t>
  </si>
  <si>
    <t>מכון זכרון אהרן</t>
  </si>
  <si>
    <t>תפלות בקשות פיוטים ושירה</t>
  </si>
  <si>
    <t>אור חדש &lt;זכרון אהרן&gt;</t>
  </si>
  <si>
    <t>בוכנר, חיים בן בנימין זאב</t>
  </si>
  <si>
    <t>תשס"ג</t>
  </si>
  <si>
    <t>הלכה ומנהג, נושאים שונים</t>
  </si>
  <si>
    <t>אורחות חיים &lt;מהדורת זכרון אהרן&gt;</t>
  </si>
  <si>
    <t>הלכה ומנהג</t>
  </si>
  <si>
    <t>אורים ותומים &lt;מהדורת זכרון אהרן&gt;  - 4 כרכים</t>
  </si>
  <si>
    <t>אייבשיץ, יהונתן בן נתן נטע</t>
  </si>
  <si>
    <t>שלחן ערוך ומפרשיו</t>
  </si>
  <si>
    <t>איתן האזרחי &lt;זכרון אהרן&gt;</t>
  </si>
  <si>
    <t>רפאפורט, אברהם בן ישראל יחיאל הכהן</t>
  </si>
  <si>
    <t>תשע"ה</t>
  </si>
  <si>
    <t>אלה המשפטים</t>
  </si>
  <si>
    <t>רוזין, אברהם בן קלונימוס קלמן</t>
  </si>
  <si>
    <t>תשס"ט</t>
  </si>
  <si>
    <t>אמונת חכמים &lt;זכרון אהרן&gt;</t>
  </si>
  <si>
    <t>באזילה, אביעד שר שלום בן מנחם שמשון</t>
  </si>
  <si>
    <t>קבלה</t>
  </si>
  <si>
    <t>ארחות חיים - צוואת רבי אליעזר הגדול</t>
  </si>
  <si>
    <t>ארץ חמדה - נחלה לישראל</t>
  </si>
  <si>
    <t>הורוויץ, ישראל זאב בן שמואל הלוי</t>
  </si>
  <si>
    <t>נושאים שונים</t>
  </si>
  <si>
    <t>באר שבע &lt;זכרון אהרן מהדורה מתוקנת&gt; ב (הוריות, תמיד, כריתות, סוטה, סנהדרין, חולין, שו"ת, באר מים חיים)</t>
  </si>
  <si>
    <t>איילינבורג, יששכר בער בן ישראל ליזר פרנס</t>
  </si>
  <si>
    <t>משנה, שאלות ותשובות, תלמוד בבלי</t>
  </si>
  <si>
    <t>באר שבע &lt;מהדורת זכרון אהרן&gt; א (הוריות, תמיד, כריתות, סוטה, סנהדרין) - 2 כרכים</t>
  </si>
  <si>
    <t>תשס"ד</t>
  </si>
  <si>
    <t>תלמוד בבלי</t>
  </si>
  <si>
    <t>בינה לעתים &lt;מהדורת זכרון אהרן&gt;</t>
  </si>
  <si>
    <t>תשס"ז</t>
  </si>
  <si>
    <t>הלכה ומנהג, תלמוד בבלי</t>
  </si>
  <si>
    <t>בני אהובה &lt;מהדורת זכרון אהרן&gt;</t>
  </si>
  <si>
    <t>ברכי יוסף &lt;מהדורת זכרון אהרן&gt;  - 4 כרכים</t>
  </si>
  <si>
    <t>אזולאי, חיים יוסף דוד בן רפאל יצחק זרחיה</t>
  </si>
  <si>
    <t>גור אריה יהודא &lt;מהדורת זכרון אהרן&gt;  - 2 כרכים</t>
  </si>
  <si>
    <t>תאומים, אריה יהודה ליב בן יוסף</t>
  </si>
  <si>
    <t>גלא עמיקתא &lt;זכרון אהרן&gt;</t>
  </si>
  <si>
    <t>וויטאל, חיים בן יוסף - פאנצ'ירי, אפרים</t>
  </si>
  <si>
    <t>דבר שמואל - ספר הזכרונות &lt;מהדורת זכרון אהרן&gt;</t>
  </si>
  <si>
    <t>אבוהב, שמואל בן אברהם</t>
  </si>
  <si>
    <t>ירושלים</t>
  </si>
  <si>
    <t>תשפ"ב</t>
  </si>
  <si>
    <t>דברי ריבות &lt;זכרון אהרן&gt;</t>
  </si>
  <si>
    <t>אדרבי, יצחק בן שמואל</t>
  </si>
  <si>
    <t>תשע"ב</t>
  </si>
  <si>
    <t>דובר שלום &lt;זכרון אהרן&gt;</t>
  </si>
  <si>
    <t>פישל, דוב שלום</t>
  </si>
  <si>
    <t>דרך הקודש עם ביאור חזון נחום &lt;מהדורת זכרון אהרן&gt;</t>
  </si>
  <si>
    <t>אלפנדארי, חיים (השני) בן יצחק רפאל</t>
  </si>
  <si>
    <t>משנה</t>
  </si>
  <si>
    <t>דרכי נעם &lt;זכרון אהרן&gt;</t>
  </si>
  <si>
    <t>מרדכי בן יהודה הלוי ממצרים</t>
  </si>
  <si>
    <t>תשע"ג</t>
  </si>
  <si>
    <t>דרשות  הרז"ה &lt;זכרון אהרן&gt;  - 2 כרכים</t>
  </si>
  <si>
    <t>זאב וולף בן שמואל הלוי</t>
  </si>
  <si>
    <t>דרשות הרא"ש &lt;מהדורת זכרון אהרן&gt;  - 2 כרכים</t>
  </si>
  <si>
    <t>צוובנר, אברהם בן יהודה ליב שאג</t>
  </si>
  <si>
    <t>תשס"ו</t>
  </si>
  <si>
    <t>דרושים, מועדי ישראל</t>
  </si>
  <si>
    <t>הגדה של פסח &lt;מהר"י שטייף&gt;</t>
  </si>
  <si>
    <t>שטייף, יונתן בן צבי</t>
  </si>
  <si>
    <t>הלכה ומנהג, מועדי ישראל</t>
  </si>
  <si>
    <t>הלכות קטנות הלכה רווחת &lt;מהדורת זכרון אהרן&gt;</t>
  </si>
  <si>
    <t>חאגיז, ישראל יעקב בן שמואל</t>
  </si>
  <si>
    <t>הקשורים ליעקב &lt;זכרון אהרן&gt;</t>
  </si>
  <si>
    <t>עמדין יעקב ישראל בן צבי</t>
  </si>
  <si>
    <t>דרושים</t>
  </si>
  <si>
    <t>והזהיר - 2 כרכים</t>
  </si>
  <si>
    <t>זכרון משה &lt;מהדורת זכרון אהרן&gt;</t>
  </si>
  <si>
    <t>הלפרין, משה בן זבולון אלעזר</t>
  </si>
  <si>
    <t>זר זהב &lt;מהדורת זכרון אהרן&gt;</t>
  </si>
  <si>
    <t>צמח, יעקב בן חיים</t>
  </si>
  <si>
    <t>קבלה, שלחן ערוך ומפרשיו</t>
  </si>
  <si>
    <t>חדשים גם ישנים - 2 כרכים</t>
  </si>
  <si>
    <t>חידושי הרז"ה &lt;זכרון אהרן&gt;  - 2 כרכים</t>
  </si>
  <si>
    <t>חידושי וכתבי רבי שלמה הלוי אלקבץ</t>
  </si>
  <si>
    <t>אלקבץ, שלמה בן משה, הלוי</t>
  </si>
  <si>
    <t>חידושי רבינו אברהם שאג - 3 כרכים</t>
  </si>
  <si>
    <t>משנה, תלמוד בבלי</t>
  </si>
  <si>
    <t>חינוך בית יהודא &lt;מהדורת זכרון אהרן&gt;</t>
  </si>
  <si>
    <t>יהודה ליב בן חנוך מפפרשה</t>
  </si>
  <si>
    <t>יד אליהו &lt;זכרון אהרן&gt;</t>
  </si>
  <si>
    <t>אליהו בן שמואל מלובלין</t>
  </si>
  <si>
    <t>יפה תואר &lt;זכרון אהרן&gt;  - 7 כרכים</t>
  </si>
  <si>
    <t>אשכנזי-יפה, שמואל בן יצחק</t>
  </si>
  <si>
    <t>תנ''ך</t>
  </si>
  <si>
    <t>כל כתבי וחידושי רבינו הברוך טעם ברוך טעם &lt;עם הגהות דברי חיים&gt;</t>
  </si>
  <si>
    <t>פרנקל-תאומים, ברוך בן יהושע יחזקאל פייבל</t>
  </si>
  <si>
    <t>כל כתבי וחידושי רבינו הברוך טעם - 2 כרכים</t>
  </si>
  <si>
    <t>כנפי יונה &lt;זכרון אהרן&gt; - יורה דעה</t>
  </si>
  <si>
    <t>לאנדסופר, יונה בן אליהו</t>
  </si>
  <si>
    <t>כרתי ופלתי &lt;מהדורת זכרון אהרן&gt;  - 3 כרכים</t>
  </si>
  <si>
    <t>לבוש מלכות &lt;זכרון אהרן&gt;  - 7 כרכים</t>
  </si>
  <si>
    <t>יפה, מרדכי בן אברהם</t>
  </si>
  <si>
    <t>תש"ס</t>
  </si>
  <si>
    <t>לחם רב &lt;מהדורת זכרון אהרן&gt;</t>
  </si>
  <si>
    <t>שמואל בן יוסף יוסקה מלובלין</t>
  </si>
  <si>
    <t>לחם רב &lt;זכרון אהרן&gt;</t>
  </si>
  <si>
    <t>די בוטון, אברהם בן משה</t>
  </si>
  <si>
    <t>למודי ה' &lt;זכרון אהרן&gt;</t>
  </si>
  <si>
    <t>נג'אר, יהודה בן יעקב</t>
  </si>
  <si>
    <t>לקח טוב - 3 כרכים</t>
  </si>
  <si>
    <t>לקחת מוסר - 2 כרכים</t>
  </si>
  <si>
    <t>מגדל עז &lt;זכרון אהרן&gt;</t>
  </si>
  <si>
    <t>מגילת אסתר &lt;מאמר אסתר&gt;- מגילת רות איכה &lt;לקחת מוסר&gt;</t>
  </si>
  <si>
    <t>מדרש אגדה</t>
  </si>
  <si>
    <t>תש"ע</t>
  </si>
  <si>
    <t>מדרש אגדת בראשית</t>
  </si>
  <si>
    <t>תשע"א</t>
  </si>
  <si>
    <t>מדרש אותיות דרבי עקיבא השלם</t>
  </si>
  <si>
    <t>מדרש בראשית זוטא</t>
  </si>
  <si>
    <t>מדרש בראשית רבתי</t>
  </si>
  <si>
    <t>מדרש וביאור איוב עזרא (נחמיה) ודברי הימים</t>
  </si>
  <si>
    <t>מדרש זוטא</t>
  </si>
  <si>
    <t>מדרש חדש</t>
  </si>
  <si>
    <t>מדרש משלי &lt;עם כל המפרשים&gt;</t>
  </si>
  <si>
    <t>מדרש פתרון תורה</t>
  </si>
  <si>
    <t>מדרש שמואל &lt;אגדת שמואל&gt;</t>
  </si>
  <si>
    <t>מדרש תהלים &lt;שוחר טוב&gt;  - 2 כרכים</t>
  </si>
  <si>
    <t>מדרש תנחומא (הרגיל והישן) - 4 כרכים</t>
  </si>
  <si>
    <t>תשס"ח</t>
  </si>
  <si>
    <t>מהר"י שטייף - מועדים וזמנים ד' פרשיות, פורים</t>
  </si>
  <si>
    <t>מהר"י שטייף &lt;תורה&gt; בראשית אמרות - 5 כרכים</t>
  </si>
  <si>
    <t>מהר"ם זיסקינד, יד אליהו, פרחי שושנים &lt;מהדורת זכרון אהרן&gt;</t>
  </si>
  <si>
    <t>אליהו בן שמואל מלובלין - רוטנבורג, מרדכי זיסקינד בן משה - משה בן אליהו מלובלין -</t>
  </si>
  <si>
    <t>שאלות ותשובות, תלמוד בבלי, תנ''ך</t>
  </si>
  <si>
    <t>מטה משה &lt;מהדורת זכרון אהרן&gt;</t>
  </si>
  <si>
    <t>מת, משה בן אברהם</t>
  </si>
  <si>
    <t>מים עמוקים, תשובות ראנ"ח &lt;זכרון אהרן&gt; - ב</t>
  </si>
  <si>
    <t>מזרחי, אליהו בן אברהם - אליהו בן חיים</t>
  </si>
  <si>
    <t>מכילתא - 3 כרכים</t>
  </si>
  <si>
    <t>מדרשי הלכה בהוצאת זכרון אהרן</t>
  </si>
  <si>
    <t>מכילתא דרשב"י</t>
  </si>
  <si>
    <t>מעיל צדקה &lt;זכרון אהרן&gt;</t>
  </si>
  <si>
    <t>מצוות השם</t>
  </si>
  <si>
    <t>חש"ד</t>
  </si>
  <si>
    <t>מקור חיים &lt;מהדורת זכרון אהרן&gt;  - 3 כרכים</t>
  </si>
  <si>
    <t>חיים בן אברהם הכהן מארם צובה</t>
  </si>
  <si>
    <t>משאת בנימין &lt;מהדורת זכרון אהרן&gt;</t>
  </si>
  <si>
    <t>סולניק, בנימין אהרן בן אברהם</t>
  </si>
  <si>
    <t>משאת בנימין &lt;זכרון אהרן מהדורה מתוקנת&gt;</t>
  </si>
  <si>
    <t>משכן שלום - 3 כרכים</t>
  </si>
  <si>
    <t>סגל, שלום מרדכי בן שמעון אליעזר ליפא הלוי</t>
  </si>
  <si>
    <t>משפטי שמואל &lt;מהדורת זכרון אהרן&gt;</t>
  </si>
  <si>
    <t>קלעי, שמואל בן משה</t>
  </si>
  <si>
    <t>מתורגמן &lt;זכרון אהרן&gt;</t>
  </si>
  <si>
    <t>אליהו בן אשר הלוי אשכנזי</t>
  </si>
  <si>
    <t>נחלת שמעון &lt;זכרון אהרן&gt;</t>
  </si>
  <si>
    <t>אשכנזי, שמעון בן אברהם</t>
  </si>
  <si>
    <t>סדר ברכות &lt;מהדורת זכרון אהרן&gt;</t>
  </si>
  <si>
    <t>מוראפטשיק, יחיאל מיכל בן ידידיה</t>
  </si>
  <si>
    <t>סדר עולם רבה, סדר עולם זוטא, מגילת תענית</t>
  </si>
  <si>
    <t>סידור רבינו חיים - א</t>
  </si>
  <si>
    <t>תשס"ם</t>
  </si>
  <si>
    <t>ספר הרוקח &lt;מהדורת זכרון אהרן&gt;  - 2 כרכים</t>
  </si>
  <si>
    <t>אלעזר בן יהודה מגרמיזא</t>
  </si>
  <si>
    <t>ספרי רבי אליהו בחור - מהלך שבילי הדעת עם הגהות, הבחור, הרכבה, פרקי אליהו, מסורת המסורת, טוב טעם, נימוקי המכלול והשרשים</t>
  </si>
  <si>
    <t>ספרי רבינו בעל הרוקח - 2 כרכים</t>
  </si>
  <si>
    <t>עבודת הגרשוני &lt;זכרון אהרן&gt;</t>
  </si>
  <si>
    <t>אשכנזי, גרשון בן יהודה</t>
  </si>
  <si>
    <t>עבודת הגרשוני, חידושי הגרשוני &lt;זכרון אהרן&gt;</t>
  </si>
  <si>
    <t>שאלות ותשובות, שלחן ערוך ומפרשיו</t>
  </si>
  <si>
    <t>עוף השמים</t>
  </si>
  <si>
    <t>שטייף, יעקב מנחם מנדל</t>
  </si>
  <si>
    <t>תש"פ</t>
  </si>
  <si>
    <t>עיון המשפט - 2 כרכים</t>
  </si>
  <si>
    <t>אידלשטיין, חנוך מתתיהו בן נח</t>
  </si>
  <si>
    <t>עין יהוסף &lt;מהדורת זכרון אהרן&gt; - 2 כרכים</t>
  </si>
  <si>
    <t>חזן, יוסף בן אליהו</t>
  </si>
  <si>
    <t>פנים מאירות - 4 כרכים</t>
  </si>
  <si>
    <t>אייזנשטאט, מאיר בן יצחק</t>
  </si>
  <si>
    <t>פסיקתא דרב כהנא</t>
  </si>
  <si>
    <t>פסיקתא רבתי &lt;מהדורת זכרון אהרן&gt;</t>
  </si>
  <si>
    <t>פרחי שושנים &lt;זכרון אהרן&gt;</t>
  </si>
  <si>
    <t>משה בן אליהו מלובלין -</t>
  </si>
  <si>
    <t>פרי חדש - 2 כרכים</t>
  </si>
  <si>
    <t>די סילווה, חזקיה בן דוד</t>
  </si>
  <si>
    <t>פרקי דרבי אליעזר &lt;מהדורת זכרון אהרן&gt; - 2 כרכים</t>
  </si>
  <si>
    <t>פרקי רבי אליעזר. תשס"ה</t>
  </si>
  <si>
    <t>פרקי שירה עם ביאורים מכת"י - רבי שמואל קמחי, רבי בנימין הכהן, רבי דוד אופנהיים</t>
  </si>
  <si>
    <t>קונטרס לא תעשה לך תמונה</t>
  </si>
  <si>
    <t>בעילום שם</t>
  </si>
  <si>
    <t>תשכ"ז</t>
  </si>
  <si>
    <t>קרבן אהרן &lt;מהדורת זכרון אהרן&gt;  - 2 כרכים</t>
  </si>
  <si>
    <t>אבן-חיים, אהרן בן אברהם</t>
  </si>
  <si>
    <t>קרבן מנחה, זכרון לבני ישראל, אורח מישור, פתיל תכלת</t>
  </si>
  <si>
    <t>הלכה ומנהג, תפלות בקשות פיוטים ושירה</t>
  </si>
  <si>
    <t>ראשית בכורים &lt;מהדורת זכרון אהרן&gt;</t>
  </si>
  <si>
    <t>חנוך בן אברהם</t>
  </si>
  <si>
    <t>דרושים, נושאים שונים, תנ''ך</t>
  </si>
  <si>
    <t>רב יוסף &lt;זכרון אהרן&gt;</t>
  </si>
  <si>
    <t>קצבי, יוסף</t>
  </si>
  <si>
    <t>שאלות ותשובות גאוני פדוואה - 2 כרכים</t>
  </si>
  <si>
    <t>קובץ ספרים</t>
  </si>
  <si>
    <t>שאלות ותשובות חידושי ופירושי רבי דוד בן שושן</t>
  </si>
  <si>
    <t>בן שושן, דוד</t>
  </si>
  <si>
    <t>שארית יוסף &lt;מהדורת זכרון אהרן&gt;</t>
  </si>
  <si>
    <t>יוסף בן מרדכי גרשון כ"ץ</t>
  </si>
  <si>
    <t>שארית יוסף &lt;זכרון אהרן&gt;</t>
  </si>
  <si>
    <t>נושאים שונים, שאלות ותשובות</t>
  </si>
  <si>
    <t>שבות יעקב &lt;מהדורת זכרון אהרן&gt; - 3 כרכים</t>
  </si>
  <si>
    <t>ריישר, יעקב בן יוסף</t>
  </si>
  <si>
    <t>שבלי הלקט &lt;מהדורת זכרון אהרן&gt;  - 2 כרכים</t>
  </si>
  <si>
    <t>צדקיה בן אברהם הרופא</t>
  </si>
  <si>
    <t>שו"ת בית יוסף &lt;מהדורת זכרון אהרן&gt;</t>
  </si>
  <si>
    <t>שו"ת הב"ח &lt;זכרון אהרן&gt;  - 2 כרכים</t>
  </si>
  <si>
    <t>סירקיש, יואל בן שמואל</t>
  </si>
  <si>
    <t>שו"ת המבי"ט &lt;מהדורת זכרון אהרן&gt;  - 2 כרכים</t>
  </si>
  <si>
    <t>טראני, משה בן יוסף (מבי"ט)</t>
  </si>
  <si>
    <t>שו"ת הראנ"ח &lt;זכרון אהרן&gt; - א</t>
  </si>
  <si>
    <t>אבן-חיים, אליהו בן ברוך (ראנ"ח)</t>
  </si>
  <si>
    <t>שו"ת הרמ"א &lt;מהדורת זכרון אהרן&gt;</t>
  </si>
  <si>
    <t>איסרלש, משה בן ישראל (רמ"א)</t>
  </si>
  <si>
    <t>שו"ת מהר"י בירב &lt;מהדורת זכרון אהרן&gt;</t>
  </si>
  <si>
    <t>בירב, יעקב בן משה</t>
  </si>
  <si>
    <t>שו"ת מהר"י בן לב &lt;זכרון אהרן&gt;  - 3 כרכים</t>
  </si>
  <si>
    <t>בן לב, יוסף בן דוד</t>
  </si>
  <si>
    <t>שו"ת מהר"ם אל אשקר &lt;זכרון אהרן&gt;</t>
  </si>
  <si>
    <t>אלאשקאר, משה בן יצחק</t>
  </si>
  <si>
    <t>שו"ת מהר"ם זיסקינד &lt;זכרון אהרן&gt;</t>
  </si>
  <si>
    <t>רוטנבורג, מרדכי זיסקינד בן משה</t>
  </si>
  <si>
    <t>שו"ת מהר"ש הלוי &lt;זכרון אהרן&gt;</t>
  </si>
  <si>
    <t>הלוי, שלמה בן יצחק</t>
  </si>
  <si>
    <t>שו"ת מהריט"ץ &lt;זכרון אהרן&gt;  - 2 כרכים</t>
  </si>
  <si>
    <t>צהלון, יום טוב בן משה (מהריט"ץ)</t>
  </si>
  <si>
    <t>שו"ת מהרש"ך &lt;מהדורת זכרון אהרן&gt;  - 3 כרכים</t>
  </si>
  <si>
    <t>שלמה בן אברהם הכהן (מהרש"ך)</t>
  </si>
  <si>
    <t>שו"ת מהרש"ל &lt;זכרון אהרן&gt;</t>
  </si>
  <si>
    <t>לוריא, שלמה בן יחיאל (מהרש"ל)</t>
  </si>
  <si>
    <t>שו"ת מהרשד"ם &lt;זכרון אהרן&gt;  - 4 כרכים</t>
  </si>
  <si>
    <t>די מדינה, שמואל בן משה</t>
  </si>
  <si>
    <t>שכירות בית בהלכה</t>
  </si>
  <si>
    <t>שלחן ערוך &lt;זכרון אהרן&gt; עטרת צבי  - 2 כרכים</t>
  </si>
  <si>
    <t>כ"ץ, צבי בן יוסף הכהן - שמואל בן יוסף</t>
  </si>
  <si>
    <t>שערי בינה &lt;זכרון אהרן&gt;</t>
  </si>
  <si>
    <t>מאטרסדורף, יואב בן ירמיהו</t>
  </si>
  <si>
    <t>תורת אמת &lt;מהדורת זכרון אהרן&gt;</t>
  </si>
  <si>
    <t>ששון, אהרן בן יוסף</t>
  </si>
  <si>
    <t>תורת אמת &lt;זכרון אהרן מהדורה מתוקנת&gt;</t>
  </si>
  <si>
    <t>תורת חטאת מנחת יעקב, תורת האשם &lt;זכרון אהרן&gt;</t>
  </si>
  <si>
    <t>תורת חיים מהרח"ש &lt;זכרון אהרן מהדורה מתוקנת&gt; - א</t>
  </si>
  <si>
    <t>שבתי, חיים בן שבתי</t>
  </si>
  <si>
    <t>תורת חיים מהרח"ש &lt;זכרון אהרן מהדורה מתוקנת&gt; - ב</t>
  </si>
  <si>
    <t>תורת חיים מהרח"ש &lt;זכרון אהרן מהדורה מתוקנת&gt; - ג</t>
  </si>
  <si>
    <t>תורת חיים מהרח"ש &lt;זכרון אהרן מהדורה מתוקנת&gt; - ד</t>
  </si>
  <si>
    <t>הלכה ומנהג, שאלות ותשובות</t>
  </si>
  <si>
    <t>תורת חיים &lt;מהרח"ש&gt;  - 4 כרכים</t>
  </si>
  <si>
    <t>תיבת גמא &lt;זכרון אהרן&gt;  - 2 כרכים</t>
  </si>
  <si>
    <t>תאומים, יוסף בן מאיר</t>
  </si>
  <si>
    <t>תיווך ושידוך בהלכה</t>
  </si>
  <si>
    <t>רוזין, אברהם - לויפר, חנוך</t>
  </si>
  <si>
    <t>תנא דבי אליהו &lt;זכרון אהרן&gt;  - 3 כרכים</t>
  </si>
  <si>
    <t>תנא דבי אליהו עם כל המפרשים</t>
  </si>
  <si>
    <t>תק"ן ליקוטים</t>
  </si>
  <si>
    <t>פאנו, מנחם עזריה בן יצחק ברכיה</t>
  </si>
  <si>
    <t>תקנת השבים - 2 כרכים</t>
  </si>
  <si>
    <t>טרביס, דניאל יעקב בן פסח</t>
  </si>
  <si>
    <t>תשובות רד"ך &lt;זכרון אהרן&gt;</t>
  </si>
  <si>
    <t>דוד בן חיים הכהן מקורפו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</si>
</sst>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rightToLeft="1" tabSelected="1" workbookViewId="0"/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627676</v>
      </c>
      <c r="B2" t="s">
        <v>8</v>
      </c>
      <c r="C2" t="s">
        <v>9</v>
      </c>
      <c r="E2" t="s">
        <v>10</v>
      </c>
      <c r="F2" t="s">
        <v>11</v>
      </c>
      <c r="G2" t="str">
        <f>HYPERLINK(_xlfn.CONCAT("https://tablet.otzar.org/",CHAR(35),"/book/627676/p/-1/t/1/fs/0/start/0/end/0/c"),"אבן השהם &lt;זכרון אהרן&gt;")</f>
        <v>אבן השהם &lt;זכרון אהרן&gt;</v>
      </c>
      <c r="H2" t="str">
        <f>_xlfn.CONCAT("https://tablet.otzar.org/",CHAR(35),"/book/627676/p/-1/t/1/fs/0/start/0/end/0/c")</f>
        <v>https://tablet.otzar.org/#/book/627676/p/-1/t/1/fs/0/start/0/end/0/c</v>
      </c>
    </row>
    <row r="3" spans="1:8" x14ac:dyDescent="0.25">
      <c r="A3">
        <v>627566</v>
      </c>
      <c r="B3" t="s">
        <v>12</v>
      </c>
      <c r="C3" t="s">
        <v>13</v>
      </c>
      <c r="E3" t="s">
        <v>14</v>
      </c>
      <c r="F3" t="s">
        <v>11</v>
      </c>
      <c r="G3" t="str">
        <f>HYPERLINK(_xlfn.CONCAT("https://tablet.otzar.org/",CHAR(35),"/book/627566/p/-1/t/1/fs/0/start/0/end/0/c"),"אבקת רוכל &lt;זכרון אהרן&gt;")</f>
        <v>אבקת רוכל &lt;זכרון אהרן&gt;</v>
      </c>
      <c r="H3" t="str">
        <f>_xlfn.CONCAT("https://tablet.otzar.org/",CHAR(35),"/book/627566/p/-1/t/1/fs/0/start/0/end/0/c")</f>
        <v>https://tablet.otzar.org/#/book/627566/p/-1/t/1/fs/0/start/0/end/0/c</v>
      </c>
    </row>
    <row r="4" spans="1:8" x14ac:dyDescent="0.25">
      <c r="A4">
        <v>635756</v>
      </c>
      <c r="B4" t="s">
        <v>15</v>
      </c>
      <c r="C4" t="s">
        <v>16</v>
      </c>
      <c r="E4" t="s">
        <v>17</v>
      </c>
      <c r="F4" t="s">
        <v>18</v>
      </c>
      <c r="G4" t="str">
        <f>HYPERLINK(_xlfn.CONCAT("https://tablet.otzar.org/",CHAR(35),"/exKotar/635756"),"אוסף מדרשים &lt;זכרון אהרן&gt;  - 2 כרכים")</f>
        <v>אוסף מדרשים &lt;זכרון אהרן&gt;  - 2 כרכים</v>
      </c>
      <c r="H4" t="str">
        <f>_xlfn.CONCAT("https://tablet.otzar.org/",CHAR(35),"/exKotar/635756")</f>
        <v>https://tablet.otzar.org/#/exKotar/635756</v>
      </c>
    </row>
    <row r="5" spans="1:8" x14ac:dyDescent="0.25">
      <c r="A5">
        <v>628374</v>
      </c>
      <c r="B5" t="s">
        <v>19</v>
      </c>
      <c r="C5" t="s">
        <v>20</v>
      </c>
      <c r="E5" t="s">
        <v>21</v>
      </c>
      <c r="F5" t="s">
        <v>22</v>
      </c>
      <c r="G5" t="str">
        <f>HYPERLINK(_xlfn.CONCAT("https://tablet.otzar.org/",CHAR(35),"/book/628374/p/-1/t/1/fs/0/start/0/end/0/c"),"אוצר הלכות רבית א")</f>
        <v>אוצר הלכות רבית א</v>
      </c>
      <c r="H5" t="str">
        <f>_xlfn.CONCAT("https://tablet.otzar.org/",CHAR(35),"/book/628374/p/-1/t/1/fs/0/start/0/end/0/c")</f>
        <v>https://tablet.otzar.org/#/book/628374/p/-1/t/1/fs/0/start/0/end/0/c</v>
      </c>
    </row>
    <row r="6" spans="1:8" x14ac:dyDescent="0.25">
      <c r="A6">
        <v>628375</v>
      </c>
      <c r="B6" t="s">
        <v>23</v>
      </c>
      <c r="C6" t="s">
        <v>20</v>
      </c>
      <c r="E6" t="s">
        <v>21</v>
      </c>
      <c r="F6" t="s">
        <v>22</v>
      </c>
      <c r="G6" t="str">
        <f>HYPERLINK(_xlfn.CONCAT("https://tablet.otzar.org/",CHAR(35),"/book/628375/p/-1/t/1/fs/0/start/0/end/0/c"),"אוצר הלכות רבית ב")</f>
        <v>אוצר הלכות רבית ב</v>
      </c>
      <c r="H6" t="str">
        <f>_xlfn.CONCAT("https://tablet.otzar.org/",CHAR(35),"/book/628375/p/-1/t/1/fs/0/start/0/end/0/c")</f>
        <v>https://tablet.otzar.org/#/book/628375/p/-1/t/1/fs/0/start/0/end/0/c</v>
      </c>
    </row>
    <row r="7" spans="1:8" x14ac:dyDescent="0.25">
      <c r="A7">
        <v>627608</v>
      </c>
      <c r="B7" t="s">
        <v>24</v>
      </c>
      <c r="C7" t="s">
        <v>16</v>
      </c>
      <c r="E7" t="s">
        <v>25</v>
      </c>
      <c r="F7" t="s">
        <v>26</v>
      </c>
      <c r="G7" t="str">
        <f>HYPERLINK(_xlfn.CONCAT("https://tablet.otzar.org/",CHAR(35),"/book/627608/p/-1/t/1/fs/0/start/0/end/0/c"),"אוצר מדרשי איכה - איכה רבה, נוסח כת""""י, מדרש זוטא, מדרש לקח טוב")</f>
        <v>אוצר מדרשי איכה - איכה רבה, נוסח כת""י, מדרש זוטא, מדרש לקח טוב</v>
      </c>
      <c r="H7" t="str">
        <f>_xlfn.CONCAT("https://tablet.otzar.org/",CHAR(35),"/book/627608/p/-1/t/1/fs/0/start/0/end/0/c")</f>
        <v>https://tablet.otzar.org/#/book/627608/p/-1/t/1/fs/0/start/0/end/0/c</v>
      </c>
    </row>
    <row r="8" spans="1:8" x14ac:dyDescent="0.25">
      <c r="A8">
        <v>643622</v>
      </c>
      <c r="B8" t="s">
        <v>27</v>
      </c>
      <c r="C8" t="s">
        <v>16</v>
      </c>
      <c r="E8" t="s">
        <v>28</v>
      </c>
      <c r="G8" t="str">
        <f>HYPERLINK(_xlfn.CONCAT("https://tablet.otzar.org/",CHAR(35),"/book/643622/p/-1/t/1/fs/0/start/0/end/0/c"),"אוצר מדרשי אסתר - אסתר רבה, אבא גוריון, פנים אחרים, מגילת אסתר, לקח טוב")</f>
        <v>אוצר מדרשי אסתר - אסתר רבה, אבא גוריון, פנים אחרים, מגילת אסתר, לקח טוב</v>
      </c>
      <c r="H8" t="str">
        <f>_xlfn.CONCAT("https://tablet.otzar.org/",CHAR(35),"/book/643622/p/-1/t/1/fs/0/start/0/end/0/c")</f>
        <v>https://tablet.otzar.org/#/book/643622/p/-1/t/1/fs/0/start/0/end/0/c</v>
      </c>
    </row>
    <row r="9" spans="1:8" x14ac:dyDescent="0.25">
      <c r="A9">
        <v>627613</v>
      </c>
      <c r="B9" t="s">
        <v>29</v>
      </c>
      <c r="C9" t="s">
        <v>16</v>
      </c>
      <c r="E9" t="s">
        <v>17</v>
      </c>
      <c r="F9" t="s">
        <v>26</v>
      </c>
      <c r="G9" t="str">
        <f>HYPERLINK(_xlfn.CONCAT("https://tablet.otzar.org/",CHAR(35),"/book/627613/p/-1/t/1/fs/0/start/0/end/0/c"),"אוצר מדרשי קהלת - קהלת רבה, מדרש זוטא, לקח טוב")</f>
        <v>אוצר מדרשי קהלת - קהלת רבה, מדרש זוטא, לקח טוב</v>
      </c>
      <c r="H9" t="str">
        <f>_xlfn.CONCAT("https://tablet.otzar.org/",CHAR(35),"/book/627613/p/-1/t/1/fs/0/start/0/end/0/c")</f>
        <v>https://tablet.otzar.org/#/book/627613/p/-1/t/1/fs/0/start/0/end/0/c</v>
      </c>
    </row>
    <row r="10" spans="1:8" x14ac:dyDescent="0.25">
      <c r="A10">
        <v>643608</v>
      </c>
      <c r="B10" t="s">
        <v>30</v>
      </c>
      <c r="C10" t="s">
        <v>16</v>
      </c>
      <c r="E10" t="s">
        <v>28</v>
      </c>
      <c r="G10" t="str">
        <f>HYPERLINK(_xlfn.CONCAT("https://tablet.otzar.org/",CHAR(35),"/book/643608/p/-1/t/1/fs/0/start/0/end/0/c"),"אוצר מדרשי רות - רות רבה, מדרש זוטא, לקח טוב - משיב נפש, חתם סופר")</f>
        <v>אוצר מדרשי רות - רות רבה, מדרש זוטא, לקח טוב - משיב נפש, חתם סופר</v>
      </c>
      <c r="H10" t="str">
        <f>_xlfn.CONCAT("https://tablet.otzar.org/",CHAR(35),"/book/643608/p/-1/t/1/fs/0/start/0/end/0/c")</f>
        <v>https://tablet.otzar.org/#/book/643608/p/-1/t/1/fs/0/start/0/end/0/c</v>
      </c>
    </row>
    <row r="11" spans="1:8" x14ac:dyDescent="0.25">
      <c r="A11">
        <v>627609</v>
      </c>
      <c r="B11" t="s">
        <v>31</v>
      </c>
      <c r="C11" t="s">
        <v>16</v>
      </c>
      <c r="E11" t="s">
        <v>25</v>
      </c>
      <c r="F11" t="s">
        <v>26</v>
      </c>
      <c r="G11" t="str">
        <f>HYPERLINK(_xlfn.CONCAT("https://tablet.otzar.org/",CHAR(35),"/exKotar/627609"),"אוצר מדרשי שיר השירים - 2 כרכים")</f>
        <v>אוצר מדרשי שיר השירים - 2 כרכים</v>
      </c>
      <c r="H11" t="str">
        <f>_xlfn.CONCAT("https://tablet.otzar.org/",CHAR(35),"/exKotar/627609")</f>
        <v>https://tablet.otzar.org/#/exKotar/627609</v>
      </c>
    </row>
    <row r="12" spans="1:8" x14ac:dyDescent="0.25">
      <c r="A12">
        <v>628803</v>
      </c>
      <c r="B12" t="s">
        <v>32</v>
      </c>
      <c r="C12" t="s">
        <v>33</v>
      </c>
      <c r="E12" t="s">
        <v>25</v>
      </c>
      <c r="F12" t="s">
        <v>34</v>
      </c>
      <c r="G12" t="str">
        <f>HYPERLINK(_xlfn.CONCAT("https://tablet.otzar.org/",CHAR(35),"/exKotar/628803"),"אוצר ממעונות אריות - 2 כרכים")</f>
        <v>אוצר ממעונות אריות - 2 כרכים</v>
      </c>
      <c r="H12" t="str">
        <f>_xlfn.CONCAT("https://tablet.otzar.org/",CHAR(35),"/exKotar/628803")</f>
        <v>https://tablet.otzar.org/#/exKotar/628803</v>
      </c>
    </row>
    <row r="13" spans="1:8" x14ac:dyDescent="0.25">
      <c r="A13">
        <v>151445</v>
      </c>
      <c r="B13" t="s">
        <v>35</v>
      </c>
      <c r="C13" t="s">
        <v>36</v>
      </c>
      <c r="E13" t="s">
        <v>37</v>
      </c>
      <c r="F13" t="s">
        <v>38</v>
      </c>
      <c r="G13" t="str">
        <f>HYPERLINK(_xlfn.CONCAT("https://tablet.otzar.org/",CHAR(35),"/book/151445/p/-1/t/1/fs/0/start/0/end/0/c"),"אור חדש &lt;זכרון אהרן&gt;")</f>
        <v>אור חדש &lt;זכרון אהרן&gt;</v>
      </c>
      <c r="H13" t="str">
        <f>_xlfn.CONCAT("https://tablet.otzar.org/",CHAR(35),"/book/151445/p/-1/t/1/fs/0/start/0/end/0/c")</f>
        <v>https://tablet.otzar.org/#/book/151445/p/-1/t/1/fs/0/start/0/end/0/c</v>
      </c>
    </row>
    <row r="14" spans="1:8" x14ac:dyDescent="0.25">
      <c r="A14">
        <v>151446</v>
      </c>
      <c r="B14" t="s">
        <v>39</v>
      </c>
      <c r="C14" t="s">
        <v>36</v>
      </c>
      <c r="E14" t="s">
        <v>37</v>
      </c>
      <c r="F14" t="s">
        <v>40</v>
      </c>
      <c r="G14" t="str">
        <f>HYPERLINK(_xlfn.CONCAT("https://tablet.otzar.org/",CHAR(35),"/book/151446/p/-1/t/1/fs/0/start/0/end/0/c"),"אורחות חיים &lt;מהדורת זכרון אהרן&gt;")</f>
        <v>אורחות חיים &lt;מהדורת זכרון אהרן&gt;</v>
      </c>
      <c r="H14" t="str">
        <f>_xlfn.CONCAT("https://tablet.otzar.org/",CHAR(35),"/book/151446/p/-1/t/1/fs/0/start/0/end/0/c")</f>
        <v>https://tablet.otzar.org/#/book/151446/p/-1/t/1/fs/0/start/0/end/0/c</v>
      </c>
    </row>
    <row r="15" spans="1:8" x14ac:dyDescent="0.25">
      <c r="A15">
        <v>170913</v>
      </c>
      <c r="B15" t="s">
        <v>41</v>
      </c>
      <c r="C15" t="s">
        <v>42</v>
      </c>
      <c r="E15" t="s">
        <v>37</v>
      </c>
      <c r="F15" t="s">
        <v>43</v>
      </c>
      <c r="G15" t="str">
        <f>HYPERLINK(_xlfn.CONCAT("https://tablet.otzar.org/",CHAR(35),"/exKotar/170913"),"אורים ותומים &lt;מהדורת זכרון אהרן&gt;  - 4 כרכים")</f>
        <v>אורים ותומים &lt;מהדורת זכרון אהרן&gt;  - 4 כרכים</v>
      </c>
      <c r="H15" t="str">
        <f>_xlfn.CONCAT("https://tablet.otzar.org/",CHAR(35),"/exKotar/170913")</f>
        <v>https://tablet.otzar.org/#/exKotar/170913</v>
      </c>
    </row>
    <row r="16" spans="1:8" x14ac:dyDescent="0.25">
      <c r="A16">
        <v>628144</v>
      </c>
      <c r="B16" t="s">
        <v>44</v>
      </c>
      <c r="C16" t="s">
        <v>45</v>
      </c>
      <c r="E16" t="s">
        <v>46</v>
      </c>
      <c r="F16" t="s">
        <v>11</v>
      </c>
      <c r="G16" t="str">
        <f>HYPERLINK(_xlfn.CONCAT("https://tablet.otzar.org/",CHAR(35),"/book/628144/p/-1/t/1/fs/0/start/0/end/0/c"),"איתן האזרחי &lt;זכרון אהרן&gt;")</f>
        <v>איתן האזרחי &lt;זכרון אהרן&gt;</v>
      </c>
      <c r="H16" t="str">
        <f>_xlfn.CONCAT("https://tablet.otzar.org/",CHAR(35),"/book/628144/p/-1/t/1/fs/0/start/0/end/0/c")</f>
        <v>https://tablet.otzar.org/#/book/628144/p/-1/t/1/fs/0/start/0/end/0/c</v>
      </c>
    </row>
    <row r="17" spans="1:8" x14ac:dyDescent="0.25">
      <c r="A17">
        <v>629172</v>
      </c>
      <c r="B17" t="s">
        <v>47</v>
      </c>
      <c r="C17" t="s">
        <v>48</v>
      </c>
      <c r="E17" t="s">
        <v>49</v>
      </c>
      <c r="F17" t="s">
        <v>22</v>
      </c>
      <c r="G17" t="str">
        <f>HYPERLINK(_xlfn.CONCAT("https://tablet.otzar.org/",CHAR(35),"/book/629172/p/-1/t/1/fs/0/start/0/end/0/c"),"אלה המשפטים")</f>
        <v>אלה המשפטים</v>
      </c>
      <c r="H17" t="str">
        <f>_xlfn.CONCAT("https://tablet.otzar.org/",CHAR(35),"/book/629172/p/-1/t/1/fs/0/start/0/end/0/c")</f>
        <v>https://tablet.otzar.org/#/book/629172/p/-1/t/1/fs/0/start/0/end/0/c</v>
      </c>
    </row>
    <row r="18" spans="1:8" x14ac:dyDescent="0.25">
      <c r="A18">
        <v>627573</v>
      </c>
      <c r="B18" t="s">
        <v>50</v>
      </c>
      <c r="C18" t="s">
        <v>51</v>
      </c>
      <c r="E18" t="s">
        <v>25</v>
      </c>
      <c r="F18" t="s">
        <v>52</v>
      </c>
      <c r="G18" t="str">
        <f>HYPERLINK(_xlfn.CONCAT("https://tablet.otzar.org/",CHAR(35),"/book/627573/p/-1/t/1/fs/0/start/0/end/0/c"),"אמונת חכמים &lt;זכרון אהרן&gt;")</f>
        <v>אמונת חכמים &lt;זכרון אהרן&gt;</v>
      </c>
      <c r="H18" t="str">
        <f>_xlfn.CONCAT("https://tablet.otzar.org/",CHAR(35),"/book/627573/p/-1/t/1/fs/0/start/0/end/0/c")</f>
        <v>https://tablet.otzar.org/#/book/627573/p/-1/t/1/fs/0/start/0/end/0/c</v>
      </c>
    </row>
    <row r="19" spans="1:8" x14ac:dyDescent="0.25">
      <c r="A19">
        <v>627664</v>
      </c>
      <c r="B19" t="s">
        <v>53</v>
      </c>
      <c r="C19" t="s">
        <v>16</v>
      </c>
      <c r="E19" t="s">
        <v>25</v>
      </c>
      <c r="F19" t="s">
        <v>18</v>
      </c>
      <c r="G19" t="str">
        <f>HYPERLINK(_xlfn.CONCAT("https://tablet.otzar.org/",CHAR(35),"/book/627664/p/-1/t/1/fs/0/start/0/end/0/c"),"ארחות חיים - צוואת רבי אליעזר הגדול")</f>
        <v>ארחות חיים - צוואת רבי אליעזר הגדול</v>
      </c>
      <c r="H19" t="str">
        <f>_xlfn.CONCAT("https://tablet.otzar.org/",CHAR(35),"/book/627664/p/-1/t/1/fs/0/start/0/end/0/c")</f>
        <v>https://tablet.otzar.org/#/book/627664/p/-1/t/1/fs/0/start/0/end/0/c</v>
      </c>
    </row>
    <row r="20" spans="1:8" x14ac:dyDescent="0.25">
      <c r="A20">
        <v>627952</v>
      </c>
      <c r="B20" t="s">
        <v>54</v>
      </c>
      <c r="C20" t="s">
        <v>55</v>
      </c>
      <c r="E20" t="s">
        <v>14</v>
      </c>
      <c r="F20" t="s">
        <v>56</v>
      </c>
      <c r="G20" t="str">
        <f>HYPERLINK(_xlfn.CONCAT("https://tablet.otzar.org/",CHAR(35),"/book/627952/p/-1/t/1/fs/0/start/0/end/0/c"),"ארץ חמדה - נחלה לישראל")</f>
        <v>ארץ חמדה - נחלה לישראל</v>
      </c>
      <c r="H20" t="str">
        <f>_xlfn.CONCAT("https://tablet.otzar.org/",CHAR(35),"/book/627952/p/-1/t/1/fs/0/start/0/end/0/c")</f>
        <v>https://tablet.otzar.org/#/book/627952/p/-1/t/1/fs/0/start/0/end/0/c</v>
      </c>
    </row>
    <row r="21" spans="1:8" x14ac:dyDescent="0.25">
      <c r="A21">
        <v>628150</v>
      </c>
      <c r="B21" t="s">
        <v>57</v>
      </c>
      <c r="C21" t="s">
        <v>58</v>
      </c>
      <c r="E21" t="s">
        <v>46</v>
      </c>
      <c r="F21" t="s">
        <v>59</v>
      </c>
      <c r="G21" t="str">
        <f>HYPERLINK(_xlfn.CONCAT("https://tablet.otzar.org/",CHAR(35),"/book/628150/p/-1/t/1/fs/0/start/0/end/0/c"),"באר שבע &lt;זכרון אהרן מהדורה מתוקנת&gt; ב (הוריות, תמיד, כריתות, סוטה, סנהדרין, חולין, שו""""ת, באר מים חיים)")</f>
        <v>באר שבע &lt;זכרון אהרן מהדורה מתוקנת&gt; ב (הוריות, תמיד, כריתות, סוטה, סנהדרין, חולין, שו""ת, באר מים חיים)</v>
      </c>
      <c r="H21" t="str">
        <f>_xlfn.CONCAT("https://tablet.otzar.org/",CHAR(35),"/book/628150/p/-1/t/1/fs/0/start/0/end/0/c")</f>
        <v>https://tablet.otzar.org/#/book/628150/p/-1/t/1/fs/0/start/0/end/0/c</v>
      </c>
    </row>
    <row r="22" spans="1:8" x14ac:dyDescent="0.25">
      <c r="A22">
        <v>151447</v>
      </c>
      <c r="B22" t="s">
        <v>60</v>
      </c>
      <c r="C22" t="s">
        <v>58</v>
      </c>
      <c r="E22" t="s">
        <v>61</v>
      </c>
      <c r="F22" t="s">
        <v>62</v>
      </c>
      <c r="G22" t="str">
        <f>HYPERLINK(_xlfn.CONCAT("https://tablet.otzar.org/",CHAR(35),"/exKotar/151447"),"באר שבע &lt;מהדורת זכרון אהרן&gt; א (הוריות, תמיד, כריתות, סוטה, סנהדרין) - 2 כרכים")</f>
        <v>באר שבע &lt;מהדורת זכרון אהרן&gt; א (הוריות, תמיד, כריתות, סוטה, סנהדרין) - 2 כרכים</v>
      </c>
      <c r="H22" t="str">
        <f>_xlfn.CONCAT("https://tablet.otzar.org/",CHAR(35),"/exKotar/151447")</f>
        <v>https://tablet.otzar.org/#/exKotar/151447</v>
      </c>
    </row>
    <row r="23" spans="1:8" x14ac:dyDescent="0.25">
      <c r="A23">
        <v>151436</v>
      </c>
      <c r="B23" t="s">
        <v>63</v>
      </c>
      <c r="C23" t="s">
        <v>42</v>
      </c>
      <c r="E23" t="s">
        <v>64</v>
      </c>
      <c r="F23" t="s">
        <v>65</v>
      </c>
      <c r="G23" t="str">
        <f>HYPERLINK(_xlfn.CONCAT("https://tablet.otzar.org/",CHAR(35),"/book/151436/p/-1/t/1/fs/0/start/0/end/0/c"),"בינה לעתים &lt;מהדורת זכרון אהרן&gt;")</f>
        <v>בינה לעתים &lt;מהדורת זכרון אהרן&gt;</v>
      </c>
      <c r="H23" t="str">
        <f>_xlfn.CONCAT("https://tablet.otzar.org/",CHAR(35),"/book/151436/p/-1/t/1/fs/0/start/0/end/0/c")</f>
        <v>https://tablet.otzar.org/#/book/151436/p/-1/t/1/fs/0/start/0/end/0/c</v>
      </c>
    </row>
    <row r="24" spans="1:8" x14ac:dyDescent="0.25">
      <c r="A24">
        <v>151435</v>
      </c>
      <c r="B24" t="s">
        <v>66</v>
      </c>
      <c r="C24" t="s">
        <v>42</v>
      </c>
      <c r="E24" t="s">
        <v>64</v>
      </c>
      <c r="F24" t="s">
        <v>40</v>
      </c>
      <c r="G24" t="str">
        <f>HYPERLINK(_xlfn.CONCAT("https://tablet.otzar.org/",CHAR(35),"/book/151435/p/-1/t/1/fs/0/start/0/end/0/c"),"בני אהובה &lt;מהדורת זכרון אהרן&gt;")</f>
        <v>בני אהובה &lt;מהדורת זכרון אהרן&gt;</v>
      </c>
      <c r="H24" t="str">
        <f>_xlfn.CONCAT("https://tablet.otzar.org/",CHAR(35),"/book/151435/p/-1/t/1/fs/0/start/0/end/0/c")</f>
        <v>https://tablet.otzar.org/#/book/151435/p/-1/t/1/fs/0/start/0/end/0/c</v>
      </c>
    </row>
    <row r="25" spans="1:8" x14ac:dyDescent="0.25">
      <c r="A25">
        <v>627576</v>
      </c>
      <c r="B25" t="s">
        <v>67</v>
      </c>
      <c r="C25" t="s">
        <v>68</v>
      </c>
      <c r="E25" t="s">
        <v>21</v>
      </c>
      <c r="F25" t="s">
        <v>43</v>
      </c>
      <c r="G25" t="str">
        <f>HYPERLINK(_xlfn.CONCAT("https://tablet.otzar.org/",CHAR(35),"/exKotar/627576"),"ברכי יוסף &lt;מהדורת זכרון אהרן&gt;  - 4 כרכים")</f>
        <v>ברכי יוסף &lt;מהדורת זכרון אהרן&gt;  - 4 כרכים</v>
      </c>
      <c r="H25" t="str">
        <f>_xlfn.CONCAT("https://tablet.otzar.org/",CHAR(35),"/exKotar/627576")</f>
        <v>https://tablet.otzar.org/#/exKotar/627576</v>
      </c>
    </row>
    <row r="26" spans="1:8" x14ac:dyDescent="0.25">
      <c r="A26">
        <v>627582</v>
      </c>
      <c r="B26" t="s">
        <v>69</v>
      </c>
      <c r="C26" t="s">
        <v>70</v>
      </c>
      <c r="E26" t="s">
        <v>17</v>
      </c>
      <c r="F26" t="s">
        <v>11</v>
      </c>
      <c r="G26" t="str">
        <f>HYPERLINK(_xlfn.CONCAT("https://tablet.otzar.org/",CHAR(35),"/exKotar/627582"),"גור אריה יהודא &lt;מהדורת זכרון אהרן&gt;  - 2 כרכים")</f>
        <v>גור אריה יהודא &lt;מהדורת זכרון אהרן&gt;  - 2 כרכים</v>
      </c>
      <c r="H26" t="str">
        <f>_xlfn.CONCAT("https://tablet.otzar.org/",CHAR(35),"/exKotar/627582")</f>
        <v>https://tablet.otzar.org/#/exKotar/627582</v>
      </c>
    </row>
    <row r="27" spans="1:8" x14ac:dyDescent="0.25">
      <c r="A27">
        <v>627954</v>
      </c>
      <c r="B27" t="s">
        <v>71</v>
      </c>
      <c r="C27" t="s">
        <v>72</v>
      </c>
      <c r="F27" t="s">
        <v>52</v>
      </c>
      <c r="G27" t="str">
        <f>HYPERLINK(_xlfn.CONCAT("https://tablet.otzar.org/",CHAR(35),"/book/627954/p/-1/t/1/fs/0/start/0/end/0/c"),"גלא עמיקתא &lt;זכרון אהרן&gt;")</f>
        <v>גלא עמיקתא &lt;זכרון אהרן&gt;</v>
      </c>
      <c r="H27" t="str">
        <f>_xlfn.CONCAT("https://tablet.otzar.org/",CHAR(35),"/book/627954/p/-1/t/1/fs/0/start/0/end/0/c")</f>
        <v>https://tablet.otzar.org/#/book/627954/p/-1/t/1/fs/0/start/0/end/0/c</v>
      </c>
    </row>
    <row r="28" spans="1:8" x14ac:dyDescent="0.25">
      <c r="A28">
        <v>656846</v>
      </c>
      <c r="B28" t="s">
        <v>73</v>
      </c>
      <c r="C28" t="s">
        <v>74</v>
      </c>
      <c r="D28" t="s">
        <v>75</v>
      </c>
      <c r="E28" t="s">
        <v>76</v>
      </c>
      <c r="G28" t="str">
        <f>HYPERLINK(_xlfn.CONCAT("https://tablet.otzar.org/",CHAR(35),"/book/656846/p/-1/t/1/fs/0/start/0/end/0/c"),"דבר שמואל - ספר הזכרונות &lt;מהדורת זכרון אהרן&gt;")</f>
        <v>דבר שמואל - ספר הזכרונות &lt;מהדורת זכרון אהרן&gt;</v>
      </c>
      <c r="H28" t="str">
        <f>_xlfn.CONCAT("https://tablet.otzar.org/",CHAR(35),"/book/656846/p/-1/t/1/fs/0/start/0/end/0/c")</f>
        <v>https://tablet.otzar.org/#/book/656846/p/-1/t/1/fs/0/start/0/end/0/c</v>
      </c>
    </row>
    <row r="29" spans="1:8" x14ac:dyDescent="0.25">
      <c r="A29">
        <v>627575</v>
      </c>
      <c r="B29" t="s">
        <v>77</v>
      </c>
      <c r="C29" t="s">
        <v>78</v>
      </c>
      <c r="E29" t="s">
        <v>79</v>
      </c>
      <c r="F29" t="s">
        <v>11</v>
      </c>
      <c r="G29" t="str">
        <f>HYPERLINK(_xlfn.CONCAT("https://tablet.otzar.org/",CHAR(35),"/book/627575/p/-1/t/1/fs/0/start/0/end/0/c"),"דברי ריבות &lt;זכרון אהרן&gt;")</f>
        <v>דברי ריבות &lt;זכרון אהרן&gt;</v>
      </c>
      <c r="H29" t="str">
        <f>_xlfn.CONCAT("https://tablet.otzar.org/",CHAR(35),"/book/627575/p/-1/t/1/fs/0/start/0/end/0/c")</f>
        <v>https://tablet.otzar.org/#/book/627575/p/-1/t/1/fs/0/start/0/end/0/c</v>
      </c>
    </row>
    <row r="30" spans="1:8" x14ac:dyDescent="0.25">
      <c r="A30">
        <v>628371</v>
      </c>
      <c r="B30" t="s">
        <v>80</v>
      </c>
      <c r="C30" t="s">
        <v>81</v>
      </c>
      <c r="E30" t="s">
        <v>21</v>
      </c>
      <c r="F30" t="s">
        <v>43</v>
      </c>
      <c r="G30" t="str">
        <f>HYPERLINK(_xlfn.CONCAT("https://tablet.otzar.org/",CHAR(35),"/book/628371/p/-1/t/1/fs/0/start/0/end/0/c"),"דובר שלום &lt;זכרון אהרן&gt;")</f>
        <v>דובר שלום &lt;זכרון אהרן&gt;</v>
      </c>
      <c r="H30" t="str">
        <f>_xlfn.CONCAT("https://tablet.otzar.org/",CHAR(35),"/book/628371/p/-1/t/1/fs/0/start/0/end/0/c")</f>
        <v>https://tablet.otzar.org/#/book/628371/p/-1/t/1/fs/0/start/0/end/0/c</v>
      </c>
    </row>
    <row r="31" spans="1:8" x14ac:dyDescent="0.25">
      <c r="A31">
        <v>151434</v>
      </c>
      <c r="B31" t="s">
        <v>82</v>
      </c>
      <c r="C31" t="s">
        <v>83</v>
      </c>
      <c r="E31" t="s">
        <v>64</v>
      </c>
      <c r="F31" t="s">
        <v>84</v>
      </c>
      <c r="G31" t="str">
        <f>HYPERLINK(_xlfn.CONCAT("https://tablet.otzar.org/",CHAR(35),"/book/151434/p/-1/t/1/fs/0/start/0/end/0/c"),"דרך הקודש עם ביאור חזון נחום &lt;מהדורת זכרון אהרן&gt;")</f>
        <v>דרך הקודש עם ביאור חזון נחום &lt;מהדורת זכרון אהרן&gt;</v>
      </c>
      <c r="H31" t="str">
        <f>_xlfn.CONCAT("https://tablet.otzar.org/",CHAR(35),"/book/151434/p/-1/t/1/fs/0/start/0/end/0/c")</f>
        <v>https://tablet.otzar.org/#/book/151434/p/-1/t/1/fs/0/start/0/end/0/c</v>
      </c>
    </row>
    <row r="32" spans="1:8" x14ac:dyDescent="0.25">
      <c r="A32">
        <v>627682</v>
      </c>
      <c r="B32" t="s">
        <v>85</v>
      </c>
      <c r="C32" t="s">
        <v>86</v>
      </c>
      <c r="E32" t="s">
        <v>87</v>
      </c>
      <c r="F32" t="s">
        <v>11</v>
      </c>
      <c r="G32" t="str">
        <f>HYPERLINK(_xlfn.CONCAT("https://tablet.otzar.org/",CHAR(35),"/book/627682/p/-1/t/1/fs/0/start/0/end/0/c"),"דרכי נעם &lt;זכרון אהרן&gt;")</f>
        <v>דרכי נעם &lt;זכרון אהרן&gt;</v>
      </c>
      <c r="H32" t="str">
        <f>_xlfn.CONCAT("https://tablet.otzar.org/",CHAR(35),"/book/627682/p/-1/t/1/fs/0/start/0/end/0/c")</f>
        <v>https://tablet.otzar.org/#/book/627682/p/-1/t/1/fs/0/start/0/end/0/c</v>
      </c>
    </row>
    <row r="33" spans="1:8" x14ac:dyDescent="0.25">
      <c r="A33">
        <v>643526</v>
      </c>
      <c r="B33" t="s">
        <v>88</v>
      </c>
      <c r="C33" t="s">
        <v>89</v>
      </c>
      <c r="E33" t="s">
        <v>28</v>
      </c>
      <c r="G33" t="str">
        <f>HYPERLINK(_xlfn.CONCAT("https://tablet.otzar.org/",CHAR(35),"/exKotar/643526"),"דרשות  הרז""""ה &lt;זכרון אהרן&gt;  - 2 כרכים")</f>
        <v>דרשות  הרז""ה &lt;זכרון אהרן&gt;  - 2 כרכים</v>
      </c>
      <c r="H33" t="str">
        <f>_xlfn.CONCAT("https://tablet.otzar.org/",CHAR(35),"/exKotar/643526")</f>
        <v>https://tablet.otzar.org/#/exKotar/643526</v>
      </c>
    </row>
    <row r="34" spans="1:8" x14ac:dyDescent="0.25">
      <c r="A34">
        <v>63428</v>
      </c>
      <c r="B34" t="s">
        <v>90</v>
      </c>
      <c r="C34" t="s">
        <v>91</v>
      </c>
      <c r="E34" t="s">
        <v>92</v>
      </c>
      <c r="F34" t="s">
        <v>93</v>
      </c>
      <c r="G34" t="str">
        <f>HYPERLINK(_xlfn.CONCAT("https://tablet.otzar.org/",CHAR(35),"/exKotar/63428"),"דרשות הרא""""ש &lt;מהדורת זכרון אהרן&gt;  - 2 כרכים")</f>
        <v>דרשות הרא""ש &lt;מהדורת זכרון אהרן&gt;  - 2 כרכים</v>
      </c>
      <c r="H34" t="str">
        <f>_xlfn.CONCAT("https://tablet.otzar.org/",CHAR(35),"/exKotar/63428")</f>
        <v>https://tablet.otzar.org/#/exKotar/63428</v>
      </c>
    </row>
    <row r="35" spans="1:8" x14ac:dyDescent="0.25">
      <c r="A35">
        <v>63430</v>
      </c>
      <c r="B35" t="s">
        <v>94</v>
      </c>
      <c r="C35" t="s">
        <v>95</v>
      </c>
      <c r="E35" t="s">
        <v>64</v>
      </c>
      <c r="F35" t="s">
        <v>96</v>
      </c>
      <c r="G35" t="str">
        <f>HYPERLINK(_xlfn.CONCAT("https://tablet.otzar.org/",CHAR(35),"/book/63430/p/-1/t/1/fs/0/start/0/end/0/c"),"הגדה של פסח &lt;מהר""""י שטייף&gt;")</f>
        <v>הגדה של פסח &lt;מהר""י שטייף&gt;</v>
      </c>
      <c r="H35" t="str">
        <f>_xlfn.CONCAT("https://tablet.otzar.org/",CHAR(35),"/book/63430/p/-1/t/1/fs/0/start/0/end/0/c")</f>
        <v>https://tablet.otzar.org/#/book/63430/p/-1/t/1/fs/0/start/0/end/0/c</v>
      </c>
    </row>
    <row r="36" spans="1:8" x14ac:dyDescent="0.25">
      <c r="A36">
        <v>627590</v>
      </c>
      <c r="B36" t="s">
        <v>97</v>
      </c>
      <c r="C36" t="s">
        <v>98</v>
      </c>
      <c r="E36" t="s">
        <v>49</v>
      </c>
      <c r="F36" t="s">
        <v>11</v>
      </c>
      <c r="G36" t="str">
        <f>HYPERLINK(_xlfn.CONCAT("https://tablet.otzar.org/",CHAR(35),"/book/627590/p/-1/t/1/fs/0/start/0/end/0/c"),"הלכות קטנות הלכה רווחת &lt;מהדורת זכרון אהרן&gt;")</f>
        <v>הלכות קטנות הלכה רווחת &lt;מהדורת זכרון אהרן&gt;</v>
      </c>
      <c r="H36" t="str">
        <f>_xlfn.CONCAT("https://tablet.otzar.org/",CHAR(35),"/book/627590/p/-1/t/1/fs/0/start/0/end/0/c")</f>
        <v>https://tablet.otzar.org/#/book/627590/p/-1/t/1/fs/0/start/0/end/0/c</v>
      </c>
    </row>
    <row r="37" spans="1:8" x14ac:dyDescent="0.25">
      <c r="A37">
        <v>627671</v>
      </c>
      <c r="B37" t="s">
        <v>99</v>
      </c>
      <c r="C37" t="s">
        <v>100</v>
      </c>
      <c r="E37" t="s">
        <v>17</v>
      </c>
      <c r="F37" t="s">
        <v>101</v>
      </c>
      <c r="G37" t="str">
        <f>HYPERLINK(_xlfn.CONCAT("https://tablet.otzar.org/",CHAR(35),"/book/627671/p/-1/t/1/fs/0/start/0/end/0/c"),"הקשורים ליעקב &lt;זכרון אהרן&gt;")</f>
        <v>הקשורים ליעקב &lt;זכרון אהרן&gt;</v>
      </c>
      <c r="H37" t="str">
        <f>_xlfn.CONCAT("https://tablet.otzar.org/",CHAR(35),"/book/627671/p/-1/t/1/fs/0/start/0/end/0/c")</f>
        <v>https://tablet.otzar.org/#/book/627671/p/-1/t/1/fs/0/start/0/end/0/c</v>
      </c>
    </row>
    <row r="38" spans="1:8" x14ac:dyDescent="0.25">
      <c r="A38">
        <v>627621</v>
      </c>
      <c r="B38" t="s">
        <v>102</v>
      </c>
      <c r="C38" t="s">
        <v>16</v>
      </c>
      <c r="E38" t="s">
        <v>25</v>
      </c>
      <c r="F38" t="s">
        <v>26</v>
      </c>
      <c r="G38" t="str">
        <f>HYPERLINK(_xlfn.CONCAT("https://tablet.otzar.org/",CHAR(35),"/exKotar/627621"),"והזהיר - 2 כרכים")</f>
        <v>והזהיר - 2 כרכים</v>
      </c>
      <c r="H38" t="str">
        <f>_xlfn.CONCAT("https://tablet.otzar.org/",CHAR(35),"/exKotar/627621")</f>
        <v>https://tablet.otzar.org/#/exKotar/627621</v>
      </c>
    </row>
    <row r="39" spans="1:8" x14ac:dyDescent="0.25">
      <c r="A39">
        <v>151444</v>
      </c>
      <c r="B39" t="s">
        <v>103</v>
      </c>
      <c r="C39" t="s">
        <v>104</v>
      </c>
      <c r="E39" t="s">
        <v>37</v>
      </c>
      <c r="F39" t="s">
        <v>40</v>
      </c>
      <c r="G39" t="str">
        <f>HYPERLINK(_xlfn.CONCAT("https://tablet.otzar.org/",CHAR(35),"/book/151444/p/-1/t/1/fs/0/start/0/end/0/c"),"זכרון משה &lt;מהדורת זכרון אהרן&gt;")</f>
        <v>זכרון משה &lt;מהדורת זכרון אהרן&gt;</v>
      </c>
      <c r="H39" t="str">
        <f>_xlfn.CONCAT("https://tablet.otzar.org/",CHAR(35),"/book/151444/p/-1/t/1/fs/0/start/0/end/0/c")</f>
        <v>https://tablet.otzar.org/#/book/151444/p/-1/t/1/fs/0/start/0/end/0/c</v>
      </c>
    </row>
    <row r="40" spans="1:8" x14ac:dyDescent="0.25">
      <c r="A40">
        <v>627558</v>
      </c>
      <c r="B40" t="s">
        <v>105</v>
      </c>
      <c r="C40" t="s">
        <v>106</v>
      </c>
      <c r="E40" t="s">
        <v>21</v>
      </c>
      <c r="F40" t="s">
        <v>107</v>
      </c>
      <c r="G40" t="str">
        <f>HYPERLINK(_xlfn.CONCAT("https://tablet.otzar.org/",CHAR(35),"/book/627558/p/-1/t/1/fs/0/start/0/end/0/c"),"זר זהב &lt;מהדורת זכרון אהרן&gt;")</f>
        <v>זר זהב &lt;מהדורת זכרון אהרן&gt;</v>
      </c>
      <c r="H40" t="str">
        <f>_xlfn.CONCAT("https://tablet.otzar.org/",CHAR(35),"/book/627558/p/-1/t/1/fs/0/start/0/end/0/c")</f>
        <v>https://tablet.otzar.org/#/book/627558/p/-1/t/1/fs/0/start/0/end/0/c</v>
      </c>
    </row>
    <row r="41" spans="1:8" x14ac:dyDescent="0.25">
      <c r="A41">
        <v>627955</v>
      </c>
      <c r="B41" t="s">
        <v>108</v>
      </c>
      <c r="C41" t="s">
        <v>95</v>
      </c>
      <c r="F41" t="s">
        <v>62</v>
      </c>
      <c r="G41" t="str">
        <f>HYPERLINK(_xlfn.CONCAT("https://tablet.otzar.org/",CHAR(35),"/exKotar/627955"),"חדשים גם ישנים - 2 כרכים")</f>
        <v>חדשים גם ישנים - 2 כרכים</v>
      </c>
      <c r="H41" t="str">
        <f>_xlfn.CONCAT("https://tablet.otzar.org/",CHAR(35),"/exKotar/627955")</f>
        <v>https://tablet.otzar.org/#/exKotar/627955</v>
      </c>
    </row>
    <row r="42" spans="1:8" x14ac:dyDescent="0.25">
      <c r="A42">
        <v>629068</v>
      </c>
      <c r="B42" t="s">
        <v>109</v>
      </c>
      <c r="C42" t="s">
        <v>89</v>
      </c>
      <c r="E42" t="s">
        <v>87</v>
      </c>
      <c r="F42" t="s">
        <v>62</v>
      </c>
      <c r="G42" t="str">
        <f>HYPERLINK(_xlfn.CONCAT("https://tablet.otzar.org/",CHAR(35),"/exKotar/629068"),"חידושי הרז""""ה &lt;זכרון אהרן&gt;  - 2 כרכים")</f>
        <v>חידושי הרז""ה &lt;זכרון אהרן&gt;  - 2 כרכים</v>
      </c>
      <c r="H42" t="str">
        <f>_xlfn.CONCAT("https://tablet.otzar.org/",CHAR(35),"/exKotar/629068")</f>
        <v>https://tablet.otzar.org/#/exKotar/629068</v>
      </c>
    </row>
    <row r="43" spans="1:8" x14ac:dyDescent="0.25">
      <c r="A43">
        <v>656836</v>
      </c>
      <c r="B43" t="s">
        <v>110</v>
      </c>
      <c r="C43" t="s">
        <v>111</v>
      </c>
      <c r="D43" t="s">
        <v>75</v>
      </c>
      <c r="E43" t="s">
        <v>76</v>
      </c>
      <c r="G43" t="str">
        <f>HYPERLINK(_xlfn.CONCAT("https://tablet.otzar.org/",CHAR(35),"/book/656836/p/-1/t/1/fs/0/start/0/end/0/c"),"חידושי וכתבי רבי שלמה הלוי אלקבץ")</f>
        <v>חידושי וכתבי רבי שלמה הלוי אלקבץ</v>
      </c>
      <c r="H43" t="str">
        <f>_xlfn.CONCAT("https://tablet.otzar.org/",CHAR(35),"/book/656836/p/-1/t/1/fs/0/start/0/end/0/c")</f>
        <v>https://tablet.otzar.org/#/book/656836/p/-1/t/1/fs/0/start/0/end/0/c</v>
      </c>
    </row>
    <row r="44" spans="1:8" x14ac:dyDescent="0.25">
      <c r="A44">
        <v>630796</v>
      </c>
      <c r="B44" t="s">
        <v>112</v>
      </c>
      <c r="C44" t="s">
        <v>91</v>
      </c>
      <c r="E44" t="s">
        <v>87</v>
      </c>
      <c r="F44" t="s">
        <v>113</v>
      </c>
      <c r="G44" t="str">
        <f>HYPERLINK(_xlfn.CONCAT("https://tablet.otzar.org/",CHAR(35),"/exKotar/630796"),"חידושי רבינו אברהם שאג - 3 כרכים")</f>
        <v>חידושי רבינו אברהם שאג - 3 כרכים</v>
      </c>
      <c r="H44" t="str">
        <f>_xlfn.CONCAT("https://tablet.otzar.org/",CHAR(35),"/exKotar/630796")</f>
        <v>https://tablet.otzar.org/#/exKotar/630796</v>
      </c>
    </row>
    <row r="45" spans="1:8" x14ac:dyDescent="0.25">
      <c r="A45">
        <v>627565</v>
      </c>
      <c r="B45" t="s">
        <v>114</v>
      </c>
      <c r="C45" t="s">
        <v>115</v>
      </c>
      <c r="E45" t="s">
        <v>10</v>
      </c>
      <c r="F45" t="s">
        <v>11</v>
      </c>
      <c r="G45" t="str">
        <f>HYPERLINK(_xlfn.CONCAT("https://tablet.otzar.org/",CHAR(35),"/book/627565/p/-1/t/1/fs/0/start/0/end/0/c"),"חינוך בית יהודא &lt;מהדורת זכרון אהרן&gt;")</f>
        <v>חינוך בית יהודא &lt;מהדורת זכרון אהרן&gt;</v>
      </c>
      <c r="H45" t="str">
        <f>_xlfn.CONCAT("https://tablet.otzar.org/",CHAR(35),"/book/627565/p/-1/t/1/fs/0/start/0/end/0/c")</f>
        <v>https://tablet.otzar.org/#/book/627565/p/-1/t/1/fs/0/start/0/end/0/c</v>
      </c>
    </row>
    <row r="46" spans="1:8" x14ac:dyDescent="0.25">
      <c r="A46">
        <v>643610</v>
      </c>
      <c r="B46" t="s">
        <v>116</v>
      </c>
      <c r="C46" t="s">
        <v>117</v>
      </c>
      <c r="E46" t="s">
        <v>28</v>
      </c>
      <c r="F46" t="s">
        <v>11</v>
      </c>
      <c r="G46" t="str">
        <f>HYPERLINK(_xlfn.CONCAT("https://tablet.otzar.org/",CHAR(35),"/book/643610/p/-1/t/1/fs/0/start/0/end/0/c"),"יד אליהו &lt;זכרון אהרן&gt;")</f>
        <v>יד אליהו &lt;זכרון אהרן&gt;</v>
      </c>
      <c r="H46" t="str">
        <f>_xlfn.CONCAT("https://tablet.otzar.org/",CHAR(35),"/book/643610/p/-1/t/1/fs/0/start/0/end/0/c")</f>
        <v>https://tablet.otzar.org/#/book/643610/p/-1/t/1/fs/0/start/0/end/0/c</v>
      </c>
    </row>
    <row r="47" spans="1:8" x14ac:dyDescent="0.25">
      <c r="A47">
        <v>627593</v>
      </c>
      <c r="B47" t="s">
        <v>118</v>
      </c>
      <c r="C47" t="s">
        <v>119</v>
      </c>
      <c r="E47" t="s">
        <v>17</v>
      </c>
      <c r="F47" t="s">
        <v>120</v>
      </c>
      <c r="G47" t="str">
        <f>HYPERLINK(_xlfn.CONCAT("https://tablet.otzar.org/",CHAR(35),"/exKotar/627593"),"יפה תואר &lt;זכרון אהרן&gt;  - 7 כרכים")</f>
        <v>יפה תואר &lt;זכרון אהרן&gt;  - 7 כרכים</v>
      </c>
      <c r="H47" t="str">
        <f>_xlfn.CONCAT("https://tablet.otzar.org/",CHAR(35),"/exKotar/627593")</f>
        <v>https://tablet.otzar.org/#/exKotar/627593</v>
      </c>
    </row>
    <row r="48" spans="1:8" x14ac:dyDescent="0.25">
      <c r="A48">
        <v>656842</v>
      </c>
      <c r="B48" t="s">
        <v>121</v>
      </c>
      <c r="C48" t="s">
        <v>122</v>
      </c>
      <c r="D48" t="s">
        <v>75</v>
      </c>
      <c r="E48" t="s">
        <v>76</v>
      </c>
      <c r="G48" t="str">
        <f>HYPERLINK(_xlfn.CONCAT("https://tablet.otzar.org/",CHAR(35),"/book/656842/p/-1/t/1/fs/0/start/0/end/0/c"),"כל כתבי וחידושי רבינו הברוך טעם ברוך טעם &lt;עם הגהות דברי חיים&gt;")</f>
        <v>כל כתבי וחידושי רבינו הברוך טעם ברוך טעם &lt;עם הגהות דברי חיים&gt;</v>
      </c>
      <c r="H48" t="str">
        <f>_xlfn.CONCAT("https://tablet.otzar.org/",CHAR(35),"/book/656842/p/-1/t/1/fs/0/start/0/end/0/c")</f>
        <v>https://tablet.otzar.org/#/book/656842/p/-1/t/1/fs/0/start/0/end/0/c</v>
      </c>
    </row>
    <row r="49" spans="1:8" x14ac:dyDescent="0.25">
      <c r="A49">
        <v>656843</v>
      </c>
      <c r="B49" t="s">
        <v>123</v>
      </c>
      <c r="C49" t="s">
        <v>122</v>
      </c>
      <c r="D49" t="s">
        <v>75</v>
      </c>
      <c r="E49" t="s">
        <v>76</v>
      </c>
      <c r="G49" t="str">
        <f>HYPERLINK(_xlfn.CONCAT("https://tablet.otzar.org/",CHAR(35),"/exKotar/656843"),"כל כתבי וחידושי רבינו הברוך טעם - 2 כרכים")</f>
        <v>כל כתבי וחידושי רבינו הברוך טעם - 2 כרכים</v>
      </c>
      <c r="H49" t="str">
        <f>_xlfn.CONCAT("https://tablet.otzar.org/",CHAR(35),"/exKotar/656843")</f>
        <v>https://tablet.otzar.org/#/exKotar/656843</v>
      </c>
    </row>
    <row r="50" spans="1:8" x14ac:dyDescent="0.25">
      <c r="A50">
        <v>627677</v>
      </c>
      <c r="B50" t="s">
        <v>124</v>
      </c>
      <c r="C50" t="s">
        <v>125</v>
      </c>
      <c r="E50" t="s">
        <v>87</v>
      </c>
      <c r="F50" t="s">
        <v>43</v>
      </c>
      <c r="G50" t="str">
        <f>HYPERLINK(_xlfn.CONCAT("https://tablet.otzar.org/",CHAR(35),"/book/627677/p/-1/t/1/fs/0/start/0/end/0/c"),"כנפי יונה &lt;זכרון אהרן&gt; - יורה דעה")</f>
        <v>כנפי יונה &lt;זכרון אהרן&gt; - יורה דעה</v>
      </c>
      <c r="H50" t="str">
        <f>_xlfn.CONCAT("https://tablet.otzar.org/",CHAR(35),"/book/627677/p/-1/t/1/fs/0/start/0/end/0/c")</f>
        <v>https://tablet.otzar.org/#/book/627677/p/-1/t/1/fs/0/start/0/end/0/c</v>
      </c>
    </row>
    <row r="51" spans="1:8" x14ac:dyDescent="0.25">
      <c r="A51">
        <v>62281</v>
      </c>
      <c r="B51" t="s">
        <v>126</v>
      </c>
      <c r="C51" t="s">
        <v>42</v>
      </c>
      <c r="E51" t="s">
        <v>92</v>
      </c>
      <c r="F51" t="s">
        <v>22</v>
      </c>
      <c r="G51" t="str">
        <f>HYPERLINK(_xlfn.CONCAT("https://tablet.otzar.org/",CHAR(35),"/exKotar/62281"),"כרתי ופלתי &lt;מהדורת זכרון אהרן&gt;  - 3 כרכים")</f>
        <v>כרתי ופלתי &lt;מהדורת זכרון אהרן&gt;  - 3 כרכים</v>
      </c>
      <c r="H51" t="str">
        <f>_xlfn.CONCAT("https://tablet.otzar.org/",CHAR(35),"/exKotar/62281")</f>
        <v>https://tablet.otzar.org/#/exKotar/62281</v>
      </c>
    </row>
    <row r="52" spans="1:8" x14ac:dyDescent="0.25">
      <c r="A52">
        <v>147290</v>
      </c>
      <c r="B52" t="s">
        <v>127</v>
      </c>
      <c r="C52" t="s">
        <v>128</v>
      </c>
      <c r="E52" t="s">
        <v>129</v>
      </c>
      <c r="F52" t="s">
        <v>43</v>
      </c>
      <c r="G52" t="str">
        <f>HYPERLINK(_xlfn.CONCAT("https://tablet.otzar.org/",CHAR(35),"/exKotar/147290"),"לבוש מלכות &lt;זכרון אהרן&gt;  - 7 כרכים")</f>
        <v>לבוש מלכות &lt;זכרון אהרן&gt;  - 7 כרכים</v>
      </c>
      <c r="H52" t="str">
        <f>_xlfn.CONCAT("https://tablet.otzar.org/",CHAR(35),"/exKotar/147290")</f>
        <v>https://tablet.otzar.org/#/exKotar/147290</v>
      </c>
    </row>
    <row r="53" spans="1:8" x14ac:dyDescent="0.25">
      <c r="A53">
        <v>151443</v>
      </c>
      <c r="B53" t="s">
        <v>130</v>
      </c>
      <c r="C53" t="s">
        <v>131</v>
      </c>
      <c r="E53" t="s">
        <v>37</v>
      </c>
      <c r="F53" t="s">
        <v>43</v>
      </c>
      <c r="G53" t="str">
        <f>HYPERLINK(_xlfn.CONCAT("https://tablet.otzar.org/",CHAR(35),"/book/151443/p/-1/t/1/fs/0/start/0/end/0/c"),"לחם רב &lt;מהדורת זכרון אהרן&gt;")</f>
        <v>לחם רב &lt;מהדורת זכרון אהרן&gt;</v>
      </c>
      <c r="H53" t="str">
        <f>_xlfn.CONCAT("https://tablet.otzar.org/",CHAR(35),"/book/151443/p/-1/t/1/fs/0/start/0/end/0/c")</f>
        <v>https://tablet.otzar.org/#/book/151443/p/-1/t/1/fs/0/start/0/end/0/c</v>
      </c>
    </row>
    <row r="54" spans="1:8" x14ac:dyDescent="0.25">
      <c r="A54">
        <v>627948</v>
      </c>
      <c r="B54" t="s">
        <v>132</v>
      </c>
      <c r="C54" t="s">
        <v>133</v>
      </c>
      <c r="E54" t="s">
        <v>17</v>
      </c>
      <c r="F54" t="s">
        <v>11</v>
      </c>
      <c r="G54" t="str">
        <f>HYPERLINK(_xlfn.CONCAT("https://tablet.otzar.org/",CHAR(35),"/book/627948/p/-1/t/1/fs/0/start/0/end/0/c"),"לחם רב &lt;זכרון אהרן&gt;")</f>
        <v>לחם רב &lt;זכרון אהרן&gt;</v>
      </c>
      <c r="H54" t="str">
        <f>_xlfn.CONCAT("https://tablet.otzar.org/",CHAR(35),"/book/627948/p/-1/t/1/fs/0/start/0/end/0/c")</f>
        <v>https://tablet.otzar.org/#/book/627948/p/-1/t/1/fs/0/start/0/end/0/c</v>
      </c>
    </row>
    <row r="55" spans="1:8" x14ac:dyDescent="0.25">
      <c r="A55">
        <v>643551</v>
      </c>
      <c r="B55" t="s">
        <v>134</v>
      </c>
      <c r="C55" t="s">
        <v>135</v>
      </c>
      <c r="E55" t="s">
        <v>28</v>
      </c>
      <c r="F55" t="s">
        <v>62</v>
      </c>
      <c r="G55" t="str">
        <f>HYPERLINK(_xlfn.CONCAT("https://tablet.otzar.org/",CHAR(35),"/book/643551/p/-1/t/1/fs/0/start/0/end/0/c"),"למודי ה' &lt;זכרון אהרן&gt;")</f>
        <v>למודי ה' &lt;זכרון אהרן&gt;</v>
      </c>
      <c r="H55" t="str">
        <f>_xlfn.CONCAT("https://tablet.otzar.org/",CHAR(35),"/book/643551/p/-1/t/1/fs/0/start/0/end/0/c")</f>
        <v>https://tablet.otzar.org/#/book/643551/p/-1/t/1/fs/0/start/0/end/0/c</v>
      </c>
    </row>
    <row r="56" spans="1:8" x14ac:dyDescent="0.25">
      <c r="A56">
        <v>627656</v>
      </c>
      <c r="B56" t="s">
        <v>136</v>
      </c>
      <c r="C56" t="s">
        <v>16</v>
      </c>
      <c r="E56" t="s">
        <v>25</v>
      </c>
      <c r="F56" t="s">
        <v>26</v>
      </c>
      <c r="G56" t="str">
        <f>HYPERLINK(_xlfn.CONCAT("https://tablet.otzar.org/",CHAR(35),"/exKotar/627656"),"לקח טוב - 3 כרכים")</f>
        <v>לקח טוב - 3 כרכים</v>
      </c>
      <c r="H56" t="str">
        <f>_xlfn.CONCAT("https://tablet.otzar.org/",CHAR(35),"/exKotar/627656")</f>
        <v>https://tablet.otzar.org/#/exKotar/627656</v>
      </c>
    </row>
    <row r="57" spans="1:8" x14ac:dyDescent="0.25">
      <c r="A57">
        <v>627950</v>
      </c>
      <c r="B57" t="s">
        <v>137</v>
      </c>
      <c r="C57" t="s">
        <v>55</v>
      </c>
      <c r="E57" t="s">
        <v>14</v>
      </c>
      <c r="F57" t="s">
        <v>120</v>
      </c>
      <c r="G57" t="str">
        <f>HYPERLINK(_xlfn.CONCAT("https://tablet.otzar.org/",CHAR(35),"/exKotar/627950"),"לקחת מוסר - 2 כרכים")</f>
        <v>לקחת מוסר - 2 כרכים</v>
      </c>
      <c r="H57" t="str">
        <f>_xlfn.CONCAT("https://tablet.otzar.org/",CHAR(35),"/exKotar/627950")</f>
        <v>https://tablet.otzar.org/#/exKotar/627950</v>
      </c>
    </row>
    <row r="58" spans="1:8" x14ac:dyDescent="0.25">
      <c r="A58">
        <v>627949</v>
      </c>
      <c r="B58" t="s">
        <v>138</v>
      </c>
      <c r="C58" t="s">
        <v>100</v>
      </c>
      <c r="E58" t="s">
        <v>17</v>
      </c>
      <c r="F58" t="s">
        <v>38</v>
      </c>
      <c r="G58" t="str">
        <f>HYPERLINK(_xlfn.CONCAT("https://tablet.otzar.org/",CHAR(35),"/book/627949/p/-1/t/1/fs/0/start/0/end/0/c"),"מגדל עז &lt;זכרון אהרן&gt;")</f>
        <v>מגדל עז &lt;זכרון אהרן&gt;</v>
      </c>
      <c r="H58" t="str">
        <f>_xlfn.CONCAT("https://tablet.otzar.org/",CHAR(35),"/book/627949/p/-1/t/1/fs/0/start/0/end/0/c")</f>
        <v>https://tablet.otzar.org/#/book/627949/p/-1/t/1/fs/0/start/0/end/0/c</v>
      </c>
    </row>
    <row r="59" spans="1:8" x14ac:dyDescent="0.25">
      <c r="A59">
        <v>627953</v>
      </c>
      <c r="B59" t="s">
        <v>139</v>
      </c>
      <c r="C59" t="s">
        <v>55</v>
      </c>
      <c r="E59" t="s">
        <v>14</v>
      </c>
      <c r="F59" t="s">
        <v>120</v>
      </c>
      <c r="G59" t="str">
        <f>HYPERLINK(_xlfn.CONCAT("https://tablet.otzar.org/",CHAR(35),"/book/627953/p/-1/t/1/fs/0/start/0/end/0/c"),"מגילת אסתר &lt;מאמר אסתר&gt;- מגילת רות איכה &lt;לקחת מוסר&gt;")</f>
        <v>מגילת אסתר &lt;מאמר אסתר&gt;- מגילת רות איכה &lt;לקחת מוסר&gt;</v>
      </c>
      <c r="H59" t="str">
        <f>_xlfn.CONCAT("https://tablet.otzar.org/",CHAR(35),"/book/627953/p/-1/t/1/fs/0/start/0/end/0/c")</f>
        <v>https://tablet.otzar.org/#/book/627953/p/-1/t/1/fs/0/start/0/end/0/c</v>
      </c>
    </row>
    <row r="60" spans="1:8" x14ac:dyDescent="0.25">
      <c r="A60">
        <v>627623</v>
      </c>
      <c r="B60" t="s">
        <v>140</v>
      </c>
      <c r="C60" t="s">
        <v>16</v>
      </c>
      <c r="E60" t="s">
        <v>141</v>
      </c>
      <c r="F60" t="s">
        <v>26</v>
      </c>
      <c r="G60" t="str">
        <f>HYPERLINK(_xlfn.CONCAT("https://tablet.otzar.org/",CHAR(35),"/book/627623/p/-1/t/1/fs/0/start/0/end/0/c"),"מדרש אגדה")</f>
        <v>מדרש אגדה</v>
      </c>
      <c r="H60" t="str">
        <f>_xlfn.CONCAT("https://tablet.otzar.org/",CHAR(35),"/book/627623/p/-1/t/1/fs/0/start/0/end/0/c")</f>
        <v>https://tablet.otzar.org/#/book/627623/p/-1/t/1/fs/0/start/0/end/0/c</v>
      </c>
    </row>
    <row r="61" spans="1:8" x14ac:dyDescent="0.25">
      <c r="A61">
        <v>627601</v>
      </c>
      <c r="B61" t="s">
        <v>142</v>
      </c>
      <c r="C61" t="s">
        <v>16</v>
      </c>
      <c r="E61" t="s">
        <v>143</v>
      </c>
      <c r="F61" t="s">
        <v>18</v>
      </c>
      <c r="G61" t="str">
        <f>HYPERLINK(_xlfn.CONCAT("https://tablet.otzar.org/",CHAR(35),"/book/627601/p/-1/t/1/fs/0/start/0/end/0/c"),"מדרש אגדת בראשית")</f>
        <v>מדרש אגדת בראשית</v>
      </c>
      <c r="H61" t="str">
        <f>_xlfn.CONCAT("https://tablet.otzar.org/",CHAR(35),"/book/627601/p/-1/t/1/fs/0/start/0/end/0/c")</f>
        <v>https://tablet.otzar.org/#/book/627601/p/-1/t/1/fs/0/start/0/end/0/c</v>
      </c>
    </row>
    <row r="62" spans="1:8" x14ac:dyDescent="0.25">
      <c r="A62">
        <v>627618</v>
      </c>
      <c r="B62" t="s">
        <v>144</v>
      </c>
      <c r="C62" t="s">
        <v>16</v>
      </c>
      <c r="E62" t="s">
        <v>17</v>
      </c>
      <c r="F62" t="s">
        <v>18</v>
      </c>
      <c r="G62" t="str">
        <f>HYPERLINK(_xlfn.CONCAT("https://tablet.otzar.org/",CHAR(35),"/book/627618/p/-1/t/1/fs/0/start/0/end/0/c"),"מדרש אותיות דרבי עקיבא השלם")</f>
        <v>מדרש אותיות דרבי עקיבא השלם</v>
      </c>
      <c r="H62" t="str">
        <f>_xlfn.CONCAT("https://tablet.otzar.org/",CHAR(35),"/book/627618/p/-1/t/1/fs/0/start/0/end/0/c")</f>
        <v>https://tablet.otzar.org/#/book/627618/p/-1/t/1/fs/0/start/0/end/0/c</v>
      </c>
    </row>
    <row r="63" spans="1:8" x14ac:dyDescent="0.25">
      <c r="A63">
        <v>627619</v>
      </c>
      <c r="B63" t="s">
        <v>145</v>
      </c>
      <c r="C63" t="s">
        <v>16</v>
      </c>
      <c r="E63" t="s">
        <v>17</v>
      </c>
      <c r="F63" t="s">
        <v>18</v>
      </c>
      <c r="G63" t="str">
        <f>HYPERLINK(_xlfn.CONCAT("https://tablet.otzar.org/",CHAR(35),"/book/627619/p/-1/t/1/fs/0/start/0/end/0/c"),"מדרש בראשית זוטא")</f>
        <v>מדרש בראשית זוטא</v>
      </c>
      <c r="H63" t="str">
        <f>_xlfn.CONCAT("https://tablet.otzar.org/",CHAR(35),"/book/627619/p/-1/t/1/fs/0/start/0/end/0/c")</f>
        <v>https://tablet.otzar.org/#/book/627619/p/-1/t/1/fs/0/start/0/end/0/c</v>
      </c>
    </row>
    <row r="64" spans="1:8" x14ac:dyDescent="0.25">
      <c r="A64">
        <v>627620</v>
      </c>
      <c r="B64" t="s">
        <v>146</v>
      </c>
      <c r="C64" t="s">
        <v>16</v>
      </c>
      <c r="E64" t="s">
        <v>25</v>
      </c>
      <c r="F64" t="s">
        <v>18</v>
      </c>
      <c r="G64" t="str">
        <f>HYPERLINK(_xlfn.CONCAT("https://tablet.otzar.org/",CHAR(35),"/book/627620/p/-1/t/1/fs/0/start/0/end/0/c"),"מדרש בראשית רבתי")</f>
        <v>מדרש בראשית רבתי</v>
      </c>
      <c r="H64" t="str">
        <f>_xlfn.CONCAT("https://tablet.otzar.org/",CHAR(35),"/book/627620/p/-1/t/1/fs/0/start/0/end/0/c")</f>
        <v>https://tablet.otzar.org/#/book/627620/p/-1/t/1/fs/0/start/0/end/0/c</v>
      </c>
    </row>
    <row r="65" spans="1:8" x14ac:dyDescent="0.25">
      <c r="A65">
        <v>627661</v>
      </c>
      <c r="B65" t="s">
        <v>147</v>
      </c>
      <c r="C65" t="s">
        <v>16</v>
      </c>
      <c r="E65" t="s">
        <v>17</v>
      </c>
      <c r="F65" t="s">
        <v>26</v>
      </c>
      <c r="G65" t="str">
        <f>HYPERLINK(_xlfn.CONCAT("https://tablet.otzar.org/",CHAR(35),"/book/627661/p/-1/t/1/fs/0/start/0/end/0/c"),"מדרש וביאור איוב עזרא (נחמיה) ודברי הימים")</f>
        <v>מדרש וביאור איוב עזרא (נחמיה) ודברי הימים</v>
      </c>
      <c r="H65" t="str">
        <f>_xlfn.CONCAT("https://tablet.otzar.org/",CHAR(35),"/book/627661/p/-1/t/1/fs/0/start/0/end/0/c")</f>
        <v>https://tablet.otzar.org/#/book/627661/p/-1/t/1/fs/0/start/0/end/0/c</v>
      </c>
    </row>
    <row r="66" spans="1:8" x14ac:dyDescent="0.25">
      <c r="A66">
        <v>627659</v>
      </c>
      <c r="B66" t="s">
        <v>148</v>
      </c>
      <c r="C66" t="s">
        <v>16</v>
      </c>
      <c r="E66" t="s">
        <v>141</v>
      </c>
      <c r="F66" t="s">
        <v>26</v>
      </c>
      <c r="G66" t="str">
        <f>HYPERLINK(_xlfn.CONCAT("https://tablet.otzar.org/",CHAR(35),"/book/627659/p/-1/t/1/fs/0/start/0/end/0/c"),"מדרש זוטא")</f>
        <v>מדרש זוטא</v>
      </c>
      <c r="H66" t="str">
        <f>_xlfn.CONCAT("https://tablet.otzar.org/",CHAR(35),"/book/627659/p/-1/t/1/fs/0/start/0/end/0/c")</f>
        <v>https://tablet.otzar.org/#/book/627659/p/-1/t/1/fs/0/start/0/end/0/c</v>
      </c>
    </row>
    <row r="67" spans="1:8" x14ac:dyDescent="0.25">
      <c r="A67">
        <v>627660</v>
      </c>
      <c r="B67" t="s">
        <v>149</v>
      </c>
      <c r="C67" t="s">
        <v>16</v>
      </c>
      <c r="E67" t="s">
        <v>17</v>
      </c>
      <c r="F67" t="s">
        <v>26</v>
      </c>
      <c r="G67" t="str">
        <f>HYPERLINK(_xlfn.CONCAT("https://tablet.otzar.org/",CHAR(35),"/book/627660/p/-1/t/1/fs/0/start/0/end/0/c"),"מדרש חדש")</f>
        <v>מדרש חדש</v>
      </c>
      <c r="H67" t="str">
        <f>_xlfn.CONCAT("https://tablet.otzar.org/",CHAR(35),"/book/627660/p/-1/t/1/fs/0/start/0/end/0/c")</f>
        <v>https://tablet.otzar.org/#/book/627660/p/-1/t/1/fs/0/start/0/end/0/c</v>
      </c>
    </row>
    <row r="68" spans="1:8" x14ac:dyDescent="0.25">
      <c r="A68">
        <v>656847</v>
      </c>
      <c r="B68" t="s">
        <v>150</v>
      </c>
      <c r="C68" t="s">
        <v>16</v>
      </c>
      <c r="D68" t="s">
        <v>75</v>
      </c>
      <c r="E68" t="s">
        <v>76</v>
      </c>
      <c r="G68" t="str">
        <f>HYPERLINK(_xlfn.CONCAT("https://tablet.otzar.org/",CHAR(35),"/book/656847/p/-1/t/1/fs/0/start/0/end/0/c"),"מדרש משלי &lt;עם כל המפרשים&gt;")</f>
        <v>מדרש משלי &lt;עם כל המפרשים&gt;</v>
      </c>
      <c r="H68" t="str">
        <f>_xlfn.CONCAT("https://tablet.otzar.org/",CHAR(35),"/book/656847/p/-1/t/1/fs/0/start/0/end/0/c")</f>
        <v>https://tablet.otzar.org/#/book/656847/p/-1/t/1/fs/0/start/0/end/0/c</v>
      </c>
    </row>
    <row r="69" spans="1:8" x14ac:dyDescent="0.25">
      <c r="A69">
        <v>627663</v>
      </c>
      <c r="B69" t="s">
        <v>151</v>
      </c>
      <c r="C69" t="s">
        <v>16</v>
      </c>
      <c r="E69" t="s">
        <v>17</v>
      </c>
      <c r="F69" t="s">
        <v>26</v>
      </c>
      <c r="G69" t="str">
        <f>HYPERLINK(_xlfn.CONCAT("https://tablet.otzar.org/",CHAR(35),"/book/627663/p/-1/t/1/fs/0/start/0/end/0/c"),"מדרש פתרון תורה")</f>
        <v>מדרש פתרון תורה</v>
      </c>
      <c r="H69" t="str">
        <f>_xlfn.CONCAT("https://tablet.otzar.org/",CHAR(35),"/book/627663/p/-1/t/1/fs/0/start/0/end/0/c")</f>
        <v>https://tablet.otzar.org/#/book/627663/p/-1/t/1/fs/0/start/0/end/0/c</v>
      </c>
    </row>
    <row r="70" spans="1:8" x14ac:dyDescent="0.25">
      <c r="A70">
        <v>627615</v>
      </c>
      <c r="B70" t="s">
        <v>152</v>
      </c>
      <c r="C70" t="s">
        <v>16</v>
      </c>
      <c r="E70" t="s">
        <v>25</v>
      </c>
      <c r="F70" t="s">
        <v>18</v>
      </c>
      <c r="G70" t="str">
        <f>HYPERLINK(_xlfn.CONCAT("https://tablet.otzar.org/",CHAR(35),"/book/627615/p/-1/t/1/fs/0/start/0/end/0/c"),"מדרש שמואל &lt;אגדת שמואל&gt;")</f>
        <v>מדרש שמואל &lt;אגדת שמואל&gt;</v>
      </c>
      <c r="H70" t="str">
        <f>_xlfn.CONCAT("https://tablet.otzar.org/",CHAR(35),"/book/627615/p/-1/t/1/fs/0/start/0/end/0/c")</f>
        <v>https://tablet.otzar.org/#/book/627615/p/-1/t/1/fs/0/start/0/end/0/c</v>
      </c>
    </row>
    <row r="71" spans="1:8" x14ac:dyDescent="0.25">
      <c r="A71">
        <v>627602</v>
      </c>
      <c r="B71" t="s">
        <v>153</v>
      </c>
      <c r="C71" t="s">
        <v>16</v>
      </c>
      <c r="E71" t="s">
        <v>79</v>
      </c>
      <c r="F71" t="s">
        <v>26</v>
      </c>
      <c r="G71" t="str">
        <f>HYPERLINK(_xlfn.CONCAT("https://tablet.otzar.org/",CHAR(35),"/exKotar/627602"),"מדרש תהלים &lt;שוחר טוב&gt;  - 2 כרכים")</f>
        <v>מדרש תהלים &lt;שוחר טוב&gt;  - 2 כרכים</v>
      </c>
      <c r="H71" t="str">
        <f>_xlfn.CONCAT("https://tablet.otzar.org/",CHAR(35),"/exKotar/627602")</f>
        <v>https://tablet.otzar.org/#/exKotar/627602</v>
      </c>
    </row>
    <row r="72" spans="1:8" x14ac:dyDescent="0.25">
      <c r="A72">
        <v>627604</v>
      </c>
      <c r="B72" t="s">
        <v>154</v>
      </c>
      <c r="C72" t="s">
        <v>16</v>
      </c>
      <c r="E72" t="s">
        <v>155</v>
      </c>
      <c r="F72" t="s">
        <v>120</v>
      </c>
      <c r="G72" t="str">
        <f>HYPERLINK(_xlfn.CONCAT("https://tablet.otzar.org/",CHAR(35),"/exKotar/627604"),"מדרש תנחומא (הרגיל והישן) - 4 כרכים")</f>
        <v>מדרש תנחומא (הרגיל והישן) - 4 כרכים</v>
      </c>
      <c r="H72" t="str">
        <f>_xlfn.CONCAT("https://tablet.otzar.org/",CHAR(35),"/exKotar/627604")</f>
        <v>https://tablet.otzar.org/#/exKotar/627604</v>
      </c>
    </row>
    <row r="73" spans="1:8" x14ac:dyDescent="0.25">
      <c r="A73">
        <v>628373</v>
      </c>
      <c r="B73" t="s">
        <v>156</v>
      </c>
      <c r="C73" t="s">
        <v>95</v>
      </c>
      <c r="E73" t="s">
        <v>25</v>
      </c>
      <c r="F73" t="s">
        <v>93</v>
      </c>
      <c r="G73" t="str">
        <f>HYPERLINK(_xlfn.CONCAT("https://tablet.otzar.org/",CHAR(35),"/book/628373/p/-1/t/1/fs/0/start/0/end/0/c"),"מהר""""י שטייף - מועדים וזמנים ד' פרשיות, פורים")</f>
        <v>מהר""י שטייף - מועדים וזמנים ד' פרשיות, פורים</v>
      </c>
      <c r="H73" t="str">
        <f>_xlfn.CONCAT("https://tablet.otzar.org/",CHAR(35),"/book/628373/p/-1/t/1/fs/0/start/0/end/0/c")</f>
        <v>https://tablet.otzar.org/#/book/628373/p/-1/t/1/fs/0/start/0/end/0/c</v>
      </c>
    </row>
    <row r="74" spans="1:8" x14ac:dyDescent="0.25">
      <c r="A74">
        <v>629062</v>
      </c>
      <c r="B74" t="s">
        <v>157</v>
      </c>
      <c r="C74" t="s">
        <v>95</v>
      </c>
      <c r="E74" t="s">
        <v>49</v>
      </c>
      <c r="F74" t="s">
        <v>120</v>
      </c>
      <c r="G74" t="str">
        <f>HYPERLINK(_xlfn.CONCAT("https://tablet.otzar.org/",CHAR(35),"/exKotar/629062"),"מהר""""י שטייף &lt;תורה&gt; בראשית אמרות - 5 כרכים")</f>
        <v>מהר""י שטייף &lt;תורה&gt; בראשית אמרות - 5 כרכים</v>
      </c>
      <c r="H74" t="str">
        <f>_xlfn.CONCAT("https://tablet.otzar.org/",CHAR(35),"/exKotar/629062")</f>
        <v>https://tablet.otzar.org/#/exKotar/629062</v>
      </c>
    </row>
    <row r="75" spans="1:8" x14ac:dyDescent="0.25">
      <c r="A75">
        <v>643621</v>
      </c>
      <c r="B75" t="s">
        <v>158</v>
      </c>
      <c r="C75" t="s">
        <v>159</v>
      </c>
      <c r="E75" t="s">
        <v>28</v>
      </c>
      <c r="F75" t="s">
        <v>160</v>
      </c>
      <c r="G75" t="str">
        <f>HYPERLINK(_xlfn.CONCAT("https://tablet.otzar.org/",CHAR(35),"/book/643621/p/-1/t/1/fs/0/start/0/end/0/c"),"מהר""""ם זיסקינד, יד אליהו, פרחי שושנים &lt;מהדורת זכרון אהרן&gt;")</f>
        <v>מהר""ם זיסקינד, יד אליהו, פרחי שושנים &lt;מהדורת זכרון אהרן&gt;</v>
      </c>
      <c r="H75" t="str">
        <f>_xlfn.CONCAT("https://tablet.otzar.org/",CHAR(35),"/book/643621/p/-1/t/1/fs/0/start/0/end/0/c")</f>
        <v>https://tablet.otzar.org/#/book/643621/p/-1/t/1/fs/0/start/0/end/0/c</v>
      </c>
    </row>
    <row r="76" spans="1:8" x14ac:dyDescent="0.25">
      <c r="A76">
        <v>627572</v>
      </c>
      <c r="B76" t="s">
        <v>161</v>
      </c>
      <c r="C76" t="s">
        <v>162</v>
      </c>
      <c r="E76" t="s">
        <v>143</v>
      </c>
      <c r="F76" t="s">
        <v>40</v>
      </c>
      <c r="G76" t="str">
        <f>HYPERLINK(_xlfn.CONCAT("https://tablet.otzar.org/",CHAR(35),"/book/627572/p/-1/t/1/fs/0/start/0/end/0/c"),"מטה משה &lt;מהדורת זכרון אהרן&gt;")</f>
        <v>מטה משה &lt;מהדורת זכרון אהרן&gt;</v>
      </c>
      <c r="H76" t="str">
        <f>_xlfn.CONCAT("https://tablet.otzar.org/",CHAR(35),"/book/627572/p/-1/t/1/fs/0/start/0/end/0/c")</f>
        <v>https://tablet.otzar.org/#/book/627572/p/-1/t/1/fs/0/start/0/end/0/c</v>
      </c>
    </row>
    <row r="77" spans="1:8" x14ac:dyDescent="0.25">
      <c r="A77">
        <v>628711</v>
      </c>
      <c r="B77" t="s">
        <v>163</v>
      </c>
      <c r="C77" t="s">
        <v>164</v>
      </c>
      <c r="E77" t="s">
        <v>10</v>
      </c>
      <c r="F77" t="s">
        <v>11</v>
      </c>
      <c r="G77" t="str">
        <f>HYPERLINK(_xlfn.CONCAT("https://tablet.otzar.org/",CHAR(35),"/book/628711/p/-1/t/1/fs/0/start/0/end/0/c"),"מים עמוקים, תשובות ראנ""""ח &lt;זכרון אהרן&gt; - ב")</f>
        <v>מים עמוקים, תשובות ראנ""ח &lt;זכרון אהרן&gt; - ב</v>
      </c>
      <c r="H77" t="str">
        <f>_xlfn.CONCAT("https://tablet.otzar.org/",CHAR(35),"/book/628711/p/-1/t/1/fs/0/start/0/end/0/c")</f>
        <v>https://tablet.otzar.org/#/book/628711/p/-1/t/1/fs/0/start/0/end/0/c</v>
      </c>
    </row>
    <row r="78" spans="1:8" x14ac:dyDescent="0.25">
      <c r="A78">
        <v>627666</v>
      </c>
      <c r="B78" t="s">
        <v>165</v>
      </c>
      <c r="C78" t="s">
        <v>166</v>
      </c>
      <c r="E78" t="s">
        <v>25</v>
      </c>
      <c r="F78" t="s">
        <v>18</v>
      </c>
      <c r="G78" t="str">
        <f>HYPERLINK(_xlfn.CONCAT("https://tablet.otzar.org/",CHAR(35),"/exKotar/627666"),"מכילתא - 3 כרכים")</f>
        <v>מכילתא - 3 כרכים</v>
      </c>
      <c r="H78" t="str">
        <f>_xlfn.CONCAT("https://tablet.otzar.org/",CHAR(35),"/exKotar/627666")</f>
        <v>https://tablet.otzar.org/#/exKotar/627666</v>
      </c>
    </row>
    <row r="79" spans="1:8" x14ac:dyDescent="0.25">
      <c r="A79">
        <v>627669</v>
      </c>
      <c r="B79" t="s">
        <v>167</v>
      </c>
      <c r="C79" t="s">
        <v>166</v>
      </c>
      <c r="E79" t="s">
        <v>14</v>
      </c>
      <c r="F79" t="s">
        <v>18</v>
      </c>
      <c r="G79" t="str">
        <f>HYPERLINK(_xlfn.CONCAT("https://tablet.otzar.org/",CHAR(35),"/book/627669/p/-1/t/1/fs/0/start/0/end/0/c"),"מכילתא דרשב""""י")</f>
        <v>מכילתא דרשב""י</v>
      </c>
      <c r="H79" t="str">
        <f>_xlfn.CONCAT("https://tablet.otzar.org/",CHAR(35),"/book/627669/p/-1/t/1/fs/0/start/0/end/0/c")</f>
        <v>https://tablet.otzar.org/#/book/627669/p/-1/t/1/fs/0/start/0/end/0/c</v>
      </c>
    </row>
    <row r="80" spans="1:8" x14ac:dyDescent="0.25">
      <c r="A80">
        <v>628807</v>
      </c>
      <c r="B80" t="s">
        <v>168</v>
      </c>
      <c r="C80" t="s">
        <v>125</v>
      </c>
      <c r="E80" t="s">
        <v>17</v>
      </c>
      <c r="F80" t="s">
        <v>11</v>
      </c>
      <c r="G80" t="str">
        <f>HYPERLINK(_xlfn.CONCAT("https://tablet.otzar.org/",CHAR(35),"/book/628807/p/-1/t/1/fs/0/start/0/end/0/c"),"מעיל צדקה &lt;זכרון אהרן&gt;")</f>
        <v>מעיל צדקה &lt;זכרון אהרן&gt;</v>
      </c>
      <c r="H80" t="str">
        <f>_xlfn.CONCAT("https://tablet.otzar.org/",CHAR(35),"/book/628807/p/-1/t/1/fs/0/start/0/end/0/c")</f>
        <v>https://tablet.otzar.org/#/book/628807/p/-1/t/1/fs/0/start/0/end/0/c</v>
      </c>
    </row>
    <row r="81" spans="1:8" x14ac:dyDescent="0.25">
      <c r="A81">
        <v>629171</v>
      </c>
      <c r="B81" t="s">
        <v>169</v>
      </c>
      <c r="C81" t="s">
        <v>95</v>
      </c>
      <c r="E81" t="s">
        <v>170</v>
      </c>
      <c r="F81" t="s">
        <v>56</v>
      </c>
      <c r="G81" t="str">
        <f>HYPERLINK(_xlfn.CONCAT("https://tablet.otzar.org/",CHAR(35),"/book/629171/p/-1/t/1/fs/0/start/0/end/0/c"),"מצוות השם")</f>
        <v>מצוות השם</v>
      </c>
      <c r="H81" t="str">
        <f>_xlfn.CONCAT("https://tablet.otzar.org/",CHAR(35),"/book/629171/p/-1/t/1/fs/0/start/0/end/0/c")</f>
        <v>https://tablet.otzar.org/#/book/629171/p/-1/t/1/fs/0/start/0/end/0/c</v>
      </c>
    </row>
    <row r="82" spans="1:8" x14ac:dyDescent="0.25">
      <c r="A82">
        <v>643618</v>
      </c>
      <c r="B82" t="s">
        <v>171</v>
      </c>
      <c r="C82" t="s">
        <v>172</v>
      </c>
      <c r="E82" t="s">
        <v>28</v>
      </c>
      <c r="G82" t="str">
        <f>HYPERLINK(_xlfn.CONCAT("https://tablet.otzar.org/",CHAR(35),"/exKotar/643618"),"מקור חיים &lt;מהדורת זכרון אהרן&gt;  - 3 כרכים")</f>
        <v>מקור חיים &lt;מהדורת זכרון אהרן&gt;  - 3 כרכים</v>
      </c>
      <c r="H82" t="str">
        <f>_xlfn.CONCAT("https://tablet.otzar.org/",CHAR(35),"/exKotar/643618")</f>
        <v>https://tablet.otzar.org/#/exKotar/643618</v>
      </c>
    </row>
    <row r="83" spans="1:8" x14ac:dyDescent="0.25">
      <c r="A83">
        <v>83867</v>
      </c>
      <c r="B83" t="s">
        <v>173</v>
      </c>
      <c r="C83" t="s">
        <v>174</v>
      </c>
      <c r="E83" t="s">
        <v>92</v>
      </c>
      <c r="F83" t="s">
        <v>11</v>
      </c>
      <c r="G83" t="str">
        <f>HYPERLINK(_xlfn.CONCAT("https://tablet.otzar.org/",CHAR(35),"/book/83867/p/-1/t/1/fs/0/start/0/end/0/c"),"משאת בנימין &lt;מהדורת זכרון אהרן&gt;")</f>
        <v>משאת בנימין &lt;מהדורת זכרון אהרן&gt;</v>
      </c>
      <c r="H83" t="str">
        <f>_xlfn.CONCAT("https://tablet.otzar.org/",CHAR(35),"/book/83867/p/-1/t/1/fs/0/start/0/end/0/c")</f>
        <v>https://tablet.otzar.org/#/book/83867/p/-1/t/1/fs/0/start/0/end/0/c</v>
      </c>
    </row>
    <row r="84" spans="1:8" x14ac:dyDescent="0.25">
      <c r="A84">
        <v>628809</v>
      </c>
      <c r="B84" t="s">
        <v>175</v>
      </c>
      <c r="C84" t="s">
        <v>174</v>
      </c>
      <c r="E84" t="s">
        <v>25</v>
      </c>
      <c r="F84" t="s">
        <v>11</v>
      </c>
      <c r="G84" t="str">
        <f>HYPERLINK(_xlfn.CONCAT("https://tablet.otzar.org/",CHAR(35),"/book/628809/p/-1/t/1/fs/0/start/0/end/0/c"),"משאת בנימין &lt;זכרון אהרן מהדורה מתוקנת&gt;")</f>
        <v>משאת בנימין &lt;זכרון אהרן מהדורה מתוקנת&gt;</v>
      </c>
      <c r="H84" t="str">
        <f>_xlfn.CONCAT("https://tablet.otzar.org/",CHAR(35),"/book/628809/p/-1/t/1/fs/0/start/0/end/0/c")</f>
        <v>https://tablet.otzar.org/#/book/628809/p/-1/t/1/fs/0/start/0/end/0/c</v>
      </c>
    </row>
    <row r="85" spans="1:8" x14ac:dyDescent="0.25">
      <c r="A85">
        <v>151438</v>
      </c>
      <c r="B85" t="s">
        <v>176</v>
      </c>
      <c r="C85" t="s">
        <v>177</v>
      </c>
      <c r="E85" t="s">
        <v>49</v>
      </c>
      <c r="F85" t="s">
        <v>40</v>
      </c>
      <c r="G85" t="str">
        <f>HYPERLINK(_xlfn.CONCAT("https://tablet.otzar.org/",CHAR(35),"/exKotar/151438"),"משכן שלום - 3 כרכים")</f>
        <v>משכן שלום - 3 כרכים</v>
      </c>
      <c r="H85" t="str">
        <f>_xlfn.CONCAT("https://tablet.otzar.org/",CHAR(35),"/exKotar/151438")</f>
        <v>https://tablet.otzar.org/#/exKotar/151438</v>
      </c>
    </row>
    <row r="86" spans="1:8" x14ac:dyDescent="0.25">
      <c r="A86">
        <v>627586</v>
      </c>
      <c r="B86" t="s">
        <v>178</v>
      </c>
      <c r="C86" t="s">
        <v>179</v>
      </c>
      <c r="E86" t="s">
        <v>25</v>
      </c>
      <c r="F86" t="s">
        <v>11</v>
      </c>
      <c r="G86" t="str">
        <f>HYPERLINK(_xlfn.CONCAT("https://tablet.otzar.org/",CHAR(35),"/book/627586/p/-1/t/1/fs/0/start/0/end/0/c"),"משפטי שמואל &lt;מהדורת זכרון אהרן&gt;")</f>
        <v>משפטי שמואל &lt;מהדורת זכרון אהרן&gt;</v>
      </c>
      <c r="H86" t="str">
        <f>_xlfn.CONCAT("https://tablet.otzar.org/",CHAR(35),"/book/627586/p/-1/t/1/fs/0/start/0/end/0/c")</f>
        <v>https://tablet.otzar.org/#/book/627586/p/-1/t/1/fs/0/start/0/end/0/c</v>
      </c>
    </row>
    <row r="87" spans="1:8" x14ac:dyDescent="0.25">
      <c r="A87">
        <v>629064</v>
      </c>
      <c r="B87" t="s">
        <v>180</v>
      </c>
      <c r="C87" t="s">
        <v>181</v>
      </c>
      <c r="E87" t="s">
        <v>25</v>
      </c>
      <c r="F87" t="s">
        <v>62</v>
      </c>
      <c r="G87" t="str">
        <f>HYPERLINK(_xlfn.CONCAT("https://tablet.otzar.org/",CHAR(35),"/book/629064/p/-1/t/1/fs/0/start/0/end/0/c"),"מתורגמן &lt;זכרון אהרן&gt;")</f>
        <v>מתורגמן &lt;זכרון אהרן&gt;</v>
      </c>
      <c r="H87" t="str">
        <f>_xlfn.CONCAT("https://tablet.otzar.org/",CHAR(35),"/book/629064/p/-1/t/1/fs/0/start/0/end/0/c")</f>
        <v>https://tablet.otzar.org/#/book/629064/p/-1/t/1/fs/0/start/0/end/0/c</v>
      </c>
    </row>
    <row r="88" spans="1:8" x14ac:dyDescent="0.25">
      <c r="A88">
        <v>83914</v>
      </c>
      <c r="B88" t="s">
        <v>182</v>
      </c>
      <c r="C88" t="s">
        <v>183</v>
      </c>
      <c r="E88" t="s">
        <v>61</v>
      </c>
      <c r="F88" t="s">
        <v>120</v>
      </c>
      <c r="G88" t="str">
        <f>HYPERLINK(_xlfn.CONCAT("https://tablet.otzar.org/",CHAR(35),"/book/83914/p/-1/t/1/fs/0/start/0/end/0/c"),"נחלת שמעון &lt;זכרון אהרן&gt;")</f>
        <v>נחלת שמעון &lt;זכרון אהרן&gt;</v>
      </c>
      <c r="H88" t="str">
        <f>_xlfn.CONCAT("https://tablet.otzar.org/",CHAR(35),"/book/83914/p/-1/t/1/fs/0/start/0/end/0/c")</f>
        <v>https://tablet.otzar.org/#/book/83914/p/-1/t/1/fs/0/start/0/end/0/c</v>
      </c>
    </row>
    <row r="89" spans="1:8" x14ac:dyDescent="0.25">
      <c r="A89">
        <v>151442</v>
      </c>
      <c r="B89" t="s">
        <v>184</v>
      </c>
      <c r="C89" t="s">
        <v>185</v>
      </c>
      <c r="E89" t="s">
        <v>37</v>
      </c>
      <c r="F89" t="s">
        <v>40</v>
      </c>
      <c r="G89" t="str">
        <f>HYPERLINK(_xlfn.CONCAT("https://tablet.otzar.org/",CHAR(35),"/book/151442/p/-1/t/1/fs/0/start/0/end/0/c"),"סדר ברכות &lt;מהדורת זכרון אהרן&gt;")</f>
        <v>סדר ברכות &lt;מהדורת זכרון אהרן&gt;</v>
      </c>
      <c r="H89" t="str">
        <f>_xlfn.CONCAT("https://tablet.otzar.org/",CHAR(35),"/book/151442/p/-1/t/1/fs/0/start/0/end/0/c")</f>
        <v>https://tablet.otzar.org/#/book/151442/p/-1/t/1/fs/0/start/0/end/0/c</v>
      </c>
    </row>
    <row r="90" spans="1:8" x14ac:dyDescent="0.25">
      <c r="A90">
        <v>627665</v>
      </c>
      <c r="B90" t="s">
        <v>186</v>
      </c>
      <c r="C90" t="s">
        <v>166</v>
      </c>
      <c r="E90" t="s">
        <v>46</v>
      </c>
      <c r="F90" t="s">
        <v>18</v>
      </c>
      <c r="G90" t="str">
        <f>HYPERLINK(_xlfn.CONCAT("https://tablet.otzar.org/",CHAR(35),"/book/627665/p/-1/t/1/fs/0/start/0/end/0/c"),"סדר עולם רבה, סדר עולם זוטא, מגילת תענית")</f>
        <v>סדר עולם רבה, סדר עולם זוטא, מגילת תענית</v>
      </c>
      <c r="H90" t="str">
        <f>_xlfn.CONCAT("https://tablet.otzar.org/",CHAR(35),"/book/627665/p/-1/t/1/fs/0/start/0/end/0/c")</f>
        <v>https://tablet.otzar.org/#/book/627665/p/-1/t/1/fs/0/start/0/end/0/c</v>
      </c>
    </row>
    <row r="91" spans="1:8" x14ac:dyDescent="0.25">
      <c r="A91">
        <v>629067</v>
      </c>
      <c r="B91" t="s">
        <v>187</v>
      </c>
      <c r="C91" t="s">
        <v>172</v>
      </c>
      <c r="E91" t="s">
        <v>188</v>
      </c>
      <c r="G91" t="str">
        <f>HYPERLINK(_xlfn.CONCAT("https://tablet.otzar.org/",CHAR(35),"/book/629067/p/-1/t/1/fs/0/start/0/end/0/c"),"סידור רבינו חיים - א")</f>
        <v>סידור רבינו חיים - א</v>
      </c>
      <c r="H91" t="str">
        <f>_xlfn.CONCAT("https://tablet.otzar.org/",CHAR(35),"/book/629067/p/-1/t/1/fs/0/start/0/end/0/c")</f>
        <v>https://tablet.otzar.org/#/book/629067/p/-1/t/1/fs/0/start/0/end/0/c</v>
      </c>
    </row>
    <row r="92" spans="1:8" x14ac:dyDescent="0.25">
      <c r="A92">
        <v>627599</v>
      </c>
      <c r="B92" t="s">
        <v>189</v>
      </c>
      <c r="C92" t="s">
        <v>190</v>
      </c>
      <c r="E92" t="s">
        <v>21</v>
      </c>
      <c r="F92" t="s">
        <v>40</v>
      </c>
      <c r="G92" t="str">
        <f>HYPERLINK(_xlfn.CONCAT("https://tablet.otzar.org/",CHAR(35),"/exKotar/627599"),"ספר הרוקח &lt;מהדורת זכרון אהרן&gt;  - 2 כרכים")</f>
        <v>ספר הרוקח &lt;מהדורת זכרון אהרן&gt;  - 2 כרכים</v>
      </c>
      <c r="H92" t="str">
        <f>_xlfn.CONCAT("https://tablet.otzar.org/",CHAR(35),"/exKotar/627599")</f>
        <v>https://tablet.otzar.org/#/exKotar/627599</v>
      </c>
    </row>
    <row r="93" spans="1:8" x14ac:dyDescent="0.25">
      <c r="A93">
        <v>627556</v>
      </c>
      <c r="B93" t="s">
        <v>191</v>
      </c>
      <c r="C93" t="s">
        <v>181</v>
      </c>
      <c r="E93" t="s">
        <v>21</v>
      </c>
      <c r="F93" t="s">
        <v>56</v>
      </c>
      <c r="G93" t="str">
        <f>HYPERLINK(_xlfn.CONCAT("https://tablet.otzar.org/",CHAR(35),"/book/627556/p/-1/t/1/fs/0/start/0/end/0/c"),"ספרי רבי אליהו בחור - מהלך שבילי הדעת עם הגהות, הבחור, הרכבה, פרקי אליהו, מסורת המסורת, טוב טעם, נימוקי המכלול והשרשים")</f>
        <v>ספרי רבי אליהו בחור - מהלך שבילי הדעת עם הגהות, הבחור, הרכבה, פרקי אליהו, מסורת המסורת, טוב טעם, נימוקי המכלול והשרשים</v>
      </c>
      <c r="H93" t="str">
        <f>_xlfn.CONCAT("https://tablet.otzar.org/",CHAR(35),"/book/627556/p/-1/t/1/fs/0/start/0/end/0/c")</f>
        <v>https://tablet.otzar.org/#/book/627556/p/-1/t/1/fs/0/start/0/end/0/c</v>
      </c>
    </row>
    <row r="94" spans="1:8" x14ac:dyDescent="0.25">
      <c r="A94">
        <v>630801</v>
      </c>
      <c r="B94" t="s">
        <v>192</v>
      </c>
      <c r="C94" t="s">
        <v>190</v>
      </c>
      <c r="E94" t="s">
        <v>46</v>
      </c>
      <c r="F94" t="s">
        <v>56</v>
      </c>
      <c r="G94" t="str">
        <f>HYPERLINK(_xlfn.CONCAT("https://tablet.otzar.org/",CHAR(35),"/exKotar/630801"),"ספרי רבינו בעל הרוקח - 2 כרכים")</f>
        <v>ספרי רבינו בעל הרוקח - 2 כרכים</v>
      </c>
      <c r="H94" t="str">
        <f>_xlfn.CONCAT("https://tablet.otzar.org/",CHAR(35),"/exKotar/630801")</f>
        <v>https://tablet.otzar.org/#/exKotar/630801</v>
      </c>
    </row>
    <row r="95" spans="1:8" x14ac:dyDescent="0.25">
      <c r="A95">
        <v>630802</v>
      </c>
      <c r="B95" t="s">
        <v>193</v>
      </c>
      <c r="C95" t="s">
        <v>194</v>
      </c>
      <c r="F95" t="s">
        <v>11</v>
      </c>
      <c r="G95" t="str">
        <f>HYPERLINK(_xlfn.CONCAT("https://tablet.otzar.org/",CHAR(35),"/book/630802/p/-1/t/1/fs/0/start/0/end/0/c"),"עבודת הגרשוני &lt;זכרון אהרן&gt;")</f>
        <v>עבודת הגרשוני &lt;זכרון אהרן&gt;</v>
      </c>
      <c r="H95" t="str">
        <f>_xlfn.CONCAT("https://tablet.otzar.org/",CHAR(35),"/book/630802/p/-1/t/1/fs/0/start/0/end/0/c")</f>
        <v>https://tablet.otzar.org/#/book/630802/p/-1/t/1/fs/0/start/0/end/0/c</v>
      </c>
    </row>
    <row r="96" spans="1:8" x14ac:dyDescent="0.25">
      <c r="A96">
        <v>627679</v>
      </c>
      <c r="B96" t="s">
        <v>195</v>
      </c>
      <c r="C96" t="s">
        <v>194</v>
      </c>
      <c r="F96" t="s">
        <v>196</v>
      </c>
      <c r="G96" t="str">
        <f>HYPERLINK(_xlfn.CONCAT("https://tablet.otzar.org/",CHAR(35),"/book/627679/p/-1/t/1/fs/0/start/0/end/0/c"),"עבודת הגרשוני, חידושי הגרשוני &lt;זכרון אהרן&gt;")</f>
        <v>עבודת הגרשוני, חידושי הגרשוני &lt;זכרון אהרן&gt;</v>
      </c>
      <c r="H96" t="str">
        <f>_xlfn.CONCAT("https://tablet.otzar.org/",CHAR(35),"/book/627679/p/-1/t/1/fs/0/start/0/end/0/c")</f>
        <v>https://tablet.otzar.org/#/book/627679/p/-1/t/1/fs/0/start/0/end/0/c</v>
      </c>
    </row>
    <row r="97" spans="1:8" x14ac:dyDescent="0.25">
      <c r="A97">
        <v>643617</v>
      </c>
      <c r="B97" t="s">
        <v>197</v>
      </c>
      <c r="C97" t="s">
        <v>198</v>
      </c>
      <c r="E97" t="s">
        <v>199</v>
      </c>
      <c r="F97" t="s">
        <v>38</v>
      </c>
      <c r="G97" t="str">
        <f>HYPERLINK(_xlfn.CONCAT("https://tablet.otzar.org/",CHAR(35),"/book/643617/p/-1/t/1/fs/0/start/0/end/0/c"),"עוף השמים")</f>
        <v>עוף השמים</v>
      </c>
      <c r="H97" t="str">
        <f>_xlfn.CONCAT("https://tablet.otzar.org/",CHAR(35),"/book/643617/p/-1/t/1/fs/0/start/0/end/0/c")</f>
        <v>https://tablet.otzar.org/#/book/643617/p/-1/t/1/fs/0/start/0/end/0/c</v>
      </c>
    </row>
    <row r="98" spans="1:8" x14ac:dyDescent="0.25">
      <c r="A98">
        <v>627683</v>
      </c>
      <c r="B98" t="s">
        <v>200</v>
      </c>
      <c r="C98" t="s">
        <v>201</v>
      </c>
      <c r="E98" t="s">
        <v>25</v>
      </c>
      <c r="F98" t="s">
        <v>43</v>
      </c>
      <c r="G98" t="str">
        <f>HYPERLINK(_xlfn.CONCAT("https://tablet.otzar.org/",CHAR(35),"/exKotar/627683"),"עיון המשפט - 2 כרכים")</f>
        <v>עיון המשפט - 2 כרכים</v>
      </c>
      <c r="H98" t="str">
        <f>_xlfn.CONCAT("https://tablet.otzar.org/",CHAR(35),"/exKotar/627683")</f>
        <v>https://tablet.otzar.org/#/exKotar/627683</v>
      </c>
    </row>
    <row r="99" spans="1:8" x14ac:dyDescent="0.25">
      <c r="A99">
        <v>656848</v>
      </c>
      <c r="B99" t="s">
        <v>202</v>
      </c>
      <c r="C99" t="s">
        <v>203</v>
      </c>
      <c r="D99" t="s">
        <v>75</v>
      </c>
      <c r="E99" t="s">
        <v>76</v>
      </c>
      <c r="G99" t="str">
        <f>HYPERLINK(_xlfn.CONCAT("https://tablet.otzar.org/",CHAR(35),"/exKotar/656848"),"עין יהוסף &lt;מהדורת זכרון אהרן&gt; - 2 כרכים")</f>
        <v>עין יהוסף &lt;מהדורת זכרון אהרן&gt; - 2 כרכים</v>
      </c>
      <c r="H99" t="str">
        <f>_xlfn.CONCAT("https://tablet.otzar.org/",CHAR(35),"/exKotar/656848")</f>
        <v>https://tablet.otzar.org/#/exKotar/656848</v>
      </c>
    </row>
    <row r="100" spans="1:8" x14ac:dyDescent="0.25">
      <c r="A100">
        <v>638229</v>
      </c>
      <c r="B100" t="s">
        <v>204</v>
      </c>
      <c r="C100" t="s">
        <v>205</v>
      </c>
      <c r="E100" t="s">
        <v>199</v>
      </c>
      <c r="G100" t="str">
        <f>HYPERLINK(_xlfn.CONCAT("https://tablet.otzar.org/",CHAR(35),"/exKotar/638229"),"פנים מאירות - 4 כרכים")</f>
        <v>פנים מאירות - 4 כרכים</v>
      </c>
      <c r="H100" t="str">
        <f>_xlfn.CONCAT("https://tablet.otzar.org/",CHAR(35),"/exKotar/638229")</f>
        <v>https://tablet.otzar.org/#/exKotar/638229</v>
      </c>
    </row>
    <row r="101" spans="1:8" x14ac:dyDescent="0.25">
      <c r="A101">
        <v>627614</v>
      </c>
      <c r="B101" t="s">
        <v>206</v>
      </c>
      <c r="C101" t="s">
        <v>16</v>
      </c>
      <c r="E101" t="s">
        <v>17</v>
      </c>
      <c r="F101" t="s">
        <v>18</v>
      </c>
      <c r="G101" t="str">
        <f>HYPERLINK(_xlfn.CONCAT("https://tablet.otzar.org/",CHAR(35),"/book/627614/p/-1/t/1/fs/0/start/0/end/0/c"),"פסיקתא דרב כהנא")</f>
        <v>פסיקתא דרב כהנא</v>
      </c>
      <c r="H101" t="str">
        <f>_xlfn.CONCAT("https://tablet.otzar.org/",CHAR(35),"/book/627614/p/-1/t/1/fs/0/start/0/end/0/c")</f>
        <v>https://tablet.otzar.org/#/book/627614/p/-1/t/1/fs/0/start/0/end/0/c</v>
      </c>
    </row>
    <row r="102" spans="1:8" x14ac:dyDescent="0.25">
      <c r="A102">
        <v>641538</v>
      </c>
      <c r="B102" t="s">
        <v>207</v>
      </c>
      <c r="C102" t="s">
        <v>16</v>
      </c>
      <c r="E102" t="s">
        <v>170</v>
      </c>
      <c r="G102" t="str">
        <f>HYPERLINK(_xlfn.CONCAT("https://tablet.otzar.org/",CHAR(35),"/book/641538/p/-1/t/1/fs/0/start/0/end/0/c"),"פסיקתא רבתי &lt;מהדורת זכרון אהרן&gt;")</f>
        <v>פסיקתא רבתי &lt;מהדורת זכרון אהרן&gt;</v>
      </c>
      <c r="H102" t="str">
        <f>_xlfn.CONCAT("https://tablet.otzar.org/",CHAR(35),"/book/641538/p/-1/t/1/fs/0/start/0/end/0/c")</f>
        <v>https://tablet.otzar.org/#/book/641538/p/-1/t/1/fs/0/start/0/end/0/c</v>
      </c>
    </row>
    <row r="103" spans="1:8" x14ac:dyDescent="0.25">
      <c r="A103">
        <v>643616</v>
      </c>
      <c r="B103" t="s">
        <v>208</v>
      </c>
      <c r="C103" t="s">
        <v>209</v>
      </c>
      <c r="E103" t="s">
        <v>28</v>
      </c>
      <c r="G103" t="str">
        <f>HYPERLINK(_xlfn.CONCAT("https://tablet.otzar.org/",CHAR(35),"/book/643616/p/-1/t/1/fs/0/start/0/end/0/c"),"פרחי שושנים &lt;זכרון אהרן&gt;")</f>
        <v>פרחי שושנים &lt;זכרון אהרן&gt;</v>
      </c>
      <c r="H103" t="str">
        <f>_xlfn.CONCAT("https://tablet.otzar.org/",CHAR(35),"/book/643616/p/-1/t/1/fs/0/start/0/end/0/c")</f>
        <v>https://tablet.otzar.org/#/book/643616/p/-1/t/1/fs/0/start/0/end/0/c</v>
      </c>
    </row>
    <row r="104" spans="1:8" x14ac:dyDescent="0.25">
      <c r="A104">
        <v>628341</v>
      </c>
      <c r="B104" t="s">
        <v>210</v>
      </c>
      <c r="C104" t="s">
        <v>211</v>
      </c>
      <c r="E104" t="s">
        <v>17</v>
      </c>
      <c r="F104" t="s">
        <v>113</v>
      </c>
      <c r="G104" t="str">
        <f>HYPERLINK(_xlfn.CONCAT("https://tablet.otzar.org/",CHAR(35),"/exKotar/628341"),"פרי חדש - 2 כרכים")</f>
        <v>פרי חדש - 2 כרכים</v>
      </c>
      <c r="H104" t="str">
        <f>_xlfn.CONCAT("https://tablet.otzar.org/",CHAR(35),"/exKotar/628341")</f>
        <v>https://tablet.otzar.org/#/exKotar/628341</v>
      </c>
    </row>
    <row r="105" spans="1:8" x14ac:dyDescent="0.25">
      <c r="A105">
        <v>643609</v>
      </c>
      <c r="B105" t="s">
        <v>212</v>
      </c>
      <c r="C105" t="s">
        <v>213</v>
      </c>
      <c r="D105" t="s">
        <v>75</v>
      </c>
      <c r="E105" t="s">
        <v>28</v>
      </c>
      <c r="G105" t="str">
        <f>HYPERLINK(_xlfn.CONCAT("https://tablet.otzar.org/",CHAR(35),"/exKotar/643609"),"פרקי דרבי אליעזר &lt;מהדורת זכרון אהרן&gt; - 2 כרכים")</f>
        <v>פרקי דרבי אליעזר &lt;מהדורת זכרון אהרן&gt; - 2 כרכים</v>
      </c>
      <c r="H105" t="str">
        <f>_xlfn.CONCAT("https://tablet.otzar.org/",CHAR(35),"/exKotar/643609")</f>
        <v>https://tablet.otzar.org/#/exKotar/643609</v>
      </c>
    </row>
    <row r="106" spans="1:8" x14ac:dyDescent="0.25">
      <c r="A106">
        <v>627662</v>
      </c>
      <c r="B106" t="s">
        <v>214</v>
      </c>
      <c r="C106" t="s">
        <v>16</v>
      </c>
      <c r="E106" t="s">
        <v>17</v>
      </c>
      <c r="F106" t="s">
        <v>18</v>
      </c>
      <c r="G106" t="str">
        <f>HYPERLINK(_xlfn.CONCAT("https://tablet.otzar.org/",CHAR(35),"/book/627662/p/-1/t/1/fs/0/start/0/end/0/c"),"פרקי שירה עם ביאורים מכת""""י - רבי שמואל קמחי, רבי בנימין הכהן, רבי דוד אופנהיים")</f>
        <v>פרקי שירה עם ביאורים מכת""י - רבי שמואל קמחי, רבי בנימין הכהן, רבי דוד אופנהיים</v>
      </c>
      <c r="H106" t="str">
        <f>_xlfn.CONCAT("https://tablet.otzar.org/",CHAR(35),"/book/627662/p/-1/t/1/fs/0/start/0/end/0/c")</f>
        <v>https://tablet.otzar.org/#/book/627662/p/-1/t/1/fs/0/start/0/end/0/c</v>
      </c>
    </row>
    <row r="107" spans="1:8" x14ac:dyDescent="0.25">
      <c r="A107">
        <v>627967</v>
      </c>
      <c r="B107" t="s">
        <v>215</v>
      </c>
      <c r="C107" t="s">
        <v>216</v>
      </c>
      <c r="E107" t="s">
        <v>217</v>
      </c>
      <c r="F107" t="s">
        <v>40</v>
      </c>
      <c r="G107" t="str">
        <f>HYPERLINK(_xlfn.CONCAT("https://tablet.otzar.org/",CHAR(35),"/book/627967/p/-1/t/1/fs/0/start/0/end/0/c"),"קונטרס לא תעשה לך תמונה")</f>
        <v>קונטרס לא תעשה לך תמונה</v>
      </c>
      <c r="H107" t="str">
        <f>_xlfn.CONCAT("https://tablet.otzar.org/",CHAR(35),"/book/627967/p/-1/t/1/fs/0/start/0/end/0/c")</f>
        <v>https://tablet.otzar.org/#/book/627967/p/-1/t/1/fs/0/start/0/end/0/c</v>
      </c>
    </row>
    <row r="108" spans="1:8" x14ac:dyDescent="0.25">
      <c r="A108">
        <v>627570</v>
      </c>
      <c r="B108" t="s">
        <v>218</v>
      </c>
      <c r="C108" t="s">
        <v>219</v>
      </c>
      <c r="E108" t="s">
        <v>143</v>
      </c>
      <c r="F108" t="s">
        <v>18</v>
      </c>
      <c r="G108" t="str">
        <f>HYPERLINK(_xlfn.CONCAT("https://tablet.otzar.org/",CHAR(35),"/exKotar/627570"),"קרבן אהרן &lt;מהדורת זכרון אהרן&gt;  - 2 כרכים")</f>
        <v>קרבן אהרן &lt;מהדורת זכרון אהרן&gt;  - 2 כרכים</v>
      </c>
      <c r="H108" t="str">
        <f>_xlfn.CONCAT("https://tablet.otzar.org/",CHAR(35),"/exKotar/627570")</f>
        <v>https://tablet.otzar.org/#/exKotar/627570</v>
      </c>
    </row>
    <row r="109" spans="1:8" x14ac:dyDescent="0.25">
      <c r="A109">
        <v>630795</v>
      </c>
      <c r="B109" t="s">
        <v>220</v>
      </c>
      <c r="C109" t="s">
        <v>98</v>
      </c>
      <c r="E109" t="s">
        <v>10</v>
      </c>
      <c r="F109" t="s">
        <v>221</v>
      </c>
      <c r="G109" t="str">
        <f>HYPERLINK(_xlfn.CONCAT("https://tablet.otzar.org/",CHAR(35),"/book/630795/p/-1/t/1/fs/0/start/0/end/0/c"),"קרבן מנחה, זכרון לבני ישראל, אורח מישור, פתיל תכלת")</f>
        <v>קרבן מנחה, זכרון לבני ישראל, אורח מישור, פתיל תכלת</v>
      </c>
      <c r="H109" t="str">
        <f>_xlfn.CONCAT("https://tablet.otzar.org/",CHAR(35),"/book/630795/p/-1/t/1/fs/0/start/0/end/0/c")</f>
        <v>https://tablet.otzar.org/#/book/630795/p/-1/t/1/fs/0/start/0/end/0/c</v>
      </c>
    </row>
    <row r="110" spans="1:8" x14ac:dyDescent="0.25">
      <c r="A110">
        <v>629756</v>
      </c>
      <c r="B110" t="s">
        <v>222</v>
      </c>
      <c r="C110" t="s">
        <v>223</v>
      </c>
      <c r="E110" t="s">
        <v>10</v>
      </c>
      <c r="F110" t="s">
        <v>224</v>
      </c>
      <c r="G110" t="str">
        <f>HYPERLINK(_xlfn.CONCAT("https://tablet.otzar.org/",CHAR(35),"/book/629756/p/-1/t/1/fs/0/start/0/end/0/c"),"ראשית בכורים &lt;מהדורת זכרון אהרן&gt;")</f>
        <v>ראשית בכורים &lt;מהדורת זכרון אהרן&gt;</v>
      </c>
      <c r="H110" t="str">
        <f>_xlfn.CONCAT("https://tablet.otzar.org/",CHAR(35),"/book/629756/p/-1/t/1/fs/0/start/0/end/0/c")</f>
        <v>https://tablet.otzar.org/#/book/629756/p/-1/t/1/fs/0/start/0/end/0/c</v>
      </c>
    </row>
    <row r="111" spans="1:8" x14ac:dyDescent="0.25">
      <c r="A111">
        <v>628688</v>
      </c>
      <c r="B111" t="s">
        <v>225</v>
      </c>
      <c r="C111" t="s">
        <v>226</v>
      </c>
      <c r="E111" t="s">
        <v>21</v>
      </c>
      <c r="F111" t="s">
        <v>11</v>
      </c>
      <c r="G111" t="str">
        <f>HYPERLINK(_xlfn.CONCAT("https://tablet.otzar.org/",CHAR(35),"/book/628688/p/-1/t/1/fs/0/start/0/end/0/c"),"רב יוסף &lt;זכרון אהרן&gt;")</f>
        <v>רב יוסף &lt;זכרון אהרן&gt;</v>
      </c>
      <c r="H111" t="str">
        <f>_xlfn.CONCAT("https://tablet.otzar.org/",CHAR(35),"/book/628688/p/-1/t/1/fs/0/start/0/end/0/c")</f>
        <v>https://tablet.otzar.org/#/book/628688/p/-1/t/1/fs/0/start/0/end/0/c</v>
      </c>
    </row>
    <row r="112" spans="1:8" x14ac:dyDescent="0.25">
      <c r="A112">
        <v>630794</v>
      </c>
      <c r="B112" t="s">
        <v>227</v>
      </c>
      <c r="C112" t="s">
        <v>228</v>
      </c>
      <c r="E112" t="s">
        <v>10</v>
      </c>
      <c r="F112" t="s">
        <v>11</v>
      </c>
      <c r="G112" t="str">
        <f>HYPERLINK(_xlfn.CONCAT("https://tablet.otzar.org/",CHAR(35),"/exKotar/630794"),"שאלות ותשובות גאוני פדוואה - 2 כרכים")</f>
        <v>שאלות ותשובות גאוני פדוואה - 2 כרכים</v>
      </c>
      <c r="H112" t="str">
        <f>_xlfn.CONCAT("https://tablet.otzar.org/",CHAR(35),"/exKotar/630794")</f>
        <v>https://tablet.otzar.org/#/exKotar/630794</v>
      </c>
    </row>
    <row r="113" spans="1:8" x14ac:dyDescent="0.25">
      <c r="A113">
        <v>656841</v>
      </c>
      <c r="B113" t="s">
        <v>229</v>
      </c>
      <c r="C113" t="s">
        <v>230</v>
      </c>
      <c r="D113" t="s">
        <v>75</v>
      </c>
      <c r="E113" t="s">
        <v>76</v>
      </c>
      <c r="G113" t="str">
        <f>HYPERLINK(_xlfn.CONCAT("https://tablet.otzar.org/",CHAR(35),"/book/656841/p/-1/t/1/fs/0/start/0/end/0/c"),"שאלות ותשובות חידושי ופירושי רבי דוד בן שושן")</f>
        <v>שאלות ותשובות חידושי ופירושי רבי דוד בן שושן</v>
      </c>
      <c r="H113" t="str">
        <f>_xlfn.CONCAT("https://tablet.otzar.org/",CHAR(35),"/book/656841/p/-1/t/1/fs/0/start/0/end/0/c")</f>
        <v>https://tablet.otzar.org/#/book/656841/p/-1/t/1/fs/0/start/0/end/0/c</v>
      </c>
    </row>
    <row r="114" spans="1:8" x14ac:dyDescent="0.25">
      <c r="A114">
        <v>151439</v>
      </c>
      <c r="B114" t="s">
        <v>231</v>
      </c>
      <c r="C114" t="s">
        <v>232</v>
      </c>
      <c r="E114" t="s">
        <v>64</v>
      </c>
      <c r="F114" t="s">
        <v>11</v>
      </c>
      <c r="G114" t="str">
        <f>HYPERLINK(_xlfn.CONCAT("https://tablet.otzar.org/",CHAR(35),"/book/151439/p/-1/t/1/fs/0/start/0/end/0/c"),"שארית יוסף &lt;מהדורת זכרון אהרן&gt;")</f>
        <v>שארית יוסף &lt;מהדורת זכרון אהרן&gt;</v>
      </c>
      <c r="H114" t="str">
        <f>_xlfn.CONCAT("https://tablet.otzar.org/",CHAR(35),"/book/151439/p/-1/t/1/fs/0/start/0/end/0/c")</f>
        <v>https://tablet.otzar.org/#/book/151439/p/-1/t/1/fs/0/start/0/end/0/c</v>
      </c>
    </row>
    <row r="115" spans="1:8" x14ac:dyDescent="0.25">
      <c r="A115">
        <v>627568</v>
      </c>
      <c r="B115" t="s">
        <v>233</v>
      </c>
      <c r="C115" t="s">
        <v>232</v>
      </c>
      <c r="E115" t="s">
        <v>64</v>
      </c>
      <c r="F115" t="s">
        <v>234</v>
      </c>
      <c r="G115" t="str">
        <f>HYPERLINK(_xlfn.CONCAT("https://tablet.otzar.org/",CHAR(35),"/book/627568/p/-1/t/1/fs/0/start/0/end/0/c"),"שארית יוסף &lt;זכרון אהרן&gt;")</f>
        <v>שארית יוסף &lt;זכרון אהרן&gt;</v>
      </c>
      <c r="H115" t="str">
        <f>_xlfn.CONCAT("https://tablet.otzar.org/",CHAR(35),"/book/627568/p/-1/t/1/fs/0/start/0/end/0/c")</f>
        <v>https://tablet.otzar.org/#/book/627568/p/-1/t/1/fs/0/start/0/end/0/c</v>
      </c>
    </row>
    <row r="116" spans="1:8" x14ac:dyDescent="0.25">
      <c r="A116">
        <v>656837</v>
      </c>
      <c r="B116" t="s">
        <v>235</v>
      </c>
      <c r="C116" t="s">
        <v>236</v>
      </c>
      <c r="D116" t="s">
        <v>75</v>
      </c>
      <c r="E116" t="s">
        <v>76</v>
      </c>
      <c r="G116" t="str">
        <f>HYPERLINK(_xlfn.CONCAT("https://tablet.otzar.org/",CHAR(35),"/exKotar/656837"),"שבות יעקב &lt;מהדורת זכרון אהרן&gt; - 3 כרכים")</f>
        <v>שבות יעקב &lt;מהדורת זכרון אהרן&gt; - 3 כרכים</v>
      </c>
      <c r="H116" t="str">
        <f>_xlfn.CONCAT("https://tablet.otzar.org/",CHAR(35),"/exKotar/656837")</f>
        <v>https://tablet.otzar.org/#/exKotar/656837</v>
      </c>
    </row>
    <row r="117" spans="1:8" x14ac:dyDescent="0.25">
      <c r="A117">
        <v>627591</v>
      </c>
      <c r="B117" t="s">
        <v>237</v>
      </c>
      <c r="C117" t="s">
        <v>238</v>
      </c>
      <c r="E117" t="s">
        <v>79</v>
      </c>
      <c r="F117" t="s">
        <v>40</v>
      </c>
      <c r="G117" t="str">
        <f>HYPERLINK(_xlfn.CONCAT("https://tablet.otzar.org/",CHAR(35),"/exKotar/627591"),"שבלי הלקט &lt;מהדורת זכרון אהרן&gt;  - 2 כרכים")</f>
        <v>שבלי הלקט &lt;מהדורת זכרון אהרן&gt;  - 2 כרכים</v>
      </c>
      <c r="H117" t="str">
        <f>_xlfn.CONCAT("https://tablet.otzar.org/",CHAR(35),"/exKotar/627591")</f>
        <v>https://tablet.otzar.org/#/exKotar/627591</v>
      </c>
    </row>
    <row r="118" spans="1:8" x14ac:dyDescent="0.25">
      <c r="A118">
        <v>627580</v>
      </c>
      <c r="B118" t="s">
        <v>239</v>
      </c>
      <c r="C118" t="s">
        <v>13</v>
      </c>
      <c r="E118" t="s">
        <v>14</v>
      </c>
      <c r="F118" t="s">
        <v>40</v>
      </c>
      <c r="G118" t="str">
        <f>HYPERLINK(_xlfn.CONCAT("https://tablet.otzar.org/",CHAR(35),"/book/627580/p/-1/t/1/fs/0/start/0/end/0/c"),"שו""""ת בית יוסף &lt;מהדורת זכרון אהרן&gt;")</f>
        <v>שו""ת בית יוסף &lt;מהדורת זכרון אהרן&gt;</v>
      </c>
      <c r="H118" t="str">
        <f>_xlfn.CONCAT("https://tablet.otzar.org/",CHAR(35),"/book/627580/p/-1/t/1/fs/0/start/0/end/0/c")</f>
        <v>https://tablet.otzar.org/#/book/627580/p/-1/t/1/fs/0/start/0/end/0/c</v>
      </c>
    </row>
    <row r="119" spans="1:8" x14ac:dyDescent="0.25">
      <c r="A119">
        <v>62272</v>
      </c>
      <c r="B119" t="s">
        <v>240</v>
      </c>
      <c r="C119" t="s">
        <v>241</v>
      </c>
      <c r="E119" t="s">
        <v>155</v>
      </c>
      <c r="F119" t="s">
        <v>11</v>
      </c>
      <c r="G119" t="str">
        <f>HYPERLINK(_xlfn.CONCAT("https://tablet.otzar.org/",CHAR(35),"/exKotar/62272"),"שו""""ת הב""""ח &lt;זכרון אהרן&gt;  - 2 כרכים")</f>
        <v>שו""ת הב""ח &lt;זכרון אהרן&gt;  - 2 כרכים</v>
      </c>
      <c r="H119" t="str">
        <f>_xlfn.CONCAT("https://tablet.otzar.org/",CHAR(35),"/exKotar/62272")</f>
        <v>https://tablet.otzar.org/#/exKotar/62272</v>
      </c>
    </row>
    <row r="120" spans="1:8" x14ac:dyDescent="0.25">
      <c r="A120">
        <v>627596</v>
      </c>
      <c r="B120" t="s">
        <v>242</v>
      </c>
      <c r="C120" t="s">
        <v>243</v>
      </c>
      <c r="E120" t="s">
        <v>46</v>
      </c>
      <c r="F120" t="s">
        <v>11</v>
      </c>
      <c r="G120" t="str">
        <f>HYPERLINK(_xlfn.CONCAT("https://tablet.otzar.org/",CHAR(35),"/exKotar/627596"),"שו""""ת המבי""""ט &lt;מהדורת זכרון אהרן&gt;  - 2 כרכים")</f>
        <v>שו""ת המבי""ט &lt;מהדורת זכרון אהרן&gt;  - 2 כרכים</v>
      </c>
      <c r="H120" t="str">
        <f>_xlfn.CONCAT("https://tablet.otzar.org/",CHAR(35),"/exKotar/627596")</f>
        <v>https://tablet.otzar.org/#/exKotar/627596</v>
      </c>
    </row>
    <row r="121" spans="1:8" x14ac:dyDescent="0.25">
      <c r="A121">
        <v>628388</v>
      </c>
      <c r="B121" t="s">
        <v>244</v>
      </c>
      <c r="C121" t="s">
        <v>245</v>
      </c>
      <c r="E121" t="s">
        <v>10</v>
      </c>
      <c r="F121" t="s">
        <v>11</v>
      </c>
      <c r="G121" t="str">
        <f>HYPERLINK(_xlfn.CONCAT("https://tablet.otzar.org/",CHAR(35),"/book/628388/p/-1/t/1/fs/0/start/0/end/0/c"),"שו""""ת הראנ""""ח &lt;זכרון אהרן&gt; - א")</f>
        <v>שו""ת הראנ""ח &lt;זכרון אהרן&gt; - א</v>
      </c>
      <c r="H121" t="str">
        <f>_xlfn.CONCAT("https://tablet.otzar.org/",CHAR(35),"/book/628388/p/-1/t/1/fs/0/start/0/end/0/c")</f>
        <v>https://tablet.otzar.org/#/book/628388/p/-1/t/1/fs/0/start/0/end/0/c</v>
      </c>
    </row>
    <row r="122" spans="1:8" x14ac:dyDescent="0.25">
      <c r="A122">
        <v>636282</v>
      </c>
      <c r="B122" t="s">
        <v>246</v>
      </c>
      <c r="C122" t="s">
        <v>247</v>
      </c>
      <c r="E122" t="s">
        <v>199</v>
      </c>
      <c r="G122" t="str">
        <f>HYPERLINK(_xlfn.CONCAT("https://tablet.otzar.org/",CHAR(35),"/book/636282/p/-1/t/1/fs/0/start/0/end/0/c"),"שו""""ת הרמ""""א &lt;מהדורת זכרון אהרן&gt;")</f>
        <v>שו""ת הרמ""א &lt;מהדורת זכרון אהרן&gt;</v>
      </c>
      <c r="H122" t="str">
        <f>_xlfn.CONCAT("https://tablet.otzar.org/",CHAR(35),"/book/636282/p/-1/t/1/fs/0/start/0/end/0/c")</f>
        <v>https://tablet.otzar.org/#/book/636282/p/-1/t/1/fs/0/start/0/end/0/c</v>
      </c>
    </row>
    <row r="123" spans="1:8" x14ac:dyDescent="0.25">
      <c r="A123">
        <v>627560</v>
      </c>
      <c r="B123" t="s">
        <v>248</v>
      </c>
      <c r="C123" t="s">
        <v>249</v>
      </c>
      <c r="E123" t="s">
        <v>21</v>
      </c>
      <c r="F123" t="s">
        <v>11</v>
      </c>
      <c r="G123" t="str">
        <f>HYPERLINK(_xlfn.CONCAT("https://tablet.otzar.org/",CHAR(35),"/book/627560/p/-1/t/1/fs/0/start/0/end/0/c"),"שו""""ת מהר""""י בירב &lt;מהדורת זכרון אהרן&gt;")</f>
        <v>שו""ת מהר""י בירב &lt;מהדורת זכרון אהרן&gt;</v>
      </c>
      <c r="H123" t="str">
        <f>_xlfn.CONCAT("https://tablet.otzar.org/",CHAR(35),"/book/627560/p/-1/t/1/fs/0/start/0/end/0/c")</f>
        <v>https://tablet.otzar.org/#/book/627560/p/-1/t/1/fs/0/start/0/end/0/c</v>
      </c>
    </row>
    <row r="124" spans="1:8" x14ac:dyDescent="0.25">
      <c r="A124">
        <v>628706</v>
      </c>
      <c r="B124" t="s">
        <v>250</v>
      </c>
      <c r="C124" t="s">
        <v>251</v>
      </c>
      <c r="E124" t="s">
        <v>21</v>
      </c>
      <c r="F124" t="s">
        <v>11</v>
      </c>
      <c r="G124" t="str">
        <f>HYPERLINK(_xlfn.CONCAT("https://tablet.otzar.org/",CHAR(35),"/exKotar/628706"),"שו""""ת מהר""""י בן לב &lt;זכרון אהרן&gt;  - 3 כרכים")</f>
        <v>שו""ת מהר""י בן לב &lt;זכרון אהרן&gt;  - 3 כרכים</v>
      </c>
      <c r="H124" t="str">
        <f>_xlfn.CONCAT("https://tablet.otzar.org/",CHAR(35),"/exKotar/628706")</f>
        <v>https://tablet.otzar.org/#/exKotar/628706</v>
      </c>
    </row>
    <row r="125" spans="1:8" x14ac:dyDescent="0.25">
      <c r="A125">
        <v>628145</v>
      </c>
      <c r="B125" t="s">
        <v>252</v>
      </c>
      <c r="C125" t="s">
        <v>253</v>
      </c>
      <c r="E125" t="s">
        <v>17</v>
      </c>
      <c r="F125" t="s">
        <v>11</v>
      </c>
      <c r="G125" t="str">
        <f>HYPERLINK(_xlfn.CONCAT("https://tablet.otzar.org/",CHAR(35),"/book/628145/p/-1/t/1/fs/0/start/0/end/0/c"),"שו""""ת מהר""""ם אל אשקר &lt;זכרון אהרן&gt;")</f>
        <v>שו""ת מהר""ם אל אשקר &lt;זכרון אהרן&gt;</v>
      </c>
      <c r="H125" t="str">
        <f>_xlfn.CONCAT("https://tablet.otzar.org/",CHAR(35),"/book/628145/p/-1/t/1/fs/0/start/0/end/0/c")</f>
        <v>https://tablet.otzar.org/#/book/628145/p/-1/t/1/fs/0/start/0/end/0/c</v>
      </c>
    </row>
    <row r="126" spans="1:8" x14ac:dyDescent="0.25">
      <c r="A126">
        <v>643611</v>
      </c>
      <c r="B126" t="s">
        <v>254</v>
      </c>
      <c r="C126" t="s">
        <v>255</v>
      </c>
      <c r="E126" t="s">
        <v>28</v>
      </c>
      <c r="G126" t="str">
        <f>HYPERLINK(_xlfn.CONCAT("https://tablet.otzar.org/",CHAR(35),"/book/643611/p/-1/t/1/fs/0/start/0/end/0/c"),"שו""""ת מהר""""ם זיסקינד &lt;זכרון אהרן&gt;")</f>
        <v>שו""ת מהר""ם זיסקינד &lt;זכרון אהרן&gt;</v>
      </c>
      <c r="H126" t="str">
        <f>_xlfn.CONCAT("https://tablet.otzar.org/",CHAR(35),"/book/643611/p/-1/t/1/fs/0/start/0/end/0/c")</f>
        <v>https://tablet.otzar.org/#/book/643611/p/-1/t/1/fs/0/start/0/end/0/c</v>
      </c>
    </row>
    <row r="127" spans="1:8" x14ac:dyDescent="0.25">
      <c r="A127">
        <v>628690</v>
      </c>
      <c r="B127" t="s">
        <v>256</v>
      </c>
      <c r="C127" t="s">
        <v>257</v>
      </c>
      <c r="E127" t="s">
        <v>17</v>
      </c>
      <c r="F127" t="s">
        <v>11</v>
      </c>
      <c r="G127" t="str">
        <f>HYPERLINK(_xlfn.CONCAT("https://tablet.otzar.org/",CHAR(35),"/book/628690/p/-1/t/1/fs/0/start/0/end/0/c"),"שו""""ת מהר""""ש הלוי &lt;זכרון אהרן&gt;")</f>
        <v>שו""ת מהר""ש הלוי &lt;זכרון אהרן&gt;</v>
      </c>
      <c r="H127" t="str">
        <f>_xlfn.CONCAT("https://tablet.otzar.org/",CHAR(35),"/book/628690/p/-1/t/1/fs/0/start/0/end/0/c")</f>
        <v>https://tablet.otzar.org/#/book/628690/p/-1/t/1/fs/0/start/0/end/0/c</v>
      </c>
    </row>
    <row r="128" spans="1:8" x14ac:dyDescent="0.25">
      <c r="A128">
        <v>629070</v>
      </c>
      <c r="B128" t="s">
        <v>258</v>
      </c>
      <c r="C128" t="s">
        <v>259</v>
      </c>
      <c r="E128" t="s">
        <v>25</v>
      </c>
      <c r="F128" t="s">
        <v>11</v>
      </c>
      <c r="G128" t="str">
        <f>HYPERLINK(_xlfn.CONCAT("https://tablet.otzar.org/",CHAR(35),"/exKotar/629070"),"שו""""ת מהריט""""ץ &lt;זכרון אהרן&gt;  - 2 כרכים")</f>
        <v>שו""ת מהריט""ץ &lt;זכרון אהרן&gt;  - 2 כרכים</v>
      </c>
      <c r="H128" t="str">
        <f>_xlfn.CONCAT("https://tablet.otzar.org/",CHAR(35),"/exKotar/629070")</f>
        <v>https://tablet.otzar.org/#/exKotar/629070</v>
      </c>
    </row>
    <row r="129" spans="1:8" x14ac:dyDescent="0.25">
      <c r="A129">
        <v>633078</v>
      </c>
      <c r="B129" t="s">
        <v>260</v>
      </c>
      <c r="C129" t="s">
        <v>261</v>
      </c>
      <c r="E129" t="s">
        <v>170</v>
      </c>
      <c r="G129" t="str">
        <f>HYPERLINK(_xlfn.CONCAT("https://tablet.otzar.org/",CHAR(35),"/exKotar/633078"),"שו""""ת מהרש""""ך &lt;מהדורת זכרון אהרן&gt;  - 3 כרכים")</f>
        <v>שו""ת מהרש""ך &lt;מהדורת זכרון אהרן&gt;  - 3 כרכים</v>
      </c>
      <c r="H129" t="str">
        <f>_xlfn.CONCAT("https://tablet.otzar.org/",CHAR(35),"/exKotar/633078")</f>
        <v>https://tablet.otzar.org/#/exKotar/633078</v>
      </c>
    </row>
    <row r="130" spans="1:8" x14ac:dyDescent="0.25">
      <c r="A130">
        <v>627598</v>
      </c>
      <c r="B130" t="s">
        <v>262</v>
      </c>
      <c r="C130" t="s">
        <v>263</v>
      </c>
      <c r="E130" t="s">
        <v>21</v>
      </c>
      <c r="F130" t="s">
        <v>11</v>
      </c>
      <c r="G130" t="str">
        <f>HYPERLINK(_xlfn.CONCAT("https://tablet.otzar.org/",CHAR(35),"/book/627598/p/-1/t/1/fs/0/start/0/end/0/c"),"שו""""ת מהרש""""ל &lt;זכרון אהרן&gt;")</f>
        <v>שו""ת מהרש""ל &lt;זכרון אהרן&gt;</v>
      </c>
      <c r="H130" t="str">
        <f>_xlfn.CONCAT("https://tablet.otzar.org/",CHAR(35),"/book/627598/p/-1/t/1/fs/0/start/0/end/0/c")</f>
        <v>https://tablet.otzar.org/#/book/627598/p/-1/t/1/fs/0/start/0/end/0/c</v>
      </c>
    </row>
    <row r="131" spans="1:8" x14ac:dyDescent="0.25">
      <c r="A131">
        <v>627673</v>
      </c>
      <c r="B131" t="s">
        <v>264</v>
      </c>
      <c r="C131" t="s">
        <v>265</v>
      </c>
      <c r="E131" t="s">
        <v>141</v>
      </c>
      <c r="F131" t="s">
        <v>11</v>
      </c>
      <c r="G131" t="str">
        <f>HYPERLINK(_xlfn.CONCAT("https://tablet.otzar.org/",CHAR(35),"/exKotar/627673"),"שו""""ת מהרשד""""ם &lt;זכרון אהרן&gt;  - 4 כרכים")</f>
        <v>שו""ת מהרשד""ם &lt;זכרון אהרן&gt;  - 4 כרכים</v>
      </c>
      <c r="H131" t="str">
        <f>_xlfn.CONCAT("https://tablet.otzar.org/",CHAR(35),"/exKotar/627673")</f>
        <v>https://tablet.otzar.org/#/exKotar/627673</v>
      </c>
    </row>
    <row r="132" spans="1:8" x14ac:dyDescent="0.25">
      <c r="A132">
        <v>656840</v>
      </c>
      <c r="B132" t="s">
        <v>266</v>
      </c>
      <c r="C132" t="s">
        <v>48</v>
      </c>
      <c r="D132" t="s">
        <v>75</v>
      </c>
      <c r="E132" t="s">
        <v>76</v>
      </c>
      <c r="G132" t="str">
        <f>HYPERLINK(_xlfn.CONCAT("https://tablet.otzar.org/",CHAR(35),"/book/656840/p/-1/t/1/fs/0/start/0/end/0/c"),"שכירות בית בהלכה")</f>
        <v>שכירות בית בהלכה</v>
      </c>
      <c r="H132" t="str">
        <f>_xlfn.CONCAT("https://tablet.otzar.org/",CHAR(35),"/book/656840/p/-1/t/1/fs/0/start/0/end/0/c")</f>
        <v>https://tablet.otzar.org/#/book/656840/p/-1/t/1/fs/0/start/0/end/0/c</v>
      </c>
    </row>
    <row r="133" spans="1:8" x14ac:dyDescent="0.25">
      <c r="A133">
        <v>151440</v>
      </c>
      <c r="B133" t="s">
        <v>267</v>
      </c>
      <c r="C133" t="s">
        <v>268</v>
      </c>
      <c r="E133" t="s">
        <v>37</v>
      </c>
      <c r="F133" t="s">
        <v>22</v>
      </c>
      <c r="G133" t="str">
        <f>HYPERLINK(_xlfn.CONCAT("https://tablet.otzar.org/",CHAR(35),"/exKotar/151440"),"שלחן ערוך &lt;זכרון אהרן&gt; עטרת צבי  - 2 כרכים")</f>
        <v>שלחן ערוך &lt;זכרון אהרן&gt; עטרת צבי  - 2 כרכים</v>
      </c>
      <c r="H133" t="str">
        <f>_xlfn.CONCAT("https://tablet.otzar.org/",CHAR(35),"/exKotar/151440")</f>
        <v>https://tablet.otzar.org/#/exKotar/151440</v>
      </c>
    </row>
    <row r="134" spans="1:8" x14ac:dyDescent="0.25">
      <c r="A134">
        <v>629060</v>
      </c>
      <c r="B134" t="s">
        <v>269</v>
      </c>
      <c r="C134" t="s">
        <v>270</v>
      </c>
      <c r="E134" t="s">
        <v>21</v>
      </c>
      <c r="F134" t="s">
        <v>56</v>
      </c>
      <c r="G134" t="str">
        <f>HYPERLINK(_xlfn.CONCAT("https://tablet.otzar.org/",CHAR(35),"/book/629060/p/-1/t/1/fs/0/start/0/end/0/c"),"שערי בינה &lt;זכרון אהרן&gt;")</f>
        <v>שערי בינה &lt;זכרון אהרן&gt;</v>
      </c>
      <c r="H134" t="str">
        <f>_xlfn.CONCAT("https://tablet.otzar.org/",CHAR(35),"/book/629060/p/-1/t/1/fs/0/start/0/end/0/c")</f>
        <v>https://tablet.otzar.org/#/book/629060/p/-1/t/1/fs/0/start/0/end/0/c</v>
      </c>
    </row>
    <row r="135" spans="1:8" x14ac:dyDescent="0.25">
      <c r="A135">
        <v>151433</v>
      </c>
      <c r="B135" t="s">
        <v>271</v>
      </c>
      <c r="C135" t="s">
        <v>272</v>
      </c>
      <c r="E135" t="s">
        <v>92</v>
      </c>
      <c r="F135" t="s">
        <v>11</v>
      </c>
      <c r="G135" t="str">
        <f>HYPERLINK(_xlfn.CONCAT("https://tablet.otzar.org/",CHAR(35),"/book/151433/p/-1/t/1/fs/0/start/0/end/0/c"),"תורת אמת &lt;מהדורת זכרון אהרן&gt;")</f>
        <v>תורת אמת &lt;מהדורת זכרון אהרן&gt;</v>
      </c>
      <c r="H135" t="str">
        <f>_xlfn.CONCAT("https://tablet.otzar.org/",CHAR(35),"/book/151433/p/-1/t/1/fs/0/start/0/end/0/c")</f>
        <v>https://tablet.otzar.org/#/book/151433/p/-1/t/1/fs/0/start/0/end/0/c</v>
      </c>
    </row>
    <row r="136" spans="1:8" x14ac:dyDescent="0.25">
      <c r="A136">
        <v>629059</v>
      </c>
      <c r="B136" t="s">
        <v>273</v>
      </c>
      <c r="C136" t="s">
        <v>272</v>
      </c>
      <c r="E136" t="s">
        <v>17</v>
      </c>
      <c r="F136" t="s">
        <v>11</v>
      </c>
      <c r="G136" t="str">
        <f>HYPERLINK(_xlfn.CONCAT("https://tablet.otzar.org/",CHAR(35),"/book/629059/p/-1/t/1/fs/0/start/0/end/0/c"),"תורת אמת &lt;זכרון אהרן מהדורה מתוקנת&gt;")</f>
        <v>תורת אמת &lt;זכרון אהרן מהדורה מתוקנת&gt;</v>
      </c>
      <c r="H136" t="str">
        <f>_xlfn.CONCAT("https://tablet.otzar.org/",CHAR(35),"/book/629059/p/-1/t/1/fs/0/start/0/end/0/c")</f>
        <v>https://tablet.otzar.org/#/book/629059/p/-1/t/1/fs/0/start/0/end/0/c</v>
      </c>
    </row>
    <row r="137" spans="1:8" x14ac:dyDescent="0.25">
      <c r="A137">
        <v>629065</v>
      </c>
      <c r="B137" t="s">
        <v>274</v>
      </c>
      <c r="C137" t="s">
        <v>247</v>
      </c>
      <c r="E137" t="s">
        <v>10</v>
      </c>
      <c r="F137" t="s">
        <v>40</v>
      </c>
      <c r="G137" t="str">
        <f>HYPERLINK(_xlfn.CONCAT("https://tablet.otzar.org/",CHAR(35),"/book/629065/p/-1/t/1/fs/0/start/0/end/0/c"),"תורת חטאת מנחת יעקב, תורת האשם &lt;זכרון אהרן&gt;")</f>
        <v>תורת חטאת מנחת יעקב, תורת האשם &lt;זכרון אהרן&gt;</v>
      </c>
      <c r="H137" t="str">
        <f>_xlfn.CONCAT("https://tablet.otzar.org/",CHAR(35),"/book/629065/p/-1/t/1/fs/0/start/0/end/0/c")</f>
        <v>https://tablet.otzar.org/#/book/629065/p/-1/t/1/fs/0/start/0/end/0/c</v>
      </c>
    </row>
    <row r="138" spans="1:8" x14ac:dyDescent="0.25">
      <c r="A138">
        <v>628348</v>
      </c>
      <c r="B138" t="s">
        <v>275</v>
      </c>
      <c r="C138" t="s">
        <v>276</v>
      </c>
      <c r="E138" t="s">
        <v>25</v>
      </c>
      <c r="F138" t="s">
        <v>11</v>
      </c>
      <c r="G138" t="str">
        <f>HYPERLINK(_xlfn.CONCAT("https://tablet.otzar.org/",CHAR(35),"/book/628348/p/-1/t/1/fs/0/start/0/end/0/c"),"תורת חיים מהרח""""ש &lt;זכרון אהרן מהדורה מתוקנת&gt; - א")</f>
        <v>תורת חיים מהרח""ש &lt;זכרון אהרן מהדורה מתוקנת&gt; - א</v>
      </c>
      <c r="H138" t="str">
        <f>_xlfn.CONCAT("https://tablet.otzar.org/",CHAR(35),"/book/628348/p/-1/t/1/fs/0/start/0/end/0/c")</f>
        <v>https://tablet.otzar.org/#/book/628348/p/-1/t/1/fs/0/start/0/end/0/c</v>
      </c>
    </row>
    <row r="139" spans="1:8" x14ac:dyDescent="0.25">
      <c r="A139">
        <v>628357</v>
      </c>
      <c r="B139" t="s">
        <v>277</v>
      </c>
      <c r="C139" t="s">
        <v>276</v>
      </c>
      <c r="E139" t="s">
        <v>25</v>
      </c>
      <c r="F139" t="s">
        <v>11</v>
      </c>
      <c r="G139" t="str">
        <f>HYPERLINK(_xlfn.CONCAT("https://tablet.otzar.org/",CHAR(35),"/book/628357/p/-1/t/1/fs/0/start/0/end/0/c"),"תורת חיים מהרח""""ש &lt;זכרון אהרן מהדורה מתוקנת&gt; - ב")</f>
        <v>תורת חיים מהרח""ש &lt;זכרון אהרן מהדורה מתוקנת&gt; - ב</v>
      </c>
      <c r="H139" t="str">
        <f>_xlfn.CONCAT("https://tablet.otzar.org/",CHAR(35),"/book/628357/p/-1/t/1/fs/0/start/0/end/0/c")</f>
        <v>https://tablet.otzar.org/#/book/628357/p/-1/t/1/fs/0/start/0/end/0/c</v>
      </c>
    </row>
    <row r="140" spans="1:8" x14ac:dyDescent="0.25">
      <c r="A140">
        <v>628358</v>
      </c>
      <c r="B140" t="s">
        <v>278</v>
      </c>
      <c r="C140" t="s">
        <v>276</v>
      </c>
      <c r="E140" t="s">
        <v>25</v>
      </c>
      <c r="F140" t="s">
        <v>11</v>
      </c>
      <c r="G140" t="str">
        <f>HYPERLINK(_xlfn.CONCAT("https://tablet.otzar.org/",CHAR(35),"/book/628358/p/-1/t/1/fs/0/start/0/end/0/c"),"תורת חיים מהרח""""ש &lt;זכרון אהרן מהדורה מתוקנת&gt; - ג")</f>
        <v>תורת חיים מהרח""ש &lt;זכרון אהרן מהדורה מתוקנת&gt; - ג</v>
      </c>
      <c r="H140" t="str">
        <f>_xlfn.CONCAT("https://tablet.otzar.org/",CHAR(35),"/book/628358/p/-1/t/1/fs/0/start/0/end/0/c")</f>
        <v>https://tablet.otzar.org/#/book/628358/p/-1/t/1/fs/0/start/0/end/0/c</v>
      </c>
    </row>
    <row r="141" spans="1:8" x14ac:dyDescent="0.25">
      <c r="A141">
        <v>628360</v>
      </c>
      <c r="B141" t="s">
        <v>279</v>
      </c>
      <c r="C141" t="s">
        <v>276</v>
      </c>
      <c r="E141" t="s">
        <v>25</v>
      </c>
      <c r="F141" t="s">
        <v>280</v>
      </c>
      <c r="G141" t="str">
        <f>HYPERLINK(_xlfn.CONCAT("https://tablet.otzar.org/",CHAR(35),"/book/628360/p/-1/t/1/fs/0/start/0/end/0/c"),"תורת חיים מהרח""""ש &lt;זכרון אהרן מהדורה מתוקנת&gt; - ד")</f>
        <v>תורת חיים מהרח""ש &lt;זכרון אהרן מהדורה מתוקנת&gt; - ד</v>
      </c>
      <c r="H141" t="str">
        <f>_xlfn.CONCAT("https://tablet.otzar.org/",CHAR(35),"/book/628360/p/-1/t/1/fs/0/start/0/end/0/c")</f>
        <v>https://tablet.otzar.org/#/book/628360/p/-1/t/1/fs/0/start/0/end/0/c</v>
      </c>
    </row>
    <row r="142" spans="1:8" x14ac:dyDescent="0.25">
      <c r="A142">
        <v>605412</v>
      </c>
      <c r="B142" t="s">
        <v>281</v>
      </c>
      <c r="C142" t="s">
        <v>276</v>
      </c>
      <c r="E142" t="s">
        <v>37</v>
      </c>
      <c r="F142" t="s">
        <v>11</v>
      </c>
      <c r="G142" t="str">
        <f>HYPERLINK(_xlfn.CONCAT("https://tablet.otzar.org/",CHAR(35),"/exKotar/605412"),"תורת חיים &lt;מהרח""""ש&gt;  - 4 כרכים")</f>
        <v>תורת חיים &lt;מהרח""ש&gt;  - 4 כרכים</v>
      </c>
      <c r="H142" t="str">
        <f>_xlfn.CONCAT("https://tablet.otzar.org/",CHAR(35),"/exKotar/605412")</f>
        <v>https://tablet.otzar.org/#/exKotar/605412</v>
      </c>
    </row>
    <row r="143" spans="1:8" x14ac:dyDescent="0.25">
      <c r="A143">
        <v>173517</v>
      </c>
      <c r="B143" t="s">
        <v>282</v>
      </c>
      <c r="C143" t="s">
        <v>283</v>
      </c>
      <c r="E143" t="s">
        <v>143</v>
      </c>
      <c r="G143" t="str">
        <f>HYPERLINK(_xlfn.CONCAT("https://tablet.otzar.org/",CHAR(35),"/exKotar/173517"),"תיבת גמא &lt;זכרון אהרן&gt;  - 2 כרכים")</f>
        <v>תיבת גמא &lt;זכרון אהרן&gt;  - 2 כרכים</v>
      </c>
      <c r="H143" t="str">
        <f>_xlfn.CONCAT("https://tablet.otzar.org/",CHAR(35),"/exKotar/173517")</f>
        <v>https://tablet.otzar.org/#/exKotar/173517</v>
      </c>
    </row>
    <row r="144" spans="1:8" x14ac:dyDescent="0.25">
      <c r="A144">
        <v>628699</v>
      </c>
      <c r="B144" t="s">
        <v>284</v>
      </c>
      <c r="C144" t="s">
        <v>285</v>
      </c>
      <c r="E144" t="s">
        <v>46</v>
      </c>
      <c r="F144" t="s">
        <v>40</v>
      </c>
      <c r="G144" t="str">
        <f>HYPERLINK(_xlfn.CONCAT("https://tablet.otzar.org/",CHAR(35),"/book/628699/p/-1/t/1/fs/0/start/0/end/0/c"),"תיווך ושידוך בהלכה")</f>
        <v>תיווך ושידוך בהלכה</v>
      </c>
      <c r="H144" t="str">
        <f>_xlfn.CONCAT("https://tablet.otzar.org/",CHAR(35),"/book/628699/p/-1/t/1/fs/0/start/0/end/0/c")</f>
        <v>https://tablet.otzar.org/#/book/628699/p/-1/t/1/fs/0/start/0/end/0/c</v>
      </c>
    </row>
    <row r="145" spans="1:8" x14ac:dyDescent="0.25">
      <c r="A145">
        <v>642003</v>
      </c>
      <c r="B145" t="s">
        <v>286</v>
      </c>
      <c r="C145" t="s">
        <v>287</v>
      </c>
      <c r="G145" t="str">
        <f>HYPERLINK(_xlfn.CONCAT("https://tablet.otzar.org/",CHAR(35),"/exKotar/642003"),"תנא דבי אליהו &lt;זכרון אהרן&gt;  - 3 כרכים")</f>
        <v>תנא דבי אליהו &lt;זכרון אהרן&gt;  - 3 כרכים</v>
      </c>
      <c r="H145" t="str">
        <f>_xlfn.CONCAT("https://tablet.otzar.org/",CHAR(35),"/exKotar/642003")</f>
        <v>https://tablet.otzar.org/#/exKotar/642003</v>
      </c>
    </row>
    <row r="146" spans="1:8" x14ac:dyDescent="0.25">
      <c r="A146">
        <v>627678</v>
      </c>
      <c r="B146" t="s">
        <v>288</v>
      </c>
      <c r="C146" t="s">
        <v>289</v>
      </c>
      <c r="E146" t="s">
        <v>46</v>
      </c>
      <c r="F146" t="s">
        <v>52</v>
      </c>
      <c r="G146" t="str">
        <f>HYPERLINK(_xlfn.CONCAT("https://tablet.otzar.org/",CHAR(35),"/book/627678/p/-1/t/1/fs/0/start/0/end/0/c"),"תק""""ן ליקוטים")</f>
        <v>תק""ן ליקוטים</v>
      </c>
      <c r="H146" t="str">
        <f>_xlfn.CONCAT("https://tablet.otzar.org/",CHAR(35),"/book/627678/p/-1/t/1/fs/0/start/0/end/0/c")</f>
        <v>https://tablet.otzar.org/#/book/627678/p/-1/t/1/fs/0/start/0/end/0/c</v>
      </c>
    </row>
    <row r="147" spans="1:8" x14ac:dyDescent="0.25">
      <c r="A147">
        <v>628340</v>
      </c>
      <c r="B147" t="s">
        <v>290</v>
      </c>
      <c r="C147" t="s">
        <v>291</v>
      </c>
      <c r="E147" t="s">
        <v>25</v>
      </c>
      <c r="F147" t="s">
        <v>40</v>
      </c>
      <c r="G147" t="str">
        <f>HYPERLINK(_xlfn.CONCAT("https://tablet.otzar.org/",CHAR(35),"/exKotar/628340"),"תקנת השבים - 2 כרכים")</f>
        <v>תקנת השבים - 2 כרכים</v>
      </c>
      <c r="H147" t="str">
        <f>_xlfn.CONCAT("https://tablet.otzar.org/",CHAR(35),"/exKotar/628340")</f>
        <v>https://tablet.otzar.org/#/exKotar/628340</v>
      </c>
    </row>
    <row r="148" spans="1:8" x14ac:dyDescent="0.25">
      <c r="A148">
        <v>630799</v>
      </c>
      <c r="B148" t="s">
        <v>292</v>
      </c>
      <c r="C148" t="s">
        <v>293</v>
      </c>
      <c r="E148" t="s">
        <v>155</v>
      </c>
      <c r="F148" t="s">
        <v>11</v>
      </c>
      <c r="G148" t="str">
        <f>HYPERLINK(_xlfn.CONCAT("https://tablet.otzar.org/",CHAR(35),"/book/630799/p/-1/t/1/fs/0/start/0/end/0/c"),"תשובות רד""""ך &lt;זכרון אהרן&gt;")</f>
        <v>תשובות רד""ך &lt;זכרון אהרן&gt;</v>
      </c>
      <c r="H148" t="str">
        <f>_xlfn.CONCAT("https://tablet.otzar.org/",CHAR(35),"/book/630799/p/-1/t/1/fs/0/start/0/end/0/c")</f>
        <v>https://tablet.otzar.org/#/book/630799/p/-1/t/1/fs/0/start/0/end/0/c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רשימת ספרים מאגרים - זכרון אהרן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2023-03-05T09:38:35Z</dcterms:created>
  <dcterms:modified xsi:type="dcterms:W3CDTF">2023-03-05T09:38:35Z</dcterms:modified>
</cp:coreProperties>
</file>