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ownloads\booklists21\"/>
    </mc:Choice>
  </mc:AlternateContent>
  <xr:revisionPtr revIDLastSave="0" documentId="13_ncr:40009_{309E97B2-20BC-4906-A6B6-099BAD159BE4}" xr6:coauthVersionLast="47" xr6:coauthVersionMax="47" xr10:uidLastSave="{00000000-0000-0000-0000-000000000000}"/>
  <bookViews>
    <workbookView xWindow="-120" yWindow="-120" windowWidth="29040" windowHeight="15720"/>
  </bookViews>
  <sheets>
    <sheet name="רשימת ספרים מאגרים - נוספו בגיר" sheetId="1" r:id="rId1"/>
  </sheets>
  <calcPr calcId="0"/>
</workbook>
</file>

<file path=xl/calcChain.xml><?xml version="1.0" encoding="utf-8"?>
<calcChain xmlns="http://schemas.openxmlformats.org/spreadsheetml/2006/main">
  <c r="G2" i="1" l="1"/>
  <c r="H2" i="1"/>
  <c r="G3" i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51" i="1"/>
  <c r="H251" i="1"/>
  <c r="G252" i="1"/>
  <c r="H252" i="1"/>
  <c r="G253" i="1"/>
  <c r="H253" i="1"/>
  <c r="G254" i="1"/>
  <c r="H254" i="1"/>
  <c r="G255" i="1"/>
  <c r="H255" i="1"/>
  <c r="G256" i="1"/>
  <c r="H256" i="1"/>
  <c r="G257" i="1"/>
  <c r="H257" i="1"/>
  <c r="G258" i="1"/>
  <c r="H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  <c r="G277" i="1"/>
  <c r="H277" i="1"/>
  <c r="G278" i="1"/>
  <c r="H278" i="1"/>
  <c r="G279" i="1"/>
  <c r="H279" i="1"/>
  <c r="G280" i="1"/>
  <c r="H280" i="1"/>
  <c r="G281" i="1"/>
  <c r="H281" i="1"/>
  <c r="G282" i="1"/>
  <c r="H282" i="1"/>
  <c r="G283" i="1"/>
  <c r="H283" i="1"/>
  <c r="G284" i="1"/>
  <c r="H284" i="1"/>
  <c r="G285" i="1"/>
  <c r="H285" i="1"/>
  <c r="G286" i="1"/>
  <c r="H286" i="1"/>
  <c r="G287" i="1"/>
  <c r="H287" i="1"/>
  <c r="G288" i="1"/>
  <c r="H288" i="1"/>
  <c r="G289" i="1"/>
  <c r="H289" i="1"/>
  <c r="G290" i="1"/>
  <c r="H290" i="1"/>
  <c r="G291" i="1"/>
  <c r="H291" i="1"/>
  <c r="G292" i="1"/>
  <c r="H292" i="1"/>
  <c r="G293" i="1"/>
  <c r="H293" i="1"/>
  <c r="G294" i="1"/>
  <c r="H294" i="1"/>
  <c r="G295" i="1"/>
  <c r="H295" i="1"/>
  <c r="G296" i="1"/>
  <c r="H296" i="1"/>
  <c r="G297" i="1"/>
  <c r="H297" i="1"/>
  <c r="G298" i="1"/>
  <c r="H298" i="1"/>
  <c r="G299" i="1"/>
  <c r="H299" i="1"/>
  <c r="G300" i="1"/>
  <c r="H300" i="1"/>
  <c r="G301" i="1"/>
  <c r="H301" i="1"/>
  <c r="G302" i="1"/>
  <c r="H302" i="1"/>
  <c r="G303" i="1"/>
  <c r="H303" i="1"/>
  <c r="G304" i="1"/>
  <c r="H304" i="1"/>
  <c r="G305" i="1"/>
  <c r="H305" i="1"/>
  <c r="G306" i="1"/>
  <c r="H306" i="1"/>
  <c r="G307" i="1"/>
  <c r="H307" i="1"/>
  <c r="G308" i="1"/>
  <c r="H308" i="1"/>
  <c r="G309" i="1"/>
  <c r="H309" i="1"/>
  <c r="G310" i="1"/>
  <c r="H310" i="1"/>
  <c r="G311" i="1"/>
  <c r="H311" i="1"/>
  <c r="G312" i="1"/>
  <c r="H312" i="1"/>
  <c r="G313" i="1"/>
  <c r="H313" i="1"/>
  <c r="G314" i="1"/>
  <c r="H314" i="1"/>
  <c r="G315" i="1"/>
  <c r="H315" i="1"/>
  <c r="G316" i="1"/>
  <c r="H316" i="1"/>
  <c r="G317" i="1"/>
  <c r="H317" i="1"/>
  <c r="G318" i="1"/>
  <c r="H318" i="1"/>
  <c r="G319" i="1"/>
  <c r="H319" i="1"/>
  <c r="G320" i="1"/>
  <c r="H320" i="1"/>
  <c r="G321" i="1"/>
  <c r="H321" i="1"/>
  <c r="G322" i="1"/>
  <c r="H322" i="1"/>
  <c r="G323" i="1"/>
  <c r="H323" i="1"/>
  <c r="G324" i="1"/>
  <c r="H324" i="1"/>
  <c r="G325" i="1"/>
  <c r="H325" i="1"/>
  <c r="G326" i="1"/>
  <c r="H326" i="1"/>
  <c r="G327" i="1"/>
  <c r="H327" i="1"/>
  <c r="G328" i="1"/>
  <c r="H328" i="1"/>
  <c r="G329" i="1"/>
  <c r="H329" i="1"/>
  <c r="G330" i="1"/>
  <c r="H330" i="1"/>
  <c r="G331" i="1"/>
  <c r="H331" i="1"/>
  <c r="G332" i="1"/>
  <c r="H332" i="1"/>
  <c r="G333" i="1"/>
  <c r="H333" i="1"/>
  <c r="G334" i="1"/>
  <c r="H334" i="1"/>
  <c r="G335" i="1"/>
  <c r="H335" i="1"/>
  <c r="G336" i="1"/>
  <c r="H336" i="1"/>
  <c r="G337" i="1"/>
  <c r="H337" i="1"/>
  <c r="G338" i="1"/>
  <c r="H338" i="1"/>
  <c r="G339" i="1"/>
  <c r="H339" i="1"/>
  <c r="G340" i="1"/>
  <c r="H340" i="1"/>
  <c r="G341" i="1"/>
  <c r="H341" i="1"/>
  <c r="G342" i="1"/>
  <c r="H342" i="1"/>
  <c r="G343" i="1"/>
  <c r="H343" i="1"/>
  <c r="G344" i="1"/>
  <c r="H344" i="1"/>
  <c r="G345" i="1"/>
  <c r="H345" i="1"/>
  <c r="G346" i="1"/>
  <c r="H346" i="1"/>
  <c r="G347" i="1"/>
  <c r="H347" i="1"/>
  <c r="G348" i="1"/>
  <c r="H348" i="1"/>
  <c r="G349" i="1"/>
  <c r="H349" i="1"/>
  <c r="G350" i="1"/>
  <c r="H350" i="1"/>
  <c r="G351" i="1"/>
  <c r="H351" i="1"/>
  <c r="G352" i="1"/>
  <c r="H352" i="1"/>
  <c r="G353" i="1"/>
  <c r="H353" i="1"/>
  <c r="G354" i="1"/>
  <c r="H354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78" i="1"/>
  <c r="H378" i="1"/>
  <c r="G379" i="1"/>
  <c r="H379" i="1"/>
  <c r="G380" i="1"/>
  <c r="H380" i="1"/>
  <c r="G381" i="1"/>
  <c r="H381" i="1"/>
  <c r="G382" i="1"/>
  <c r="H382" i="1"/>
  <c r="G383" i="1"/>
  <c r="H383" i="1"/>
  <c r="G384" i="1"/>
  <c r="H384" i="1"/>
  <c r="G385" i="1"/>
  <c r="H385" i="1"/>
  <c r="G386" i="1"/>
  <c r="H386" i="1"/>
  <c r="G387" i="1"/>
  <c r="H387" i="1"/>
  <c r="G388" i="1"/>
  <c r="H388" i="1"/>
  <c r="G389" i="1"/>
  <c r="H389" i="1"/>
  <c r="G390" i="1"/>
  <c r="H390" i="1"/>
  <c r="G391" i="1"/>
  <c r="H391" i="1"/>
  <c r="G392" i="1"/>
  <c r="H392" i="1"/>
  <c r="G393" i="1"/>
  <c r="H393" i="1"/>
  <c r="G394" i="1"/>
  <c r="H394" i="1"/>
  <c r="G395" i="1"/>
  <c r="H395" i="1"/>
  <c r="G396" i="1"/>
  <c r="H396" i="1"/>
  <c r="G397" i="1"/>
  <c r="H397" i="1"/>
  <c r="G398" i="1"/>
  <c r="H398" i="1"/>
  <c r="G399" i="1"/>
  <c r="H399" i="1"/>
  <c r="G400" i="1"/>
  <c r="H400" i="1"/>
  <c r="G401" i="1"/>
  <c r="H401" i="1"/>
  <c r="G402" i="1"/>
  <c r="H402" i="1"/>
  <c r="G403" i="1"/>
  <c r="H403" i="1"/>
  <c r="G404" i="1"/>
  <c r="H404" i="1"/>
  <c r="G405" i="1"/>
  <c r="H405" i="1"/>
  <c r="G406" i="1"/>
  <c r="H406" i="1"/>
  <c r="G407" i="1"/>
  <c r="H407" i="1"/>
  <c r="G408" i="1"/>
  <c r="H408" i="1"/>
  <c r="G409" i="1"/>
  <c r="H409" i="1"/>
  <c r="G410" i="1"/>
  <c r="H410" i="1"/>
  <c r="G411" i="1"/>
  <c r="H411" i="1"/>
  <c r="G412" i="1"/>
  <c r="H412" i="1"/>
  <c r="G413" i="1"/>
  <c r="H413" i="1"/>
  <c r="G414" i="1"/>
  <c r="H414" i="1"/>
  <c r="G415" i="1"/>
  <c r="H415" i="1"/>
  <c r="G416" i="1"/>
  <c r="H416" i="1"/>
  <c r="G417" i="1"/>
  <c r="H417" i="1"/>
  <c r="G418" i="1"/>
  <c r="H418" i="1"/>
  <c r="G419" i="1"/>
  <c r="H419" i="1"/>
  <c r="G420" i="1"/>
  <c r="H420" i="1"/>
  <c r="G421" i="1"/>
  <c r="H421" i="1"/>
  <c r="G422" i="1"/>
  <c r="H422" i="1"/>
  <c r="G423" i="1"/>
  <c r="H423" i="1"/>
  <c r="G424" i="1"/>
  <c r="H424" i="1"/>
  <c r="G425" i="1"/>
  <c r="H425" i="1"/>
  <c r="G426" i="1"/>
  <c r="H426" i="1"/>
  <c r="G427" i="1"/>
  <c r="H427" i="1"/>
  <c r="G428" i="1"/>
  <c r="H428" i="1"/>
  <c r="G429" i="1"/>
  <c r="H429" i="1"/>
  <c r="G430" i="1"/>
  <c r="H430" i="1"/>
  <c r="G431" i="1"/>
  <c r="H431" i="1"/>
  <c r="G432" i="1"/>
  <c r="H432" i="1"/>
  <c r="G433" i="1"/>
  <c r="H433" i="1"/>
  <c r="G434" i="1"/>
  <c r="H434" i="1"/>
  <c r="G435" i="1"/>
  <c r="H435" i="1"/>
  <c r="G436" i="1"/>
  <c r="H436" i="1"/>
  <c r="G437" i="1"/>
  <c r="H437" i="1"/>
  <c r="G438" i="1"/>
  <c r="H438" i="1"/>
  <c r="G439" i="1"/>
  <c r="H439" i="1"/>
  <c r="G440" i="1"/>
  <c r="H440" i="1"/>
  <c r="G441" i="1"/>
  <c r="H441" i="1"/>
  <c r="G442" i="1"/>
  <c r="H442" i="1"/>
  <c r="G443" i="1"/>
  <c r="H443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5" i="1"/>
  <c r="H475" i="1"/>
  <c r="G476" i="1"/>
  <c r="H476" i="1"/>
  <c r="G477" i="1"/>
  <c r="H477" i="1"/>
  <c r="G478" i="1"/>
  <c r="H478" i="1"/>
  <c r="G479" i="1"/>
  <c r="H479" i="1"/>
  <c r="G480" i="1"/>
  <c r="H480" i="1"/>
  <c r="G481" i="1"/>
  <c r="H481" i="1"/>
  <c r="G482" i="1"/>
  <c r="H482" i="1"/>
  <c r="G483" i="1"/>
  <c r="H483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2" i="1"/>
  <c r="H51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9" i="1"/>
  <c r="H519" i="1"/>
  <c r="G520" i="1"/>
  <c r="H520" i="1"/>
  <c r="G521" i="1"/>
  <c r="H521" i="1"/>
  <c r="G522" i="1"/>
  <c r="H522" i="1"/>
  <c r="G523" i="1"/>
  <c r="H523" i="1"/>
  <c r="G524" i="1"/>
  <c r="H524" i="1"/>
  <c r="G525" i="1"/>
  <c r="H525" i="1"/>
  <c r="G526" i="1"/>
  <c r="H526" i="1"/>
  <c r="G527" i="1"/>
  <c r="H527" i="1"/>
  <c r="G528" i="1"/>
  <c r="H528" i="1"/>
  <c r="G529" i="1"/>
  <c r="H529" i="1"/>
  <c r="G530" i="1"/>
  <c r="H530" i="1"/>
  <c r="G531" i="1"/>
  <c r="H531" i="1"/>
  <c r="G532" i="1"/>
  <c r="H532" i="1"/>
  <c r="G533" i="1"/>
  <c r="H533" i="1"/>
  <c r="G534" i="1"/>
  <c r="H534" i="1"/>
  <c r="G535" i="1"/>
  <c r="H535" i="1"/>
  <c r="G536" i="1"/>
  <c r="H536" i="1"/>
  <c r="G537" i="1"/>
  <c r="H537" i="1"/>
  <c r="G538" i="1"/>
  <c r="H538" i="1"/>
  <c r="G539" i="1"/>
  <c r="H539" i="1"/>
  <c r="G540" i="1"/>
  <c r="H540" i="1"/>
  <c r="G541" i="1"/>
  <c r="H541" i="1"/>
  <c r="G542" i="1"/>
  <c r="H542" i="1"/>
  <c r="G543" i="1"/>
  <c r="H543" i="1"/>
  <c r="G544" i="1"/>
  <c r="H544" i="1"/>
  <c r="G545" i="1"/>
  <c r="H545" i="1"/>
  <c r="G546" i="1"/>
  <c r="H546" i="1"/>
  <c r="G547" i="1"/>
  <c r="H547" i="1"/>
  <c r="G548" i="1"/>
  <c r="H548" i="1"/>
  <c r="G549" i="1"/>
  <c r="H549" i="1"/>
  <c r="G550" i="1"/>
  <c r="H550" i="1"/>
  <c r="G551" i="1"/>
  <c r="H551" i="1"/>
  <c r="G552" i="1"/>
  <c r="H552" i="1"/>
  <c r="G553" i="1"/>
  <c r="H553" i="1"/>
  <c r="G554" i="1"/>
  <c r="H554" i="1"/>
  <c r="G555" i="1"/>
  <c r="H555" i="1"/>
  <c r="G556" i="1"/>
  <c r="H556" i="1"/>
  <c r="G557" i="1"/>
  <c r="H557" i="1"/>
  <c r="G558" i="1"/>
  <c r="H558" i="1"/>
  <c r="G559" i="1"/>
  <c r="H559" i="1"/>
  <c r="G560" i="1"/>
  <c r="H560" i="1"/>
  <c r="G561" i="1"/>
  <c r="H561" i="1"/>
  <c r="G562" i="1"/>
  <c r="H562" i="1"/>
  <c r="G563" i="1"/>
  <c r="H563" i="1"/>
  <c r="G564" i="1"/>
  <c r="H564" i="1"/>
  <c r="G565" i="1"/>
  <c r="H565" i="1"/>
  <c r="G566" i="1"/>
  <c r="H566" i="1"/>
  <c r="G567" i="1"/>
  <c r="H567" i="1"/>
  <c r="G568" i="1"/>
  <c r="H568" i="1"/>
  <c r="G569" i="1"/>
  <c r="H569" i="1"/>
  <c r="G570" i="1"/>
  <c r="H570" i="1"/>
  <c r="G571" i="1"/>
  <c r="H571" i="1"/>
  <c r="G572" i="1"/>
  <c r="H572" i="1"/>
  <c r="G573" i="1"/>
  <c r="H573" i="1"/>
  <c r="G574" i="1"/>
  <c r="H574" i="1"/>
  <c r="G575" i="1"/>
  <c r="H575" i="1"/>
  <c r="G576" i="1"/>
  <c r="H576" i="1"/>
  <c r="G577" i="1"/>
  <c r="H577" i="1"/>
  <c r="G578" i="1"/>
  <c r="H578" i="1"/>
  <c r="G579" i="1"/>
  <c r="H579" i="1"/>
  <c r="G580" i="1"/>
  <c r="H580" i="1"/>
  <c r="G581" i="1"/>
  <c r="H581" i="1"/>
  <c r="G582" i="1"/>
  <c r="H582" i="1"/>
  <c r="G583" i="1"/>
  <c r="H583" i="1"/>
  <c r="G584" i="1"/>
  <c r="H584" i="1"/>
  <c r="G585" i="1"/>
  <c r="H585" i="1"/>
  <c r="G586" i="1"/>
  <c r="H586" i="1"/>
  <c r="G587" i="1"/>
  <c r="H587" i="1"/>
  <c r="G588" i="1"/>
  <c r="H588" i="1"/>
  <c r="G589" i="1"/>
  <c r="H589" i="1"/>
  <c r="G590" i="1"/>
  <c r="H590" i="1"/>
  <c r="G591" i="1"/>
  <c r="H591" i="1"/>
  <c r="G592" i="1"/>
  <c r="H592" i="1"/>
  <c r="G593" i="1"/>
  <c r="H593" i="1"/>
  <c r="G594" i="1"/>
  <c r="H594" i="1"/>
  <c r="G595" i="1"/>
  <c r="H595" i="1"/>
  <c r="G596" i="1"/>
  <c r="H596" i="1"/>
  <c r="G597" i="1"/>
  <c r="H597" i="1"/>
  <c r="G598" i="1"/>
  <c r="H598" i="1"/>
  <c r="G599" i="1"/>
  <c r="H599" i="1"/>
  <c r="G600" i="1"/>
  <c r="H600" i="1"/>
  <c r="G601" i="1"/>
  <c r="H601" i="1"/>
  <c r="G602" i="1"/>
  <c r="H602" i="1"/>
  <c r="G603" i="1"/>
  <c r="H603" i="1"/>
  <c r="G604" i="1"/>
  <c r="H604" i="1"/>
  <c r="G605" i="1"/>
  <c r="H605" i="1"/>
  <c r="G606" i="1"/>
  <c r="H606" i="1"/>
  <c r="G607" i="1"/>
  <c r="H607" i="1"/>
  <c r="G608" i="1"/>
  <c r="H608" i="1"/>
  <c r="G609" i="1"/>
  <c r="H609" i="1"/>
  <c r="G610" i="1"/>
  <c r="H610" i="1"/>
  <c r="G611" i="1"/>
  <c r="H611" i="1"/>
  <c r="G612" i="1"/>
  <c r="H612" i="1"/>
  <c r="G613" i="1"/>
  <c r="H613" i="1"/>
  <c r="G614" i="1"/>
  <c r="H614" i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33" i="1"/>
  <c r="H633" i="1"/>
  <c r="G634" i="1"/>
  <c r="H634" i="1"/>
  <c r="G635" i="1"/>
  <c r="H635" i="1"/>
  <c r="G636" i="1"/>
  <c r="H636" i="1"/>
  <c r="G637" i="1"/>
  <c r="H637" i="1"/>
  <c r="G638" i="1"/>
  <c r="H638" i="1"/>
  <c r="G639" i="1"/>
  <c r="H639" i="1"/>
  <c r="G640" i="1"/>
  <c r="H640" i="1"/>
  <c r="G641" i="1"/>
  <c r="H641" i="1"/>
  <c r="G642" i="1"/>
  <c r="H642" i="1"/>
  <c r="G643" i="1"/>
  <c r="H643" i="1"/>
  <c r="G644" i="1"/>
  <c r="H644" i="1"/>
  <c r="G645" i="1"/>
  <c r="H645" i="1"/>
  <c r="G646" i="1"/>
  <c r="H646" i="1"/>
  <c r="G647" i="1"/>
  <c r="H647" i="1"/>
  <c r="G648" i="1"/>
  <c r="H648" i="1"/>
  <c r="G649" i="1"/>
  <c r="H649" i="1"/>
  <c r="G650" i="1"/>
  <c r="H650" i="1"/>
  <c r="G651" i="1"/>
  <c r="H651" i="1"/>
  <c r="G652" i="1"/>
  <c r="H652" i="1"/>
  <c r="G653" i="1"/>
  <c r="H653" i="1"/>
  <c r="G654" i="1"/>
  <c r="H654" i="1"/>
  <c r="G655" i="1"/>
  <c r="H655" i="1"/>
  <c r="G656" i="1"/>
  <c r="H656" i="1"/>
  <c r="G657" i="1"/>
  <c r="H657" i="1"/>
  <c r="G658" i="1"/>
  <c r="H658" i="1"/>
  <c r="G659" i="1"/>
  <c r="H659" i="1"/>
  <c r="G660" i="1"/>
  <c r="H660" i="1"/>
  <c r="G661" i="1"/>
  <c r="H661" i="1"/>
  <c r="G662" i="1"/>
  <c r="H662" i="1"/>
  <c r="G663" i="1"/>
  <c r="H663" i="1"/>
  <c r="G664" i="1"/>
  <c r="H664" i="1"/>
  <c r="G665" i="1"/>
  <c r="H665" i="1"/>
  <c r="G666" i="1"/>
  <c r="H666" i="1"/>
  <c r="G667" i="1"/>
  <c r="H667" i="1"/>
  <c r="G668" i="1"/>
  <c r="H668" i="1"/>
  <c r="G669" i="1"/>
  <c r="H669" i="1"/>
  <c r="G670" i="1"/>
  <c r="H670" i="1"/>
  <c r="G671" i="1"/>
  <c r="H671" i="1"/>
  <c r="G672" i="1"/>
  <c r="H672" i="1"/>
  <c r="G673" i="1"/>
  <c r="H673" i="1"/>
  <c r="G674" i="1"/>
  <c r="H674" i="1"/>
  <c r="G675" i="1"/>
  <c r="H675" i="1"/>
  <c r="G676" i="1"/>
  <c r="H676" i="1"/>
  <c r="G677" i="1"/>
  <c r="H677" i="1"/>
  <c r="G678" i="1"/>
  <c r="H678" i="1"/>
  <c r="G679" i="1"/>
  <c r="H679" i="1"/>
  <c r="G680" i="1"/>
  <c r="H680" i="1"/>
  <c r="G681" i="1"/>
  <c r="H681" i="1"/>
  <c r="G682" i="1"/>
  <c r="H682" i="1"/>
  <c r="G683" i="1"/>
  <c r="H683" i="1"/>
  <c r="G684" i="1"/>
  <c r="H684" i="1"/>
  <c r="G685" i="1"/>
  <c r="H685" i="1"/>
  <c r="G686" i="1"/>
  <c r="H686" i="1"/>
  <c r="G687" i="1"/>
  <c r="H687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697" i="1"/>
  <c r="H697" i="1"/>
  <c r="G698" i="1"/>
  <c r="H698" i="1"/>
  <c r="G699" i="1"/>
  <c r="H699" i="1"/>
  <c r="G700" i="1"/>
  <c r="H700" i="1"/>
  <c r="G701" i="1"/>
  <c r="H701" i="1"/>
  <c r="G702" i="1"/>
  <c r="H702" i="1"/>
  <c r="G703" i="1"/>
  <c r="H703" i="1"/>
  <c r="G704" i="1"/>
  <c r="H704" i="1"/>
  <c r="G705" i="1"/>
  <c r="H705" i="1"/>
  <c r="G706" i="1"/>
  <c r="H706" i="1"/>
  <c r="G707" i="1"/>
  <c r="H707" i="1"/>
  <c r="G708" i="1"/>
  <c r="H708" i="1"/>
  <c r="G709" i="1"/>
  <c r="H709" i="1"/>
  <c r="G710" i="1"/>
  <c r="H710" i="1"/>
  <c r="G711" i="1"/>
  <c r="H711" i="1"/>
  <c r="G712" i="1"/>
  <c r="H712" i="1"/>
  <c r="G713" i="1"/>
  <c r="H713" i="1"/>
  <c r="G714" i="1"/>
  <c r="H714" i="1"/>
  <c r="G715" i="1"/>
  <c r="H715" i="1"/>
  <c r="G716" i="1"/>
  <c r="H716" i="1"/>
  <c r="G717" i="1"/>
  <c r="H717" i="1"/>
  <c r="G718" i="1"/>
  <c r="H718" i="1"/>
  <c r="G719" i="1"/>
  <c r="H719" i="1"/>
  <c r="G720" i="1"/>
  <c r="H720" i="1"/>
  <c r="G721" i="1"/>
  <c r="H721" i="1"/>
  <c r="G722" i="1"/>
  <c r="H722" i="1"/>
  <c r="G723" i="1"/>
  <c r="H723" i="1"/>
  <c r="G724" i="1"/>
  <c r="H724" i="1"/>
  <c r="G725" i="1"/>
  <c r="H725" i="1"/>
  <c r="G726" i="1"/>
  <c r="H726" i="1"/>
  <c r="G727" i="1"/>
  <c r="H727" i="1"/>
  <c r="G728" i="1"/>
  <c r="H728" i="1"/>
  <c r="G729" i="1"/>
  <c r="H729" i="1"/>
  <c r="G730" i="1"/>
  <c r="H730" i="1"/>
  <c r="G731" i="1"/>
  <c r="H731" i="1"/>
  <c r="G732" i="1"/>
  <c r="H732" i="1"/>
  <c r="G733" i="1"/>
  <c r="H733" i="1"/>
  <c r="G734" i="1"/>
  <c r="H734" i="1"/>
  <c r="G735" i="1"/>
  <c r="H735" i="1"/>
  <c r="G736" i="1"/>
  <c r="H736" i="1"/>
  <c r="G737" i="1"/>
  <c r="H737" i="1"/>
  <c r="G738" i="1"/>
  <c r="H738" i="1"/>
  <c r="G739" i="1"/>
  <c r="H739" i="1"/>
  <c r="G740" i="1"/>
  <c r="H740" i="1"/>
  <c r="G741" i="1"/>
  <c r="H741" i="1"/>
  <c r="G742" i="1"/>
  <c r="H742" i="1"/>
  <c r="G743" i="1"/>
  <c r="H743" i="1"/>
  <c r="G744" i="1"/>
  <c r="H744" i="1"/>
  <c r="G745" i="1"/>
  <c r="H745" i="1"/>
  <c r="G746" i="1"/>
  <c r="H746" i="1"/>
  <c r="G747" i="1"/>
  <c r="H747" i="1"/>
  <c r="G748" i="1"/>
  <c r="H748" i="1"/>
  <c r="G749" i="1"/>
  <c r="H749" i="1"/>
  <c r="G750" i="1"/>
  <c r="H750" i="1"/>
  <c r="G751" i="1"/>
  <c r="H751" i="1"/>
  <c r="G752" i="1"/>
  <c r="H752" i="1"/>
  <c r="G753" i="1"/>
  <c r="H753" i="1"/>
  <c r="G754" i="1"/>
  <c r="H754" i="1"/>
  <c r="G755" i="1"/>
  <c r="H755" i="1"/>
  <c r="G756" i="1"/>
  <c r="H756" i="1"/>
  <c r="G757" i="1"/>
  <c r="H757" i="1"/>
  <c r="G758" i="1"/>
  <c r="H758" i="1"/>
  <c r="G759" i="1"/>
  <c r="H759" i="1"/>
  <c r="G760" i="1"/>
  <c r="H760" i="1"/>
  <c r="G761" i="1"/>
  <c r="H761" i="1"/>
  <c r="G762" i="1"/>
  <c r="H762" i="1"/>
  <c r="G763" i="1"/>
  <c r="H763" i="1"/>
  <c r="G764" i="1"/>
  <c r="H764" i="1"/>
  <c r="G765" i="1"/>
  <c r="H765" i="1"/>
  <c r="G766" i="1"/>
  <c r="H766" i="1"/>
  <c r="G767" i="1"/>
  <c r="H767" i="1"/>
  <c r="G768" i="1"/>
  <c r="H768" i="1"/>
  <c r="G769" i="1"/>
  <c r="H769" i="1"/>
  <c r="G770" i="1"/>
  <c r="H770" i="1"/>
  <c r="G771" i="1"/>
  <c r="H771" i="1"/>
  <c r="G772" i="1"/>
  <c r="H772" i="1"/>
  <c r="G773" i="1"/>
  <c r="H773" i="1"/>
  <c r="G774" i="1"/>
  <c r="H774" i="1"/>
  <c r="G775" i="1"/>
  <c r="H775" i="1"/>
  <c r="G776" i="1"/>
  <c r="H776" i="1"/>
  <c r="G777" i="1"/>
  <c r="H777" i="1"/>
  <c r="G778" i="1"/>
  <c r="H778" i="1"/>
  <c r="G779" i="1"/>
  <c r="H779" i="1"/>
  <c r="G780" i="1"/>
  <c r="H780" i="1"/>
  <c r="G781" i="1"/>
  <c r="H781" i="1"/>
  <c r="G782" i="1"/>
  <c r="H782" i="1"/>
  <c r="G783" i="1"/>
  <c r="H783" i="1"/>
  <c r="G784" i="1"/>
  <c r="H784" i="1"/>
  <c r="G785" i="1"/>
  <c r="H785" i="1"/>
  <c r="G786" i="1"/>
  <c r="H786" i="1"/>
  <c r="G787" i="1"/>
  <c r="H787" i="1"/>
  <c r="G788" i="1"/>
  <c r="H788" i="1"/>
  <c r="G789" i="1"/>
  <c r="H789" i="1"/>
  <c r="G790" i="1"/>
  <c r="H790" i="1"/>
  <c r="G791" i="1"/>
  <c r="H791" i="1"/>
  <c r="G792" i="1"/>
  <c r="H792" i="1"/>
  <c r="G793" i="1"/>
  <c r="H793" i="1"/>
  <c r="G794" i="1"/>
  <c r="H794" i="1"/>
  <c r="G795" i="1"/>
  <c r="H795" i="1"/>
  <c r="G796" i="1"/>
  <c r="H796" i="1"/>
  <c r="G797" i="1"/>
  <c r="H797" i="1"/>
  <c r="G798" i="1"/>
  <c r="H798" i="1"/>
  <c r="G799" i="1"/>
  <c r="H799" i="1"/>
  <c r="G800" i="1"/>
  <c r="H800" i="1"/>
  <c r="G801" i="1"/>
  <c r="H801" i="1"/>
  <c r="G802" i="1"/>
  <c r="H802" i="1"/>
  <c r="G803" i="1"/>
  <c r="H803" i="1"/>
  <c r="G804" i="1"/>
  <c r="H804" i="1"/>
  <c r="G805" i="1"/>
  <c r="H805" i="1"/>
  <c r="G806" i="1"/>
  <c r="H806" i="1"/>
  <c r="G807" i="1"/>
  <c r="H807" i="1"/>
  <c r="G808" i="1"/>
  <c r="H808" i="1"/>
  <c r="G809" i="1"/>
  <c r="H809" i="1"/>
  <c r="G810" i="1"/>
  <c r="H810" i="1"/>
  <c r="G811" i="1"/>
  <c r="H811" i="1"/>
  <c r="G812" i="1"/>
  <c r="H812" i="1"/>
  <c r="G813" i="1"/>
  <c r="H813" i="1"/>
  <c r="G814" i="1"/>
  <c r="H814" i="1"/>
  <c r="G815" i="1"/>
  <c r="H815" i="1"/>
  <c r="G816" i="1"/>
  <c r="H816" i="1"/>
  <c r="G817" i="1"/>
  <c r="H817" i="1"/>
  <c r="G818" i="1"/>
  <c r="H818" i="1"/>
  <c r="G819" i="1"/>
  <c r="H819" i="1"/>
  <c r="G820" i="1"/>
  <c r="H820" i="1"/>
  <c r="G821" i="1"/>
  <c r="H821" i="1"/>
  <c r="G822" i="1"/>
  <c r="H822" i="1"/>
  <c r="G823" i="1"/>
  <c r="H823" i="1"/>
  <c r="G824" i="1"/>
  <c r="H824" i="1"/>
  <c r="G825" i="1"/>
  <c r="H825" i="1"/>
  <c r="G826" i="1"/>
  <c r="H826" i="1"/>
  <c r="G827" i="1"/>
  <c r="H827" i="1"/>
  <c r="G828" i="1"/>
  <c r="H828" i="1"/>
  <c r="G829" i="1"/>
  <c r="H829" i="1"/>
  <c r="G830" i="1"/>
  <c r="H830" i="1"/>
  <c r="G831" i="1"/>
  <c r="H831" i="1"/>
  <c r="G832" i="1"/>
  <c r="H832" i="1"/>
  <c r="G833" i="1"/>
  <c r="H833" i="1"/>
  <c r="G834" i="1"/>
  <c r="H834" i="1"/>
  <c r="G835" i="1"/>
  <c r="H835" i="1"/>
  <c r="G836" i="1"/>
  <c r="H836" i="1"/>
  <c r="G837" i="1"/>
  <c r="H837" i="1"/>
  <c r="G838" i="1"/>
  <c r="H838" i="1"/>
  <c r="G839" i="1"/>
  <c r="H839" i="1"/>
  <c r="G840" i="1"/>
  <c r="H840" i="1"/>
  <c r="G841" i="1"/>
  <c r="H841" i="1"/>
  <c r="G842" i="1"/>
  <c r="H842" i="1"/>
  <c r="G843" i="1"/>
  <c r="H843" i="1"/>
  <c r="G844" i="1"/>
  <c r="H844" i="1"/>
  <c r="G845" i="1"/>
  <c r="H845" i="1"/>
  <c r="G846" i="1"/>
  <c r="H846" i="1"/>
  <c r="G847" i="1"/>
  <c r="H847" i="1"/>
  <c r="G848" i="1"/>
  <c r="H848" i="1"/>
  <c r="G849" i="1"/>
  <c r="H849" i="1"/>
  <c r="G850" i="1"/>
  <c r="H850" i="1"/>
  <c r="G851" i="1"/>
  <c r="H851" i="1"/>
  <c r="G852" i="1"/>
  <c r="H852" i="1"/>
  <c r="G853" i="1"/>
  <c r="H853" i="1"/>
  <c r="G854" i="1"/>
  <c r="H854" i="1"/>
  <c r="G855" i="1"/>
  <c r="H855" i="1"/>
  <c r="G856" i="1"/>
  <c r="H856" i="1"/>
  <c r="G857" i="1"/>
  <c r="H857" i="1"/>
  <c r="G858" i="1"/>
  <c r="H858" i="1"/>
  <c r="G859" i="1"/>
  <c r="H859" i="1"/>
  <c r="G860" i="1"/>
  <c r="H860" i="1"/>
  <c r="G861" i="1"/>
  <c r="H861" i="1"/>
  <c r="G862" i="1"/>
  <c r="H862" i="1"/>
  <c r="G863" i="1"/>
  <c r="H863" i="1"/>
  <c r="G864" i="1"/>
  <c r="H864" i="1"/>
  <c r="G865" i="1"/>
  <c r="H865" i="1"/>
  <c r="G866" i="1"/>
  <c r="H866" i="1"/>
  <c r="G867" i="1"/>
  <c r="H867" i="1"/>
  <c r="G868" i="1"/>
  <c r="H868" i="1"/>
  <c r="G869" i="1"/>
  <c r="H869" i="1"/>
  <c r="G870" i="1"/>
  <c r="H870" i="1"/>
  <c r="G871" i="1"/>
  <c r="H871" i="1"/>
  <c r="G872" i="1"/>
  <c r="H872" i="1"/>
  <c r="G873" i="1"/>
  <c r="H873" i="1"/>
  <c r="G874" i="1"/>
  <c r="H874" i="1"/>
  <c r="G875" i="1"/>
  <c r="H875" i="1"/>
  <c r="G876" i="1"/>
  <c r="H876" i="1"/>
  <c r="G877" i="1"/>
  <c r="H877" i="1"/>
  <c r="G878" i="1"/>
  <c r="H878" i="1"/>
  <c r="G879" i="1"/>
  <c r="H879" i="1"/>
  <c r="G880" i="1"/>
  <c r="H880" i="1"/>
  <c r="G881" i="1"/>
  <c r="H881" i="1"/>
  <c r="G882" i="1"/>
  <c r="H882" i="1"/>
  <c r="G883" i="1"/>
  <c r="H883" i="1"/>
  <c r="G884" i="1"/>
  <c r="H884" i="1"/>
  <c r="G885" i="1"/>
  <c r="H885" i="1"/>
  <c r="G886" i="1"/>
  <c r="H886" i="1"/>
  <c r="G887" i="1"/>
  <c r="H887" i="1"/>
  <c r="G888" i="1"/>
  <c r="H888" i="1"/>
  <c r="G889" i="1"/>
  <c r="H889" i="1"/>
  <c r="G890" i="1"/>
  <c r="H890" i="1"/>
  <c r="G891" i="1"/>
  <c r="H891" i="1"/>
  <c r="G892" i="1"/>
  <c r="H892" i="1"/>
  <c r="G893" i="1"/>
  <c r="H893" i="1"/>
  <c r="G894" i="1"/>
  <c r="H894" i="1"/>
  <c r="G895" i="1"/>
  <c r="H895" i="1"/>
  <c r="G896" i="1"/>
  <c r="H896" i="1"/>
  <c r="G897" i="1"/>
  <c r="H897" i="1"/>
  <c r="G898" i="1"/>
  <c r="H898" i="1"/>
  <c r="G899" i="1"/>
  <c r="H899" i="1"/>
  <c r="G900" i="1"/>
  <c r="H900" i="1"/>
  <c r="G901" i="1"/>
  <c r="H901" i="1"/>
  <c r="G902" i="1"/>
  <c r="H902" i="1"/>
  <c r="G903" i="1"/>
  <c r="H903" i="1"/>
  <c r="G904" i="1"/>
  <c r="H904" i="1"/>
  <c r="G905" i="1"/>
  <c r="H905" i="1"/>
  <c r="G906" i="1"/>
  <c r="H906" i="1"/>
  <c r="G907" i="1"/>
  <c r="H907" i="1"/>
  <c r="G908" i="1"/>
  <c r="H908" i="1"/>
  <c r="G909" i="1"/>
  <c r="H909" i="1"/>
  <c r="G910" i="1"/>
  <c r="H910" i="1"/>
  <c r="G911" i="1"/>
  <c r="H911" i="1"/>
  <c r="G912" i="1"/>
  <c r="H912" i="1"/>
  <c r="G913" i="1"/>
  <c r="H913" i="1"/>
  <c r="G914" i="1"/>
  <c r="H914" i="1"/>
  <c r="G915" i="1"/>
  <c r="H915" i="1"/>
  <c r="G916" i="1"/>
  <c r="H916" i="1"/>
  <c r="G917" i="1"/>
  <c r="H917" i="1"/>
  <c r="G918" i="1"/>
  <c r="H918" i="1"/>
  <c r="G919" i="1"/>
  <c r="H919" i="1"/>
  <c r="G920" i="1"/>
  <c r="H920" i="1"/>
  <c r="G921" i="1"/>
  <c r="H921" i="1"/>
  <c r="G922" i="1"/>
  <c r="H922" i="1"/>
  <c r="G923" i="1"/>
  <c r="H923" i="1"/>
  <c r="G924" i="1"/>
  <c r="H924" i="1"/>
  <c r="G925" i="1"/>
  <c r="H925" i="1"/>
  <c r="G926" i="1"/>
  <c r="H926" i="1"/>
  <c r="G927" i="1"/>
  <c r="H927" i="1"/>
  <c r="G928" i="1"/>
  <c r="H928" i="1"/>
  <c r="G929" i="1"/>
  <c r="H929" i="1"/>
  <c r="G930" i="1"/>
  <c r="H930" i="1"/>
  <c r="G931" i="1"/>
  <c r="H931" i="1"/>
  <c r="G932" i="1"/>
  <c r="H932" i="1"/>
  <c r="G933" i="1"/>
  <c r="H933" i="1"/>
  <c r="G934" i="1"/>
  <c r="H934" i="1"/>
  <c r="G935" i="1"/>
  <c r="H935" i="1"/>
  <c r="G936" i="1"/>
  <c r="H936" i="1"/>
  <c r="G937" i="1"/>
  <c r="H937" i="1"/>
  <c r="G938" i="1"/>
  <c r="H938" i="1"/>
  <c r="G939" i="1"/>
  <c r="H939" i="1"/>
  <c r="G940" i="1"/>
  <c r="H940" i="1"/>
  <c r="G941" i="1"/>
  <c r="H941" i="1"/>
  <c r="G942" i="1"/>
  <c r="H942" i="1"/>
  <c r="G943" i="1"/>
  <c r="H943" i="1"/>
  <c r="G944" i="1"/>
  <c r="H944" i="1"/>
  <c r="G945" i="1"/>
  <c r="H945" i="1"/>
  <c r="G946" i="1"/>
  <c r="H946" i="1"/>
  <c r="G947" i="1"/>
  <c r="H947" i="1"/>
  <c r="G948" i="1"/>
  <c r="H948" i="1"/>
  <c r="G949" i="1"/>
  <c r="H949" i="1"/>
  <c r="G950" i="1"/>
  <c r="H950" i="1"/>
  <c r="G951" i="1"/>
  <c r="H951" i="1"/>
  <c r="G952" i="1"/>
  <c r="H952" i="1"/>
  <c r="G953" i="1"/>
  <c r="H953" i="1"/>
  <c r="G954" i="1"/>
  <c r="H954" i="1"/>
  <c r="G955" i="1"/>
  <c r="H955" i="1"/>
  <c r="G956" i="1"/>
  <c r="H956" i="1"/>
  <c r="G957" i="1"/>
  <c r="H957" i="1"/>
  <c r="G958" i="1"/>
  <c r="H958" i="1"/>
  <c r="G959" i="1"/>
  <c r="H959" i="1"/>
  <c r="G960" i="1"/>
  <c r="H960" i="1"/>
  <c r="G961" i="1"/>
  <c r="H961" i="1"/>
  <c r="G962" i="1"/>
  <c r="H962" i="1"/>
  <c r="G963" i="1"/>
  <c r="H963" i="1"/>
  <c r="G964" i="1"/>
  <c r="H964" i="1"/>
  <c r="G965" i="1"/>
  <c r="H965" i="1"/>
  <c r="G966" i="1"/>
  <c r="H966" i="1"/>
  <c r="G967" i="1"/>
  <c r="H967" i="1"/>
  <c r="G968" i="1"/>
  <c r="H968" i="1"/>
  <c r="G969" i="1"/>
  <c r="H969" i="1"/>
  <c r="G970" i="1"/>
  <c r="H970" i="1"/>
  <c r="G971" i="1"/>
  <c r="H971" i="1"/>
  <c r="G972" i="1"/>
  <c r="H972" i="1"/>
  <c r="G973" i="1"/>
  <c r="H973" i="1"/>
  <c r="G974" i="1"/>
  <c r="H974" i="1"/>
  <c r="G975" i="1"/>
  <c r="H975" i="1"/>
  <c r="G976" i="1"/>
  <c r="H976" i="1"/>
  <c r="G977" i="1"/>
  <c r="H977" i="1"/>
  <c r="G978" i="1"/>
  <c r="H978" i="1"/>
  <c r="G979" i="1"/>
  <c r="H979" i="1"/>
  <c r="G980" i="1"/>
  <c r="H980" i="1"/>
  <c r="G981" i="1"/>
  <c r="H981" i="1"/>
  <c r="G982" i="1"/>
  <c r="H982" i="1"/>
  <c r="G983" i="1"/>
  <c r="H983" i="1"/>
  <c r="G984" i="1"/>
  <c r="H984" i="1"/>
  <c r="G985" i="1"/>
  <c r="H985" i="1"/>
  <c r="G986" i="1"/>
  <c r="H986" i="1"/>
  <c r="G987" i="1"/>
  <c r="H987" i="1"/>
  <c r="G988" i="1"/>
  <c r="H988" i="1"/>
  <c r="G989" i="1"/>
  <c r="H989" i="1"/>
  <c r="G990" i="1"/>
  <c r="H990" i="1"/>
  <c r="G991" i="1"/>
  <c r="H991" i="1"/>
  <c r="G992" i="1"/>
  <c r="H992" i="1"/>
  <c r="G993" i="1"/>
  <c r="H993" i="1"/>
  <c r="G994" i="1"/>
  <c r="H994" i="1"/>
  <c r="G995" i="1"/>
  <c r="H995" i="1"/>
  <c r="G996" i="1"/>
  <c r="H996" i="1"/>
  <c r="G997" i="1"/>
  <c r="H997" i="1"/>
  <c r="G998" i="1"/>
  <c r="H998" i="1"/>
  <c r="G999" i="1"/>
  <c r="H999" i="1"/>
  <c r="G1000" i="1"/>
  <c r="H1000" i="1"/>
  <c r="G1001" i="1"/>
  <c r="H1001" i="1"/>
  <c r="G1002" i="1"/>
  <c r="H1002" i="1"/>
  <c r="G1003" i="1"/>
  <c r="H1003" i="1"/>
  <c r="G1004" i="1"/>
  <c r="H1004" i="1"/>
  <c r="G1005" i="1"/>
  <c r="H1005" i="1"/>
  <c r="G1006" i="1"/>
  <c r="H1006" i="1"/>
  <c r="G1007" i="1"/>
  <c r="H1007" i="1"/>
  <c r="G1008" i="1"/>
  <c r="H1008" i="1"/>
  <c r="G1009" i="1"/>
  <c r="H1009" i="1"/>
  <c r="G1010" i="1"/>
  <c r="H1010" i="1"/>
  <c r="G1011" i="1"/>
  <c r="H1011" i="1"/>
  <c r="G1012" i="1"/>
  <c r="H1012" i="1"/>
  <c r="G1013" i="1"/>
  <c r="H1013" i="1"/>
  <c r="G1014" i="1"/>
  <c r="H1014" i="1"/>
  <c r="G1015" i="1"/>
  <c r="H1015" i="1"/>
  <c r="G1016" i="1"/>
  <c r="H1016" i="1"/>
  <c r="G1017" i="1"/>
  <c r="H1017" i="1"/>
  <c r="G1018" i="1"/>
  <c r="H1018" i="1"/>
  <c r="G1019" i="1"/>
  <c r="H1019" i="1"/>
  <c r="G1020" i="1"/>
  <c r="H1020" i="1"/>
  <c r="G1021" i="1"/>
  <c r="H1021" i="1"/>
  <c r="G1022" i="1"/>
  <c r="H1022" i="1"/>
  <c r="G1023" i="1"/>
  <c r="H1023" i="1"/>
  <c r="G1024" i="1"/>
  <c r="H1024" i="1"/>
  <c r="G1025" i="1"/>
  <c r="H1025" i="1"/>
  <c r="G1026" i="1"/>
  <c r="H1026" i="1"/>
  <c r="G1027" i="1"/>
  <c r="H1027" i="1"/>
  <c r="G1028" i="1"/>
  <c r="H1028" i="1"/>
  <c r="G1029" i="1"/>
  <c r="H1029" i="1"/>
  <c r="G1030" i="1"/>
  <c r="H1030" i="1"/>
  <c r="G1031" i="1"/>
  <c r="H1031" i="1"/>
  <c r="G1032" i="1"/>
  <c r="H1032" i="1"/>
  <c r="G1033" i="1"/>
  <c r="H1033" i="1"/>
  <c r="G1034" i="1"/>
  <c r="H1034" i="1"/>
  <c r="G1035" i="1"/>
  <c r="H1035" i="1"/>
  <c r="G1036" i="1"/>
  <c r="H1036" i="1"/>
  <c r="G1037" i="1"/>
  <c r="H1037" i="1"/>
  <c r="G1038" i="1"/>
  <c r="H1038" i="1"/>
  <c r="G1039" i="1"/>
  <c r="H1039" i="1"/>
  <c r="G1040" i="1"/>
  <c r="H1040" i="1"/>
  <c r="G1041" i="1"/>
  <c r="H1041" i="1"/>
  <c r="G1042" i="1"/>
  <c r="H1042" i="1"/>
  <c r="G1043" i="1"/>
  <c r="H1043" i="1"/>
  <c r="G1044" i="1"/>
  <c r="H1044" i="1"/>
  <c r="G1045" i="1"/>
  <c r="H1045" i="1"/>
  <c r="G1046" i="1"/>
  <c r="H1046" i="1"/>
  <c r="G1047" i="1"/>
  <c r="H1047" i="1"/>
  <c r="G1048" i="1"/>
  <c r="H1048" i="1"/>
  <c r="G1049" i="1"/>
  <c r="H1049" i="1"/>
  <c r="G1050" i="1"/>
  <c r="H1050" i="1"/>
  <c r="G1051" i="1"/>
  <c r="H1051" i="1"/>
  <c r="G1052" i="1"/>
  <c r="H1052" i="1"/>
  <c r="G1053" i="1"/>
  <c r="H1053" i="1"/>
  <c r="G1054" i="1"/>
  <c r="H1054" i="1"/>
  <c r="G1055" i="1"/>
  <c r="H1055" i="1"/>
  <c r="G1056" i="1"/>
  <c r="H1056" i="1"/>
  <c r="G1057" i="1"/>
  <c r="H1057" i="1"/>
  <c r="G1058" i="1"/>
  <c r="H1058" i="1"/>
  <c r="G1059" i="1"/>
  <c r="H1059" i="1"/>
  <c r="G1060" i="1"/>
  <c r="H1060" i="1"/>
  <c r="G1061" i="1"/>
  <c r="H1061" i="1"/>
  <c r="G1062" i="1"/>
  <c r="H1062" i="1"/>
  <c r="G1063" i="1"/>
  <c r="H1063" i="1"/>
  <c r="G1064" i="1"/>
  <c r="H1064" i="1"/>
  <c r="G1065" i="1"/>
  <c r="H1065" i="1"/>
  <c r="G1066" i="1"/>
  <c r="H1066" i="1"/>
  <c r="G1067" i="1"/>
  <c r="H1067" i="1"/>
  <c r="G1068" i="1"/>
  <c r="H1068" i="1"/>
  <c r="G1069" i="1"/>
  <c r="H1069" i="1"/>
  <c r="G1070" i="1"/>
  <c r="H1070" i="1"/>
  <c r="G1071" i="1"/>
  <c r="H1071" i="1"/>
  <c r="G1072" i="1"/>
  <c r="H1072" i="1"/>
  <c r="G1073" i="1"/>
  <c r="H1073" i="1"/>
  <c r="G1074" i="1"/>
  <c r="H1074" i="1"/>
  <c r="G1075" i="1"/>
  <c r="H1075" i="1"/>
  <c r="G1076" i="1"/>
  <c r="H1076" i="1"/>
  <c r="G1077" i="1"/>
  <c r="H1077" i="1"/>
  <c r="G1078" i="1"/>
  <c r="H1078" i="1"/>
  <c r="G1079" i="1"/>
  <c r="H1079" i="1"/>
  <c r="G1080" i="1"/>
  <c r="H1080" i="1"/>
  <c r="G1081" i="1"/>
  <c r="H1081" i="1"/>
  <c r="G1082" i="1"/>
  <c r="H1082" i="1"/>
  <c r="G1083" i="1"/>
  <c r="H1083" i="1"/>
  <c r="G1084" i="1"/>
  <c r="H1084" i="1"/>
  <c r="G1085" i="1"/>
  <c r="H1085" i="1"/>
  <c r="G1086" i="1"/>
  <c r="H1086" i="1"/>
  <c r="G1087" i="1"/>
  <c r="H1087" i="1"/>
  <c r="G1088" i="1"/>
  <c r="H1088" i="1"/>
  <c r="G1089" i="1"/>
  <c r="H1089" i="1"/>
  <c r="G1090" i="1"/>
  <c r="H1090" i="1"/>
  <c r="G1091" i="1"/>
  <c r="H1091" i="1"/>
  <c r="G1092" i="1"/>
  <c r="H1092" i="1"/>
  <c r="G1093" i="1"/>
  <c r="H1093" i="1"/>
  <c r="G1094" i="1"/>
  <c r="H1094" i="1"/>
  <c r="G1095" i="1"/>
  <c r="H1095" i="1"/>
  <c r="G1096" i="1"/>
  <c r="H1096" i="1"/>
  <c r="G1097" i="1"/>
  <c r="H1097" i="1"/>
  <c r="G1098" i="1"/>
  <c r="H1098" i="1"/>
  <c r="G1099" i="1"/>
  <c r="H1099" i="1"/>
  <c r="G1100" i="1"/>
  <c r="H1100" i="1"/>
  <c r="G1101" i="1"/>
  <c r="H1101" i="1"/>
  <c r="G1102" i="1"/>
  <c r="H1102" i="1"/>
  <c r="G1103" i="1"/>
  <c r="H1103" i="1"/>
  <c r="G1104" i="1"/>
  <c r="H1104" i="1"/>
  <c r="G1105" i="1"/>
  <c r="H1105" i="1"/>
  <c r="G1106" i="1"/>
  <c r="H1106" i="1"/>
  <c r="G1107" i="1"/>
  <c r="H1107" i="1"/>
  <c r="G1108" i="1"/>
  <c r="H1108" i="1"/>
  <c r="G1109" i="1"/>
  <c r="H1109" i="1"/>
  <c r="G1110" i="1"/>
  <c r="H1110" i="1"/>
  <c r="G1111" i="1"/>
  <c r="H1111" i="1"/>
  <c r="G1112" i="1"/>
  <c r="H1112" i="1"/>
  <c r="G1113" i="1"/>
  <c r="H1113" i="1"/>
  <c r="G1114" i="1"/>
  <c r="H1114" i="1"/>
  <c r="G1115" i="1"/>
  <c r="H1115" i="1"/>
  <c r="G1116" i="1"/>
  <c r="H1116" i="1"/>
  <c r="G1117" i="1"/>
  <c r="H1117" i="1"/>
  <c r="G1118" i="1"/>
  <c r="H1118" i="1"/>
  <c r="G1119" i="1"/>
  <c r="H1119" i="1"/>
  <c r="G1120" i="1"/>
  <c r="H1120" i="1"/>
  <c r="G1121" i="1"/>
  <c r="H1121" i="1"/>
  <c r="G1122" i="1"/>
  <c r="H1122" i="1"/>
  <c r="G1123" i="1"/>
  <c r="H1123" i="1"/>
  <c r="G1124" i="1"/>
  <c r="H1124" i="1"/>
  <c r="G1125" i="1"/>
  <c r="H1125" i="1"/>
  <c r="G1126" i="1"/>
  <c r="H1126" i="1"/>
  <c r="G1127" i="1"/>
  <c r="H1127" i="1"/>
  <c r="G1128" i="1"/>
  <c r="H1128" i="1"/>
  <c r="G1129" i="1"/>
  <c r="H1129" i="1"/>
  <c r="G1130" i="1"/>
  <c r="H1130" i="1"/>
  <c r="G1131" i="1"/>
  <c r="H1131" i="1"/>
  <c r="G1132" i="1"/>
  <c r="H1132" i="1"/>
  <c r="G1133" i="1"/>
  <c r="H1133" i="1"/>
  <c r="G1134" i="1"/>
  <c r="H1134" i="1"/>
  <c r="G1135" i="1"/>
  <c r="H1135" i="1"/>
  <c r="G1136" i="1"/>
  <c r="H1136" i="1"/>
  <c r="G1137" i="1"/>
  <c r="H1137" i="1"/>
  <c r="G1138" i="1"/>
  <c r="H1138" i="1"/>
  <c r="G1139" i="1"/>
  <c r="H1139" i="1"/>
  <c r="G1140" i="1"/>
  <c r="H1140" i="1"/>
  <c r="G1141" i="1"/>
  <c r="H1141" i="1"/>
  <c r="G1142" i="1"/>
  <c r="H1142" i="1"/>
  <c r="G1143" i="1"/>
  <c r="H1143" i="1"/>
  <c r="G1144" i="1"/>
  <c r="H1144" i="1"/>
  <c r="G1145" i="1"/>
  <c r="H1145" i="1"/>
  <c r="G1146" i="1"/>
  <c r="H1146" i="1"/>
  <c r="G1147" i="1"/>
  <c r="H1147" i="1"/>
  <c r="G1148" i="1"/>
  <c r="H1148" i="1"/>
  <c r="G1149" i="1"/>
  <c r="H1149" i="1"/>
  <c r="G1150" i="1"/>
  <c r="H1150" i="1"/>
  <c r="G1151" i="1"/>
  <c r="H1151" i="1"/>
  <c r="G1152" i="1"/>
  <c r="H1152" i="1"/>
  <c r="G1153" i="1"/>
  <c r="H1153" i="1"/>
  <c r="G1154" i="1"/>
  <c r="H1154" i="1"/>
  <c r="G1155" i="1"/>
  <c r="H1155" i="1"/>
  <c r="G1156" i="1"/>
  <c r="H1156" i="1"/>
  <c r="G1157" i="1"/>
  <c r="H1157" i="1"/>
  <c r="G1158" i="1"/>
  <c r="H1158" i="1"/>
  <c r="G1159" i="1"/>
  <c r="H1159" i="1"/>
  <c r="G1160" i="1"/>
  <c r="H1160" i="1"/>
  <c r="G1161" i="1"/>
  <c r="H1161" i="1"/>
  <c r="G1162" i="1"/>
  <c r="H1162" i="1"/>
  <c r="G1163" i="1"/>
  <c r="H1163" i="1"/>
  <c r="G1164" i="1"/>
  <c r="H1164" i="1"/>
  <c r="G1165" i="1"/>
  <c r="H1165" i="1"/>
  <c r="G1166" i="1"/>
  <c r="H1166" i="1"/>
  <c r="G1167" i="1"/>
  <c r="H1167" i="1"/>
  <c r="G1168" i="1"/>
  <c r="H1168" i="1"/>
  <c r="G1169" i="1"/>
  <c r="H1169" i="1"/>
  <c r="G1170" i="1"/>
  <c r="H1170" i="1"/>
  <c r="G1171" i="1"/>
  <c r="H1171" i="1"/>
  <c r="G1172" i="1"/>
  <c r="H1172" i="1"/>
  <c r="G1173" i="1"/>
  <c r="H1173" i="1"/>
  <c r="G1174" i="1"/>
  <c r="H1174" i="1"/>
  <c r="G1175" i="1"/>
  <c r="H1175" i="1"/>
  <c r="G1176" i="1"/>
  <c r="H1176" i="1"/>
  <c r="G1177" i="1"/>
  <c r="H1177" i="1"/>
  <c r="G1178" i="1"/>
  <c r="H1178" i="1"/>
  <c r="G1179" i="1"/>
  <c r="H1179" i="1"/>
  <c r="G1180" i="1"/>
  <c r="H1180" i="1"/>
  <c r="G1181" i="1"/>
  <c r="H1181" i="1"/>
  <c r="G1182" i="1"/>
  <c r="H1182" i="1"/>
  <c r="G1183" i="1"/>
  <c r="H1183" i="1"/>
  <c r="G1184" i="1"/>
  <c r="H1184" i="1"/>
  <c r="G1185" i="1"/>
  <c r="H1185" i="1"/>
  <c r="G1186" i="1"/>
  <c r="H1186" i="1"/>
  <c r="G1187" i="1"/>
  <c r="H1187" i="1"/>
  <c r="G1188" i="1"/>
  <c r="H1188" i="1"/>
  <c r="G1189" i="1"/>
  <c r="H1189" i="1"/>
  <c r="G1190" i="1"/>
  <c r="H1190" i="1"/>
  <c r="G1191" i="1"/>
  <c r="H1191" i="1"/>
  <c r="G1192" i="1"/>
  <c r="H1192" i="1"/>
  <c r="G1193" i="1"/>
  <c r="H1193" i="1"/>
  <c r="G1194" i="1"/>
  <c r="H1194" i="1"/>
  <c r="G1195" i="1"/>
  <c r="H1195" i="1"/>
  <c r="G1196" i="1"/>
  <c r="H1196" i="1"/>
  <c r="G1197" i="1"/>
  <c r="H1197" i="1"/>
  <c r="G1198" i="1"/>
  <c r="H1198" i="1"/>
  <c r="G1199" i="1"/>
  <c r="H1199" i="1"/>
  <c r="G1200" i="1"/>
  <c r="H1200" i="1"/>
  <c r="G1201" i="1"/>
  <c r="H1201" i="1"/>
  <c r="G1202" i="1"/>
  <c r="H1202" i="1"/>
  <c r="G1203" i="1"/>
  <c r="H1203" i="1"/>
  <c r="G1204" i="1"/>
  <c r="H1204" i="1"/>
  <c r="G1205" i="1"/>
  <c r="H1205" i="1"/>
  <c r="G1206" i="1"/>
  <c r="H1206" i="1"/>
  <c r="G1207" i="1"/>
  <c r="H1207" i="1"/>
  <c r="G1208" i="1"/>
  <c r="H1208" i="1"/>
  <c r="G1209" i="1"/>
  <c r="H1209" i="1"/>
  <c r="G1210" i="1"/>
  <c r="H1210" i="1"/>
  <c r="G1211" i="1"/>
  <c r="H1211" i="1"/>
  <c r="G1212" i="1"/>
  <c r="H1212" i="1"/>
  <c r="G1213" i="1"/>
  <c r="H1213" i="1"/>
  <c r="G1214" i="1"/>
  <c r="H1214" i="1"/>
  <c r="G1215" i="1"/>
  <c r="H1215" i="1"/>
  <c r="G1216" i="1"/>
  <c r="H1216" i="1"/>
  <c r="G1217" i="1"/>
  <c r="H1217" i="1"/>
  <c r="G1218" i="1"/>
  <c r="H1218" i="1"/>
  <c r="G1219" i="1"/>
  <c r="H1219" i="1"/>
  <c r="G1220" i="1"/>
  <c r="H1220" i="1"/>
  <c r="G1221" i="1"/>
  <c r="H1221" i="1"/>
  <c r="G1222" i="1"/>
  <c r="H1222" i="1"/>
  <c r="G1223" i="1"/>
  <c r="H1223" i="1"/>
  <c r="G1224" i="1"/>
  <c r="H1224" i="1"/>
  <c r="G1225" i="1"/>
  <c r="H1225" i="1"/>
  <c r="G1226" i="1"/>
  <c r="H1226" i="1"/>
  <c r="G1227" i="1"/>
  <c r="H1227" i="1"/>
  <c r="G1228" i="1"/>
  <c r="H1228" i="1"/>
  <c r="G1229" i="1"/>
  <c r="H1229" i="1"/>
  <c r="G1230" i="1"/>
  <c r="H1230" i="1"/>
  <c r="G1231" i="1"/>
  <c r="H1231" i="1"/>
  <c r="G1232" i="1"/>
  <c r="H1232" i="1"/>
  <c r="G1233" i="1"/>
  <c r="H1233" i="1"/>
  <c r="G1234" i="1"/>
  <c r="H1234" i="1"/>
  <c r="G1235" i="1"/>
  <c r="H1235" i="1"/>
  <c r="G1236" i="1"/>
  <c r="H1236" i="1"/>
  <c r="G1237" i="1"/>
  <c r="H1237" i="1"/>
  <c r="G1238" i="1"/>
  <c r="H1238" i="1"/>
  <c r="G1239" i="1"/>
  <c r="H1239" i="1"/>
  <c r="G1240" i="1"/>
  <c r="H1240" i="1"/>
  <c r="G1241" i="1"/>
  <c r="H1241" i="1"/>
  <c r="G1242" i="1"/>
  <c r="H1242" i="1"/>
  <c r="G1243" i="1"/>
  <c r="H1243" i="1"/>
  <c r="G1244" i="1"/>
  <c r="H1244" i="1"/>
  <c r="G1245" i="1"/>
  <c r="H1245" i="1"/>
  <c r="G1246" i="1"/>
  <c r="H1246" i="1"/>
  <c r="G1247" i="1"/>
  <c r="H1247" i="1"/>
  <c r="G1248" i="1"/>
  <c r="H1248" i="1"/>
  <c r="G1249" i="1"/>
  <c r="H1249" i="1"/>
  <c r="G1250" i="1"/>
  <c r="H1250" i="1"/>
  <c r="G1251" i="1"/>
  <c r="H1251" i="1"/>
  <c r="G1252" i="1"/>
  <c r="H1252" i="1"/>
  <c r="G1253" i="1"/>
  <c r="H1253" i="1"/>
  <c r="G1254" i="1"/>
  <c r="H1254" i="1"/>
  <c r="G1255" i="1"/>
  <c r="H1255" i="1"/>
  <c r="G1256" i="1"/>
  <c r="H1256" i="1"/>
  <c r="G1257" i="1"/>
  <c r="H1257" i="1"/>
  <c r="G1258" i="1"/>
  <c r="H1258" i="1"/>
  <c r="G1259" i="1"/>
  <c r="H1259" i="1"/>
  <c r="G1260" i="1"/>
  <c r="H1260" i="1"/>
  <c r="G1261" i="1"/>
  <c r="H1261" i="1"/>
  <c r="G1262" i="1"/>
  <c r="H1262" i="1"/>
  <c r="G1263" i="1"/>
  <c r="H1263" i="1"/>
  <c r="G1264" i="1"/>
  <c r="H1264" i="1"/>
  <c r="G1265" i="1"/>
  <c r="H1265" i="1"/>
  <c r="G1266" i="1"/>
  <c r="H1266" i="1"/>
  <c r="G1267" i="1"/>
  <c r="H1267" i="1"/>
  <c r="G1268" i="1"/>
  <c r="H1268" i="1"/>
  <c r="G1269" i="1"/>
  <c r="H1269" i="1"/>
  <c r="G1270" i="1"/>
  <c r="H1270" i="1"/>
  <c r="G1271" i="1"/>
  <c r="H1271" i="1"/>
  <c r="G1272" i="1"/>
  <c r="H1272" i="1"/>
  <c r="G1273" i="1"/>
  <c r="H1273" i="1"/>
  <c r="G1274" i="1"/>
  <c r="H1274" i="1"/>
  <c r="G1275" i="1"/>
  <c r="H1275" i="1"/>
  <c r="G1276" i="1"/>
  <c r="H1276" i="1"/>
  <c r="G1277" i="1"/>
  <c r="H1277" i="1"/>
  <c r="G1278" i="1"/>
  <c r="H1278" i="1"/>
  <c r="G1279" i="1"/>
  <c r="H1279" i="1"/>
  <c r="G1280" i="1"/>
  <c r="H1280" i="1"/>
  <c r="G1281" i="1"/>
  <c r="H1281" i="1"/>
  <c r="G1282" i="1"/>
  <c r="H1282" i="1"/>
  <c r="G1283" i="1"/>
  <c r="H1283" i="1"/>
  <c r="G1284" i="1"/>
  <c r="H1284" i="1"/>
  <c r="G1285" i="1"/>
  <c r="H1285" i="1"/>
  <c r="G1286" i="1"/>
  <c r="H1286" i="1"/>
  <c r="G1287" i="1"/>
  <c r="H1287" i="1"/>
  <c r="G1288" i="1"/>
  <c r="H1288" i="1"/>
  <c r="G1289" i="1"/>
  <c r="H1289" i="1"/>
  <c r="G1290" i="1"/>
  <c r="H1290" i="1"/>
  <c r="G1291" i="1"/>
  <c r="H1291" i="1"/>
  <c r="G1292" i="1"/>
  <c r="H1292" i="1"/>
  <c r="G1293" i="1"/>
  <c r="H1293" i="1"/>
  <c r="G1294" i="1"/>
  <c r="H1294" i="1"/>
  <c r="G1295" i="1"/>
  <c r="H1295" i="1"/>
  <c r="G1296" i="1"/>
  <c r="H1296" i="1"/>
  <c r="G1297" i="1"/>
  <c r="H1297" i="1"/>
  <c r="G1298" i="1"/>
  <c r="H1298" i="1"/>
  <c r="G1299" i="1"/>
  <c r="H1299" i="1"/>
  <c r="G1300" i="1"/>
  <c r="H1300" i="1"/>
  <c r="G1301" i="1"/>
  <c r="H1301" i="1"/>
  <c r="G1302" i="1"/>
  <c r="H1302" i="1"/>
  <c r="G1303" i="1"/>
  <c r="H1303" i="1"/>
  <c r="G1304" i="1"/>
  <c r="H1304" i="1"/>
  <c r="G1305" i="1"/>
  <c r="H1305" i="1"/>
  <c r="G1306" i="1"/>
  <c r="H1306" i="1"/>
  <c r="G1307" i="1"/>
  <c r="H1307" i="1"/>
  <c r="G1308" i="1"/>
  <c r="H1308" i="1"/>
  <c r="G1309" i="1"/>
  <c r="H1309" i="1"/>
  <c r="G1310" i="1"/>
  <c r="H1310" i="1"/>
  <c r="G1311" i="1"/>
  <c r="H1311" i="1"/>
  <c r="G1312" i="1"/>
  <c r="H1312" i="1"/>
  <c r="G1313" i="1"/>
  <c r="H1313" i="1"/>
  <c r="G1314" i="1"/>
  <c r="H1314" i="1"/>
  <c r="G1315" i="1"/>
  <c r="H1315" i="1"/>
  <c r="G1316" i="1"/>
  <c r="H1316" i="1"/>
  <c r="G1317" i="1"/>
  <c r="H1317" i="1"/>
  <c r="G1318" i="1"/>
  <c r="H1318" i="1"/>
  <c r="G1319" i="1"/>
  <c r="H1319" i="1"/>
  <c r="G1320" i="1"/>
  <c r="H1320" i="1"/>
  <c r="G1321" i="1"/>
  <c r="H1321" i="1"/>
  <c r="G1322" i="1"/>
  <c r="H1322" i="1"/>
  <c r="G1323" i="1"/>
  <c r="H1323" i="1"/>
  <c r="G1324" i="1"/>
  <c r="H1324" i="1"/>
  <c r="G1325" i="1"/>
  <c r="H1325" i="1"/>
  <c r="G1326" i="1"/>
  <c r="H1326" i="1"/>
  <c r="G1327" i="1"/>
  <c r="H1327" i="1"/>
  <c r="G1328" i="1"/>
  <c r="H1328" i="1"/>
  <c r="G1329" i="1"/>
  <c r="H1329" i="1"/>
  <c r="G1330" i="1"/>
  <c r="H1330" i="1"/>
  <c r="G1331" i="1"/>
  <c r="H1331" i="1"/>
  <c r="G1332" i="1"/>
  <c r="H1332" i="1"/>
  <c r="G1333" i="1"/>
  <c r="H1333" i="1"/>
  <c r="G1334" i="1"/>
  <c r="H1334" i="1"/>
  <c r="G1335" i="1"/>
  <c r="H1335" i="1"/>
  <c r="G1336" i="1"/>
  <c r="H1336" i="1"/>
  <c r="G1337" i="1"/>
  <c r="H1337" i="1"/>
  <c r="G1338" i="1"/>
  <c r="H1338" i="1"/>
  <c r="G1339" i="1"/>
  <c r="H1339" i="1"/>
  <c r="G1340" i="1"/>
  <c r="H1340" i="1"/>
  <c r="G1341" i="1"/>
  <c r="H1341" i="1"/>
  <c r="G1342" i="1"/>
  <c r="H1342" i="1"/>
  <c r="G1343" i="1"/>
  <c r="H1343" i="1"/>
  <c r="G1344" i="1"/>
  <c r="H1344" i="1"/>
  <c r="G1345" i="1"/>
  <c r="H1345" i="1"/>
  <c r="G1346" i="1"/>
  <c r="H1346" i="1"/>
  <c r="G1347" i="1"/>
  <c r="H1347" i="1"/>
  <c r="G1348" i="1"/>
  <c r="H1348" i="1"/>
  <c r="G1349" i="1"/>
  <c r="H1349" i="1"/>
  <c r="G1350" i="1"/>
  <c r="H1350" i="1"/>
  <c r="G1351" i="1"/>
  <c r="H1351" i="1"/>
  <c r="G1352" i="1"/>
  <c r="H1352" i="1"/>
  <c r="G1353" i="1"/>
  <c r="H1353" i="1"/>
  <c r="G1354" i="1"/>
  <c r="H1354" i="1"/>
  <c r="G1355" i="1"/>
  <c r="H1355" i="1"/>
  <c r="G1356" i="1"/>
  <c r="H1356" i="1"/>
  <c r="G1357" i="1"/>
  <c r="H1357" i="1"/>
  <c r="G1358" i="1"/>
  <c r="H1358" i="1"/>
  <c r="G1359" i="1"/>
  <c r="H1359" i="1"/>
  <c r="G1360" i="1"/>
  <c r="H1360" i="1"/>
  <c r="G1361" i="1"/>
  <c r="H1361" i="1"/>
  <c r="G1362" i="1"/>
  <c r="H1362" i="1"/>
  <c r="G1363" i="1"/>
  <c r="H1363" i="1"/>
  <c r="G1364" i="1"/>
  <c r="H1364" i="1"/>
  <c r="G1365" i="1"/>
  <c r="H1365" i="1"/>
  <c r="G1366" i="1"/>
  <c r="H1366" i="1"/>
  <c r="G1367" i="1"/>
  <c r="H1367" i="1"/>
  <c r="G1368" i="1"/>
  <c r="H1368" i="1"/>
  <c r="G1369" i="1"/>
  <c r="H1369" i="1"/>
  <c r="G1370" i="1"/>
  <c r="H1370" i="1"/>
  <c r="G1371" i="1"/>
  <c r="H1371" i="1"/>
  <c r="G1372" i="1"/>
  <c r="H1372" i="1"/>
  <c r="G1373" i="1"/>
  <c r="H1373" i="1"/>
  <c r="G1374" i="1"/>
  <c r="H1374" i="1"/>
  <c r="G1375" i="1"/>
  <c r="H1375" i="1"/>
  <c r="G1376" i="1"/>
  <c r="H1376" i="1"/>
  <c r="G1377" i="1"/>
  <c r="H1377" i="1"/>
  <c r="G1378" i="1"/>
  <c r="H1378" i="1"/>
  <c r="G1379" i="1"/>
  <c r="H1379" i="1"/>
  <c r="G1380" i="1"/>
  <c r="H1380" i="1"/>
  <c r="G1381" i="1"/>
  <c r="H1381" i="1"/>
  <c r="G1382" i="1"/>
  <c r="H1382" i="1"/>
  <c r="G1383" i="1"/>
  <c r="H1383" i="1"/>
  <c r="G1384" i="1"/>
  <c r="H1384" i="1"/>
  <c r="G1385" i="1"/>
  <c r="H1385" i="1"/>
  <c r="G1386" i="1"/>
  <c r="H1386" i="1"/>
  <c r="G1387" i="1"/>
  <c r="H1387" i="1"/>
  <c r="G1388" i="1"/>
  <c r="H1388" i="1"/>
  <c r="G1389" i="1"/>
  <c r="H1389" i="1"/>
  <c r="G1390" i="1"/>
  <c r="H1390" i="1"/>
  <c r="G1391" i="1"/>
  <c r="H1391" i="1"/>
  <c r="G1392" i="1"/>
  <c r="H1392" i="1"/>
  <c r="G1393" i="1"/>
  <c r="H1393" i="1"/>
  <c r="G1394" i="1"/>
  <c r="H1394" i="1"/>
  <c r="G1395" i="1"/>
  <c r="H1395" i="1"/>
  <c r="G1396" i="1"/>
  <c r="H1396" i="1"/>
  <c r="G1397" i="1"/>
  <c r="H1397" i="1"/>
  <c r="G1398" i="1"/>
  <c r="H1398" i="1"/>
  <c r="G1399" i="1"/>
  <c r="H1399" i="1"/>
  <c r="G1400" i="1"/>
  <c r="H1400" i="1"/>
  <c r="G1401" i="1"/>
  <c r="H1401" i="1"/>
  <c r="G1402" i="1"/>
  <c r="H1402" i="1"/>
  <c r="G1403" i="1"/>
  <c r="H1403" i="1"/>
  <c r="G1404" i="1"/>
  <c r="H1404" i="1"/>
  <c r="G1405" i="1"/>
  <c r="H1405" i="1"/>
  <c r="G1406" i="1"/>
  <c r="H1406" i="1"/>
  <c r="G1407" i="1"/>
  <c r="H1407" i="1"/>
  <c r="G1408" i="1"/>
  <c r="H1408" i="1"/>
  <c r="G1409" i="1"/>
  <c r="H1409" i="1"/>
  <c r="G1410" i="1"/>
  <c r="H1410" i="1"/>
  <c r="G1411" i="1"/>
  <c r="H1411" i="1"/>
  <c r="G1412" i="1"/>
  <c r="H1412" i="1"/>
  <c r="G1413" i="1"/>
  <c r="H1413" i="1"/>
  <c r="G1414" i="1"/>
  <c r="H1414" i="1"/>
  <c r="G1415" i="1"/>
  <c r="H1415" i="1"/>
  <c r="G1416" i="1"/>
  <c r="H1416" i="1"/>
  <c r="G1417" i="1"/>
  <c r="H1417" i="1"/>
  <c r="G1418" i="1"/>
  <c r="H1418" i="1"/>
  <c r="G1419" i="1"/>
  <c r="H1419" i="1"/>
  <c r="G1420" i="1"/>
  <c r="H1420" i="1"/>
  <c r="G1421" i="1"/>
  <c r="H1421" i="1"/>
  <c r="G1422" i="1"/>
  <c r="H1422" i="1"/>
  <c r="G1423" i="1"/>
  <c r="H1423" i="1"/>
  <c r="G1424" i="1"/>
  <c r="H1424" i="1"/>
  <c r="G1425" i="1"/>
  <c r="H1425" i="1"/>
  <c r="G1426" i="1"/>
  <c r="H1426" i="1"/>
  <c r="G1427" i="1"/>
  <c r="H1427" i="1"/>
  <c r="G1428" i="1"/>
  <c r="H1428" i="1"/>
  <c r="G1429" i="1"/>
  <c r="H1429" i="1"/>
  <c r="G1430" i="1"/>
  <c r="H1430" i="1"/>
  <c r="G1431" i="1"/>
  <c r="H1431" i="1"/>
  <c r="G1432" i="1"/>
  <c r="H1432" i="1"/>
  <c r="G1433" i="1"/>
  <c r="H1433" i="1"/>
  <c r="G1434" i="1"/>
  <c r="H1434" i="1"/>
  <c r="G1435" i="1"/>
  <c r="H1435" i="1"/>
  <c r="G1436" i="1"/>
  <c r="H1436" i="1"/>
  <c r="G1437" i="1"/>
  <c r="H1437" i="1"/>
  <c r="G1438" i="1"/>
  <c r="H1438" i="1"/>
  <c r="G1439" i="1"/>
  <c r="H1439" i="1"/>
  <c r="G1440" i="1"/>
  <c r="H1440" i="1"/>
  <c r="G1441" i="1"/>
  <c r="H1441" i="1"/>
  <c r="G1442" i="1"/>
  <c r="H1442" i="1"/>
  <c r="G1443" i="1"/>
  <c r="H1443" i="1"/>
  <c r="G1444" i="1"/>
  <c r="H1444" i="1"/>
  <c r="G1445" i="1"/>
  <c r="H1445" i="1"/>
  <c r="G1446" i="1"/>
  <c r="H1446" i="1"/>
  <c r="G1447" i="1"/>
  <c r="H1447" i="1"/>
  <c r="G1448" i="1"/>
  <c r="H1448" i="1"/>
  <c r="G1449" i="1"/>
  <c r="H1449" i="1"/>
  <c r="G1450" i="1"/>
  <c r="H1450" i="1"/>
  <c r="G1451" i="1"/>
  <c r="H1451" i="1"/>
  <c r="G1452" i="1"/>
  <c r="H1452" i="1"/>
  <c r="G1453" i="1"/>
  <c r="H1453" i="1"/>
  <c r="G1454" i="1"/>
  <c r="H1454" i="1"/>
  <c r="G1455" i="1"/>
  <c r="H1455" i="1"/>
  <c r="G1456" i="1"/>
  <c r="H1456" i="1"/>
  <c r="G1457" i="1"/>
  <c r="H1457" i="1"/>
  <c r="G1458" i="1"/>
  <c r="H1458" i="1"/>
  <c r="G1459" i="1"/>
  <c r="H1459" i="1"/>
  <c r="G1460" i="1"/>
  <c r="H1460" i="1"/>
  <c r="G1461" i="1"/>
  <c r="H1461" i="1"/>
  <c r="G1462" i="1"/>
  <c r="H1462" i="1"/>
  <c r="G1463" i="1"/>
  <c r="H1463" i="1"/>
  <c r="G1464" i="1"/>
  <c r="H1464" i="1"/>
  <c r="G1465" i="1"/>
  <c r="H1465" i="1"/>
  <c r="G1466" i="1"/>
  <c r="H1466" i="1"/>
  <c r="G1467" i="1"/>
  <c r="H1467" i="1"/>
  <c r="G1468" i="1"/>
  <c r="H1468" i="1"/>
  <c r="G1469" i="1"/>
  <c r="H1469" i="1"/>
  <c r="G1470" i="1"/>
  <c r="H1470" i="1"/>
  <c r="G1471" i="1"/>
  <c r="H1471" i="1"/>
  <c r="G1472" i="1"/>
  <c r="H1472" i="1"/>
  <c r="G1473" i="1"/>
  <c r="H1473" i="1"/>
  <c r="G1474" i="1"/>
  <c r="H1474" i="1"/>
  <c r="G1475" i="1"/>
  <c r="H1475" i="1"/>
  <c r="G1476" i="1"/>
  <c r="H1476" i="1"/>
  <c r="G1477" i="1"/>
  <c r="H1477" i="1"/>
  <c r="G1478" i="1"/>
  <c r="H1478" i="1"/>
  <c r="G1479" i="1"/>
  <c r="H1479" i="1"/>
  <c r="G1480" i="1"/>
  <c r="H1480" i="1"/>
  <c r="G1481" i="1"/>
  <c r="H1481" i="1"/>
  <c r="G1482" i="1"/>
  <c r="H1482" i="1"/>
  <c r="G1483" i="1"/>
  <c r="H1483" i="1"/>
  <c r="G1484" i="1"/>
  <c r="H1484" i="1"/>
  <c r="G1485" i="1"/>
  <c r="H1485" i="1"/>
  <c r="G1486" i="1"/>
  <c r="H1486" i="1"/>
  <c r="G1487" i="1"/>
  <c r="H1487" i="1"/>
  <c r="G1488" i="1"/>
  <c r="H1488" i="1"/>
  <c r="G1489" i="1"/>
  <c r="H1489" i="1"/>
  <c r="G1490" i="1"/>
  <c r="H1490" i="1"/>
  <c r="G1491" i="1"/>
  <c r="H1491" i="1"/>
  <c r="G1492" i="1"/>
  <c r="H1492" i="1"/>
  <c r="G1493" i="1"/>
  <c r="H1493" i="1"/>
  <c r="G1494" i="1"/>
  <c r="H1494" i="1"/>
  <c r="G1495" i="1"/>
  <c r="H1495" i="1"/>
  <c r="G1496" i="1"/>
  <c r="H1496" i="1"/>
  <c r="G1497" i="1"/>
  <c r="H1497" i="1"/>
  <c r="G1498" i="1"/>
  <c r="H1498" i="1"/>
  <c r="G1499" i="1"/>
  <c r="H1499" i="1"/>
  <c r="G1500" i="1"/>
  <c r="H1500" i="1"/>
  <c r="G1501" i="1"/>
  <c r="H1501" i="1"/>
  <c r="G1502" i="1"/>
  <c r="H1502" i="1"/>
  <c r="G1503" i="1"/>
  <c r="H1503" i="1"/>
  <c r="G1504" i="1"/>
  <c r="H1504" i="1"/>
  <c r="G1505" i="1"/>
  <c r="H1505" i="1"/>
  <c r="G1506" i="1"/>
  <c r="H1506" i="1"/>
  <c r="G1507" i="1"/>
  <c r="H1507" i="1"/>
  <c r="G1508" i="1"/>
  <c r="H1508" i="1"/>
  <c r="G1509" i="1"/>
  <c r="H1509" i="1"/>
  <c r="G1510" i="1"/>
  <c r="H1510" i="1"/>
  <c r="G1511" i="1"/>
  <c r="H1511" i="1"/>
  <c r="G1512" i="1"/>
  <c r="H1512" i="1"/>
  <c r="G1513" i="1"/>
  <c r="H1513" i="1"/>
  <c r="G1514" i="1"/>
  <c r="H1514" i="1"/>
  <c r="G1515" i="1"/>
  <c r="H1515" i="1"/>
  <c r="G1516" i="1"/>
  <c r="H1516" i="1"/>
  <c r="G1517" i="1"/>
  <c r="H1517" i="1"/>
  <c r="G1518" i="1"/>
  <c r="H1518" i="1"/>
  <c r="G1519" i="1"/>
  <c r="H1519" i="1"/>
  <c r="G1520" i="1"/>
  <c r="H1520" i="1"/>
  <c r="G1521" i="1"/>
  <c r="H1521" i="1"/>
  <c r="G1522" i="1"/>
  <c r="H1522" i="1"/>
  <c r="G1523" i="1"/>
  <c r="H1523" i="1"/>
  <c r="G1524" i="1"/>
  <c r="H1524" i="1"/>
  <c r="G1525" i="1"/>
  <c r="H1525" i="1"/>
  <c r="G1526" i="1"/>
  <c r="H1526" i="1"/>
  <c r="G1527" i="1"/>
  <c r="H1527" i="1"/>
  <c r="G1528" i="1"/>
  <c r="H1528" i="1"/>
  <c r="G1529" i="1"/>
  <c r="H1529" i="1"/>
  <c r="G1530" i="1"/>
  <c r="H1530" i="1"/>
  <c r="G1531" i="1"/>
  <c r="H1531" i="1"/>
  <c r="G1532" i="1"/>
  <c r="H1532" i="1"/>
  <c r="G1533" i="1"/>
  <c r="H1533" i="1"/>
  <c r="G1534" i="1"/>
  <c r="H1534" i="1"/>
  <c r="G1535" i="1"/>
  <c r="H1535" i="1"/>
  <c r="G1536" i="1"/>
  <c r="H1536" i="1"/>
  <c r="G1537" i="1"/>
  <c r="H1537" i="1"/>
  <c r="G1538" i="1"/>
  <c r="H1538" i="1"/>
  <c r="G1539" i="1"/>
  <c r="H1539" i="1"/>
  <c r="G1540" i="1"/>
  <c r="H1540" i="1"/>
  <c r="G1541" i="1"/>
  <c r="H1541" i="1"/>
  <c r="G1542" i="1"/>
  <c r="H1542" i="1"/>
  <c r="G1543" i="1"/>
  <c r="H1543" i="1"/>
  <c r="G1544" i="1"/>
  <c r="H1544" i="1"/>
  <c r="G1545" i="1"/>
  <c r="H1545" i="1"/>
  <c r="G1546" i="1"/>
  <c r="H1546" i="1"/>
  <c r="G1547" i="1"/>
  <c r="H1547" i="1"/>
  <c r="G1548" i="1"/>
  <c r="H1548" i="1"/>
  <c r="G1549" i="1"/>
  <c r="H1549" i="1"/>
  <c r="G1550" i="1"/>
  <c r="H1550" i="1"/>
  <c r="G1551" i="1"/>
  <c r="H1551" i="1"/>
  <c r="G1552" i="1"/>
  <c r="H1552" i="1"/>
  <c r="G1553" i="1"/>
  <c r="H1553" i="1"/>
  <c r="G1554" i="1"/>
  <c r="H1554" i="1"/>
  <c r="G1555" i="1"/>
  <c r="H1555" i="1"/>
  <c r="G1556" i="1"/>
  <c r="H1556" i="1"/>
  <c r="G1557" i="1"/>
  <c r="H1557" i="1"/>
  <c r="G1558" i="1"/>
  <c r="H1558" i="1"/>
  <c r="G1559" i="1"/>
  <c r="H1559" i="1"/>
  <c r="G1560" i="1"/>
  <c r="H1560" i="1"/>
  <c r="G1561" i="1"/>
  <c r="H1561" i="1"/>
  <c r="G1562" i="1"/>
  <c r="H1562" i="1"/>
  <c r="G1563" i="1"/>
  <c r="H1563" i="1"/>
  <c r="G1564" i="1"/>
  <c r="H1564" i="1"/>
  <c r="G1565" i="1"/>
  <c r="H1565" i="1"/>
  <c r="G1566" i="1"/>
  <c r="H1566" i="1"/>
  <c r="G1567" i="1"/>
  <c r="H1567" i="1"/>
  <c r="G1568" i="1"/>
  <c r="H1568" i="1"/>
  <c r="G1569" i="1"/>
  <c r="H1569" i="1"/>
  <c r="G1570" i="1"/>
  <c r="H1570" i="1"/>
  <c r="G1571" i="1"/>
  <c r="H1571" i="1"/>
  <c r="G1572" i="1"/>
  <c r="H1572" i="1"/>
  <c r="G1573" i="1"/>
  <c r="H1573" i="1"/>
  <c r="G1574" i="1"/>
  <c r="H1574" i="1"/>
  <c r="G1575" i="1"/>
  <c r="H1575" i="1"/>
  <c r="G1576" i="1"/>
  <c r="H1576" i="1"/>
  <c r="G1577" i="1"/>
  <c r="H1577" i="1"/>
  <c r="G1578" i="1"/>
  <c r="H1578" i="1"/>
  <c r="G1579" i="1"/>
  <c r="H1579" i="1"/>
  <c r="G1580" i="1"/>
  <c r="H1580" i="1"/>
  <c r="G1581" i="1"/>
  <c r="H1581" i="1"/>
  <c r="G1582" i="1"/>
  <c r="H1582" i="1"/>
  <c r="G1583" i="1"/>
  <c r="H1583" i="1"/>
  <c r="G1584" i="1"/>
  <c r="H1584" i="1"/>
  <c r="G1585" i="1"/>
  <c r="H1585" i="1"/>
  <c r="G1586" i="1"/>
  <c r="H1586" i="1"/>
  <c r="G1587" i="1"/>
  <c r="H1587" i="1"/>
  <c r="G1588" i="1"/>
  <c r="H1588" i="1"/>
  <c r="G1589" i="1"/>
  <c r="H1589" i="1"/>
  <c r="G1590" i="1"/>
  <c r="H1590" i="1"/>
  <c r="G1591" i="1"/>
  <c r="H1591" i="1"/>
  <c r="G1592" i="1"/>
  <c r="H1592" i="1"/>
  <c r="G1593" i="1"/>
  <c r="H1593" i="1"/>
  <c r="G1594" i="1"/>
  <c r="H1594" i="1"/>
  <c r="G1595" i="1"/>
  <c r="H1595" i="1"/>
  <c r="G1596" i="1"/>
  <c r="H1596" i="1"/>
  <c r="G1597" i="1"/>
  <c r="H1597" i="1"/>
  <c r="G1598" i="1"/>
  <c r="H1598" i="1"/>
  <c r="G1599" i="1"/>
  <c r="H1599" i="1"/>
  <c r="G1600" i="1"/>
  <c r="H1600" i="1"/>
  <c r="G1601" i="1"/>
  <c r="H1601" i="1"/>
  <c r="G1602" i="1"/>
  <c r="H1602" i="1"/>
  <c r="G1603" i="1"/>
  <c r="H1603" i="1"/>
  <c r="G1604" i="1"/>
  <c r="H1604" i="1"/>
  <c r="G1605" i="1"/>
  <c r="H1605" i="1"/>
  <c r="G1606" i="1"/>
  <c r="H1606" i="1"/>
  <c r="G1607" i="1"/>
  <c r="H1607" i="1"/>
  <c r="G1608" i="1"/>
  <c r="H1608" i="1"/>
  <c r="G1609" i="1"/>
  <c r="H1609" i="1"/>
  <c r="G1610" i="1"/>
  <c r="H1610" i="1"/>
  <c r="G1611" i="1"/>
  <c r="H1611" i="1"/>
  <c r="G1612" i="1"/>
  <c r="H1612" i="1"/>
  <c r="G1613" i="1"/>
  <c r="H1613" i="1"/>
  <c r="G1614" i="1"/>
  <c r="H1614" i="1"/>
  <c r="G1615" i="1"/>
  <c r="H1615" i="1"/>
  <c r="G1616" i="1"/>
  <c r="H1616" i="1"/>
  <c r="G1617" i="1"/>
  <c r="H1617" i="1"/>
  <c r="G1618" i="1"/>
  <c r="H1618" i="1"/>
  <c r="G1619" i="1"/>
  <c r="H1619" i="1"/>
  <c r="G1620" i="1"/>
  <c r="H1620" i="1"/>
  <c r="G1621" i="1"/>
  <c r="H1621" i="1"/>
  <c r="G1622" i="1"/>
  <c r="H1622" i="1"/>
  <c r="G1623" i="1"/>
  <c r="H1623" i="1"/>
  <c r="G1624" i="1"/>
  <c r="H1624" i="1"/>
  <c r="G1625" i="1"/>
  <c r="H1625" i="1"/>
  <c r="G1626" i="1"/>
  <c r="H1626" i="1"/>
  <c r="G1627" i="1"/>
  <c r="H1627" i="1"/>
  <c r="G1628" i="1"/>
  <c r="H1628" i="1"/>
  <c r="G1629" i="1"/>
  <c r="H1629" i="1"/>
  <c r="G1630" i="1"/>
  <c r="H1630" i="1"/>
  <c r="G1631" i="1"/>
  <c r="H1631" i="1"/>
  <c r="G1632" i="1"/>
  <c r="H1632" i="1"/>
  <c r="G1633" i="1"/>
  <c r="H1633" i="1"/>
  <c r="G1634" i="1"/>
  <c r="H1634" i="1"/>
  <c r="G1635" i="1"/>
  <c r="H1635" i="1"/>
  <c r="G1636" i="1"/>
  <c r="H1636" i="1"/>
  <c r="G1637" i="1"/>
  <c r="H1637" i="1"/>
  <c r="G1638" i="1"/>
  <c r="H1638" i="1"/>
  <c r="G1639" i="1"/>
  <c r="H1639" i="1"/>
  <c r="G1640" i="1"/>
  <c r="H1640" i="1"/>
  <c r="G1641" i="1"/>
  <c r="H1641" i="1"/>
  <c r="G1642" i="1"/>
  <c r="H1642" i="1"/>
  <c r="G1643" i="1"/>
  <c r="H1643" i="1"/>
  <c r="G1644" i="1"/>
  <c r="H1644" i="1"/>
  <c r="G1645" i="1"/>
  <c r="H1645" i="1"/>
  <c r="G1646" i="1"/>
  <c r="H1646" i="1"/>
  <c r="G1647" i="1"/>
  <c r="H1647" i="1"/>
  <c r="G1648" i="1"/>
  <c r="H1648" i="1"/>
  <c r="G1649" i="1"/>
  <c r="H1649" i="1"/>
  <c r="G1650" i="1"/>
  <c r="H1650" i="1"/>
  <c r="G1651" i="1"/>
  <c r="H1651" i="1"/>
  <c r="G1652" i="1"/>
  <c r="H1652" i="1"/>
  <c r="G1653" i="1"/>
  <c r="H1653" i="1"/>
  <c r="G1654" i="1"/>
  <c r="H1654" i="1"/>
  <c r="G1655" i="1"/>
  <c r="H1655" i="1"/>
  <c r="G1656" i="1"/>
  <c r="H1656" i="1"/>
  <c r="G1657" i="1"/>
  <c r="H1657" i="1"/>
  <c r="G1658" i="1"/>
  <c r="H1658" i="1"/>
  <c r="G1659" i="1"/>
  <c r="H1659" i="1"/>
  <c r="G1660" i="1"/>
  <c r="H1660" i="1"/>
  <c r="G1661" i="1"/>
  <c r="H1661" i="1"/>
  <c r="G1662" i="1"/>
  <c r="H1662" i="1"/>
  <c r="G1663" i="1"/>
  <c r="H1663" i="1"/>
  <c r="G1664" i="1"/>
  <c r="H1664" i="1"/>
  <c r="G1665" i="1"/>
  <c r="H1665" i="1"/>
  <c r="G1666" i="1"/>
  <c r="H1666" i="1"/>
  <c r="G1667" i="1"/>
  <c r="H1667" i="1"/>
  <c r="G1668" i="1"/>
  <c r="H1668" i="1"/>
  <c r="G1669" i="1"/>
  <c r="H1669" i="1"/>
  <c r="G1670" i="1"/>
  <c r="H1670" i="1"/>
  <c r="G1671" i="1"/>
  <c r="H1671" i="1"/>
  <c r="G1672" i="1"/>
  <c r="H1672" i="1"/>
  <c r="G1673" i="1"/>
  <c r="H1673" i="1"/>
  <c r="G1674" i="1"/>
  <c r="H1674" i="1"/>
  <c r="G1675" i="1"/>
  <c r="H1675" i="1"/>
  <c r="G1676" i="1"/>
  <c r="H1676" i="1"/>
  <c r="G1677" i="1"/>
  <c r="H1677" i="1"/>
  <c r="G1678" i="1"/>
  <c r="H1678" i="1"/>
  <c r="G1679" i="1"/>
  <c r="H1679" i="1"/>
  <c r="G1680" i="1"/>
  <c r="H1680" i="1"/>
  <c r="G1681" i="1"/>
  <c r="H1681" i="1"/>
  <c r="G1682" i="1"/>
  <c r="H1682" i="1"/>
  <c r="G1683" i="1"/>
  <c r="H1683" i="1"/>
  <c r="G1684" i="1"/>
  <c r="H1684" i="1"/>
  <c r="G1685" i="1"/>
  <c r="H1685" i="1"/>
  <c r="G1686" i="1"/>
  <c r="H1686" i="1"/>
  <c r="G1687" i="1"/>
  <c r="H1687" i="1"/>
  <c r="G1688" i="1"/>
  <c r="H1688" i="1"/>
  <c r="G1689" i="1"/>
  <c r="H1689" i="1"/>
  <c r="G1690" i="1"/>
  <c r="H1690" i="1"/>
  <c r="G1691" i="1"/>
  <c r="H1691" i="1"/>
  <c r="G1692" i="1"/>
  <c r="H1692" i="1"/>
  <c r="G1693" i="1"/>
  <c r="H1693" i="1"/>
  <c r="G1694" i="1"/>
  <c r="H1694" i="1"/>
  <c r="G1695" i="1"/>
  <c r="H1695" i="1"/>
  <c r="G1696" i="1"/>
  <c r="H1696" i="1"/>
  <c r="G1697" i="1"/>
  <c r="H1697" i="1"/>
  <c r="G1698" i="1"/>
  <c r="H1698" i="1"/>
  <c r="G1699" i="1"/>
  <c r="H1699" i="1"/>
  <c r="G1700" i="1"/>
  <c r="H1700" i="1"/>
  <c r="G1701" i="1"/>
  <c r="H1701" i="1"/>
  <c r="G1702" i="1"/>
  <c r="H1702" i="1"/>
  <c r="G1703" i="1"/>
  <c r="H1703" i="1"/>
  <c r="G1704" i="1"/>
  <c r="H1704" i="1"/>
  <c r="G1705" i="1"/>
  <c r="H1705" i="1"/>
  <c r="G1706" i="1"/>
  <c r="H1706" i="1"/>
  <c r="G1707" i="1"/>
  <c r="H1707" i="1"/>
  <c r="G1708" i="1"/>
  <c r="H1708" i="1"/>
  <c r="G1709" i="1"/>
  <c r="H1709" i="1"/>
  <c r="G1710" i="1"/>
  <c r="H1710" i="1"/>
  <c r="G1711" i="1"/>
  <c r="H1711" i="1"/>
  <c r="G1712" i="1"/>
  <c r="H1712" i="1"/>
  <c r="G1713" i="1"/>
  <c r="H1713" i="1"/>
  <c r="G1714" i="1"/>
  <c r="H1714" i="1"/>
  <c r="G1715" i="1"/>
  <c r="H1715" i="1"/>
  <c r="G1716" i="1"/>
  <c r="H1716" i="1"/>
  <c r="G1717" i="1"/>
  <c r="H1717" i="1"/>
  <c r="G1718" i="1"/>
  <c r="H1718" i="1"/>
  <c r="G1719" i="1"/>
  <c r="H1719" i="1"/>
  <c r="G1720" i="1"/>
  <c r="H1720" i="1"/>
  <c r="G1721" i="1"/>
  <c r="H1721" i="1"/>
  <c r="G1722" i="1"/>
  <c r="H1722" i="1"/>
  <c r="G1723" i="1"/>
  <c r="H1723" i="1"/>
  <c r="G1724" i="1"/>
  <c r="H1724" i="1"/>
  <c r="G1725" i="1"/>
  <c r="H1725" i="1"/>
  <c r="G1726" i="1"/>
  <c r="H1726" i="1"/>
  <c r="G1727" i="1"/>
  <c r="H1727" i="1"/>
  <c r="G1728" i="1"/>
  <c r="H1728" i="1"/>
  <c r="G1729" i="1"/>
  <c r="H1729" i="1"/>
  <c r="G1730" i="1"/>
  <c r="H1730" i="1"/>
  <c r="G1731" i="1"/>
  <c r="H1731" i="1"/>
  <c r="G1732" i="1"/>
  <c r="H1732" i="1"/>
  <c r="G1733" i="1"/>
  <c r="H1733" i="1"/>
  <c r="G1734" i="1"/>
  <c r="H1734" i="1"/>
  <c r="G1735" i="1"/>
  <c r="H1735" i="1"/>
  <c r="G1736" i="1"/>
  <c r="H1736" i="1"/>
  <c r="G1737" i="1"/>
  <c r="H1737" i="1"/>
  <c r="G1738" i="1"/>
  <c r="H1738" i="1"/>
  <c r="G1739" i="1"/>
  <c r="H1739" i="1"/>
  <c r="G1740" i="1"/>
  <c r="H1740" i="1"/>
  <c r="G1741" i="1"/>
  <c r="H1741" i="1"/>
  <c r="G1742" i="1"/>
  <c r="H1742" i="1"/>
  <c r="G1743" i="1"/>
  <c r="H1743" i="1"/>
  <c r="G1744" i="1"/>
  <c r="H1744" i="1"/>
  <c r="G1745" i="1"/>
  <c r="H1745" i="1"/>
  <c r="G1746" i="1"/>
  <c r="H1746" i="1"/>
  <c r="G1747" i="1"/>
  <c r="H1747" i="1"/>
  <c r="G1748" i="1"/>
  <c r="H1748" i="1"/>
  <c r="G1749" i="1"/>
  <c r="H1749" i="1"/>
  <c r="G1750" i="1"/>
  <c r="H1750" i="1"/>
  <c r="G1751" i="1"/>
  <c r="H1751" i="1"/>
  <c r="G1752" i="1"/>
  <c r="H1752" i="1"/>
  <c r="G1753" i="1"/>
  <c r="H1753" i="1"/>
  <c r="G1754" i="1"/>
  <c r="H1754" i="1"/>
  <c r="G1755" i="1"/>
  <c r="H1755" i="1"/>
  <c r="G1756" i="1"/>
  <c r="H1756" i="1"/>
  <c r="G1757" i="1"/>
  <c r="H1757" i="1"/>
  <c r="G1758" i="1"/>
  <c r="H1758" i="1"/>
  <c r="G1759" i="1"/>
  <c r="H1759" i="1"/>
  <c r="G1760" i="1"/>
  <c r="H1760" i="1"/>
  <c r="G1761" i="1"/>
  <c r="H1761" i="1"/>
  <c r="G1762" i="1"/>
  <c r="H1762" i="1"/>
  <c r="G1763" i="1"/>
  <c r="H1763" i="1"/>
  <c r="G1764" i="1"/>
  <c r="H1764" i="1"/>
  <c r="G1765" i="1"/>
  <c r="H1765" i="1"/>
  <c r="G1766" i="1"/>
  <c r="H1766" i="1"/>
  <c r="G1767" i="1"/>
  <c r="H1767" i="1"/>
  <c r="G1768" i="1"/>
  <c r="H1768" i="1"/>
  <c r="G1769" i="1"/>
  <c r="H1769" i="1"/>
  <c r="G1770" i="1"/>
  <c r="H1770" i="1"/>
  <c r="G1771" i="1"/>
  <c r="H1771" i="1"/>
  <c r="G1772" i="1"/>
  <c r="H1772" i="1"/>
  <c r="G1773" i="1"/>
  <c r="H1773" i="1"/>
  <c r="G1774" i="1"/>
  <c r="H1774" i="1"/>
  <c r="G1775" i="1"/>
  <c r="H1775" i="1"/>
  <c r="G1776" i="1"/>
  <c r="H1776" i="1"/>
  <c r="G1777" i="1"/>
  <c r="H1777" i="1"/>
  <c r="G1778" i="1"/>
  <c r="H1778" i="1"/>
  <c r="G1779" i="1"/>
  <c r="H1779" i="1"/>
  <c r="G1780" i="1"/>
  <c r="H1780" i="1"/>
  <c r="G1781" i="1"/>
  <c r="H1781" i="1"/>
  <c r="G1782" i="1"/>
  <c r="H1782" i="1"/>
  <c r="G1783" i="1"/>
  <c r="H1783" i="1"/>
  <c r="G1784" i="1"/>
  <c r="H1784" i="1"/>
  <c r="G1785" i="1"/>
  <c r="H1785" i="1"/>
  <c r="G1786" i="1"/>
  <c r="H1786" i="1"/>
  <c r="G1787" i="1"/>
  <c r="H1787" i="1"/>
  <c r="G1788" i="1"/>
  <c r="H1788" i="1"/>
  <c r="G1789" i="1"/>
  <c r="H1789" i="1"/>
  <c r="G1790" i="1"/>
  <c r="H1790" i="1"/>
  <c r="G1791" i="1"/>
  <c r="H1791" i="1"/>
  <c r="G1792" i="1"/>
  <c r="H1792" i="1"/>
  <c r="G1793" i="1"/>
  <c r="H1793" i="1"/>
  <c r="G1794" i="1"/>
  <c r="H1794" i="1"/>
  <c r="G1795" i="1"/>
  <c r="H1795" i="1"/>
  <c r="G1796" i="1"/>
  <c r="H1796" i="1"/>
  <c r="G1797" i="1"/>
  <c r="H1797" i="1"/>
  <c r="G1798" i="1"/>
  <c r="H1798" i="1"/>
  <c r="G1799" i="1"/>
  <c r="H1799" i="1"/>
  <c r="G1800" i="1"/>
  <c r="H1800" i="1"/>
  <c r="G1801" i="1"/>
  <c r="H1801" i="1"/>
  <c r="G1802" i="1"/>
  <c r="H1802" i="1"/>
  <c r="G1803" i="1"/>
  <c r="H1803" i="1"/>
  <c r="G1804" i="1"/>
  <c r="H1804" i="1"/>
  <c r="G1805" i="1"/>
  <c r="H1805" i="1"/>
  <c r="G1806" i="1"/>
  <c r="H1806" i="1"/>
  <c r="G1807" i="1"/>
  <c r="H1807" i="1"/>
  <c r="G1808" i="1"/>
  <c r="H1808" i="1"/>
  <c r="G1809" i="1"/>
  <c r="H1809" i="1"/>
  <c r="G1810" i="1"/>
  <c r="H1810" i="1"/>
  <c r="G1811" i="1"/>
  <c r="H1811" i="1"/>
  <c r="G1812" i="1"/>
  <c r="H1812" i="1"/>
  <c r="G1813" i="1"/>
  <c r="H1813" i="1"/>
  <c r="G1814" i="1"/>
  <c r="H1814" i="1"/>
  <c r="G1815" i="1"/>
  <c r="H1815" i="1"/>
  <c r="G1816" i="1"/>
  <c r="H1816" i="1"/>
  <c r="G1817" i="1"/>
  <c r="H1817" i="1"/>
  <c r="G1818" i="1"/>
  <c r="H1818" i="1"/>
  <c r="G1819" i="1"/>
  <c r="H1819" i="1"/>
  <c r="G1820" i="1"/>
  <c r="H1820" i="1"/>
  <c r="G1821" i="1"/>
  <c r="H1821" i="1"/>
  <c r="G1822" i="1"/>
  <c r="H1822" i="1"/>
  <c r="G1823" i="1"/>
  <c r="H1823" i="1"/>
  <c r="G1824" i="1"/>
  <c r="H1824" i="1"/>
  <c r="G1825" i="1"/>
  <c r="H1825" i="1"/>
  <c r="G1826" i="1"/>
  <c r="H1826" i="1"/>
  <c r="G1827" i="1"/>
  <c r="H1827" i="1"/>
  <c r="G1828" i="1"/>
  <c r="H1828" i="1"/>
  <c r="G1829" i="1"/>
  <c r="H1829" i="1"/>
  <c r="G1830" i="1"/>
  <c r="H1830" i="1"/>
  <c r="G1831" i="1"/>
  <c r="H1831" i="1"/>
  <c r="G1832" i="1"/>
  <c r="H1832" i="1"/>
  <c r="G1833" i="1"/>
  <c r="H1833" i="1"/>
  <c r="G1834" i="1"/>
  <c r="H1834" i="1"/>
  <c r="G1835" i="1"/>
  <c r="H1835" i="1"/>
  <c r="G1836" i="1"/>
  <c r="H1836" i="1"/>
  <c r="G1837" i="1"/>
  <c r="H1837" i="1"/>
  <c r="G1838" i="1"/>
  <c r="H1838" i="1"/>
  <c r="G1839" i="1"/>
  <c r="H1839" i="1"/>
  <c r="G1840" i="1"/>
  <c r="H1840" i="1"/>
  <c r="G1841" i="1"/>
  <c r="H1841" i="1"/>
  <c r="G1842" i="1"/>
  <c r="H1842" i="1"/>
  <c r="G1843" i="1"/>
  <c r="H1843" i="1"/>
  <c r="G1844" i="1"/>
  <c r="H1844" i="1"/>
  <c r="G1845" i="1"/>
  <c r="H1845" i="1"/>
  <c r="G1846" i="1"/>
  <c r="H1846" i="1"/>
  <c r="G1847" i="1"/>
  <c r="H1847" i="1"/>
  <c r="G1848" i="1"/>
  <c r="H1848" i="1"/>
  <c r="G1849" i="1"/>
  <c r="H1849" i="1"/>
  <c r="G1850" i="1"/>
  <c r="H1850" i="1"/>
  <c r="G1851" i="1"/>
  <c r="H1851" i="1"/>
  <c r="G1852" i="1"/>
  <c r="H1852" i="1"/>
  <c r="G1853" i="1"/>
  <c r="H1853" i="1"/>
  <c r="G1854" i="1"/>
  <c r="H1854" i="1"/>
  <c r="G1855" i="1"/>
  <c r="H1855" i="1"/>
  <c r="G1856" i="1"/>
  <c r="H1856" i="1"/>
  <c r="G1857" i="1"/>
  <c r="H1857" i="1"/>
  <c r="G1858" i="1"/>
  <c r="H1858" i="1"/>
  <c r="G1859" i="1"/>
  <c r="H1859" i="1"/>
  <c r="G1860" i="1"/>
  <c r="H1860" i="1"/>
  <c r="G1861" i="1"/>
  <c r="H1861" i="1"/>
  <c r="G1862" i="1"/>
  <c r="H1862" i="1"/>
  <c r="G1863" i="1"/>
  <c r="H1863" i="1"/>
  <c r="G1864" i="1"/>
  <c r="H1864" i="1"/>
  <c r="G1865" i="1"/>
  <c r="H1865" i="1"/>
  <c r="G1866" i="1"/>
  <c r="H1866" i="1"/>
  <c r="G1867" i="1"/>
  <c r="H1867" i="1"/>
  <c r="G1868" i="1"/>
  <c r="H1868" i="1"/>
  <c r="G1869" i="1"/>
  <c r="H1869" i="1"/>
  <c r="G1870" i="1"/>
  <c r="H1870" i="1"/>
  <c r="G1871" i="1"/>
  <c r="H1871" i="1"/>
  <c r="G1872" i="1"/>
  <c r="H1872" i="1"/>
  <c r="G1873" i="1"/>
  <c r="H1873" i="1"/>
  <c r="G1874" i="1"/>
  <c r="H1874" i="1"/>
  <c r="G1875" i="1"/>
  <c r="H1875" i="1"/>
  <c r="G1876" i="1"/>
  <c r="H1876" i="1"/>
  <c r="G1877" i="1"/>
  <c r="H1877" i="1"/>
  <c r="G1878" i="1"/>
  <c r="H1878" i="1"/>
  <c r="G1879" i="1"/>
  <c r="H1879" i="1"/>
  <c r="G1880" i="1"/>
  <c r="H1880" i="1"/>
  <c r="G1881" i="1"/>
  <c r="H1881" i="1"/>
  <c r="G1882" i="1"/>
  <c r="H1882" i="1"/>
  <c r="G1883" i="1"/>
  <c r="H1883" i="1"/>
  <c r="G1884" i="1"/>
  <c r="H1884" i="1"/>
  <c r="G1885" i="1"/>
  <c r="H1885" i="1"/>
  <c r="G1886" i="1"/>
  <c r="H1886" i="1"/>
  <c r="G1887" i="1"/>
  <c r="H1887" i="1"/>
  <c r="G1888" i="1"/>
  <c r="H1888" i="1"/>
  <c r="G1889" i="1"/>
  <c r="H1889" i="1"/>
  <c r="G1890" i="1"/>
  <c r="H1890" i="1"/>
  <c r="G1891" i="1"/>
  <c r="H1891" i="1"/>
  <c r="G1892" i="1"/>
  <c r="H1892" i="1"/>
  <c r="G1893" i="1"/>
  <c r="H1893" i="1"/>
  <c r="G1894" i="1"/>
  <c r="H1894" i="1"/>
  <c r="G1895" i="1"/>
  <c r="H1895" i="1"/>
  <c r="G1896" i="1"/>
  <c r="H1896" i="1"/>
  <c r="G1897" i="1"/>
  <c r="H1897" i="1"/>
  <c r="G1898" i="1"/>
  <c r="H1898" i="1"/>
  <c r="G1899" i="1"/>
  <c r="H1899" i="1"/>
  <c r="G1900" i="1"/>
  <c r="H1900" i="1"/>
  <c r="G1901" i="1"/>
  <c r="H1901" i="1"/>
  <c r="G1902" i="1"/>
  <c r="H1902" i="1"/>
  <c r="G1903" i="1"/>
  <c r="H1903" i="1"/>
  <c r="G1904" i="1"/>
  <c r="H1904" i="1"/>
  <c r="G1905" i="1"/>
  <c r="H1905" i="1"/>
  <c r="G1906" i="1"/>
  <c r="H1906" i="1"/>
  <c r="G1907" i="1"/>
  <c r="H1907" i="1"/>
  <c r="G1908" i="1"/>
  <c r="H1908" i="1"/>
  <c r="G1909" i="1"/>
  <c r="H1909" i="1"/>
  <c r="G1910" i="1"/>
  <c r="H1910" i="1"/>
  <c r="G1911" i="1"/>
  <c r="H1911" i="1"/>
  <c r="G1912" i="1"/>
  <c r="H1912" i="1"/>
  <c r="G1913" i="1"/>
  <c r="H1913" i="1"/>
  <c r="G1914" i="1"/>
  <c r="H1914" i="1"/>
  <c r="G1915" i="1"/>
  <c r="H1915" i="1"/>
  <c r="G1916" i="1"/>
  <c r="H1916" i="1"/>
  <c r="G1917" i="1"/>
  <c r="H1917" i="1"/>
  <c r="G1918" i="1"/>
  <c r="H1918" i="1"/>
  <c r="G1919" i="1"/>
  <c r="H1919" i="1"/>
  <c r="G1920" i="1"/>
  <c r="H1920" i="1"/>
  <c r="G1921" i="1"/>
  <c r="H1921" i="1"/>
  <c r="G1922" i="1"/>
  <c r="H1922" i="1"/>
  <c r="G1923" i="1"/>
  <c r="H1923" i="1"/>
  <c r="G1924" i="1"/>
  <c r="H1924" i="1"/>
  <c r="G1925" i="1"/>
  <c r="H1925" i="1"/>
  <c r="G1926" i="1"/>
  <c r="H1926" i="1"/>
  <c r="G1927" i="1"/>
  <c r="H1927" i="1"/>
  <c r="G1928" i="1"/>
  <c r="H1928" i="1"/>
  <c r="G1929" i="1"/>
  <c r="H1929" i="1"/>
  <c r="G1930" i="1"/>
  <c r="H1930" i="1"/>
  <c r="G1931" i="1"/>
  <c r="H1931" i="1"/>
  <c r="G1932" i="1"/>
  <c r="H1932" i="1"/>
  <c r="G1933" i="1"/>
  <c r="H1933" i="1"/>
  <c r="G1934" i="1"/>
  <c r="H1934" i="1"/>
  <c r="G1935" i="1"/>
  <c r="H1935" i="1"/>
  <c r="G1936" i="1"/>
  <c r="H1936" i="1"/>
  <c r="G1937" i="1"/>
  <c r="H1937" i="1"/>
  <c r="G1938" i="1"/>
  <c r="H1938" i="1"/>
  <c r="G1939" i="1"/>
  <c r="H1939" i="1"/>
  <c r="G1940" i="1"/>
  <c r="H1940" i="1"/>
  <c r="G1941" i="1"/>
  <c r="H1941" i="1"/>
  <c r="G1942" i="1"/>
  <c r="H1942" i="1"/>
  <c r="G1943" i="1"/>
  <c r="H1943" i="1"/>
  <c r="G1944" i="1"/>
  <c r="H1944" i="1"/>
  <c r="G1945" i="1"/>
  <c r="H1945" i="1"/>
  <c r="G1946" i="1"/>
  <c r="H1946" i="1"/>
  <c r="G1947" i="1"/>
  <c r="H1947" i="1"/>
  <c r="G1948" i="1"/>
  <c r="H1948" i="1"/>
  <c r="G1949" i="1"/>
  <c r="H1949" i="1"/>
  <c r="G1950" i="1"/>
  <c r="H1950" i="1"/>
  <c r="G1951" i="1"/>
  <c r="H1951" i="1"/>
  <c r="G1952" i="1"/>
  <c r="H1952" i="1"/>
  <c r="G1953" i="1"/>
  <c r="H1953" i="1"/>
  <c r="G1954" i="1"/>
  <c r="H1954" i="1"/>
  <c r="G1955" i="1"/>
  <c r="H1955" i="1"/>
  <c r="G1956" i="1"/>
  <c r="H1956" i="1"/>
  <c r="G1957" i="1"/>
  <c r="H1957" i="1"/>
  <c r="G1958" i="1"/>
  <c r="H1958" i="1"/>
  <c r="G1959" i="1"/>
  <c r="H1959" i="1"/>
  <c r="G1960" i="1"/>
  <c r="H1960" i="1"/>
  <c r="G1961" i="1"/>
  <c r="H1961" i="1"/>
  <c r="G1962" i="1"/>
  <c r="H1962" i="1"/>
  <c r="G1963" i="1"/>
  <c r="H1963" i="1"/>
  <c r="G1964" i="1"/>
  <c r="H1964" i="1"/>
  <c r="G1965" i="1"/>
  <c r="H1965" i="1"/>
  <c r="G1966" i="1"/>
  <c r="H1966" i="1"/>
  <c r="G1967" i="1"/>
  <c r="H1967" i="1"/>
  <c r="G1968" i="1"/>
  <c r="H1968" i="1"/>
  <c r="G1969" i="1"/>
  <c r="H1969" i="1"/>
  <c r="G1970" i="1"/>
  <c r="H1970" i="1"/>
  <c r="G1971" i="1"/>
  <c r="H1971" i="1"/>
  <c r="G1972" i="1"/>
  <c r="H1972" i="1"/>
  <c r="G1973" i="1"/>
  <c r="H1973" i="1"/>
  <c r="G1974" i="1"/>
  <c r="H1974" i="1"/>
  <c r="G1975" i="1"/>
  <c r="H1975" i="1"/>
  <c r="G1976" i="1"/>
  <c r="H1976" i="1"/>
  <c r="G1977" i="1"/>
  <c r="H1977" i="1"/>
  <c r="G1978" i="1"/>
  <c r="H1978" i="1"/>
  <c r="G1979" i="1"/>
  <c r="H1979" i="1"/>
  <c r="G1980" i="1"/>
  <c r="H1980" i="1"/>
  <c r="G1981" i="1"/>
  <c r="H1981" i="1"/>
  <c r="G1982" i="1"/>
  <c r="H1982" i="1"/>
  <c r="G1983" i="1"/>
  <c r="H1983" i="1"/>
  <c r="G1984" i="1"/>
  <c r="H1984" i="1"/>
  <c r="G1985" i="1"/>
  <c r="H1985" i="1"/>
  <c r="G1986" i="1"/>
  <c r="H1986" i="1"/>
  <c r="G1987" i="1"/>
  <c r="H1987" i="1"/>
  <c r="G1988" i="1"/>
  <c r="H1988" i="1"/>
  <c r="G1989" i="1"/>
  <c r="H1989" i="1"/>
  <c r="G1990" i="1"/>
  <c r="H1990" i="1"/>
  <c r="G1991" i="1"/>
  <c r="H1991" i="1"/>
  <c r="G1992" i="1"/>
  <c r="H1992" i="1"/>
  <c r="G1993" i="1"/>
  <c r="H1993" i="1"/>
  <c r="G1994" i="1"/>
  <c r="H1994" i="1"/>
  <c r="G1995" i="1"/>
  <c r="H1995" i="1"/>
  <c r="G1996" i="1"/>
  <c r="H1996" i="1"/>
  <c r="G1997" i="1"/>
  <c r="H1997" i="1"/>
  <c r="G1998" i="1"/>
  <c r="H1998" i="1"/>
  <c r="G1999" i="1"/>
  <c r="H1999" i="1"/>
  <c r="G2000" i="1"/>
  <c r="H2000" i="1"/>
  <c r="G2001" i="1"/>
  <c r="H2001" i="1"/>
  <c r="G2002" i="1"/>
  <c r="H2002" i="1"/>
  <c r="G2003" i="1"/>
  <c r="H2003" i="1"/>
  <c r="G2004" i="1"/>
  <c r="H2004" i="1"/>
  <c r="G2005" i="1"/>
  <c r="H2005" i="1"/>
  <c r="G2006" i="1"/>
  <c r="H2006" i="1"/>
  <c r="G2007" i="1"/>
  <c r="H2007" i="1"/>
  <c r="G2008" i="1"/>
  <c r="H2008" i="1"/>
  <c r="G2009" i="1"/>
  <c r="H2009" i="1"/>
  <c r="G2010" i="1"/>
  <c r="H2010" i="1"/>
  <c r="G2011" i="1"/>
  <c r="H2011" i="1"/>
  <c r="G2012" i="1"/>
  <c r="H2012" i="1"/>
  <c r="G2013" i="1"/>
  <c r="H2013" i="1"/>
  <c r="G2014" i="1"/>
  <c r="H2014" i="1"/>
  <c r="G2015" i="1"/>
  <c r="H2015" i="1"/>
  <c r="G2016" i="1"/>
  <c r="H2016" i="1"/>
  <c r="G2017" i="1"/>
  <c r="H2017" i="1"/>
  <c r="G2018" i="1"/>
  <c r="H2018" i="1"/>
  <c r="G2019" i="1"/>
  <c r="H2019" i="1"/>
  <c r="G2020" i="1"/>
  <c r="H2020" i="1"/>
  <c r="G2021" i="1"/>
  <c r="H2021" i="1"/>
  <c r="G2022" i="1"/>
  <c r="H2022" i="1"/>
  <c r="G2023" i="1"/>
  <c r="H2023" i="1"/>
  <c r="G2024" i="1"/>
  <c r="H2024" i="1"/>
  <c r="G2025" i="1"/>
  <c r="H2025" i="1"/>
  <c r="G2026" i="1"/>
  <c r="H2026" i="1"/>
  <c r="G2027" i="1"/>
  <c r="H2027" i="1"/>
  <c r="G2028" i="1"/>
  <c r="H2028" i="1"/>
  <c r="G2029" i="1"/>
  <c r="H2029" i="1"/>
  <c r="G2030" i="1"/>
  <c r="H2030" i="1"/>
  <c r="G2031" i="1"/>
  <c r="H2031" i="1"/>
  <c r="G2032" i="1"/>
  <c r="H2032" i="1"/>
  <c r="G2033" i="1"/>
  <c r="H2033" i="1"/>
  <c r="G2034" i="1"/>
  <c r="H2034" i="1"/>
  <c r="G2035" i="1"/>
  <c r="H2035" i="1"/>
  <c r="G2036" i="1"/>
  <c r="H2036" i="1"/>
  <c r="G2037" i="1"/>
  <c r="H2037" i="1"/>
  <c r="G2038" i="1"/>
  <c r="H2038" i="1"/>
  <c r="G2039" i="1"/>
  <c r="H2039" i="1"/>
  <c r="G2040" i="1"/>
  <c r="H2040" i="1"/>
  <c r="G2041" i="1"/>
  <c r="H2041" i="1"/>
  <c r="G2042" i="1"/>
  <c r="H2042" i="1"/>
  <c r="G2043" i="1"/>
  <c r="H2043" i="1"/>
  <c r="G2044" i="1"/>
  <c r="H2044" i="1"/>
  <c r="G2045" i="1"/>
  <c r="H2045" i="1"/>
  <c r="G2046" i="1"/>
  <c r="H2046" i="1"/>
  <c r="G2047" i="1"/>
  <c r="H2047" i="1"/>
  <c r="G2048" i="1"/>
  <c r="H2048" i="1"/>
  <c r="G2049" i="1"/>
  <c r="H2049" i="1"/>
  <c r="G2050" i="1"/>
  <c r="H2050" i="1"/>
  <c r="G2051" i="1"/>
  <c r="H2051" i="1"/>
  <c r="G2052" i="1"/>
  <c r="H2052" i="1"/>
  <c r="G2053" i="1"/>
  <c r="H2053" i="1"/>
  <c r="G2054" i="1"/>
  <c r="H2054" i="1"/>
  <c r="G2055" i="1"/>
  <c r="H2055" i="1"/>
  <c r="G2056" i="1"/>
  <c r="H2056" i="1"/>
  <c r="G2057" i="1"/>
  <c r="H2057" i="1"/>
  <c r="G2058" i="1"/>
  <c r="H2058" i="1"/>
  <c r="G2059" i="1"/>
  <c r="H2059" i="1"/>
  <c r="G2060" i="1"/>
  <c r="H2060" i="1"/>
  <c r="G2061" i="1"/>
  <c r="H2061" i="1"/>
  <c r="G2062" i="1"/>
  <c r="H2062" i="1"/>
  <c r="G2063" i="1"/>
  <c r="H2063" i="1"/>
  <c r="G2064" i="1"/>
  <c r="H2064" i="1"/>
  <c r="G2065" i="1"/>
  <c r="H2065" i="1"/>
  <c r="G2066" i="1"/>
  <c r="H2066" i="1"/>
  <c r="G2067" i="1"/>
  <c r="H2067" i="1"/>
  <c r="G2068" i="1"/>
  <c r="H2068" i="1"/>
  <c r="G2069" i="1"/>
  <c r="H2069" i="1"/>
  <c r="G2070" i="1"/>
  <c r="H2070" i="1"/>
  <c r="G2071" i="1"/>
  <c r="H2071" i="1"/>
  <c r="G2072" i="1"/>
  <c r="H2072" i="1"/>
  <c r="G2073" i="1"/>
  <c r="H2073" i="1"/>
  <c r="G2074" i="1"/>
  <c r="H2074" i="1"/>
  <c r="G2075" i="1"/>
  <c r="H2075" i="1"/>
  <c r="G2076" i="1"/>
  <c r="H2076" i="1"/>
  <c r="G2077" i="1"/>
  <c r="H2077" i="1"/>
  <c r="G2078" i="1"/>
  <c r="H2078" i="1"/>
  <c r="G2079" i="1"/>
  <c r="H2079" i="1"/>
  <c r="G2080" i="1"/>
  <c r="H2080" i="1"/>
  <c r="G2081" i="1"/>
  <c r="H2081" i="1"/>
  <c r="G2082" i="1"/>
  <c r="H2082" i="1"/>
  <c r="G2083" i="1"/>
  <c r="H2083" i="1"/>
  <c r="G2084" i="1"/>
  <c r="H2084" i="1"/>
  <c r="G2085" i="1"/>
  <c r="H2085" i="1"/>
  <c r="G2086" i="1"/>
  <c r="H2086" i="1"/>
  <c r="G2087" i="1"/>
  <c r="H2087" i="1"/>
  <c r="G2088" i="1"/>
  <c r="H2088" i="1"/>
  <c r="G2089" i="1"/>
  <c r="H2089" i="1"/>
  <c r="G2090" i="1"/>
  <c r="H2090" i="1"/>
  <c r="G2091" i="1"/>
  <c r="H2091" i="1"/>
  <c r="G2092" i="1"/>
  <c r="H2092" i="1"/>
  <c r="G2093" i="1"/>
  <c r="H2093" i="1"/>
  <c r="G2094" i="1"/>
  <c r="H2094" i="1"/>
  <c r="G2095" i="1"/>
  <c r="H2095" i="1"/>
  <c r="G2096" i="1"/>
  <c r="H2096" i="1"/>
  <c r="G2097" i="1"/>
  <c r="H2097" i="1"/>
  <c r="G2098" i="1"/>
  <c r="H2098" i="1"/>
  <c r="G2099" i="1"/>
  <c r="H2099" i="1"/>
  <c r="G2100" i="1"/>
  <c r="H2100" i="1"/>
  <c r="G2101" i="1"/>
  <c r="H2101" i="1"/>
  <c r="G2102" i="1"/>
  <c r="H2102" i="1"/>
  <c r="G2103" i="1"/>
  <c r="H2103" i="1"/>
  <c r="G2104" i="1"/>
  <c r="H2104" i="1"/>
  <c r="G2105" i="1"/>
  <c r="H2105" i="1"/>
  <c r="G2106" i="1"/>
  <c r="H2106" i="1"/>
  <c r="G2107" i="1"/>
  <c r="H2107" i="1"/>
  <c r="G2108" i="1"/>
  <c r="H2108" i="1"/>
  <c r="G2109" i="1"/>
  <c r="H2109" i="1"/>
  <c r="G2110" i="1"/>
  <c r="H2110" i="1"/>
  <c r="G2111" i="1"/>
  <c r="H2111" i="1"/>
  <c r="G2112" i="1"/>
  <c r="H2112" i="1"/>
  <c r="G2113" i="1"/>
  <c r="H2113" i="1"/>
  <c r="G2114" i="1"/>
  <c r="H2114" i="1"/>
  <c r="G2115" i="1"/>
  <c r="H2115" i="1"/>
  <c r="G2116" i="1"/>
  <c r="H2116" i="1"/>
  <c r="G2117" i="1"/>
  <c r="H2117" i="1"/>
  <c r="G2118" i="1"/>
  <c r="H2118" i="1"/>
  <c r="G2119" i="1"/>
  <c r="H2119" i="1"/>
  <c r="G2120" i="1"/>
  <c r="H2120" i="1"/>
  <c r="G2121" i="1"/>
  <c r="H2121" i="1"/>
  <c r="G2122" i="1"/>
  <c r="H2122" i="1"/>
  <c r="G2123" i="1"/>
  <c r="H2123" i="1"/>
  <c r="G2124" i="1"/>
  <c r="H2124" i="1"/>
  <c r="G2125" i="1"/>
  <c r="H2125" i="1"/>
  <c r="G2126" i="1"/>
  <c r="H2126" i="1"/>
  <c r="G2127" i="1"/>
  <c r="H2127" i="1"/>
  <c r="G2128" i="1"/>
  <c r="H2128" i="1"/>
  <c r="G2129" i="1"/>
  <c r="H2129" i="1"/>
  <c r="G2130" i="1"/>
  <c r="H2130" i="1"/>
  <c r="G2131" i="1"/>
  <c r="H2131" i="1"/>
  <c r="G2132" i="1"/>
  <c r="H2132" i="1"/>
  <c r="G2133" i="1"/>
  <c r="H2133" i="1"/>
  <c r="G2134" i="1"/>
  <c r="H2134" i="1"/>
  <c r="G2135" i="1"/>
  <c r="H2135" i="1"/>
  <c r="G2136" i="1"/>
  <c r="H2136" i="1"/>
  <c r="G2137" i="1"/>
  <c r="H2137" i="1"/>
  <c r="G2138" i="1"/>
  <c r="H2138" i="1"/>
  <c r="G2139" i="1"/>
  <c r="H2139" i="1"/>
  <c r="G2140" i="1"/>
  <c r="H2140" i="1"/>
  <c r="G2141" i="1"/>
  <c r="H2141" i="1"/>
  <c r="G2142" i="1"/>
  <c r="H2142" i="1"/>
  <c r="G2143" i="1"/>
  <c r="H2143" i="1"/>
  <c r="G2144" i="1"/>
  <c r="H2144" i="1"/>
  <c r="G2145" i="1"/>
  <c r="H2145" i="1"/>
  <c r="G2146" i="1"/>
  <c r="H2146" i="1"/>
  <c r="G2147" i="1"/>
  <c r="H2147" i="1"/>
  <c r="G2148" i="1"/>
  <c r="H2148" i="1"/>
  <c r="G2149" i="1"/>
  <c r="H2149" i="1"/>
  <c r="G2150" i="1"/>
  <c r="H2150" i="1"/>
  <c r="G2151" i="1"/>
  <c r="H2151" i="1"/>
  <c r="G2152" i="1"/>
  <c r="H2152" i="1"/>
  <c r="G2153" i="1"/>
  <c r="H2153" i="1"/>
  <c r="G2154" i="1"/>
  <c r="H2154" i="1"/>
  <c r="G2155" i="1"/>
  <c r="H2155" i="1"/>
  <c r="G2156" i="1"/>
  <c r="H2156" i="1"/>
  <c r="G2157" i="1"/>
  <c r="H2157" i="1"/>
  <c r="G2158" i="1"/>
  <c r="H2158" i="1"/>
  <c r="G2159" i="1"/>
  <c r="H2159" i="1"/>
  <c r="G2160" i="1"/>
  <c r="H2160" i="1"/>
  <c r="G2161" i="1"/>
  <c r="H2161" i="1"/>
  <c r="G2162" i="1"/>
  <c r="H2162" i="1"/>
  <c r="G2163" i="1"/>
  <c r="H2163" i="1"/>
  <c r="G2164" i="1"/>
  <c r="H2164" i="1"/>
  <c r="G2165" i="1"/>
  <c r="H2165" i="1"/>
  <c r="G2166" i="1"/>
  <c r="H2166" i="1"/>
  <c r="G2167" i="1"/>
  <c r="H2167" i="1"/>
  <c r="G2168" i="1"/>
  <c r="H2168" i="1"/>
  <c r="G2169" i="1"/>
  <c r="H2169" i="1"/>
  <c r="G2170" i="1"/>
  <c r="H2170" i="1"/>
  <c r="G2171" i="1"/>
  <c r="H2171" i="1"/>
  <c r="G2172" i="1"/>
  <c r="H2172" i="1"/>
  <c r="G2173" i="1"/>
  <c r="H2173" i="1"/>
  <c r="G2174" i="1"/>
  <c r="H2174" i="1"/>
  <c r="G2175" i="1"/>
  <c r="H2175" i="1"/>
  <c r="G2176" i="1"/>
  <c r="H2176" i="1"/>
  <c r="G2177" i="1"/>
  <c r="H2177" i="1"/>
  <c r="G2178" i="1"/>
  <c r="H2178" i="1"/>
  <c r="G2179" i="1"/>
  <c r="H2179" i="1"/>
  <c r="G2180" i="1"/>
  <c r="H2180" i="1"/>
  <c r="G2181" i="1"/>
  <c r="H2181" i="1"/>
  <c r="G2182" i="1"/>
  <c r="H2182" i="1"/>
  <c r="G2183" i="1"/>
  <c r="H2183" i="1"/>
  <c r="G2184" i="1"/>
  <c r="H2184" i="1"/>
  <c r="G2185" i="1"/>
  <c r="H2185" i="1"/>
  <c r="G2186" i="1"/>
  <c r="H2186" i="1"/>
  <c r="G2187" i="1"/>
  <c r="H2187" i="1"/>
  <c r="G2188" i="1"/>
  <c r="H2188" i="1"/>
  <c r="G2189" i="1"/>
  <c r="H2189" i="1"/>
  <c r="G2190" i="1"/>
  <c r="H2190" i="1"/>
  <c r="G2191" i="1"/>
  <c r="H2191" i="1"/>
  <c r="G2192" i="1"/>
  <c r="H2192" i="1"/>
  <c r="G2193" i="1"/>
  <c r="H2193" i="1"/>
  <c r="G2194" i="1"/>
  <c r="H2194" i="1"/>
  <c r="G2195" i="1"/>
  <c r="H2195" i="1"/>
  <c r="G2196" i="1"/>
  <c r="H2196" i="1"/>
  <c r="G2197" i="1"/>
  <c r="H2197" i="1"/>
  <c r="G2198" i="1"/>
  <c r="H2198" i="1"/>
  <c r="G2199" i="1"/>
  <c r="H2199" i="1"/>
  <c r="G2200" i="1"/>
  <c r="H2200" i="1"/>
  <c r="G2201" i="1"/>
  <c r="H2201" i="1"/>
  <c r="G2202" i="1"/>
  <c r="H2202" i="1"/>
  <c r="G2203" i="1"/>
  <c r="H2203" i="1"/>
  <c r="G2204" i="1"/>
  <c r="H2204" i="1"/>
  <c r="G2205" i="1"/>
  <c r="H2205" i="1"/>
  <c r="G2206" i="1"/>
  <c r="H2206" i="1"/>
  <c r="G2207" i="1"/>
  <c r="H2207" i="1"/>
  <c r="G2208" i="1"/>
  <c r="H2208" i="1"/>
  <c r="G2209" i="1"/>
  <c r="H2209" i="1"/>
  <c r="G2210" i="1"/>
  <c r="H2210" i="1"/>
  <c r="G2211" i="1"/>
  <c r="H2211" i="1"/>
  <c r="G2212" i="1"/>
  <c r="H2212" i="1"/>
  <c r="G2213" i="1"/>
  <c r="H2213" i="1"/>
  <c r="G2214" i="1"/>
  <c r="H2214" i="1"/>
  <c r="G2215" i="1"/>
  <c r="H2215" i="1"/>
  <c r="G2216" i="1"/>
  <c r="H2216" i="1"/>
  <c r="G2217" i="1"/>
  <c r="H2217" i="1"/>
  <c r="G2218" i="1"/>
  <c r="H2218" i="1"/>
  <c r="G2219" i="1"/>
  <c r="H2219" i="1"/>
  <c r="G2220" i="1"/>
  <c r="H2220" i="1"/>
  <c r="G2221" i="1"/>
  <c r="H2221" i="1"/>
  <c r="G2222" i="1"/>
  <c r="H2222" i="1"/>
  <c r="G2223" i="1"/>
  <c r="H2223" i="1"/>
  <c r="G2224" i="1"/>
  <c r="H2224" i="1"/>
  <c r="G2225" i="1"/>
  <c r="H2225" i="1"/>
  <c r="G2226" i="1"/>
  <c r="H2226" i="1"/>
  <c r="G2227" i="1"/>
  <c r="H2227" i="1"/>
  <c r="G2228" i="1"/>
  <c r="H2228" i="1"/>
  <c r="G2229" i="1"/>
  <c r="H2229" i="1"/>
  <c r="G2230" i="1"/>
  <c r="H2230" i="1"/>
  <c r="G2231" i="1"/>
  <c r="H2231" i="1"/>
  <c r="G2232" i="1"/>
  <c r="H2232" i="1"/>
  <c r="G2233" i="1"/>
  <c r="H2233" i="1"/>
  <c r="G2234" i="1"/>
  <c r="H2234" i="1"/>
  <c r="G2235" i="1"/>
  <c r="H2235" i="1"/>
  <c r="G2236" i="1"/>
  <c r="H2236" i="1"/>
  <c r="G2237" i="1"/>
  <c r="H2237" i="1"/>
  <c r="G2238" i="1"/>
  <c r="H2238" i="1"/>
  <c r="G2239" i="1"/>
  <c r="H2239" i="1"/>
  <c r="G2240" i="1"/>
  <c r="H2240" i="1"/>
  <c r="G2241" i="1"/>
  <c r="H2241" i="1"/>
  <c r="G2242" i="1"/>
  <c r="H2242" i="1"/>
  <c r="G2243" i="1"/>
  <c r="H2243" i="1"/>
  <c r="G2244" i="1"/>
  <c r="H2244" i="1"/>
  <c r="G2245" i="1"/>
  <c r="H2245" i="1"/>
  <c r="G2246" i="1"/>
  <c r="H2246" i="1"/>
  <c r="G2247" i="1"/>
  <c r="H2247" i="1"/>
  <c r="G2248" i="1"/>
  <c r="H2248" i="1"/>
  <c r="G2249" i="1"/>
  <c r="H2249" i="1"/>
  <c r="G2250" i="1"/>
  <c r="H2250" i="1"/>
  <c r="G2251" i="1"/>
  <c r="H2251" i="1"/>
  <c r="G2252" i="1"/>
  <c r="H2252" i="1"/>
  <c r="G2253" i="1"/>
  <c r="H2253" i="1"/>
  <c r="G2254" i="1"/>
  <c r="H2254" i="1"/>
  <c r="G2255" i="1"/>
  <c r="H2255" i="1"/>
  <c r="G2256" i="1"/>
  <c r="H2256" i="1"/>
  <c r="G2257" i="1"/>
  <c r="H2257" i="1"/>
  <c r="G2258" i="1"/>
  <c r="H2258" i="1"/>
  <c r="G2259" i="1"/>
  <c r="H2259" i="1"/>
  <c r="G2260" i="1"/>
  <c r="H2260" i="1"/>
  <c r="G2261" i="1"/>
  <c r="H2261" i="1"/>
  <c r="G2262" i="1"/>
  <c r="H2262" i="1"/>
  <c r="G2263" i="1"/>
  <c r="H2263" i="1"/>
  <c r="G2264" i="1"/>
  <c r="H2264" i="1"/>
  <c r="G2265" i="1"/>
  <c r="H2265" i="1"/>
  <c r="G2266" i="1"/>
  <c r="H2266" i="1"/>
  <c r="G2267" i="1"/>
  <c r="H2267" i="1"/>
  <c r="G2268" i="1"/>
  <c r="H2268" i="1"/>
  <c r="G2269" i="1"/>
  <c r="H2269" i="1"/>
  <c r="G2270" i="1"/>
  <c r="H2270" i="1"/>
  <c r="G2271" i="1"/>
  <c r="H2271" i="1"/>
  <c r="G2272" i="1"/>
  <c r="H2272" i="1"/>
  <c r="G2273" i="1"/>
  <c r="H2273" i="1"/>
  <c r="G2274" i="1"/>
  <c r="H2274" i="1"/>
  <c r="G2275" i="1"/>
  <c r="H2275" i="1"/>
  <c r="G2276" i="1"/>
  <c r="H2276" i="1"/>
  <c r="G2277" i="1"/>
  <c r="H2277" i="1"/>
  <c r="G2278" i="1"/>
  <c r="H2278" i="1"/>
  <c r="G2279" i="1"/>
  <c r="H2279" i="1"/>
  <c r="G2280" i="1"/>
  <c r="H2280" i="1"/>
  <c r="G2281" i="1"/>
  <c r="H2281" i="1"/>
  <c r="G2282" i="1"/>
  <c r="H2282" i="1"/>
  <c r="G2283" i="1"/>
  <c r="H2283" i="1"/>
  <c r="G2284" i="1"/>
  <c r="H2284" i="1"/>
  <c r="G2285" i="1"/>
  <c r="H2285" i="1"/>
  <c r="G2286" i="1"/>
  <c r="H2286" i="1"/>
  <c r="G2287" i="1"/>
  <c r="H2287" i="1"/>
  <c r="G2288" i="1"/>
  <c r="H2288" i="1"/>
  <c r="G2289" i="1"/>
  <c r="H2289" i="1"/>
  <c r="G2290" i="1"/>
  <c r="H2290" i="1"/>
  <c r="G2291" i="1"/>
  <c r="H2291" i="1"/>
  <c r="G2292" i="1"/>
  <c r="H2292" i="1"/>
  <c r="G2293" i="1"/>
  <c r="H2293" i="1"/>
  <c r="G2294" i="1"/>
  <c r="H2294" i="1"/>
  <c r="G2295" i="1"/>
  <c r="H2295" i="1"/>
  <c r="G2296" i="1"/>
  <c r="H2296" i="1"/>
  <c r="G2297" i="1"/>
  <c r="H2297" i="1"/>
  <c r="G2298" i="1"/>
  <c r="H2298" i="1"/>
  <c r="G2299" i="1"/>
  <c r="H2299" i="1"/>
  <c r="G2300" i="1"/>
  <c r="H2300" i="1"/>
  <c r="G2301" i="1"/>
  <c r="H2301" i="1"/>
  <c r="G2302" i="1"/>
  <c r="H2302" i="1"/>
  <c r="G2303" i="1"/>
  <c r="H2303" i="1"/>
  <c r="G2304" i="1"/>
  <c r="H2304" i="1"/>
  <c r="G2305" i="1"/>
  <c r="H2305" i="1"/>
  <c r="G2306" i="1"/>
  <c r="H2306" i="1"/>
  <c r="G2307" i="1"/>
  <c r="H2307" i="1"/>
  <c r="G2308" i="1"/>
  <c r="H2308" i="1"/>
  <c r="G2309" i="1"/>
  <c r="H2309" i="1"/>
  <c r="G2310" i="1"/>
  <c r="H2310" i="1"/>
  <c r="G2311" i="1"/>
  <c r="H2311" i="1"/>
  <c r="G2312" i="1"/>
  <c r="H2312" i="1"/>
  <c r="G2313" i="1"/>
  <c r="H2313" i="1"/>
  <c r="G2314" i="1"/>
  <c r="H2314" i="1"/>
  <c r="G2315" i="1"/>
  <c r="H2315" i="1"/>
  <c r="G2316" i="1"/>
  <c r="H2316" i="1"/>
  <c r="G2317" i="1"/>
  <c r="H2317" i="1"/>
  <c r="G2318" i="1"/>
  <c r="H2318" i="1"/>
  <c r="G2319" i="1"/>
  <c r="H2319" i="1"/>
  <c r="G2320" i="1"/>
  <c r="H2320" i="1"/>
  <c r="G2321" i="1"/>
  <c r="H2321" i="1"/>
  <c r="G2322" i="1"/>
  <c r="H2322" i="1"/>
  <c r="G2323" i="1"/>
  <c r="H2323" i="1"/>
  <c r="G2324" i="1"/>
  <c r="H2324" i="1"/>
  <c r="G2325" i="1"/>
  <c r="H2325" i="1"/>
  <c r="G2326" i="1"/>
  <c r="H2326" i="1"/>
  <c r="G2327" i="1"/>
  <c r="H2327" i="1"/>
  <c r="G2328" i="1"/>
  <c r="H2328" i="1"/>
  <c r="G2329" i="1"/>
  <c r="H2329" i="1"/>
  <c r="G2330" i="1"/>
  <c r="H2330" i="1"/>
  <c r="G2331" i="1"/>
  <c r="H2331" i="1"/>
  <c r="G2332" i="1"/>
  <c r="H2332" i="1"/>
  <c r="G2333" i="1"/>
  <c r="H2333" i="1"/>
  <c r="G2334" i="1"/>
  <c r="H2334" i="1"/>
  <c r="G2335" i="1"/>
  <c r="H2335" i="1"/>
  <c r="G2336" i="1"/>
  <c r="H2336" i="1"/>
  <c r="G2337" i="1"/>
  <c r="H2337" i="1"/>
  <c r="G2338" i="1"/>
  <c r="H2338" i="1"/>
  <c r="G2339" i="1"/>
  <c r="H2339" i="1"/>
  <c r="G2340" i="1"/>
  <c r="H2340" i="1"/>
  <c r="G2341" i="1"/>
  <c r="H2341" i="1"/>
  <c r="G2342" i="1"/>
  <c r="H2342" i="1"/>
  <c r="G2343" i="1"/>
  <c r="H2343" i="1"/>
  <c r="G2344" i="1"/>
  <c r="H2344" i="1"/>
  <c r="G2345" i="1"/>
  <c r="H2345" i="1"/>
  <c r="G2346" i="1"/>
  <c r="H2346" i="1"/>
  <c r="G2347" i="1"/>
  <c r="H2347" i="1"/>
  <c r="G2348" i="1"/>
  <c r="H2348" i="1"/>
  <c r="G2349" i="1"/>
  <c r="H2349" i="1"/>
  <c r="G2350" i="1"/>
  <c r="H2350" i="1"/>
  <c r="G2351" i="1"/>
  <c r="H2351" i="1"/>
  <c r="G2352" i="1"/>
  <c r="H2352" i="1"/>
  <c r="G2353" i="1"/>
  <c r="H2353" i="1"/>
  <c r="G2354" i="1"/>
  <c r="H2354" i="1"/>
  <c r="G2355" i="1"/>
  <c r="H2355" i="1"/>
  <c r="G2356" i="1"/>
  <c r="H2356" i="1"/>
  <c r="G2357" i="1"/>
  <c r="H2357" i="1"/>
  <c r="G2358" i="1"/>
  <c r="H2358" i="1"/>
  <c r="G2359" i="1"/>
  <c r="H2359" i="1"/>
  <c r="G2360" i="1"/>
  <c r="H2360" i="1"/>
  <c r="G2361" i="1"/>
  <c r="H2361" i="1"/>
  <c r="G2362" i="1"/>
  <c r="H2362" i="1"/>
  <c r="G2363" i="1"/>
  <c r="H2363" i="1"/>
  <c r="G2364" i="1"/>
  <c r="H2364" i="1"/>
  <c r="G2365" i="1"/>
  <c r="H2365" i="1"/>
  <c r="G2366" i="1"/>
  <c r="H2366" i="1"/>
  <c r="G2367" i="1"/>
  <c r="H2367" i="1"/>
  <c r="G2368" i="1"/>
  <c r="H2368" i="1"/>
  <c r="G2369" i="1"/>
  <c r="H2369" i="1"/>
  <c r="G2370" i="1"/>
  <c r="H2370" i="1"/>
  <c r="G2371" i="1"/>
  <c r="H2371" i="1"/>
  <c r="G2372" i="1"/>
  <c r="H2372" i="1"/>
  <c r="G2373" i="1"/>
  <c r="H2373" i="1"/>
  <c r="G2374" i="1"/>
  <c r="H2374" i="1"/>
  <c r="G2375" i="1"/>
  <c r="H2375" i="1"/>
  <c r="G2376" i="1"/>
  <c r="H2376" i="1"/>
  <c r="G2377" i="1"/>
  <c r="H2377" i="1"/>
  <c r="G2378" i="1"/>
  <c r="H2378" i="1"/>
  <c r="G2379" i="1"/>
  <c r="H2379" i="1"/>
  <c r="G2380" i="1"/>
  <c r="H2380" i="1"/>
  <c r="G2381" i="1"/>
  <c r="H2381" i="1"/>
  <c r="G2382" i="1"/>
  <c r="H2382" i="1"/>
  <c r="G2383" i="1"/>
  <c r="H2383" i="1"/>
  <c r="G2384" i="1"/>
  <c r="H2384" i="1"/>
  <c r="G2385" i="1"/>
  <c r="H2385" i="1"/>
  <c r="G2386" i="1"/>
  <c r="H2386" i="1"/>
  <c r="G2387" i="1"/>
  <c r="H2387" i="1"/>
  <c r="G2388" i="1"/>
  <c r="H2388" i="1"/>
  <c r="G2389" i="1"/>
  <c r="H2389" i="1"/>
  <c r="G2390" i="1"/>
  <c r="H2390" i="1"/>
  <c r="G2391" i="1"/>
  <c r="H2391" i="1"/>
  <c r="G2392" i="1"/>
  <c r="H2392" i="1"/>
  <c r="G2393" i="1"/>
  <c r="H2393" i="1"/>
  <c r="G2394" i="1"/>
  <c r="H2394" i="1"/>
  <c r="G2395" i="1"/>
  <c r="H2395" i="1"/>
  <c r="G2396" i="1"/>
  <c r="H2396" i="1"/>
  <c r="G2397" i="1"/>
  <c r="H2397" i="1"/>
  <c r="G2398" i="1"/>
  <c r="H2398" i="1"/>
  <c r="G2399" i="1"/>
  <c r="H2399" i="1"/>
  <c r="G2400" i="1"/>
  <c r="H2400" i="1"/>
  <c r="G2401" i="1"/>
  <c r="H2401" i="1"/>
  <c r="G2402" i="1"/>
  <c r="H2402" i="1"/>
  <c r="G2403" i="1"/>
  <c r="H2403" i="1"/>
  <c r="G2404" i="1"/>
  <c r="H2404" i="1"/>
  <c r="G2405" i="1"/>
  <c r="H2405" i="1"/>
  <c r="G2406" i="1"/>
  <c r="H2406" i="1"/>
  <c r="G2407" i="1"/>
  <c r="H2407" i="1"/>
  <c r="G2408" i="1"/>
  <c r="H2408" i="1"/>
  <c r="G2409" i="1"/>
  <c r="H2409" i="1"/>
  <c r="G2410" i="1"/>
  <c r="H2410" i="1"/>
  <c r="G2411" i="1"/>
  <c r="H2411" i="1"/>
  <c r="G2412" i="1"/>
  <c r="H2412" i="1"/>
  <c r="G2413" i="1"/>
  <c r="H2413" i="1"/>
  <c r="G2414" i="1"/>
  <c r="H2414" i="1"/>
  <c r="G2415" i="1"/>
  <c r="H2415" i="1"/>
  <c r="G2416" i="1"/>
  <c r="H2416" i="1"/>
  <c r="G2417" i="1"/>
  <c r="H2417" i="1"/>
  <c r="G2418" i="1"/>
  <c r="H2418" i="1"/>
  <c r="G2419" i="1"/>
  <c r="H2419" i="1"/>
  <c r="G2420" i="1"/>
  <c r="H2420" i="1"/>
  <c r="G2421" i="1"/>
  <c r="H2421" i="1"/>
  <c r="G2422" i="1"/>
  <c r="H2422" i="1"/>
  <c r="G2423" i="1"/>
  <c r="H2423" i="1"/>
  <c r="G2424" i="1"/>
  <c r="H2424" i="1"/>
  <c r="G2425" i="1"/>
  <c r="H2425" i="1"/>
  <c r="G2426" i="1"/>
  <c r="H2426" i="1"/>
  <c r="G2427" i="1"/>
  <c r="H2427" i="1"/>
  <c r="G2428" i="1"/>
  <c r="H2428" i="1"/>
  <c r="G2429" i="1"/>
  <c r="H2429" i="1"/>
  <c r="G2430" i="1"/>
  <c r="H2430" i="1"/>
  <c r="G2431" i="1"/>
  <c r="H2431" i="1"/>
  <c r="G2432" i="1"/>
  <c r="H2432" i="1"/>
  <c r="G2433" i="1"/>
  <c r="H2433" i="1"/>
  <c r="G2434" i="1"/>
  <c r="H2434" i="1"/>
  <c r="G2435" i="1"/>
  <c r="H2435" i="1"/>
  <c r="G2436" i="1"/>
  <c r="H2436" i="1"/>
  <c r="G2437" i="1"/>
  <c r="H2437" i="1"/>
  <c r="G2438" i="1"/>
  <c r="H2438" i="1"/>
  <c r="G2439" i="1"/>
  <c r="H2439" i="1"/>
  <c r="G2440" i="1"/>
  <c r="H2440" i="1"/>
  <c r="G2441" i="1"/>
  <c r="H2441" i="1"/>
  <c r="G2442" i="1"/>
  <c r="H2442" i="1"/>
  <c r="G2443" i="1"/>
  <c r="H2443" i="1"/>
  <c r="G2444" i="1"/>
  <c r="H2444" i="1"/>
  <c r="G2445" i="1"/>
  <c r="H2445" i="1"/>
  <c r="G2446" i="1"/>
  <c r="H2446" i="1"/>
  <c r="G2447" i="1"/>
  <c r="H2447" i="1"/>
  <c r="G2448" i="1"/>
  <c r="H2448" i="1"/>
  <c r="G2449" i="1"/>
  <c r="H2449" i="1"/>
  <c r="G2450" i="1"/>
  <c r="H2450" i="1"/>
  <c r="G2451" i="1"/>
  <c r="H2451" i="1"/>
  <c r="G2452" i="1"/>
  <c r="H2452" i="1"/>
  <c r="G2453" i="1"/>
  <c r="H2453" i="1"/>
  <c r="G2454" i="1"/>
  <c r="H2454" i="1"/>
  <c r="G2455" i="1"/>
  <c r="H2455" i="1"/>
  <c r="G2456" i="1"/>
  <c r="H2456" i="1"/>
  <c r="G2457" i="1"/>
  <c r="H2457" i="1"/>
  <c r="G2458" i="1"/>
  <c r="H2458" i="1"/>
  <c r="G2459" i="1"/>
  <c r="H2459" i="1"/>
  <c r="G2460" i="1"/>
  <c r="H2460" i="1"/>
  <c r="G2461" i="1"/>
  <c r="H2461" i="1"/>
  <c r="G2462" i="1"/>
  <c r="H2462" i="1"/>
  <c r="G2463" i="1"/>
  <c r="H2463" i="1"/>
  <c r="G2464" i="1"/>
  <c r="H2464" i="1"/>
  <c r="G2465" i="1"/>
  <c r="H2465" i="1"/>
  <c r="G2466" i="1"/>
  <c r="H2466" i="1"/>
  <c r="G2467" i="1"/>
  <c r="H2467" i="1"/>
  <c r="G2468" i="1"/>
  <c r="H2468" i="1"/>
  <c r="G2469" i="1"/>
  <c r="H2469" i="1"/>
  <c r="G2470" i="1"/>
  <c r="H2470" i="1"/>
  <c r="G2471" i="1"/>
  <c r="H2471" i="1"/>
  <c r="G2472" i="1"/>
  <c r="H2472" i="1"/>
  <c r="G2473" i="1"/>
  <c r="H2473" i="1"/>
  <c r="G2474" i="1"/>
  <c r="H2474" i="1"/>
  <c r="G2475" i="1"/>
  <c r="H2475" i="1"/>
  <c r="G2476" i="1"/>
  <c r="H2476" i="1"/>
  <c r="G2477" i="1"/>
  <c r="H2477" i="1"/>
  <c r="G2478" i="1"/>
  <c r="H2478" i="1"/>
  <c r="G2479" i="1"/>
  <c r="H2479" i="1"/>
  <c r="G2480" i="1"/>
  <c r="H2480" i="1"/>
  <c r="G2481" i="1"/>
  <c r="H2481" i="1"/>
  <c r="G2482" i="1"/>
  <c r="H2482" i="1"/>
  <c r="G2483" i="1"/>
  <c r="H2483" i="1"/>
  <c r="G2484" i="1"/>
  <c r="H2484" i="1"/>
  <c r="G2485" i="1"/>
  <c r="H2485" i="1"/>
  <c r="G2486" i="1"/>
  <c r="H2486" i="1"/>
  <c r="G2487" i="1"/>
  <c r="H2487" i="1"/>
  <c r="G2488" i="1"/>
  <c r="H2488" i="1"/>
  <c r="G2489" i="1"/>
  <c r="H2489" i="1"/>
  <c r="G2490" i="1"/>
  <c r="H2490" i="1"/>
  <c r="G2491" i="1"/>
  <c r="H2491" i="1"/>
  <c r="G2492" i="1"/>
  <c r="H2492" i="1"/>
  <c r="G2493" i="1"/>
  <c r="H2493" i="1"/>
  <c r="G2494" i="1"/>
  <c r="H2494" i="1"/>
  <c r="G2495" i="1"/>
  <c r="H2495" i="1"/>
  <c r="G2496" i="1"/>
  <c r="H2496" i="1"/>
  <c r="G2497" i="1"/>
  <c r="H2497" i="1"/>
  <c r="G2498" i="1"/>
  <c r="H2498" i="1"/>
  <c r="G2499" i="1"/>
  <c r="H2499" i="1"/>
  <c r="G2500" i="1"/>
  <c r="H2500" i="1"/>
  <c r="G2501" i="1"/>
  <c r="H2501" i="1"/>
  <c r="G2502" i="1"/>
  <c r="H2502" i="1"/>
  <c r="G2503" i="1"/>
  <c r="H2503" i="1"/>
  <c r="G2504" i="1"/>
  <c r="H2504" i="1"/>
  <c r="G2505" i="1"/>
  <c r="H2505" i="1"/>
  <c r="G2506" i="1"/>
  <c r="H2506" i="1"/>
  <c r="G2507" i="1"/>
  <c r="H2507" i="1"/>
  <c r="G2508" i="1"/>
  <c r="H2508" i="1"/>
  <c r="G2509" i="1"/>
  <c r="H2509" i="1"/>
  <c r="G2510" i="1"/>
  <c r="H2510" i="1"/>
  <c r="G2511" i="1"/>
  <c r="H2511" i="1"/>
  <c r="G2512" i="1"/>
  <c r="H2512" i="1"/>
  <c r="G2513" i="1"/>
  <c r="H2513" i="1"/>
  <c r="G2514" i="1"/>
  <c r="H2514" i="1"/>
  <c r="G2515" i="1"/>
  <c r="H2515" i="1"/>
  <c r="G2516" i="1"/>
  <c r="H2516" i="1"/>
  <c r="G2517" i="1"/>
  <c r="H2517" i="1"/>
  <c r="G2518" i="1"/>
  <c r="H2518" i="1"/>
  <c r="G2519" i="1"/>
  <c r="H2519" i="1"/>
  <c r="G2520" i="1"/>
  <c r="H2520" i="1"/>
  <c r="G2521" i="1"/>
  <c r="H2521" i="1"/>
  <c r="G2522" i="1"/>
  <c r="H2522" i="1"/>
  <c r="G2523" i="1"/>
  <c r="H2523" i="1"/>
  <c r="G2524" i="1"/>
  <c r="H2524" i="1"/>
  <c r="G2525" i="1"/>
  <c r="H2525" i="1"/>
  <c r="G2526" i="1"/>
  <c r="H2526" i="1"/>
  <c r="G2527" i="1"/>
  <c r="H2527" i="1"/>
  <c r="G2528" i="1"/>
  <c r="H2528" i="1"/>
  <c r="G2529" i="1"/>
  <c r="H2529" i="1"/>
  <c r="G2530" i="1"/>
  <c r="H2530" i="1"/>
  <c r="G2531" i="1"/>
  <c r="H2531" i="1"/>
  <c r="G2532" i="1"/>
  <c r="H2532" i="1"/>
  <c r="G2533" i="1"/>
  <c r="H2533" i="1"/>
  <c r="G2534" i="1"/>
  <c r="H2534" i="1"/>
  <c r="G2535" i="1"/>
  <c r="H2535" i="1"/>
  <c r="G2536" i="1"/>
  <c r="H2536" i="1"/>
  <c r="G2537" i="1"/>
  <c r="H2537" i="1"/>
  <c r="G2538" i="1"/>
  <c r="H2538" i="1"/>
  <c r="G2539" i="1"/>
  <c r="H2539" i="1"/>
  <c r="G2540" i="1"/>
  <c r="H2540" i="1"/>
  <c r="G2541" i="1"/>
  <c r="H2541" i="1"/>
  <c r="G2542" i="1"/>
  <c r="H2542" i="1"/>
  <c r="G2543" i="1"/>
  <c r="H2543" i="1"/>
  <c r="G2544" i="1"/>
  <c r="H2544" i="1"/>
  <c r="G2545" i="1"/>
  <c r="H2545" i="1"/>
  <c r="G2546" i="1"/>
  <c r="H2546" i="1"/>
  <c r="G2547" i="1"/>
  <c r="H2547" i="1"/>
  <c r="G2548" i="1"/>
  <c r="H2548" i="1"/>
  <c r="G2549" i="1"/>
  <c r="H2549" i="1"/>
  <c r="G2550" i="1"/>
  <c r="H2550" i="1"/>
  <c r="G2551" i="1"/>
  <c r="H2551" i="1"/>
  <c r="G2552" i="1"/>
  <c r="H2552" i="1"/>
  <c r="G2553" i="1"/>
  <c r="H2553" i="1"/>
  <c r="G2554" i="1"/>
  <c r="H2554" i="1"/>
  <c r="G2555" i="1"/>
  <c r="H2555" i="1"/>
  <c r="G2556" i="1"/>
  <c r="H2556" i="1"/>
  <c r="G2557" i="1"/>
  <c r="H2557" i="1"/>
  <c r="G2558" i="1"/>
  <c r="H2558" i="1"/>
  <c r="G2559" i="1"/>
  <c r="H2559" i="1"/>
  <c r="G2560" i="1"/>
  <c r="H2560" i="1"/>
  <c r="G2561" i="1"/>
  <c r="H2561" i="1"/>
  <c r="G2562" i="1"/>
  <c r="H2562" i="1"/>
  <c r="G2563" i="1"/>
  <c r="H2563" i="1"/>
  <c r="G2564" i="1"/>
  <c r="H2564" i="1"/>
  <c r="G2565" i="1"/>
  <c r="H2565" i="1"/>
  <c r="G2566" i="1"/>
  <c r="H2566" i="1"/>
  <c r="G2567" i="1"/>
  <c r="H2567" i="1"/>
  <c r="G2568" i="1"/>
  <c r="H2568" i="1"/>
  <c r="G2569" i="1"/>
  <c r="H2569" i="1"/>
  <c r="G2570" i="1"/>
  <c r="H2570" i="1"/>
  <c r="G2571" i="1"/>
  <c r="H2571" i="1"/>
  <c r="G2572" i="1"/>
  <c r="H2572" i="1"/>
  <c r="G2573" i="1"/>
  <c r="H2573" i="1"/>
  <c r="G2574" i="1"/>
  <c r="H2574" i="1"/>
  <c r="G2575" i="1"/>
  <c r="H2575" i="1"/>
  <c r="G2576" i="1"/>
  <c r="H2576" i="1"/>
  <c r="G2577" i="1"/>
  <c r="H2577" i="1"/>
  <c r="G2578" i="1"/>
  <c r="H2578" i="1"/>
  <c r="G2579" i="1"/>
  <c r="H2579" i="1"/>
  <c r="G2580" i="1"/>
  <c r="H2580" i="1"/>
  <c r="G2581" i="1"/>
  <c r="H2581" i="1"/>
  <c r="G2582" i="1"/>
  <c r="H2582" i="1"/>
  <c r="G2583" i="1"/>
  <c r="H2583" i="1"/>
  <c r="G2584" i="1"/>
  <c r="H2584" i="1"/>
  <c r="G2585" i="1"/>
  <c r="H2585" i="1"/>
  <c r="G2586" i="1"/>
  <c r="H2586" i="1"/>
  <c r="G2587" i="1"/>
  <c r="H2587" i="1"/>
  <c r="G2588" i="1"/>
  <c r="H2588" i="1"/>
  <c r="G2589" i="1"/>
  <c r="H2589" i="1"/>
  <c r="G2590" i="1"/>
  <c r="H2590" i="1"/>
  <c r="G2591" i="1"/>
  <c r="H2591" i="1"/>
  <c r="G2592" i="1"/>
  <c r="H2592" i="1"/>
  <c r="G2593" i="1"/>
  <c r="H2593" i="1"/>
  <c r="G2594" i="1"/>
  <c r="H2594" i="1"/>
  <c r="G2595" i="1"/>
  <c r="H2595" i="1"/>
  <c r="G2596" i="1"/>
  <c r="H2596" i="1"/>
  <c r="G2597" i="1"/>
  <c r="H2597" i="1"/>
  <c r="G2598" i="1"/>
  <c r="H2598" i="1"/>
  <c r="G2599" i="1"/>
  <c r="H2599" i="1"/>
  <c r="G2600" i="1"/>
  <c r="H2600" i="1"/>
  <c r="G2601" i="1"/>
  <c r="H2601" i="1"/>
  <c r="G2602" i="1"/>
  <c r="H2602" i="1"/>
  <c r="G2603" i="1"/>
  <c r="H2603" i="1"/>
  <c r="G2604" i="1"/>
  <c r="H2604" i="1"/>
  <c r="G2605" i="1"/>
  <c r="H2605" i="1"/>
  <c r="G2606" i="1"/>
  <c r="H2606" i="1"/>
  <c r="G2607" i="1"/>
  <c r="H2607" i="1"/>
  <c r="G2608" i="1"/>
  <c r="H2608" i="1"/>
  <c r="G2609" i="1"/>
  <c r="H2609" i="1"/>
  <c r="G2610" i="1"/>
  <c r="H2610" i="1"/>
  <c r="G2611" i="1"/>
  <c r="H2611" i="1"/>
  <c r="G2612" i="1"/>
  <c r="H2612" i="1"/>
  <c r="G2613" i="1"/>
  <c r="H2613" i="1"/>
  <c r="G2614" i="1"/>
  <c r="H2614" i="1"/>
  <c r="G2615" i="1"/>
  <c r="H2615" i="1"/>
  <c r="G2616" i="1"/>
  <c r="H2616" i="1"/>
  <c r="G2617" i="1"/>
  <c r="H2617" i="1"/>
  <c r="G2618" i="1"/>
  <c r="H2618" i="1"/>
  <c r="G2619" i="1"/>
  <c r="H2619" i="1"/>
  <c r="G2620" i="1"/>
  <c r="H2620" i="1"/>
  <c r="G2621" i="1"/>
  <c r="H2621" i="1"/>
  <c r="G2622" i="1"/>
  <c r="H2622" i="1"/>
  <c r="G2623" i="1"/>
  <c r="H2623" i="1"/>
  <c r="G2624" i="1"/>
  <c r="H2624" i="1"/>
  <c r="G2625" i="1"/>
  <c r="H2625" i="1"/>
  <c r="G2626" i="1"/>
  <c r="H2626" i="1"/>
  <c r="G2627" i="1"/>
  <c r="H2627" i="1"/>
  <c r="G2628" i="1"/>
  <c r="H2628" i="1"/>
  <c r="G2629" i="1"/>
  <c r="H2629" i="1"/>
  <c r="G2630" i="1"/>
  <c r="H2630" i="1"/>
  <c r="G2631" i="1"/>
  <c r="H2631" i="1"/>
  <c r="G2632" i="1"/>
  <c r="H2632" i="1"/>
  <c r="G2633" i="1"/>
  <c r="H2633" i="1"/>
  <c r="G2634" i="1"/>
  <c r="H2634" i="1"/>
  <c r="G2635" i="1"/>
  <c r="H2635" i="1"/>
  <c r="G2636" i="1"/>
  <c r="H2636" i="1"/>
  <c r="G2637" i="1"/>
  <c r="H2637" i="1"/>
  <c r="G2638" i="1"/>
  <c r="H2638" i="1"/>
  <c r="G2639" i="1"/>
  <c r="H2639" i="1"/>
  <c r="G2640" i="1"/>
  <c r="H2640" i="1"/>
  <c r="G2641" i="1"/>
  <c r="H2641" i="1"/>
  <c r="G2642" i="1"/>
  <c r="H2642" i="1"/>
  <c r="G2643" i="1"/>
  <c r="H2643" i="1"/>
  <c r="G2644" i="1"/>
  <c r="H2644" i="1"/>
  <c r="G2645" i="1"/>
  <c r="H2645" i="1"/>
  <c r="G2646" i="1"/>
  <c r="H2646" i="1"/>
  <c r="G2647" i="1"/>
  <c r="H2647" i="1"/>
  <c r="G2648" i="1"/>
  <c r="H2648" i="1"/>
  <c r="G2649" i="1"/>
  <c r="H2649" i="1"/>
  <c r="G2650" i="1"/>
  <c r="H2650" i="1"/>
  <c r="G2651" i="1"/>
  <c r="H2651" i="1"/>
  <c r="G2652" i="1"/>
  <c r="H2652" i="1"/>
  <c r="G2653" i="1"/>
  <c r="H2653" i="1"/>
  <c r="G2654" i="1"/>
  <c r="H2654" i="1"/>
  <c r="G2655" i="1"/>
  <c r="H2655" i="1"/>
  <c r="G2656" i="1"/>
  <c r="H2656" i="1"/>
  <c r="G2657" i="1"/>
  <c r="H2657" i="1"/>
  <c r="G2658" i="1"/>
  <c r="H2658" i="1"/>
  <c r="G2659" i="1"/>
  <c r="H2659" i="1"/>
  <c r="G2660" i="1"/>
  <c r="H2660" i="1"/>
  <c r="G2661" i="1"/>
  <c r="H2661" i="1"/>
  <c r="G2662" i="1"/>
  <c r="H2662" i="1"/>
  <c r="G2663" i="1"/>
  <c r="H2663" i="1"/>
  <c r="G2664" i="1"/>
  <c r="H2664" i="1"/>
  <c r="G2665" i="1"/>
  <c r="H2665" i="1"/>
  <c r="G2666" i="1"/>
  <c r="H2666" i="1"/>
  <c r="G2667" i="1"/>
  <c r="H2667" i="1"/>
  <c r="G2668" i="1"/>
  <c r="H2668" i="1"/>
  <c r="G2669" i="1"/>
  <c r="H2669" i="1"/>
  <c r="G2670" i="1"/>
  <c r="H2670" i="1"/>
  <c r="G2671" i="1"/>
  <c r="H2671" i="1"/>
  <c r="G2672" i="1"/>
  <c r="H2672" i="1"/>
  <c r="G2673" i="1"/>
  <c r="H2673" i="1"/>
  <c r="G2674" i="1"/>
  <c r="H2674" i="1"/>
  <c r="G2675" i="1"/>
  <c r="H2675" i="1"/>
  <c r="G2676" i="1"/>
  <c r="H2676" i="1"/>
  <c r="G2677" i="1"/>
  <c r="H2677" i="1"/>
  <c r="G2678" i="1"/>
  <c r="H2678" i="1"/>
  <c r="G2679" i="1"/>
  <c r="H2679" i="1"/>
  <c r="G2680" i="1"/>
  <c r="H2680" i="1"/>
  <c r="G2681" i="1"/>
  <c r="H2681" i="1"/>
  <c r="G2682" i="1"/>
  <c r="H2682" i="1"/>
  <c r="G2683" i="1"/>
  <c r="H2683" i="1"/>
  <c r="G2684" i="1"/>
  <c r="H2684" i="1"/>
  <c r="G2685" i="1"/>
  <c r="H2685" i="1"/>
  <c r="G2686" i="1"/>
  <c r="H2686" i="1"/>
  <c r="G2687" i="1"/>
  <c r="H2687" i="1"/>
  <c r="G2688" i="1"/>
  <c r="H2688" i="1"/>
  <c r="G2689" i="1"/>
  <c r="H2689" i="1"/>
  <c r="G2690" i="1"/>
  <c r="H2690" i="1"/>
  <c r="G2691" i="1"/>
  <c r="H2691" i="1"/>
  <c r="G2692" i="1"/>
  <c r="H2692" i="1"/>
  <c r="G2693" i="1"/>
  <c r="H2693" i="1"/>
  <c r="G2694" i="1"/>
  <c r="H2694" i="1"/>
  <c r="G2695" i="1"/>
  <c r="H2695" i="1"/>
  <c r="G2696" i="1"/>
  <c r="H2696" i="1"/>
  <c r="G2697" i="1"/>
  <c r="H2697" i="1"/>
  <c r="G2698" i="1"/>
  <c r="H2698" i="1"/>
  <c r="G2699" i="1"/>
  <c r="H2699" i="1"/>
  <c r="G2700" i="1"/>
  <c r="H2700" i="1"/>
  <c r="G2701" i="1"/>
  <c r="H2701" i="1"/>
  <c r="G2702" i="1"/>
  <c r="H2702" i="1"/>
  <c r="G2703" i="1"/>
  <c r="H2703" i="1"/>
  <c r="G2704" i="1"/>
  <c r="H2704" i="1"/>
  <c r="G2705" i="1"/>
  <c r="H2705" i="1"/>
  <c r="G2706" i="1"/>
  <c r="H2706" i="1"/>
  <c r="G2707" i="1"/>
  <c r="H2707" i="1"/>
  <c r="G2708" i="1"/>
  <c r="H2708" i="1"/>
  <c r="G2709" i="1"/>
  <c r="H2709" i="1"/>
  <c r="G2710" i="1"/>
  <c r="H2710" i="1"/>
  <c r="G2711" i="1"/>
  <c r="H2711" i="1"/>
  <c r="G2712" i="1"/>
  <c r="H2712" i="1"/>
  <c r="G2713" i="1"/>
  <c r="H2713" i="1"/>
  <c r="G2714" i="1"/>
  <c r="H2714" i="1"/>
  <c r="G2715" i="1"/>
  <c r="H2715" i="1"/>
  <c r="G2716" i="1"/>
  <c r="H2716" i="1"/>
  <c r="G2717" i="1"/>
  <c r="H2717" i="1"/>
  <c r="G2718" i="1"/>
  <c r="H2718" i="1"/>
  <c r="G2719" i="1"/>
  <c r="H2719" i="1"/>
  <c r="G2720" i="1"/>
  <c r="H2720" i="1"/>
  <c r="G2721" i="1"/>
  <c r="H2721" i="1"/>
  <c r="G2722" i="1"/>
  <c r="H2722" i="1"/>
  <c r="G2723" i="1"/>
  <c r="H2723" i="1"/>
  <c r="G2724" i="1"/>
  <c r="H2724" i="1"/>
  <c r="G2725" i="1"/>
  <c r="H2725" i="1"/>
  <c r="G2726" i="1"/>
  <c r="H2726" i="1"/>
  <c r="G2727" i="1"/>
  <c r="H2727" i="1"/>
  <c r="G2728" i="1"/>
  <c r="H2728" i="1"/>
  <c r="G2729" i="1"/>
  <c r="H2729" i="1"/>
  <c r="G2730" i="1"/>
  <c r="H2730" i="1"/>
  <c r="G2731" i="1"/>
  <c r="H2731" i="1"/>
  <c r="G2732" i="1"/>
  <c r="H2732" i="1"/>
  <c r="G2733" i="1"/>
  <c r="H2733" i="1"/>
  <c r="G2734" i="1"/>
  <c r="H2734" i="1"/>
  <c r="G2735" i="1"/>
  <c r="H2735" i="1"/>
  <c r="G2736" i="1"/>
  <c r="H2736" i="1"/>
  <c r="G2737" i="1"/>
  <c r="H2737" i="1"/>
  <c r="G2738" i="1"/>
  <c r="H2738" i="1"/>
  <c r="G2739" i="1"/>
  <c r="H2739" i="1"/>
  <c r="G2740" i="1"/>
  <c r="H2740" i="1"/>
  <c r="G2741" i="1"/>
  <c r="H2741" i="1"/>
  <c r="G2742" i="1"/>
  <c r="H2742" i="1"/>
  <c r="G2743" i="1"/>
  <c r="H2743" i="1"/>
  <c r="G2744" i="1"/>
  <c r="H2744" i="1"/>
  <c r="G2745" i="1"/>
  <c r="H2745" i="1"/>
  <c r="G2746" i="1"/>
  <c r="H2746" i="1"/>
  <c r="G2747" i="1"/>
  <c r="H2747" i="1"/>
  <c r="G2748" i="1"/>
  <c r="H2748" i="1"/>
  <c r="G2749" i="1"/>
  <c r="H2749" i="1"/>
  <c r="G2750" i="1"/>
  <c r="H2750" i="1"/>
  <c r="G2751" i="1"/>
  <c r="H2751" i="1"/>
  <c r="G2752" i="1"/>
  <c r="H2752" i="1"/>
  <c r="G2753" i="1"/>
  <c r="H2753" i="1"/>
  <c r="G2754" i="1"/>
  <c r="H2754" i="1"/>
  <c r="G2755" i="1"/>
  <c r="H2755" i="1"/>
  <c r="G2756" i="1"/>
  <c r="H2756" i="1"/>
  <c r="G2757" i="1"/>
  <c r="H2757" i="1"/>
  <c r="G2758" i="1"/>
  <c r="H2758" i="1"/>
  <c r="G2759" i="1"/>
  <c r="H2759" i="1"/>
  <c r="G2760" i="1"/>
  <c r="H2760" i="1"/>
  <c r="G2761" i="1"/>
  <c r="H2761" i="1"/>
  <c r="G2762" i="1"/>
  <c r="H2762" i="1"/>
  <c r="G2763" i="1"/>
  <c r="H2763" i="1"/>
  <c r="G2764" i="1"/>
  <c r="H2764" i="1"/>
  <c r="G2765" i="1"/>
  <c r="H2765" i="1"/>
  <c r="G2766" i="1"/>
  <c r="H2766" i="1"/>
  <c r="G2767" i="1"/>
  <c r="H2767" i="1"/>
  <c r="G2768" i="1"/>
  <c r="H2768" i="1"/>
  <c r="G2769" i="1"/>
  <c r="H2769" i="1"/>
  <c r="G2770" i="1"/>
  <c r="H2770" i="1"/>
  <c r="G2771" i="1"/>
  <c r="H2771" i="1"/>
  <c r="G2772" i="1"/>
  <c r="H2772" i="1"/>
  <c r="G2773" i="1"/>
  <c r="H2773" i="1"/>
  <c r="G2774" i="1"/>
  <c r="H2774" i="1"/>
  <c r="G2775" i="1"/>
  <c r="H2775" i="1"/>
  <c r="G2776" i="1"/>
  <c r="H2776" i="1"/>
  <c r="G2777" i="1"/>
  <c r="H2777" i="1"/>
  <c r="G2778" i="1"/>
  <c r="H2778" i="1"/>
  <c r="G2779" i="1"/>
  <c r="H2779" i="1"/>
  <c r="G2780" i="1"/>
  <c r="H2780" i="1"/>
  <c r="G2781" i="1"/>
  <c r="H2781" i="1"/>
  <c r="G2782" i="1"/>
  <c r="H2782" i="1"/>
  <c r="G2783" i="1"/>
  <c r="H2783" i="1"/>
  <c r="G2784" i="1"/>
  <c r="H2784" i="1"/>
  <c r="G2785" i="1"/>
  <c r="H2785" i="1"/>
  <c r="G2786" i="1"/>
  <c r="H2786" i="1"/>
  <c r="G2787" i="1"/>
  <c r="H2787" i="1"/>
  <c r="G2788" i="1"/>
  <c r="H2788" i="1"/>
  <c r="G2789" i="1"/>
  <c r="H2789" i="1"/>
  <c r="G2790" i="1"/>
  <c r="H2790" i="1"/>
  <c r="G2791" i="1"/>
  <c r="H2791" i="1"/>
  <c r="G2792" i="1"/>
  <c r="H2792" i="1"/>
  <c r="G2793" i="1"/>
  <c r="H2793" i="1"/>
  <c r="G2794" i="1"/>
  <c r="H2794" i="1"/>
  <c r="G2795" i="1"/>
  <c r="H2795" i="1"/>
  <c r="G2796" i="1"/>
  <c r="H2796" i="1"/>
  <c r="G2797" i="1"/>
  <c r="H2797" i="1"/>
  <c r="G2798" i="1"/>
  <c r="H2798" i="1"/>
  <c r="G2799" i="1"/>
  <c r="H2799" i="1"/>
  <c r="G2800" i="1"/>
  <c r="H2800" i="1"/>
  <c r="G2801" i="1"/>
  <c r="H2801" i="1"/>
  <c r="G2802" i="1"/>
  <c r="H2802" i="1"/>
  <c r="G2803" i="1"/>
  <c r="H2803" i="1"/>
  <c r="G2804" i="1"/>
  <c r="H2804" i="1"/>
  <c r="G2805" i="1"/>
  <c r="H2805" i="1"/>
  <c r="G2806" i="1"/>
  <c r="H2806" i="1"/>
  <c r="G2807" i="1"/>
  <c r="H2807" i="1"/>
  <c r="G2808" i="1"/>
  <c r="H2808" i="1"/>
  <c r="G2809" i="1"/>
  <c r="H2809" i="1"/>
  <c r="G2810" i="1"/>
  <c r="H2810" i="1"/>
  <c r="G2811" i="1"/>
  <c r="H2811" i="1"/>
  <c r="G2812" i="1"/>
  <c r="H2812" i="1"/>
  <c r="G2813" i="1"/>
  <c r="H2813" i="1"/>
  <c r="G2814" i="1"/>
  <c r="H2814" i="1"/>
  <c r="G2815" i="1"/>
  <c r="H2815" i="1"/>
  <c r="G2816" i="1"/>
  <c r="H2816" i="1"/>
  <c r="G2817" i="1"/>
  <c r="H2817" i="1"/>
  <c r="G2818" i="1"/>
  <c r="H2818" i="1"/>
  <c r="G2819" i="1"/>
  <c r="H2819" i="1"/>
  <c r="G2820" i="1"/>
  <c r="H2820" i="1"/>
  <c r="G2821" i="1"/>
  <c r="H2821" i="1"/>
  <c r="G2822" i="1"/>
  <c r="H2822" i="1"/>
  <c r="G2823" i="1"/>
  <c r="H2823" i="1"/>
  <c r="G2824" i="1"/>
  <c r="H2824" i="1"/>
  <c r="G2825" i="1"/>
  <c r="H2825" i="1"/>
  <c r="G2826" i="1"/>
  <c r="H2826" i="1"/>
  <c r="G2827" i="1"/>
  <c r="H2827" i="1"/>
  <c r="G2828" i="1"/>
  <c r="H2828" i="1"/>
  <c r="G2829" i="1"/>
  <c r="H2829" i="1"/>
  <c r="G2830" i="1"/>
  <c r="H2830" i="1"/>
  <c r="G2831" i="1"/>
  <c r="H2831" i="1"/>
  <c r="G2832" i="1"/>
  <c r="H2832" i="1"/>
  <c r="G2833" i="1"/>
  <c r="H2833" i="1"/>
  <c r="G2834" i="1"/>
  <c r="H2834" i="1"/>
  <c r="G2835" i="1"/>
  <c r="H2835" i="1"/>
  <c r="G2836" i="1"/>
  <c r="H2836" i="1"/>
  <c r="G2837" i="1"/>
  <c r="H2837" i="1"/>
  <c r="G2838" i="1"/>
  <c r="H2838" i="1"/>
  <c r="G2839" i="1"/>
  <c r="H2839" i="1"/>
  <c r="G2840" i="1"/>
  <c r="H2840" i="1"/>
  <c r="G2841" i="1"/>
  <c r="H2841" i="1"/>
  <c r="G2842" i="1"/>
  <c r="H2842" i="1"/>
  <c r="G2843" i="1"/>
  <c r="H2843" i="1"/>
  <c r="G2844" i="1"/>
  <c r="H2844" i="1"/>
  <c r="G2845" i="1"/>
  <c r="H2845" i="1"/>
  <c r="G2846" i="1"/>
  <c r="H2846" i="1"/>
  <c r="G2847" i="1"/>
  <c r="H2847" i="1"/>
  <c r="G2848" i="1"/>
  <c r="H2848" i="1"/>
  <c r="G2849" i="1"/>
  <c r="H2849" i="1"/>
  <c r="G2850" i="1"/>
  <c r="H2850" i="1"/>
  <c r="G2851" i="1"/>
  <c r="H2851" i="1"/>
  <c r="G2852" i="1"/>
  <c r="H2852" i="1"/>
  <c r="G2853" i="1"/>
  <c r="H2853" i="1"/>
  <c r="G2854" i="1"/>
  <c r="H2854" i="1"/>
  <c r="G2855" i="1"/>
  <c r="H2855" i="1"/>
  <c r="G2856" i="1"/>
  <c r="H2856" i="1"/>
  <c r="G2857" i="1"/>
  <c r="H2857" i="1"/>
  <c r="G2858" i="1"/>
  <c r="H2858" i="1"/>
  <c r="G2859" i="1"/>
  <c r="H2859" i="1"/>
  <c r="G2860" i="1"/>
  <c r="H2860" i="1"/>
  <c r="G2861" i="1"/>
  <c r="H2861" i="1"/>
  <c r="G2862" i="1"/>
  <c r="H2862" i="1"/>
  <c r="G2863" i="1"/>
  <c r="H2863" i="1"/>
  <c r="G2864" i="1"/>
  <c r="H2864" i="1"/>
  <c r="G2865" i="1"/>
  <c r="H2865" i="1"/>
  <c r="G2866" i="1"/>
  <c r="H2866" i="1"/>
  <c r="G2867" i="1"/>
  <c r="H2867" i="1"/>
  <c r="G2868" i="1"/>
  <c r="H2868" i="1"/>
  <c r="G2869" i="1"/>
  <c r="H2869" i="1"/>
  <c r="G2870" i="1"/>
  <c r="H2870" i="1"/>
  <c r="G2871" i="1"/>
  <c r="H2871" i="1"/>
  <c r="G2872" i="1"/>
  <c r="H2872" i="1"/>
  <c r="G2873" i="1"/>
  <c r="H2873" i="1"/>
  <c r="G2874" i="1"/>
  <c r="H2874" i="1"/>
  <c r="G2875" i="1"/>
  <c r="H2875" i="1"/>
  <c r="G2876" i="1"/>
  <c r="H2876" i="1"/>
  <c r="G2877" i="1"/>
  <c r="H2877" i="1"/>
  <c r="G2878" i="1"/>
  <c r="H2878" i="1"/>
  <c r="G2879" i="1"/>
  <c r="H2879" i="1"/>
  <c r="G2880" i="1"/>
  <c r="H2880" i="1"/>
  <c r="G2881" i="1"/>
  <c r="H2881" i="1"/>
  <c r="G2882" i="1"/>
  <c r="H2882" i="1"/>
  <c r="G2883" i="1"/>
  <c r="H2883" i="1"/>
  <c r="G2884" i="1"/>
  <c r="H2884" i="1"/>
  <c r="G2885" i="1"/>
  <c r="H2885" i="1"/>
  <c r="G2886" i="1"/>
  <c r="H2886" i="1"/>
  <c r="G2887" i="1"/>
  <c r="H2887" i="1"/>
  <c r="G2888" i="1"/>
  <c r="H2888" i="1"/>
  <c r="G2889" i="1"/>
  <c r="H2889" i="1"/>
  <c r="G2890" i="1"/>
  <c r="H2890" i="1"/>
  <c r="G2891" i="1"/>
  <c r="H2891" i="1"/>
  <c r="G2892" i="1"/>
  <c r="H2892" i="1"/>
  <c r="G2893" i="1"/>
  <c r="H2893" i="1"/>
  <c r="G2894" i="1"/>
  <c r="H2894" i="1"/>
  <c r="G2895" i="1"/>
  <c r="H2895" i="1"/>
  <c r="G2896" i="1"/>
  <c r="H2896" i="1"/>
  <c r="G2897" i="1"/>
  <c r="H2897" i="1"/>
  <c r="G2898" i="1"/>
  <c r="H2898" i="1"/>
  <c r="G2899" i="1"/>
  <c r="H2899" i="1"/>
  <c r="G2900" i="1"/>
  <c r="H2900" i="1"/>
  <c r="G2901" i="1"/>
  <c r="H2901" i="1"/>
  <c r="G2902" i="1"/>
  <c r="H2902" i="1"/>
  <c r="G2903" i="1"/>
  <c r="H2903" i="1"/>
  <c r="G2904" i="1"/>
  <c r="H2904" i="1"/>
  <c r="G2905" i="1"/>
  <c r="H2905" i="1"/>
  <c r="G2906" i="1"/>
  <c r="H2906" i="1"/>
  <c r="G2907" i="1"/>
  <c r="H2907" i="1"/>
  <c r="G2908" i="1"/>
  <c r="H2908" i="1"/>
  <c r="G2909" i="1"/>
  <c r="H2909" i="1"/>
  <c r="G2910" i="1"/>
  <c r="H2910" i="1"/>
  <c r="G2911" i="1"/>
  <c r="H2911" i="1"/>
  <c r="G2912" i="1"/>
  <c r="H2912" i="1"/>
  <c r="G2913" i="1"/>
  <c r="H2913" i="1"/>
  <c r="G2914" i="1"/>
  <c r="H2914" i="1"/>
  <c r="G2915" i="1"/>
  <c r="H2915" i="1"/>
  <c r="G2916" i="1"/>
  <c r="H2916" i="1"/>
  <c r="G2917" i="1"/>
  <c r="H2917" i="1"/>
  <c r="G2918" i="1"/>
  <c r="H2918" i="1"/>
  <c r="G2919" i="1"/>
  <c r="H2919" i="1"/>
  <c r="G2920" i="1"/>
  <c r="H2920" i="1"/>
  <c r="G2921" i="1"/>
  <c r="H2921" i="1"/>
  <c r="G2922" i="1"/>
  <c r="H2922" i="1"/>
  <c r="G2923" i="1"/>
  <c r="H2923" i="1"/>
  <c r="G2924" i="1"/>
  <c r="H2924" i="1"/>
  <c r="G2925" i="1"/>
  <c r="H2925" i="1"/>
  <c r="G2926" i="1"/>
  <c r="H2926" i="1"/>
  <c r="G2927" i="1"/>
  <c r="H2927" i="1"/>
  <c r="G2928" i="1"/>
  <c r="H2928" i="1"/>
  <c r="G2929" i="1"/>
  <c r="H2929" i="1"/>
  <c r="G2930" i="1"/>
  <c r="H2930" i="1"/>
  <c r="G2931" i="1"/>
  <c r="H2931" i="1"/>
  <c r="G2932" i="1"/>
  <c r="H2932" i="1"/>
  <c r="G2933" i="1"/>
  <c r="H2933" i="1"/>
  <c r="G2934" i="1"/>
  <c r="H2934" i="1"/>
  <c r="G2935" i="1"/>
  <c r="H2935" i="1"/>
  <c r="G2936" i="1"/>
  <c r="H2936" i="1"/>
  <c r="G2937" i="1"/>
  <c r="H2937" i="1"/>
  <c r="G2938" i="1"/>
  <c r="H2938" i="1"/>
  <c r="G2939" i="1"/>
  <c r="H2939" i="1"/>
  <c r="G2940" i="1"/>
  <c r="H2940" i="1"/>
  <c r="G2941" i="1"/>
  <c r="H2941" i="1"/>
  <c r="G2942" i="1"/>
  <c r="H2942" i="1"/>
  <c r="G2943" i="1"/>
  <c r="H2943" i="1"/>
  <c r="G2944" i="1"/>
  <c r="H2944" i="1"/>
  <c r="G2945" i="1"/>
  <c r="H2945" i="1"/>
  <c r="G2946" i="1"/>
  <c r="H2946" i="1"/>
  <c r="G2947" i="1"/>
  <c r="H2947" i="1"/>
  <c r="G2948" i="1"/>
  <c r="H2948" i="1"/>
  <c r="G2949" i="1"/>
  <c r="H2949" i="1"/>
  <c r="G2950" i="1"/>
  <c r="H2950" i="1"/>
  <c r="G2951" i="1"/>
  <c r="H2951" i="1"/>
  <c r="G2952" i="1"/>
  <c r="H2952" i="1"/>
  <c r="G2953" i="1"/>
  <c r="H2953" i="1"/>
  <c r="G2954" i="1"/>
  <c r="H2954" i="1"/>
  <c r="G2955" i="1"/>
  <c r="H2955" i="1"/>
  <c r="G2956" i="1"/>
  <c r="H2956" i="1"/>
  <c r="G2957" i="1"/>
  <c r="H2957" i="1"/>
  <c r="G2958" i="1"/>
  <c r="H2958" i="1"/>
  <c r="G2959" i="1"/>
  <c r="H2959" i="1"/>
  <c r="G2960" i="1"/>
  <c r="H2960" i="1"/>
  <c r="G2961" i="1"/>
  <c r="H2961" i="1"/>
  <c r="G2962" i="1"/>
  <c r="H2962" i="1"/>
  <c r="G2963" i="1"/>
  <c r="H2963" i="1"/>
  <c r="G2964" i="1"/>
  <c r="H2964" i="1"/>
  <c r="G2965" i="1"/>
  <c r="H2965" i="1"/>
  <c r="G2966" i="1"/>
  <c r="H2966" i="1"/>
  <c r="G2967" i="1"/>
  <c r="H2967" i="1"/>
  <c r="G2968" i="1"/>
  <c r="H2968" i="1"/>
  <c r="G2969" i="1"/>
  <c r="H2969" i="1"/>
  <c r="G2970" i="1"/>
  <c r="H2970" i="1"/>
  <c r="G2971" i="1"/>
  <c r="H2971" i="1"/>
  <c r="G2972" i="1"/>
  <c r="H2972" i="1"/>
  <c r="G2973" i="1"/>
  <c r="H2973" i="1"/>
  <c r="G2974" i="1"/>
  <c r="H2974" i="1"/>
  <c r="G2975" i="1"/>
  <c r="H2975" i="1"/>
  <c r="G2976" i="1"/>
  <c r="H2976" i="1"/>
  <c r="G2977" i="1"/>
  <c r="H2977" i="1"/>
  <c r="G2978" i="1"/>
  <c r="H2978" i="1"/>
  <c r="G2979" i="1"/>
  <c r="H2979" i="1"/>
  <c r="G2980" i="1"/>
  <c r="H2980" i="1"/>
  <c r="G2981" i="1"/>
  <c r="H2981" i="1"/>
  <c r="G2982" i="1"/>
  <c r="H2982" i="1"/>
  <c r="G2983" i="1"/>
  <c r="H2983" i="1"/>
  <c r="G2984" i="1"/>
  <c r="H2984" i="1"/>
  <c r="G2985" i="1"/>
  <c r="H2985" i="1"/>
  <c r="G2986" i="1"/>
  <c r="H2986" i="1"/>
  <c r="G2987" i="1"/>
  <c r="H2987" i="1"/>
  <c r="G2988" i="1"/>
  <c r="H2988" i="1"/>
  <c r="G2989" i="1"/>
  <c r="H2989" i="1"/>
  <c r="G2990" i="1"/>
  <c r="H2990" i="1"/>
  <c r="G2991" i="1"/>
  <c r="H2991" i="1"/>
  <c r="G2992" i="1"/>
  <c r="H2992" i="1"/>
  <c r="G2993" i="1"/>
  <c r="H2993" i="1"/>
  <c r="G2994" i="1"/>
  <c r="H2994" i="1"/>
  <c r="G2995" i="1"/>
  <c r="H2995" i="1"/>
  <c r="G2996" i="1"/>
  <c r="H2996" i="1"/>
  <c r="G2997" i="1"/>
  <c r="H2997" i="1"/>
  <c r="G2998" i="1"/>
  <c r="H2998" i="1"/>
  <c r="G2999" i="1"/>
  <c r="H2999" i="1"/>
  <c r="G3000" i="1"/>
  <c r="H3000" i="1"/>
  <c r="G3001" i="1"/>
  <c r="H3001" i="1"/>
  <c r="G3002" i="1"/>
  <c r="H3002" i="1"/>
  <c r="G3003" i="1"/>
  <c r="H3003" i="1"/>
  <c r="G3004" i="1"/>
  <c r="H3004" i="1"/>
  <c r="G3005" i="1"/>
  <c r="H3005" i="1"/>
  <c r="G3006" i="1"/>
  <c r="H3006" i="1"/>
  <c r="G3007" i="1"/>
  <c r="H3007" i="1"/>
  <c r="G3008" i="1"/>
  <c r="H3008" i="1"/>
  <c r="G3009" i="1"/>
  <c r="H3009" i="1"/>
  <c r="G3010" i="1"/>
  <c r="H3010" i="1"/>
  <c r="G3011" i="1"/>
  <c r="H3011" i="1"/>
  <c r="G3012" i="1"/>
  <c r="H3012" i="1"/>
  <c r="G3013" i="1"/>
  <c r="H3013" i="1"/>
  <c r="G3014" i="1"/>
  <c r="H3014" i="1"/>
  <c r="G3015" i="1"/>
  <c r="H3015" i="1"/>
  <c r="G3016" i="1"/>
  <c r="H3016" i="1"/>
  <c r="G3017" i="1"/>
  <c r="H3017" i="1"/>
  <c r="G3018" i="1"/>
  <c r="H3018" i="1"/>
  <c r="G3019" i="1"/>
  <c r="H3019" i="1"/>
  <c r="G3020" i="1"/>
  <c r="H3020" i="1"/>
  <c r="G3021" i="1"/>
  <c r="H3021" i="1"/>
  <c r="G3022" i="1"/>
  <c r="H3022" i="1"/>
  <c r="G3023" i="1"/>
  <c r="H3023" i="1"/>
  <c r="G3024" i="1"/>
  <c r="H3024" i="1"/>
  <c r="G3025" i="1"/>
  <c r="H3025" i="1"/>
  <c r="G3026" i="1"/>
  <c r="H3026" i="1"/>
  <c r="G3027" i="1"/>
  <c r="H3027" i="1"/>
  <c r="G3028" i="1"/>
  <c r="H3028" i="1"/>
  <c r="G3029" i="1"/>
  <c r="H3029" i="1"/>
  <c r="G3030" i="1"/>
  <c r="H3030" i="1"/>
  <c r="G3031" i="1"/>
  <c r="H3031" i="1"/>
  <c r="G3032" i="1"/>
  <c r="H3032" i="1"/>
  <c r="G3033" i="1"/>
  <c r="H3033" i="1"/>
  <c r="G3034" i="1"/>
  <c r="H3034" i="1"/>
  <c r="G3035" i="1"/>
  <c r="H3035" i="1"/>
  <c r="G3036" i="1"/>
  <c r="H3036" i="1"/>
  <c r="G3037" i="1"/>
  <c r="H3037" i="1"/>
  <c r="G3038" i="1"/>
  <c r="H3038" i="1"/>
  <c r="G3039" i="1"/>
  <c r="H3039" i="1"/>
  <c r="G3040" i="1"/>
  <c r="H3040" i="1"/>
  <c r="G3041" i="1"/>
  <c r="H3041" i="1"/>
  <c r="G3042" i="1"/>
  <c r="H3042" i="1"/>
  <c r="G3043" i="1"/>
  <c r="H3043" i="1"/>
  <c r="G3044" i="1"/>
  <c r="H3044" i="1"/>
  <c r="G3045" i="1"/>
  <c r="H3045" i="1"/>
  <c r="G3046" i="1"/>
  <c r="H3046" i="1"/>
  <c r="G3047" i="1"/>
  <c r="H3047" i="1"/>
  <c r="G3048" i="1"/>
  <c r="H3048" i="1"/>
  <c r="G3049" i="1"/>
  <c r="H3049" i="1"/>
  <c r="G3050" i="1"/>
  <c r="H3050" i="1"/>
  <c r="G3051" i="1"/>
  <c r="H3051" i="1"/>
  <c r="G3052" i="1"/>
  <c r="H3052" i="1"/>
  <c r="G3053" i="1"/>
  <c r="H3053" i="1"/>
  <c r="G3054" i="1"/>
  <c r="H3054" i="1"/>
  <c r="G3055" i="1"/>
  <c r="H3055" i="1"/>
  <c r="G3056" i="1"/>
  <c r="H3056" i="1"/>
  <c r="G3057" i="1"/>
  <c r="H3057" i="1"/>
  <c r="G3058" i="1"/>
  <c r="H3058" i="1"/>
  <c r="G3059" i="1"/>
  <c r="H3059" i="1"/>
  <c r="G3060" i="1"/>
  <c r="H3060" i="1"/>
  <c r="G3061" i="1"/>
  <c r="H3061" i="1"/>
  <c r="G3062" i="1"/>
  <c r="H3062" i="1"/>
  <c r="G3063" i="1"/>
  <c r="H3063" i="1"/>
  <c r="G3064" i="1"/>
  <c r="H3064" i="1"/>
  <c r="G3065" i="1"/>
  <c r="H3065" i="1"/>
  <c r="G3066" i="1"/>
  <c r="H3066" i="1"/>
  <c r="G3067" i="1"/>
  <c r="H3067" i="1"/>
  <c r="G3068" i="1"/>
  <c r="H3068" i="1"/>
  <c r="G3069" i="1"/>
  <c r="H3069" i="1"/>
  <c r="G3070" i="1"/>
  <c r="H3070" i="1"/>
  <c r="G3071" i="1"/>
  <c r="H3071" i="1"/>
  <c r="G3072" i="1"/>
  <c r="H3072" i="1"/>
  <c r="G3073" i="1"/>
  <c r="H3073" i="1"/>
  <c r="G3074" i="1"/>
  <c r="H3074" i="1"/>
  <c r="G3075" i="1"/>
  <c r="H3075" i="1"/>
  <c r="G3076" i="1"/>
  <c r="H3076" i="1"/>
  <c r="G3077" i="1"/>
  <c r="H3077" i="1"/>
  <c r="G3078" i="1"/>
  <c r="H3078" i="1"/>
  <c r="G3079" i="1"/>
  <c r="H3079" i="1"/>
  <c r="G3080" i="1"/>
  <c r="H3080" i="1"/>
  <c r="G3081" i="1"/>
  <c r="H3081" i="1"/>
  <c r="G3082" i="1"/>
  <c r="H3082" i="1"/>
  <c r="G3083" i="1"/>
  <c r="H3083" i="1"/>
  <c r="G3084" i="1"/>
  <c r="H3084" i="1"/>
  <c r="G3085" i="1"/>
  <c r="H3085" i="1"/>
  <c r="G3086" i="1"/>
  <c r="H3086" i="1"/>
  <c r="G3087" i="1"/>
  <c r="H3087" i="1"/>
  <c r="G3088" i="1"/>
  <c r="H3088" i="1"/>
  <c r="G3089" i="1"/>
  <c r="H3089" i="1"/>
  <c r="G3090" i="1"/>
  <c r="H3090" i="1"/>
  <c r="G3091" i="1"/>
  <c r="H3091" i="1"/>
  <c r="G3092" i="1"/>
  <c r="H3092" i="1"/>
  <c r="G3093" i="1"/>
  <c r="H3093" i="1"/>
  <c r="G3094" i="1"/>
  <c r="H3094" i="1"/>
  <c r="G3095" i="1"/>
  <c r="H3095" i="1"/>
  <c r="G3096" i="1"/>
  <c r="H3096" i="1"/>
  <c r="G3097" i="1"/>
  <c r="H3097" i="1"/>
  <c r="G3098" i="1"/>
  <c r="H3098" i="1"/>
  <c r="G3099" i="1"/>
  <c r="H3099" i="1"/>
  <c r="G3100" i="1"/>
  <c r="H3100" i="1"/>
  <c r="G3101" i="1"/>
  <c r="H3101" i="1"/>
  <c r="G3102" i="1"/>
  <c r="H3102" i="1"/>
  <c r="G3103" i="1"/>
  <c r="H3103" i="1"/>
  <c r="G3104" i="1"/>
  <c r="H3104" i="1"/>
  <c r="G3105" i="1"/>
  <c r="H3105" i="1"/>
  <c r="G3106" i="1"/>
  <c r="H3106" i="1"/>
  <c r="G3107" i="1"/>
  <c r="H3107" i="1"/>
  <c r="G3108" i="1"/>
  <c r="H3108" i="1"/>
  <c r="G3109" i="1"/>
  <c r="H3109" i="1"/>
  <c r="G3110" i="1"/>
  <c r="H3110" i="1"/>
  <c r="G3111" i="1"/>
  <c r="H3111" i="1"/>
  <c r="G3112" i="1"/>
  <c r="H3112" i="1"/>
  <c r="G3113" i="1"/>
  <c r="H3113" i="1"/>
  <c r="G3114" i="1"/>
  <c r="H3114" i="1"/>
  <c r="G3115" i="1"/>
  <c r="H3115" i="1"/>
  <c r="G3116" i="1"/>
  <c r="H3116" i="1"/>
  <c r="G3117" i="1"/>
  <c r="H3117" i="1"/>
  <c r="G3118" i="1"/>
  <c r="H3118" i="1"/>
  <c r="G3119" i="1"/>
  <c r="H3119" i="1"/>
  <c r="G3120" i="1"/>
  <c r="H3120" i="1"/>
  <c r="G3121" i="1"/>
  <c r="H3121" i="1"/>
  <c r="G3122" i="1"/>
  <c r="H3122" i="1"/>
  <c r="G3123" i="1"/>
  <c r="H3123" i="1"/>
  <c r="G3124" i="1"/>
  <c r="H3124" i="1"/>
  <c r="G3125" i="1"/>
  <c r="H3125" i="1"/>
  <c r="G3126" i="1"/>
  <c r="H3126" i="1"/>
  <c r="G3127" i="1"/>
  <c r="H3127" i="1"/>
  <c r="G3128" i="1"/>
  <c r="H3128" i="1"/>
  <c r="G3129" i="1"/>
  <c r="H3129" i="1"/>
  <c r="G3130" i="1"/>
  <c r="H3130" i="1"/>
  <c r="G3131" i="1"/>
  <c r="H3131" i="1"/>
  <c r="G3132" i="1"/>
  <c r="H3132" i="1"/>
  <c r="G3133" i="1"/>
  <c r="H3133" i="1"/>
  <c r="G3134" i="1"/>
  <c r="H3134" i="1"/>
  <c r="G3135" i="1"/>
  <c r="H3135" i="1"/>
  <c r="G3136" i="1"/>
  <c r="H3136" i="1"/>
  <c r="G3137" i="1"/>
  <c r="H3137" i="1"/>
  <c r="G3138" i="1"/>
  <c r="H3138" i="1"/>
  <c r="G3139" i="1"/>
  <c r="H3139" i="1"/>
  <c r="G3140" i="1"/>
  <c r="H3140" i="1"/>
  <c r="G3141" i="1"/>
  <c r="H3141" i="1"/>
  <c r="G3142" i="1"/>
  <c r="H3142" i="1"/>
  <c r="G3143" i="1"/>
  <c r="H3143" i="1"/>
  <c r="G3144" i="1"/>
  <c r="H3144" i="1"/>
  <c r="G3145" i="1"/>
  <c r="H3145" i="1"/>
  <c r="G3146" i="1"/>
  <c r="H3146" i="1"/>
  <c r="G3147" i="1"/>
  <c r="H3147" i="1"/>
  <c r="G3148" i="1"/>
  <c r="H3148" i="1"/>
  <c r="G3149" i="1"/>
  <c r="H3149" i="1"/>
  <c r="G3150" i="1"/>
  <c r="H3150" i="1"/>
  <c r="G3151" i="1"/>
  <c r="H3151" i="1"/>
  <c r="G3152" i="1"/>
  <c r="H3152" i="1"/>
  <c r="G3153" i="1"/>
  <c r="H3153" i="1"/>
  <c r="G3154" i="1"/>
  <c r="H3154" i="1"/>
  <c r="G3155" i="1"/>
  <c r="H3155" i="1"/>
  <c r="G3156" i="1"/>
  <c r="H3156" i="1"/>
  <c r="G3157" i="1"/>
  <c r="H3157" i="1"/>
  <c r="G3158" i="1"/>
  <c r="H3158" i="1"/>
  <c r="G3159" i="1"/>
  <c r="H3159" i="1"/>
  <c r="G3160" i="1"/>
  <c r="H3160" i="1"/>
  <c r="G3161" i="1"/>
  <c r="H3161" i="1"/>
  <c r="G3162" i="1"/>
  <c r="H3162" i="1"/>
  <c r="G3163" i="1"/>
  <c r="H3163" i="1"/>
  <c r="G3164" i="1"/>
  <c r="H3164" i="1"/>
  <c r="G3165" i="1"/>
  <c r="H3165" i="1"/>
  <c r="G3166" i="1"/>
  <c r="H3166" i="1"/>
  <c r="G3167" i="1"/>
  <c r="H3167" i="1"/>
  <c r="G3168" i="1"/>
  <c r="H3168" i="1"/>
  <c r="G3169" i="1"/>
  <c r="H3169" i="1"/>
  <c r="G3170" i="1"/>
  <c r="H3170" i="1"/>
  <c r="G3171" i="1"/>
  <c r="H3171" i="1"/>
  <c r="G3172" i="1"/>
  <c r="H3172" i="1"/>
  <c r="G3173" i="1"/>
  <c r="H3173" i="1"/>
  <c r="G3174" i="1"/>
  <c r="H3174" i="1"/>
  <c r="G3175" i="1"/>
  <c r="H3175" i="1"/>
  <c r="G3176" i="1"/>
  <c r="H3176" i="1"/>
  <c r="G3177" i="1"/>
  <c r="H3177" i="1"/>
  <c r="G3178" i="1"/>
  <c r="H3178" i="1"/>
  <c r="G3179" i="1"/>
  <c r="H3179" i="1"/>
  <c r="G3180" i="1"/>
  <c r="H3180" i="1"/>
  <c r="G3181" i="1"/>
  <c r="H3181" i="1"/>
  <c r="G3182" i="1"/>
  <c r="H3182" i="1"/>
  <c r="G3183" i="1"/>
  <c r="H3183" i="1"/>
  <c r="G3184" i="1"/>
  <c r="H3184" i="1"/>
  <c r="G3185" i="1"/>
  <c r="H3185" i="1"/>
  <c r="G3186" i="1"/>
  <c r="H3186" i="1"/>
  <c r="G3187" i="1"/>
  <c r="H3187" i="1"/>
  <c r="G3188" i="1"/>
  <c r="H3188" i="1"/>
  <c r="G3189" i="1"/>
  <c r="H3189" i="1"/>
  <c r="G3190" i="1"/>
  <c r="H3190" i="1"/>
  <c r="G3191" i="1"/>
  <c r="H3191" i="1"/>
  <c r="G3192" i="1"/>
  <c r="H3192" i="1"/>
  <c r="G3193" i="1"/>
  <c r="H3193" i="1"/>
  <c r="G3194" i="1"/>
  <c r="H3194" i="1"/>
  <c r="G3195" i="1"/>
  <c r="H3195" i="1"/>
  <c r="G3196" i="1"/>
  <c r="H3196" i="1"/>
  <c r="G3197" i="1"/>
  <c r="H3197" i="1"/>
  <c r="G3198" i="1"/>
  <c r="H3198" i="1"/>
  <c r="G3199" i="1"/>
  <c r="H3199" i="1"/>
  <c r="G3200" i="1"/>
  <c r="H3200" i="1"/>
  <c r="G3201" i="1"/>
  <c r="H3201" i="1"/>
  <c r="G3202" i="1"/>
  <c r="H3202" i="1"/>
  <c r="G3203" i="1"/>
  <c r="H3203" i="1"/>
  <c r="G3204" i="1"/>
  <c r="H3204" i="1"/>
  <c r="G3205" i="1"/>
  <c r="H3205" i="1"/>
  <c r="G3206" i="1"/>
  <c r="H3206" i="1"/>
  <c r="G3207" i="1"/>
  <c r="H3207" i="1"/>
  <c r="G3208" i="1"/>
  <c r="H3208" i="1"/>
  <c r="G3209" i="1"/>
  <c r="H3209" i="1"/>
  <c r="G3210" i="1"/>
  <c r="H3210" i="1"/>
  <c r="G3211" i="1"/>
  <c r="H3211" i="1"/>
  <c r="G3212" i="1"/>
  <c r="H3212" i="1"/>
  <c r="G3213" i="1"/>
  <c r="H3213" i="1"/>
  <c r="G3214" i="1"/>
  <c r="H3214" i="1"/>
  <c r="G3215" i="1"/>
  <c r="H3215" i="1"/>
  <c r="G3216" i="1"/>
  <c r="H3216" i="1"/>
  <c r="G3217" i="1"/>
  <c r="H3217" i="1"/>
  <c r="G3218" i="1"/>
  <c r="H3218" i="1"/>
  <c r="G3219" i="1"/>
  <c r="H3219" i="1"/>
  <c r="G3220" i="1"/>
  <c r="H3220" i="1"/>
  <c r="G3221" i="1"/>
  <c r="H3221" i="1"/>
  <c r="G3222" i="1"/>
  <c r="H3222" i="1"/>
  <c r="G3223" i="1"/>
  <c r="H3223" i="1"/>
  <c r="G3224" i="1"/>
  <c r="H3224" i="1"/>
  <c r="G3225" i="1"/>
  <c r="H3225" i="1"/>
  <c r="G3226" i="1"/>
  <c r="H3226" i="1"/>
  <c r="G3227" i="1"/>
  <c r="H3227" i="1"/>
  <c r="G3228" i="1"/>
  <c r="H3228" i="1"/>
  <c r="G3229" i="1"/>
  <c r="H3229" i="1"/>
  <c r="G3230" i="1"/>
  <c r="H3230" i="1"/>
  <c r="G3231" i="1"/>
  <c r="H3231" i="1"/>
  <c r="G3232" i="1"/>
  <c r="H3232" i="1"/>
  <c r="G3233" i="1"/>
  <c r="H3233" i="1"/>
  <c r="G3234" i="1"/>
  <c r="H3234" i="1"/>
  <c r="G3235" i="1"/>
  <c r="H3235" i="1"/>
  <c r="G3236" i="1"/>
  <c r="H3236" i="1"/>
  <c r="G3237" i="1"/>
  <c r="H3237" i="1"/>
  <c r="G3238" i="1"/>
  <c r="H3238" i="1"/>
  <c r="G3239" i="1"/>
  <c r="H3239" i="1"/>
  <c r="G3240" i="1"/>
  <c r="H3240" i="1"/>
  <c r="G3241" i="1"/>
  <c r="H3241" i="1"/>
  <c r="G3242" i="1"/>
  <c r="H3242" i="1"/>
  <c r="G3243" i="1"/>
  <c r="H3243" i="1"/>
  <c r="G3244" i="1"/>
  <c r="H3244" i="1"/>
  <c r="G3245" i="1"/>
  <c r="H3245" i="1"/>
  <c r="G3246" i="1"/>
  <c r="H3246" i="1"/>
  <c r="G3247" i="1"/>
  <c r="H3247" i="1"/>
  <c r="G3248" i="1"/>
  <c r="H3248" i="1"/>
  <c r="G3249" i="1"/>
  <c r="H3249" i="1"/>
  <c r="G3250" i="1"/>
  <c r="H3250" i="1"/>
  <c r="G3251" i="1"/>
  <c r="H3251" i="1"/>
  <c r="G3252" i="1"/>
  <c r="H3252" i="1"/>
  <c r="G3253" i="1"/>
  <c r="H3253" i="1"/>
  <c r="G3254" i="1"/>
  <c r="H3254" i="1"/>
  <c r="G3255" i="1"/>
  <c r="H3255" i="1"/>
  <c r="G3256" i="1"/>
  <c r="H3256" i="1"/>
  <c r="G3257" i="1"/>
  <c r="H3257" i="1"/>
  <c r="G3258" i="1"/>
  <c r="H3258" i="1"/>
  <c r="G3259" i="1"/>
  <c r="H3259" i="1"/>
  <c r="G3260" i="1"/>
  <c r="H3260" i="1"/>
  <c r="G3261" i="1"/>
  <c r="H3261" i="1"/>
  <c r="G3262" i="1"/>
  <c r="H3262" i="1"/>
  <c r="G3263" i="1"/>
  <c r="H3263" i="1"/>
  <c r="G3264" i="1"/>
  <c r="H3264" i="1"/>
  <c r="G3265" i="1"/>
  <c r="H3265" i="1"/>
  <c r="G3266" i="1"/>
  <c r="H3266" i="1"/>
  <c r="G3267" i="1"/>
  <c r="H3267" i="1"/>
  <c r="G3268" i="1"/>
  <c r="H3268" i="1"/>
  <c r="G3269" i="1"/>
  <c r="H3269" i="1"/>
  <c r="G3270" i="1"/>
  <c r="H3270" i="1"/>
  <c r="G3271" i="1"/>
  <c r="H3271" i="1"/>
  <c r="G3272" i="1"/>
  <c r="H3272" i="1"/>
  <c r="G3273" i="1"/>
  <c r="H3273" i="1"/>
  <c r="G3274" i="1"/>
  <c r="H3274" i="1"/>
  <c r="G3275" i="1"/>
  <c r="H3275" i="1"/>
  <c r="G3276" i="1"/>
  <c r="H3276" i="1"/>
  <c r="G3277" i="1"/>
  <c r="H3277" i="1"/>
  <c r="G3278" i="1"/>
  <c r="H3278" i="1"/>
  <c r="G3279" i="1"/>
  <c r="H3279" i="1"/>
  <c r="G3280" i="1"/>
  <c r="H3280" i="1"/>
  <c r="G3281" i="1"/>
  <c r="H3281" i="1"/>
  <c r="G3282" i="1"/>
  <c r="H3282" i="1"/>
  <c r="G3283" i="1"/>
  <c r="H3283" i="1"/>
  <c r="G3284" i="1"/>
  <c r="H3284" i="1"/>
  <c r="G3285" i="1"/>
  <c r="H3285" i="1"/>
  <c r="G3286" i="1"/>
  <c r="H3286" i="1"/>
  <c r="G3287" i="1"/>
  <c r="H3287" i="1"/>
  <c r="G3288" i="1"/>
  <c r="H3288" i="1"/>
  <c r="G3289" i="1"/>
  <c r="H3289" i="1"/>
  <c r="G3290" i="1"/>
  <c r="H3290" i="1"/>
  <c r="G3291" i="1"/>
  <c r="H3291" i="1"/>
  <c r="G3292" i="1"/>
  <c r="H3292" i="1"/>
  <c r="G3293" i="1"/>
  <c r="H3293" i="1"/>
  <c r="G3294" i="1"/>
  <c r="H3294" i="1"/>
  <c r="G3295" i="1"/>
  <c r="H3295" i="1"/>
  <c r="G3296" i="1"/>
  <c r="H3296" i="1"/>
  <c r="G3297" i="1"/>
  <c r="H3297" i="1"/>
  <c r="G3298" i="1"/>
  <c r="H3298" i="1"/>
  <c r="G3299" i="1"/>
  <c r="H3299" i="1"/>
  <c r="G3300" i="1"/>
  <c r="H3300" i="1"/>
  <c r="G3301" i="1"/>
  <c r="H3301" i="1"/>
  <c r="G3302" i="1"/>
  <c r="H3302" i="1"/>
  <c r="G3303" i="1"/>
  <c r="H3303" i="1"/>
  <c r="G3304" i="1"/>
  <c r="H3304" i="1"/>
  <c r="G3305" i="1"/>
  <c r="H3305" i="1"/>
  <c r="G3306" i="1"/>
  <c r="H3306" i="1"/>
  <c r="G3307" i="1"/>
  <c r="H3307" i="1"/>
  <c r="G3308" i="1"/>
  <c r="H3308" i="1"/>
  <c r="G3309" i="1"/>
  <c r="H3309" i="1"/>
  <c r="G3310" i="1"/>
  <c r="H3310" i="1"/>
  <c r="G3311" i="1"/>
  <c r="H3311" i="1"/>
  <c r="G3312" i="1"/>
  <c r="H3312" i="1"/>
  <c r="G3313" i="1"/>
  <c r="H3313" i="1"/>
  <c r="G3314" i="1"/>
  <c r="H3314" i="1"/>
  <c r="G3315" i="1"/>
  <c r="H3315" i="1"/>
  <c r="G3316" i="1"/>
  <c r="H3316" i="1"/>
  <c r="G3317" i="1"/>
  <c r="H3317" i="1"/>
  <c r="G3318" i="1"/>
  <c r="H3318" i="1"/>
  <c r="G3319" i="1"/>
  <c r="H3319" i="1"/>
  <c r="G3320" i="1"/>
  <c r="H3320" i="1"/>
  <c r="G3321" i="1"/>
  <c r="H3321" i="1"/>
  <c r="G3322" i="1"/>
  <c r="H3322" i="1"/>
  <c r="G3323" i="1"/>
  <c r="H3323" i="1"/>
  <c r="G3324" i="1"/>
  <c r="H3324" i="1"/>
  <c r="G3325" i="1"/>
  <c r="H3325" i="1"/>
  <c r="G3326" i="1"/>
  <c r="H3326" i="1"/>
  <c r="G3327" i="1"/>
  <c r="H3327" i="1"/>
  <c r="G3328" i="1"/>
  <c r="H3328" i="1"/>
  <c r="G3329" i="1"/>
  <c r="H3329" i="1"/>
  <c r="G3330" i="1"/>
  <c r="H3330" i="1"/>
  <c r="G3331" i="1"/>
  <c r="H3331" i="1"/>
  <c r="G3332" i="1"/>
  <c r="H3332" i="1"/>
  <c r="G3333" i="1"/>
  <c r="H3333" i="1"/>
  <c r="G3334" i="1"/>
  <c r="H3334" i="1"/>
  <c r="G3335" i="1"/>
  <c r="H3335" i="1"/>
  <c r="G3336" i="1"/>
  <c r="H3336" i="1"/>
  <c r="G3337" i="1"/>
  <c r="H3337" i="1"/>
  <c r="G3338" i="1"/>
  <c r="H3338" i="1"/>
  <c r="G3339" i="1"/>
  <c r="H3339" i="1"/>
  <c r="G3340" i="1"/>
  <c r="H3340" i="1"/>
  <c r="G3341" i="1"/>
  <c r="H3341" i="1"/>
  <c r="G3342" i="1"/>
  <c r="H3342" i="1"/>
  <c r="G3343" i="1"/>
  <c r="H3343" i="1"/>
  <c r="G3344" i="1"/>
  <c r="H3344" i="1"/>
  <c r="G3345" i="1"/>
  <c r="H3345" i="1"/>
  <c r="G3346" i="1"/>
  <c r="H3346" i="1"/>
  <c r="G3347" i="1"/>
  <c r="H3347" i="1"/>
  <c r="G3348" i="1"/>
  <c r="H3348" i="1"/>
  <c r="G3349" i="1"/>
  <c r="H3349" i="1"/>
  <c r="G3350" i="1"/>
  <c r="H3350" i="1"/>
  <c r="G3351" i="1"/>
  <c r="H3351" i="1"/>
  <c r="G3352" i="1"/>
  <c r="H3352" i="1"/>
  <c r="G3353" i="1"/>
  <c r="H3353" i="1"/>
  <c r="G3354" i="1"/>
  <c r="H3354" i="1"/>
  <c r="G3355" i="1"/>
  <c r="H3355" i="1"/>
  <c r="G3356" i="1"/>
  <c r="H3356" i="1"/>
  <c r="G3357" i="1"/>
  <c r="H3357" i="1"/>
  <c r="G3358" i="1"/>
  <c r="H3358" i="1"/>
  <c r="G3359" i="1"/>
  <c r="H3359" i="1"/>
  <c r="G3360" i="1"/>
  <c r="H3360" i="1"/>
  <c r="G3361" i="1"/>
  <c r="H3361" i="1"/>
  <c r="G3362" i="1"/>
  <c r="H3362" i="1"/>
  <c r="G3363" i="1"/>
  <c r="H3363" i="1"/>
  <c r="G3364" i="1"/>
  <c r="H3364" i="1"/>
  <c r="G3365" i="1"/>
  <c r="H3365" i="1"/>
  <c r="G3366" i="1"/>
  <c r="H3366" i="1"/>
  <c r="G3367" i="1"/>
  <c r="H3367" i="1"/>
  <c r="G3368" i="1"/>
  <c r="H3368" i="1"/>
  <c r="G3369" i="1"/>
  <c r="H3369" i="1"/>
  <c r="G3370" i="1"/>
  <c r="H3370" i="1"/>
  <c r="G3371" i="1"/>
  <c r="H3371" i="1"/>
  <c r="G3372" i="1"/>
  <c r="H3372" i="1"/>
  <c r="G3373" i="1"/>
  <c r="H3373" i="1"/>
  <c r="G3374" i="1"/>
  <c r="H3374" i="1"/>
  <c r="G3375" i="1"/>
  <c r="H3375" i="1"/>
  <c r="G3376" i="1"/>
  <c r="H3376" i="1"/>
  <c r="G3377" i="1"/>
  <c r="H3377" i="1"/>
  <c r="G3378" i="1"/>
  <c r="H3378" i="1"/>
  <c r="G3379" i="1"/>
  <c r="H3379" i="1"/>
  <c r="G3380" i="1"/>
  <c r="H3380" i="1"/>
  <c r="G3381" i="1"/>
  <c r="H3381" i="1"/>
  <c r="G3382" i="1"/>
  <c r="H3382" i="1"/>
  <c r="G3383" i="1"/>
  <c r="H3383" i="1"/>
  <c r="G3384" i="1"/>
  <c r="H3384" i="1"/>
  <c r="G3385" i="1"/>
  <c r="H3385" i="1"/>
  <c r="G3386" i="1"/>
  <c r="H3386" i="1"/>
  <c r="G3387" i="1"/>
  <c r="H3387" i="1"/>
  <c r="G3388" i="1"/>
  <c r="H3388" i="1"/>
  <c r="G3389" i="1"/>
  <c r="H3389" i="1"/>
  <c r="G3390" i="1"/>
  <c r="H3390" i="1"/>
  <c r="G3391" i="1"/>
  <c r="H3391" i="1"/>
  <c r="G3392" i="1"/>
  <c r="H3392" i="1"/>
  <c r="G3393" i="1"/>
  <c r="H3393" i="1"/>
  <c r="G3394" i="1"/>
  <c r="H3394" i="1"/>
  <c r="G3395" i="1"/>
  <c r="H3395" i="1"/>
  <c r="G3396" i="1"/>
  <c r="H3396" i="1"/>
  <c r="G3397" i="1"/>
  <c r="H3397" i="1"/>
  <c r="G3398" i="1"/>
  <c r="H3398" i="1"/>
  <c r="G3399" i="1"/>
  <c r="H3399" i="1"/>
  <c r="G3400" i="1"/>
  <c r="H3400" i="1"/>
  <c r="G3401" i="1"/>
  <c r="H3401" i="1"/>
  <c r="G3402" i="1"/>
  <c r="H3402" i="1"/>
  <c r="G3403" i="1"/>
  <c r="H3403" i="1"/>
  <c r="G3404" i="1"/>
  <c r="H3404" i="1"/>
  <c r="G3405" i="1"/>
  <c r="H3405" i="1"/>
  <c r="G3406" i="1"/>
  <c r="H3406" i="1"/>
  <c r="G3407" i="1"/>
  <c r="H3407" i="1"/>
  <c r="G3408" i="1"/>
  <c r="H3408" i="1"/>
  <c r="G3409" i="1"/>
  <c r="H3409" i="1"/>
  <c r="G3410" i="1"/>
  <c r="H3410" i="1"/>
  <c r="G3411" i="1"/>
  <c r="H3411" i="1"/>
  <c r="G3412" i="1"/>
  <c r="H3412" i="1"/>
  <c r="G3413" i="1"/>
  <c r="H3413" i="1"/>
  <c r="G3414" i="1"/>
  <c r="H3414" i="1"/>
  <c r="G3415" i="1"/>
  <c r="H3415" i="1"/>
  <c r="G3416" i="1"/>
  <c r="H3416" i="1"/>
  <c r="G3417" i="1"/>
  <c r="H3417" i="1"/>
  <c r="G3418" i="1"/>
  <c r="H3418" i="1"/>
  <c r="G3419" i="1"/>
  <c r="H3419" i="1"/>
  <c r="G3420" i="1"/>
  <c r="H3420" i="1"/>
  <c r="G3421" i="1"/>
  <c r="H3421" i="1"/>
  <c r="G3422" i="1"/>
  <c r="H3422" i="1"/>
  <c r="G3423" i="1"/>
  <c r="H3423" i="1"/>
  <c r="G3424" i="1"/>
  <c r="H3424" i="1"/>
  <c r="G3425" i="1"/>
  <c r="H3425" i="1"/>
  <c r="G3426" i="1"/>
  <c r="H3426" i="1"/>
  <c r="G3427" i="1"/>
  <c r="H3427" i="1"/>
  <c r="G3428" i="1"/>
  <c r="H3428" i="1"/>
  <c r="G3429" i="1"/>
  <c r="H3429" i="1"/>
  <c r="G3430" i="1"/>
  <c r="H3430" i="1"/>
  <c r="G3431" i="1"/>
  <c r="H3431" i="1"/>
  <c r="G3432" i="1"/>
  <c r="H3432" i="1"/>
  <c r="G3433" i="1"/>
  <c r="H3433" i="1"/>
  <c r="G3434" i="1"/>
  <c r="H3434" i="1"/>
  <c r="G3435" i="1"/>
  <c r="H3435" i="1"/>
  <c r="G3436" i="1"/>
  <c r="H3436" i="1"/>
  <c r="G3437" i="1"/>
  <c r="H3437" i="1"/>
  <c r="G3438" i="1"/>
  <c r="H3438" i="1"/>
  <c r="G3439" i="1"/>
  <c r="H3439" i="1"/>
  <c r="G3440" i="1"/>
  <c r="H3440" i="1"/>
  <c r="G3441" i="1"/>
  <c r="H3441" i="1"/>
  <c r="G3442" i="1"/>
  <c r="H3442" i="1"/>
  <c r="G3443" i="1"/>
  <c r="H3443" i="1"/>
  <c r="G3444" i="1"/>
  <c r="H3444" i="1"/>
  <c r="G3445" i="1"/>
  <c r="H3445" i="1"/>
  <c r="G3446" i="1"/>
  <c r="H3446" i="1"/>
  <c r="G3447" i="1"/>
  <c r="H3447" i="1"/>
  <c r="G3448" i="1"/>
  <c r="H3448" i="1"/>
  <c r="G3449" i="1"/>
  <c r="H3449" i="1"/>
  <c r="G3450" i="1"/>
  <c r="H3450" i="1"/>
  <c r="G3451" i="1"/>
  <c r="H3451" i="1"/>
  <c r="G3452" i="1"/>
  <c r="H3452" i="1"/>
  <c r="G3453" i="1"/>
  <c r="H3453" i="1"/>
  <c r="G3454" i="1"/>
  <c r="H3454" i="1"/>
  <c r="G3455" i="1"/>
  <c r="H3455" i="1"/>
  <c r="G3456" i="1"/>
  <c r="H3456" i="1"/>
  <c r="G3457" i="1"/>
  <c r="H3457" i="1"/>
  <c r="G3458" i="1"/>
  <c r="H3458" i="1"/>
  <c r="G3459" i="1"/>
  <c r="H3459" i="1"/>
  <c r="G3460" i="1"/>
  <c r="H3460" i="1"/>
  <c r="G3461" i="1"/>
  <c r="H3461" i="1"/>
  <c r="G3462" i="1"/>
  <c r="H3462" i="1"/>
  <c r="G3463" i="1"/>
  <c r="H3463" i="1"/>
  <c r="G3464" i="1"/>
  <c r="H3464" i="1"/>
  <c r="G3465" i="1"/>
  <c r="H3465" i="1"/>
  <c r="G3466" i="1"/>
  <c r="H3466" i="1"/>
  <c r="G3467" i="1"/>
  <c r="H3467" i="1"/>
  <c r="G3468" i="1"/>
  <c r="H3468" i="1"/>
  <c r="G3469" i="1"/>
  <c r="H3469" i="1"/>
  <c r="G3470" i="1"/>
  <c r="H3470" i="1"/>
  <c r="G3471" i="1"/>
  <c r="H3471" i="1"/>
  <c r="G3472" i="1"/>
  <c r="H3472" i="1"/>
  <c r="G3473" i="1"/>
  <c r="H3473" i="1"/>
  <c r="G3474" i="1"/>
  <c r="H3474" i="1"/>
  <c r="G3475" i="1"/>
  <c r="H3475" i="1"/>
  <c r="G3476" i="1"/>
  <c r="H3476" i="1"/>
  <c r="G3477" i="1"/>
  <c r="H3477" i="1"/>
  <c r="G3478" i="1"/>
  <c r="H3478" i="1"/>
  <c r="G3479" i="1"/>
  <c r="H3479" i="1"/>
  <c r="G3480" i="1"/>
  <c r="H3480" i="1"/>
  <c r="G3481" i="1"/>
  <c r="H3481" i="1"/>
  <c r="G3482" i="1"/>
  <c r="H3482" i="1"/>
  <c r="G3483" i="1"/>
  <c r="H3483" i="1"/>
  <c r="G3484" i="1"/>
  <c r="H3484" i="1"/>
  <c r="G3485" i="1"/>
  <c r="H3485" i="1"/>
  <c r="G3486" i="1"/>
  <c r="H3486" i="1"/>
  <c r="G3487" i="1"/>
  <c r="H3487" i="1"/>
  <c r="G3488" i="1"/>
  <c r="H3488" i="1"/>
  <c r="G3489" i="1"/>
  <c r="H3489" i="1"/>
  <c r="G3490" i="1"/>
  <c r="H3490" i="1"/>
  <c r="G3491" i="1"/>
  <c r="H3491" i="1"/>
  <c r="G3492" i="1"/>
  <c r="H3492" i="1"/>
  <c r="G3493" i="1"/>
  <c r="H3493" i="1"/>
  <c r="G3494" i="1"/>
  <c r="H3494" i="1"/>
  <c r="G3495" i="1"/>
  <c r="H3495" i="1"/>
  <c r="G3496" i="1"/>
  <c r="H3496" i="1"/>
  <c r="G3497" i="1"/>
  <c r="H3497" i="1"/>
  <c r="G3498" i="1"/>
  <c r="H3498" i="1"/>
  <c r="G3499" i="1"/>
  <c r="H3499" i="1"/>
  <c r="G3500" i="1"/>
  <c r="H3500" i="1"/>
  <c r="G3501" i="1"/>
  <c r="H3501" i="1"/>
  <c r="G3502" i="1"/>
  <c r="H3502" i="1"/>
  <c r="G3503" i="1"/>
  <c r="H3503" i="1"/>
  <c r="G3504" i="1"/>
  <c r="H3504" i="1"/>
  <c r="G3505" i="1"/>
  <c r="H3505" i="1"/>
  <c r="G3506" i="1"/>
  <c r="H3506" i="1"/>
  <c r="G3507" i="1"/>
  <c r="H3507" i="1"/>
  <c r="G3508" i="1"/>
  <c r="H3508" i="1"/>
  <c r="G3509" i="1"/>
  <c r="H3509" i="1"/>
  <c r="G3510" i="1"/>
  <c r="H3510" i="1"/>
  <c r="G3511" i="1"/>
  <c r="H3511" i="1"/>
  <c r="G3512" i="1"/>
  <c r="H3512" i="1"/>
  <c r="G3513" i="1"/>
  <c r="H3513" i="1"/>
  <c r="G3514" i="1"/>
  <c r="H3514" i="1"/>
  <c r="G3515" i="1"/>
  <c r="H3515" i="1"/>
  <c r="G3516" i="1"/>
  <c r="H3516" i="1"/>
  <c r="G3517" i="1"/>
  <c r="H3517" i="1"/>
  <c r="G3518" i="1"/>
  <c r="H3518" i="1"/>
  <c r="G3519" i="1"/>
  <c r="H3519" i="1"/>
  <c r="G3520" i="1"/>
  <c r="H3520" i="1"/>
  <c r="G3521" i="1"/>
  <c r="H3521" i="1"/>
  <c r="G3522" i="1"/>
  <c r="H3522" i="1"/>
  <c r="G3523" i="1"/>
  <c r="H3523" i="1"/>
  <c r="G3524" i="1"/>
  <c r="H3524" i="1"/>
  <c r="G3525" i="1"/>
  <c r="H3525" i="1"/>
  <c r="G3526" i="1"/>
  <c r="H3526" i="1"/>
  <c r="G3527" i="1"/>
  <c r="H3527" i="1"/>
  <c r="G3528" i="1"/>
  <c r="H3528" i="1"/>
  <c r="G3529" i="1"/>
  <c r="H3529" i="1"/>
  <c r="G3530" i="1"/>
  <c r="H3530" i="1"/>
  <c r="G3531" i="1"/>
  <c r="H3531" i="1"/>
  <c r="G3532" i="1"/>
  <c r="H3532" i="1"/>
  <c r="G3533" i="1"/>
  <c r="H3533" i="1"/>
  <c r="G3534" i="1"/>
  <c r="H3534" i="1"/>
  <c r="G3535" i="1"/>
  <c r="H3535" i="1"/>
  <c r="G3536" i="1"/>
  <c r="H3536" i="1"/>
  <c r="G3537" i="1"/>
  <c r="H3537" i="1"/>
  <c r="G3538" i="1"/>
  <c r="H3538" i="1"/>
  <c r="G3539" i="1"/>
  <c r="H3539" i="1"/>
  <c r="G3540" i="1"/>
  <c r="H3540" i="1"/>
  <c r="G3541" i="1"/>
  <c r="H3541" i="1"/>
  <c r="G3542" i="1"/>
  <c r="H3542" i="1"/>
  <c r="G3543" i="1"/>
  <c r="H3543" i="1"/>
  <c r="G3544" i="1"/>
  <c r="H3544" i="1"/>
  <c r="G3545" i="1"/>
  <c r="H3545" i="1"/>
  <c r="G3546" i="1"/>
  <c r="H3546" i="1"/>
  <c r="G3547" i="1"/>
  <c r="H3547" i="1"/>
  <c r="G3548" i="1"/>
  <c r="H3548" i="1"/>
  <c r="G3549" i="1"/>
  <c r="H3549" i="1"/>
  <c r="G3550" i="1"/>
  <c r="H3550" i="1"/>
  <c r="G3551" i="1"/>
  <c r="H3551" i="1"/>
  <c r="G3552" i="1"/>
  <c r="H3552" i="1"/>
  <c r="G3553" i="1"/>
  <c r="H3553" i="1"/>
  <c r="G3554" i="1"/>
  <c r="H3554" i="1"/>
  <c r="G3555" i="1"/>
  <c r="H3555" i="1"/>
  <c r="G3556" i="1"/>
  <c r="H3556" i="1"/>
  <c r="G3557" i="1"/>
  <c r="H3557" i="1"/>
  <c r="G3558" i="1"/>
  <c r="H3558" i="1"/>
  <c r="G3559" i="1"/>
  <c r="H3559" i="1"/>
  <c r="G3560" i="1"/>
  <c r="H3560" i="1"/>
  <c r="G3561" i="1"/>
  <c r="H3561" i="1"/>
  <c r="G3562" i="1"/>
  <c r="H3562" i="1"/>
  <c r="G3563" i="1"/>
  <c r="H3563" i="1"/>
  <c r="G3564" i="1"/>
  <c r="H3564" i="1"/>
  <c r="G3565" i="1"/>
  <c r="H3565" i="1"/>
  <c r="G3566" i="1"/>
  <c r="H3566" i="1"/>
  <c r="G3567" i="1"/>
  <c r="H3567" i="1"/>
  <c r="G3568" i="1"/>
  <c r="H3568" i="1"/>
  <c r="G3569" i="1"/>
  <c r="H3569" i="1"/>
  <c r="G3570" i="1"/>
  <c r="H3570" i="1"/>
  <c r="G3571" i="1"/>
  <c r="H3571" i="1"/>
  <c r="G3572" i="1"/>
  <c r="H3572" i="1"/>
  <c r="G3573" i="1"/>
  <c r="H3573" i="1"/>
  <c r="G3574" i="1"/>
  <c r="H3574" i="1"/>
  <c r="G3575" i="1"/>
  <c r="H3575" i="1"/>
  <c r="G3576" i="1"/>
  <c r="H3576" i="1"/>
  <c r="G3577" i="1"/>
  <c r="H3577" i="1"/>
  <c r="G3578" i="1"/>
  <c r="H3578" i="1"/>
  <c r="G3579" i="1"/>
  <c r="H3579" i="1"/>
  <c r="G3580" i="1"/>
  <c r="H3580" i="1"/>
  <c r="G3581" i="1"/>
  <c r="H3581" i="1"/>
  <c r="G3582" i="1"/>
  <c r="H3582" i="1"/>
  <c r="G3583" i="1"/>
  <c r="H3583" i="1"/>
  <c r="G3584" i="1"/>
  <c r="H3584" i="1"/>
  <c r="G3585" i="1"/>
  <c r="H3585" i="1"/>
  <c r="G3586" i="1"/>
  <c r="H3586" i="1"/>
  <c r="G3587" i="1"/>
  <c r="H3587" i="1"/>
  <c r="G3588" i="1"/>
  <c r="H3588" i="1"/>
  <c r="G3589" i="1"/>
  <c r="H3589" i="1"/>
  <c r="G3590" i="1"/>
  <c r="H3590" i="1"/>
  <c r="G3591" i="1"/>
  <c r="H3591" i="1"/>
  <c r="G3592" i="1"/>
  <c r="H3592" i="1"/>
  <c r="G3593" i="1"/>
  <c r="H3593" i="1"/>
  <c r="G3594" i="1"/>
  <c r="H3594" i="1"/>
  <c r="G3595" i="1"/>
  <c r="H3595" i="1"/>
  <c r="G3596" i="1"/>
  <c r="H3596" i="1"/>
  <c r="G3597" i="1"/>
  <c r="H3597" i="1"/>
  <c r="G3598" i="1"/>
  <c r="H3598" i="1"/>
  <c r="G3599" i="1"/>
  <c r="H3599" i="1"/>
  <c r="G3600" i="1"/>
  <c r="H3600" i="1"/>
  <c r="G3601" i="1"/>
  <c r="H3601" i="1"/>
  <c r="G3602" i="1"/>
  <c r="H3602" i="1"/>
  <c r="G3603" i="1"/>
  <c r="H3603" i="1"/>
  <c r="G3604" i="1"/>
  <c r="H3604" i="1"/>
  <c r="G3605" i="1"/>
  <c r="H3605" i="1"/>
  <c r="G3606" i="1"/>
  <c r="H3606" i="1"/>
  <c r="G3607" i="1"/>
  <c r="H3607" i="1"/>
  <c r="G3608" i="1"/>
  <c r="H3608" i="1"/>
  <c r="G3609" i="1"/>
  <c r="H3609" i="1"/>
  <c r="G3610" i="1"/>
  <c r="H3610" i="1"/>
  <c r="G3611" i="1"/>
  <c r="H3611" i="1"/>
  <c r="G3612" i="1"/>
  <c r="H3612" i="1"/>
  <c r="G3613" i="1"/>
  <c r="H3613" i="1"/>
  <c r="G3614" i="1"/>
  <c r="H3614" i="1"/>
  <c r="G3615" i="1"/>
  <c r="H3615" i="1"/>
  <c r="G3616" i="1"/>
  <c r="H3616" i="1"/>
  <c r="G3617" i="1"/>
  <c r="H3617" i="1"/>
  <c r="G3618" i="1"/>
  <c r="H3618" i="1"/>
  <c r="G3619" i="1"/>
  <c r="H3619" i="1"/>
  <c r="G3620" i="1"/>
  <c r="H3620" i="1"/>
  <c r="G3621" i="1"/>
  <c r="H3621" i="1"/>
  <c r="G3622" i="1"/>
  <c r="H3622" i="1"/>
  <c r="G3623" i="1"/>
  <c r="H3623" i="1"/>
  <c r="G3624" i="1"/>
  <c r="H3624" i="1"/>
  <c r="G3625" i="1"/>
  <c r="H3625" i="1"/>
  <c r="G3626" i="1"/>
  <c r="H3626" i="1"/>
  <c r="G3627" i="1"/>
  <c r="H3627" i="1"/>
  <c r="G3628" i="1"/>
  <c r="H3628" i="1"/>
  <c r="G3629" i="1"/>
  <c r="H3629" i="1"/>
  <c r="G3630" i="1"/>
  <c r="H3630" i="1"/>
  <c r="G3631" i="1"/>
  <c r="H3631" i="1"/>
  <c r="G3632" i="1"/>
  <c r="H3632" i="1"/>
  <c r="G3633" i="1"/>
  <c r="H3633" i="1"/>
  <c r="G3634" i="1"/>
  <c r="H3634" i="1"/>
  <c r="G3635" i="1"/>
  <c r="H3635" i="1"/>
  <c r="G3636" i="1"/>
  <c r="H3636" i="1"/>
  <c r="G3637" i="1"/>
  <c r="H3637" i="1"/>
  <c r="G3638" i="1"/>
  <c r="H3638" i="1"/>
  <c r="G3639" i="1"/>
  <c r="H3639" i="1"/>
  <c r="G3640" i="1"/>
  <c r="H3640" i="1"/>
  <c r="G3641" i="1"/>
  <c r="H3641" i="1"/>
  <c r="G3642" i="1"/>
  <c r="H3642" i="1"/>
  <c r="G3643" i="1"/>
  <c r="H3643" i="1"/>
  <c r="G3644" i="1"/>
  <c r="H3644" i="1"/>
  <c r="G3645" i="1"/>
  <c r="H3645" i="1"/>
  <c r="G3646" i="1"/>
  <c r="H3646" i="1"/>
  <c r="G3647" i="1"/>
  <c r="H3647" i="1"/>
  <c r="G3648" i="1"/>
  <c r="H3648" i="1"/>
  <c r="G3649" i="1"/>
  <c r="H3649" i="1"/>
  <c r="G3650" i="1"/>
  <c r="H3650" i="1"/>
  <c r="G3651" i="1"/>
  <c r="H3651" i="1"/>
  <c r="G3652" i="1"/>
  <c r="H3652" i="1"/>
  <c r="G3653" i="1"/>
  <c r="H3653" i="1"/>
  <c r="G3654" i="1"/>
  <c r="H3654" i="1"/>
  <c r="G3655" i="1"/>
  <c r="H3655" i="1"/>
  <c r="G3656" i="1"/>
  <c r="H3656" i="1"/>
  <c r="G3657" i="1"/>
  <c r="H3657" i="1"/>
  <c r="G3658" i="1"/>
  <c r="H3658" i="1"/>
  <c r="G3659" i="1"/>
  <c r="H3659" i="1"/>
  <c r="G3660" i="1"/>
  <c r="H3660" i="1"/>
  <c r="G3661" i="1"/>
  <c r="H3661" i="1"/>
  <c r="G3662" i="1"/>
  <c r="H3662" i="1"/>
  <c r="G3663" i="1"/>
  <c r="H3663" i="1"/>
  <c r="G3664" i="1"/>
  <c r="H3664" i="1"/>
  <c r="G3665" i="1"/>
  <c r="H3665" i="1"/>
  <c r="G3666" i="1"/>
  <c r="H3666" i="1"/>
  <c r="G3667" i="1"/>
  <c r="H3667" i="1"/>
  <c r="G3668" i="1"/>
  <c r="H3668" i="1"/>
  <c r="G3669" i="1"/>
  <c r="H3669" i="1"/>
  <c r="G3670" i="1"/>
  <c r="H3670" i="1"/>
  <c r="G3671" i="1"/>
  <c r="H3671" i="1"/>
  <c r="G3672" i="1"/>
  <c r="H3672" i="1"/>
  <c r="G3673" i="1"/>
  <c r="H3673" i="1"/>
  <c r="G3674" i="1"/>
  <c r="H3674" i="1"/>
  <c r="G3675" i="1"/>
  <c r="H3675" i="1"/>
  <c r="G3676" i="1"/>
  <c r="H3676" i="1"/>
  <c r="G3677" i="1"/>
  <c r="H3677" i="1"/>
  <c r="G3678" i="1"/>
  <c r="H3678" i="1"/>
  <c r="G3679" i="1"/>
  <c r="H3679" i="1"/>
  <c r="G3680" i="1"/>
  <c r="H3680" i="1"/>
  <c r="G3681" i="1"/>
  <c r="H3681" i="1"/>
  <c r="G3682" i="1"/>
  <c r="H3682" i="1"/>
  <c r="G3683" i="1"/>
  <c r="H3683" i="1"/>
  <c r="G3684" i="1"/>
  <c r="H3684" i="1"/>
  <c r="G3685" i="1"/>
  <c r="H3685" i="1"/>
  <c r="G3686" i="1"/>
  <c r="H3686" i="1"/>
  <c r="G3687" i="1"/>
  <c r="H3687" i="1"/>
  <c r="G3688" i="1"/>
  <c r="H3688" i="1"/>
  <c r="G3689" i="1"/>
  <c r="H3689" i="1"/>
  <c r="G3690" i="1"/>
  <c r="H3690" i="1"/>
  <c r="G3691" i="1"/>
  <c r="H3691" i="1"/>
  <c r="G3692" i="1"/>
  <c r="H3692" i="1"/>
  <c r="G3693" i="1"/>
  <c r="H3693" i="1"/>
  <c r="G3694" i="1"/>
  <c r="H3694" i="1"/>
  <c r="G3695" i="1"/>
  <c r="H3695" i="1"/>
  <c r="G3696" i="1"/>
  <c r="H3696" i="1"/>
  <c r="G3697" i="1"/>
  <c r="H3697" i="1"/>
  <c r="G3698" i="1"/>
  <c r="H3698" i="1"/>
  <c r="G3699" i="1"/>
  <c r="H3699" i="1"/>
  <c r="G3700" i="1"/>
  <c r="H3700" i="1"/>
  <c r="G3701" i="1"/>
  <c r="H3701" i="1"/>
  <c r="G3702" i="1"/>
  <c r="H3702" i="1"/>
  <c r="G3703" i="1"/>
  <c r="H3703" i="1"/>
  <c r="G3704" i="1"/>
  <c r="H3704" i="1"/>
  <c r="G3705" i="1"/>
  <c r="H3705" i="1"/>
  <c r="G3706" i="1"/>
  <c r="H3706" i="1"/>
  <c r="G3707" i="1"/>
  <c r="H3707" i="1"/>
  <c r="G3708" i="1"/>
  <c r="H3708" i="1"/>
  <c r="G3709" i="1"/>
  <c r="H3709" i="1"/>
  <c r="G3710" i="1"/>
  <c r="H3710" i="1"/>
  <c r="G3711" i="1"/>
  <c r="H3711" i="1"/>
  <c r="G3712" i="1"/>
  <c r="H3712" i="1"/>
  <c r="G3713" i="1"/>
  <c r="H3713" i="1"/>
  <c r="G3714" i="1"/>
  <c r="H3714" i="1"/>
  <c r="G3715" i="1"/>
  <c r="H3715" i="1"/>
  <c r="G3716" i="1"/>
  <c r="H3716" i="1"/>
  <c r="G3717" i="1"/>
  <c r="H3717" i="1"/>
  <c r="G3718" i="1"/>
  <c r="H3718" i="1"/>
  <c r="G3719" i="1"/>
  <c r="H3719" i="1"/>
  <c r="G3720" i="1"/>
  <c r="H3720" i="1"/>
  <c r="G3721" i="1"/>
  <c r="H3721" i="1"/>
  <c r="G3722" i="1"/>
  <c r="H3722" i="1"/>
  <c r="G3723" i="1"/>
  <c r="H3723" i="1"/>
  <c r="G3724" i="1"/>
  <c r="H3724" i="1"/>
  <c r="G3725" i="1"/>
  <c r="H3725" i="1"/>
  <c r="G3726" i="1"/>
  <c r="H3726" i="1"/>
  <c r="G3727" i="1"/>
  <c r="H3727" i="1"/>
  <c r="G3728" i="1"/>
  <c r="H3728" i="1"/>
  <c r="G3729" i="1"/>
  <c r="H3729" i="1"/>
  <c r="G3730" i="1"/>
  <c r="H3730" i="1"/>
  <c r="G3731" i="1"/>
  <c r="H3731" i="1"/>
  <c r="G3732" i="1"/>
  <c r="H3732" i="1"/>
  <c r="G3733" i="1"/>
  <c r="H3733" i="1"/>
  <c r="G3734" i="1"/>
  <c r="H3734" i="1"/>
  <c r="G3735" i="1"/>
  <c r="H3735" i="1"/>
  <c r="G3736" i="1"/>
  <c r="H3736" i="1"/>
  <c r="G3737" i="1"/>
  <c r="H3737" i="1"/>
  <c r="G3738" i="1"/>
  <c r="H3738" i="1"/>
  <c r="G3739" i="1"/>
  <c r="H3739" i="1"/>
  <c r="G3740" i="1"/>
  <c r="H3740" i="1"/>
  <c r="G3741" i="1"/>
  <c r="H3741" i="1"/>
  <c r="G3742" i="1"/>
  <c r="H3742" i="1"/>
  <c r="G3743" i="1"/>
  <c r="H3743" i="1"/>
  <c r="G3744" i="1"/>
  <c r="H3744" i="1"/>
  <c r="G3745" i="1"/>
  <c r="H3745" i="1"/>
  <c r="G3746" i="1"/>
  <c r="H3746" i="1"/>
  <c r="G3747" i="1"/>
  <c r="H3747" i="1"/>
  <c r="G3748" i="1"/>
  <c r="H3748" i="1"/>
  <c r="G3749" i="1"/>
  <c r="H3749" i="1"/>
  <c r="G3750" i="1"/>
  <c r="H3750" i="1"/>
  <c r="G3751" i="1"/>
  <c r="H3751" i="1"/>
  <c r="G3752" i="1"/>
  <c r="H3752" i="1"/>
  <c r="G3753" i="1"/>
  <c r="H3753" i="1"/>
  <c r="G3754" i="1"/>
  <c r="H3754" i="1"/>
  <c r="G3755" i="1"/>
  <c r="H3755" i="1"/>
  <c r="G3756" i="1"/>
  <c r="H3756" i="1"/>
  <c r="G3757" i="1"/>
  <c r="H3757" i="1"/>
  <c r="G3758" i="1"/>
  <c r="H3758" i="1"/>
  <c r="G3759" i="1"/>
  <c r="H3759" i="1"/>
  <c r="G3760" i="1"/>
  <c r="H3760" i="1"/>
  <c r="G3761" i="1"/>
  <c r="H3761" i="1"/>
  <c r="G3762" i="1"/>
  <c r="H3762" i="1"/>
  <c r="G3763" i="1"/>
  <c r="H3763" i="1"/>
  <c r="G3764" i="1"/>
  <c r="H3764" i="1"/>
  <c r="G3765" i="1"/>
  <c r="H3765" i="1"/>
  <c r="G3766" i="1"/>
  <c r="H3766" i="1"/>
  <c r="G3767" i="1"/>
  <c r="H3767" i="1"/>
  <c r="G3768" i="1"/>
  <c r="H3768" i="1"/>
  <c r="G3769" i="1"/>
  <c r="H3769" i="1"/>
  <c r="G3770" i="1"/>
  <c r="H3770" i="1"/>
  <c r="G3771" i="1"/>
  <c r="H3771" i="1"/>
  <c r="G3772" i="1"/>
  <c r="H3772" i="1"/>
  <c r="G3773" i="1"/>
  <c r="H3773" i="1"/>
  <c r="G3774" i="1"/>
  <c r="H3774" i="1"/>
  <c r="G3775" i="1"/>
  <c r="H3775" i="1"/>
  <c r="G3776" i="1"/>
  <c r="H3776" i="1"/>
  <c r="G3777" i="1"/>
  <c r="H3777" i="1"/>
  <c r="G3778" i="1"/>
  <c r="H3778" i="1"/>
  <c r="G3779" i="1"/>
  <c r="H3779" i="1"/>
  <c r="G3780" i="1"/>
  <c r="H3780" i="1"/>
  <c r="G3781" i="1"/>
  <c r="H3781" i="1"/>
  <c r="G3782" i="1"/>
  <c r="H3782" i="1"/>
  <c r="G3783" i="1"/>
  <c r="H3783" i="1"/>
  <c r="G3784" i="1"/>
  <c r="H3784" i="1"/>
  <c r="G3785" i="1"/>
  <c r="H3785" i="1"/>
  <c r="G3786" i="1"/>
  <c r="H3786" i="1"/>
  <c r="G3787" i="1"/>
  <c r="H3787" i="1"/>
  <c r="G3788" i="1"/>
  <c r="H3788" i="1"/>
  <c r="G3789" i="1"/>
  <c r="H3789" i="1"/>
  <c r="G3790" i="1"/>
  <c r="H3790" i="1"/>
  <c r="G3791" i="1"/>
  <c r="H3791" i="1"/>
  <c r="G3792" i="1"/>
  <c r="H3792" i="1"/>
  <c r="G3793" i="1"/>
  <c r="H3793" i="1"/>
  <c r="G3794" i="1"/>
  <c r="H3794" i="1"/>
  <c r="G3795" i="1"/>
  <c r="H3795" i="1"/>
  <c r="G3796" i="1"/>
  <c r="H3796" i="1"/>
  <c r="G3797" i="1"/>
  <c r="H3797" i="1"/>
  <c r="G3798" i="1"/>
  <c r="H3798" i="1"/>
  <c r="G3799" i="1"/>
  <c r="H3799" i="1"/>
  <c r="G3800" i="1"/>
  <c r="H3800" i="1"/>
  <c r="G3801" i="1"/>
  <c r="H3801" i="1"/>
  <c r="G3802" i="1"/>
  <c r="H3802" i="1"/>
  <c r="G3803" i="1"/>
  <c r="H3803" i="1"/>
  <c r="G3804" i="1"/>
  <c r="H3804" i="1"/>
  <c r="G3805" i="1"/>
  <c r="H3805" i="1"/>
  <c r="G3806" i="1"/>
  <c r="H3806" i="1"/>
  <c r="G3807" i="1"/>
  <c r="H3807" i="1"/>
  <c r="G3808" i="1"/>
  <c r="H3808" i="1"/>
  <c r="G3809" i="1"/>
  <c r="H3809" i="1"/>
  <c r="G3810" i="1"/>
  <c r="H3810" i="1"/>
  <c r="G3811" i="1"/>
  <c r="H3811" i="1"/>
  <c r="G3812" i="1"/>
  <c r="H3812" i="1"/>
  <c r="G3813" i="1"/>
  <c r="H3813" i="1"/>
  <c r="G3814" i="1"/>
  <c r="H3814" i="1"/>
  <c r="G3815" i="1"/>
  <c r="H3815" i="1"/>
  <c r="G3816" i="1"/>
  <c r="H3816" i="1"/>
  <c r="G3817" i="1"/>
  <c r="H3817" i="1"/>
  <c r="G3818" i="1"/>
  <c r="H3818" i="1"/>
  <c r="G3819" i="1"/>
  <c r="H3819" i="1"/>
  <c r="G3820" i="1"/>
  <c r="H3820" i="1"/>
  <c r="G3821" i="1"/>
  <c r="H3821" i="1"/>
  <c r="G3822" i="1"/>
  <c r="H3822" i="1"/>
  <c r="G3823" i="1"/>
  <c r="H3823" i="1"/>
  <c r="G3824" i="1"/>
  <c r="H3824" i="1"/>
  <c r="G3825" i="1"/>
  <c r="H3825" i="1"/>
  <c r="G3826" i="1"/>
  <c r="H3826" i="1"/>
  <c r="G3827" i="1"/>
  <c r="H3827" i="1"/>
  <c r="G3828" i="1"/>
  <c r="H3828" i="1"/>
  <c r="G3829" i="1"/>
  <c r="H3829" i="1"/>
  <c r="G3830" i="1"/>
  <c r="H3830" i="1"/>
  <c r="G3831" i="1"/>
  <c r="H3831" i="1"/>
  <c r="G3832" i="1"/>
  <c r="H3832" i="1"/>
  <c r="G3833" i="1"/>
  <c r="H3833" i="1"/>
  <c r="G3834" i="1"/>
  <c r="H3834" i="1"/>
  <c r="G3835" i="1"/>
  <c r="H3835" i="1"/>
  <c r="G3836" i="1"/>
  <c r="H3836" i="1"/>
  <c r="G3837" i="1"/>
  <c r="H3837" i="1"/>
  <c r="G3838" i="1"/>
  <c r="H3838" i="1"/>
  <c r="G3839" i="1"/>
  <c r="H3839" i="1"/>
  <c r="G3840" i="1"/>
  <c r="H3840" i="1"/>
  <c r="G3841" i="1"/>
  <c r="H3841" i="1"/>
  <c r="G3842" i="1"/>
  <c r="H3842" i="1"/>
  <c r="G3843" i="1"/>
  <c r="H3843" i="1"/>
  <c r="G3844" i="1"/>
  <c r="H3844" i="1"/>
  <c r="G3845" i="1"/>
  <c r="H3845" i="1"/>
  <c r="G3846" i="1"/>
  <c r="H3846" i="1"/>
  <c r="G3847" i="1"/>
  <c r="H3847" i="1"/>
  <c r="G3848" i="1"/>
  <c r="H3848" i="1"/>
  <c r="G3849" i="1"/>
  <c r="H3849" i="1"/>
  <c r="G3850" i="1"/>
  <c r="H3850" i="1"/>
  <c r="G3851" i="1"/>
  <c r="H3851" i="1"/>
  <c r="G3852" i="1"/>
  <c r="H3852" i="1"/>
  <c r="G3853" i="1"/>
  <c r="H3853" i="1"/>
  <c r="G3854" i="1"/>
  <c r="H3854" i="1"/>
  <c r="G3855" i="1"/>
  <c r="H3855" i="1"/>
  <c r="G3856" i="1"/>
  <c r="H3856" i="1"/>
  <c r="G3857" i="1"/>
  <c r="H3857" i="1"/>
  <c r="G3858" i="1"/>
  <c r="H3858" i="1"/>
  <c r="G3859" i="1"/>
  <c r="H3859" i="1"/>
  <c r="G3860" i="1"/>
  <c r="H3860" i="1"/>
  <c r="G3861" i="1"/>
  <c r="H3861" i="1"/>
  <c r="G3862" i="1"/>
  <c r="H3862" i="1"/>
  <c r="G3863" i="1"/>
  <c r="H3863" i="1"/>
  <c r="G3864" i="1"/>
  <c r="H3864" i="1"/>
  <c r="G3865" i="1"/>
  <c r="H3865" i="1"/>
  <c r="G3866" i="1"/>
  <c r="H3866" i="1"/>
  <c r="G3867" i="1"/>
  <c r="H3867" i="1"/>
  <c r="G3868" i="1"/>
  <c r="H3868" i="1"/>
  <c r="G3869" i="1"/>
  <c r="H3869" i="1"/>
  <c r="G3870" i="1"/>
  <c r="H3870" i="1"/>
  <c r="G3871" i="1"/>
  <c r="H3871" i="1"/>
  <c r="G3872" i="1"/>
  <c r="H3872" i="1"/>
  <c r="G3873" i="1"/>
  <c r="H3873" i="1"/>
  <c r="G3874" i="1"/>
  <c r="H3874" i="1"/>
  <c r="G3875" i="1"/>
  <c r="H3875" i="1"/>
  <c r="G3876" i="1"/>
  <c r="H3876" i="1"/>
  <c r="G3877" i="1"/>
  <c r="H3877" i="1"/>
  <c r="G3878" i="1"/>
  <c r="H3878" i="1"/>
  <c r="G3879" i="1"/>
  <c r="H3879" i="1"/>
  <c r="G3880" i="1"/>
  <c r="H3880" i="1"/>
  <c r="G3881" i="1"/>
  <c r="H3881" i="1"/>
  <c r="G3882" i="1"/>
  <c r="H3882" i="1"/>
  <c r="G3883" i="1"/>
  <c r="H3883" i="1"/>
  <c r="G3884" i="1"/>
  <c r="H3884" i="1"/>
  <c r="G3885" i="1"/>
  <c r="H3885" i="1"/>
  <c r="G3886" i="1"/>
  <c r="H3886" i="1"/>
  <c r="G3887" i="1"/>
  <c r="H3887" i="1"/>
  <c r="G3888" i="1"/>
  <c r="H3888" i="1"/>
  <c r="G3889" i="1"/>
  <c r="H3889" i="1"/>
  <c r="G3890" i="1"/>
  <c r="H3890" i="1"/>
  <c r="G3891" i="1"/>
  <c r="H3891" i="1"/>
  <c r="G3892" i="1"/>
  <c r="H3892" i="1"/>
  <c r="G3893" i="1"/>
  <c r="H3893" i="1"/>
  <c r="G3894" i="1"/>
  <c r="H3894" i="1"/>
  <c r="G3895" i="1"/>
  <c r="H3895" i="1"/>
  <c r="G3896" i="1"/>
  <c r="H3896" i="1"/>
  <c r="G3897" i="1"/>
  <c r="H3897" i="1"/>
  <c r="G3898" i="1"/>
  <c r="H3898" i="1"/>
  <c r="G3899" i="1"/>
  <c r="H3899" i="1"/>
  <c r="G3900" i="1"/>
  <c r="H3900" i="1"/>
  <c r="G3901" i="1"/>
  <c r="H3901" i="1"/>
  <c r="G3902" i="1"/>
  <c r="H3902" i="1"/>
  <c r="G3903" i="1"/>
  <c r="H3903" i="1"/>
  <c r="G3904" i="1"/>
  <c r="H3904" i="1"/>
  <c r="G3905" i="1"/>
  <c r="H3905" i="1"/>
  <c r="G3906" i="1"/>
  <c r="H3906" i="1"/>
  <c r="G3907" i="1"/>
  <c r="H3907" i="1"/>
  <c r="G3908" i="1"/>
  <c r="H3908" i="1"/>
  <c r="G3909" i="1"/>
  <c r="H3909" i="1"/>
  <c r="G3910" i="1"/>
  <c r="H3910" i="1"/>
  <c r="G3911" i="1"/>
  <c r="H3911" i="1"/>
  <c r="G3912" i="1"/>
  <c r="H3912" i="1"/>
  <c r="G3913" i="1"/>
  <c r="H3913" i="1"/>
  <c r="G3914" i="1"/>
  <c r="H3914" i="1"/>
  <c r="G3915" i="1"/>
  <c r="H3915" i="1"/>
  <c r="G3916" i="1"/>
  <c r="H3916" i="1"/>
  <c r="G3917" i="1"/>
  <c r="H3917" i="1"/>
  <c r="G3918" i="1"/>
  <c r="H3918" i="1"/>
  <c r="G3919" i="1"/>
  <c r="H3919" i="1"/>
  <c r="G3920" i="1"/>
  <c r="H3920" i="1"/>
  <c r="G3921" i="1"/>
  <c r="H3921" i="1"/>
  <c r="G3922" i="1"/>
  <c r="H3922" i="1"/>
  <c r="G3923" i="1"/>
  <c r="H3923" i="1"/>
  <c r="G3924" i="1"/>
  <c r="H3924" i="1"/>
  <c r="G3925" i="1"/>
  <c r="H3925" i="1"/>
  <c r="G3926" i="1"/>
  <c r="H3926" i="1"/>
  <c r="G3927" i="1"/>
  <c r="H3927" i="1"/>
  <c r="G3928" i="1"/>
  <c r="H3928" i="1"/>
  <c r="G3929" i="1"/>
  <c r="H3929" i="1"/>
  <c r="G3930" i="1"/>
  <c r="H3930" i="1"/>
  <c r="G3931" i="1"/>
  <c r="H3931" i="1"/>
  <c r="G3932" i="1"/>
  <c r="H3932" i="1"/>
  <c r="G3933" i="1"/>
  <c r="H3933" i="1"/>
  <c r="G3934" i="1"/>
  <c r="H3934" i="1"/>
  <c r="G3935" i="1"/>
  <c r="H3935" i="1"/>
  <c r="G3936" i="1"/>
  <c r="H3936" i="1"/>
  <c r="G3937" i="1"/>
  <c r="H3937" i="1"/>
  <c r="G3938" i="1"/>
  <c r="H3938" i="1"/>
  <c r="G3939" i="1"/>
  <c r="H3939" i="1"/>
  <c r="G3940" i="1"/>
  <c r="H3940" i="1"/>
  <c r="G3941" i="1"/>
  <c r="H3941" i="1"/>
  <c r="G3942" i="1"/>
  <c r="H3942" i="1"/>
  <c r="G3943" i="1"/>
  <c r="H3943" i="1"/>
  <c r="G3944" i="1"/>
  <c r="H3944" i="1"/>
  <c r="G3945" i="1"/>
  <c r="H3945" i="1"/>
  <c r="G3946" i="1"/>
  <c r="H3946" i="1"/>
  <c r="G3947" i="1"/>
  <c r="H3947" i="1"/>
  <c r="G3948" i="1"/>
  <c r="H3948" i="1"/>
  <c r="G3949" i="1"/>
  <c r="H3949" i="1"/>
  <c r="G3950" i="1"/>
  <c r="H3950" i="1"/>
  <c r="G3951" i="1"/>
  <c r="H3951" i="1"/>
  <c r="G3952" i="1"/>
  <c r="H3952" i="1"/>
  <c r="G3953" i="1"/>
  <c r="H3953" i="1"/>
  <c r="G3954" i="1"/>
  <c r="H3954" i="1"/>
  <c r="G3955" i="1"/>
  <c r="H3955" i="1"/>
  <c r="G3956" i="1"/>
  <c r="H3956" i="1"/>
  <c r="G3957" i="1"/>
  <c r="H3957" i="1"/>
  <c r="G3958" i="1"/>
  <c r="H3958" i="1"/>
  <c r="G3959" i="1"/>
  <c r="H3959" i="1"/>
  <c r="G3960" i="1"/>
  <c r="H3960" i="1"/>
  <c r="G3961" i="1"/>
  <c r="H3961" i="1"/>
  <c r="G3962" i="1"/>
  <c r="H3962" i="1"/>
  <c r="G3963" i="1"/>
  <c r="H3963" i="1"/>
  <c r="G3964" i="1"/>
  <c r="H3964" i="1"/>
  <c r="G3965" i="1"/>
  <c r="H3965" i="1"/>
  <c r="G3966" i="1"/>
  <c r="H3966" i="1"/>
  <c r="G3967" i="1"/>
  <c r="H3967" i="1"/>
  <c r="G3968" i="1"/>
  <c r="H3968" i="1"/>
  <c r="G3969" i="1"/>
  <c r="H3969" i="1"/>
  <c r="G3970" i="1"/>
  <c r="H3970" i="1"/>
  <c r="G3971" i="1"/>
  <c r="H3971" i="1"/>
  <c r="G3972" i="1"/>
  <c r="H3972" i="1"/>
  <c r="G3973" i="1"/>
  <c r="H3973" i="1"/>
  <c r="G3974" i="1"/>
  <c r="H3974" i="1"/>
  <c r="G3975" i="1"/>
  <c r="H3975" i="1"/>
  <c r="G3976" i="1"/>
  <c r="H3976" i="1"/>
  <c r="G3977" i="1"/>
  <c r="H3977" i="1"/>
  <c r="G3978" i="1"/>
  <c r="H3978" i="1"/>
  <c r="G3979" i="1"/>
  <c r="H3979" i="1"/>
  <c r="G3980" i="1"/>
  <c r="H3980" i="1"/>
  <c r="G3981" i="1"/>
  <c r="H3981" i="1"/>
  <c r="G3982" i="1"/>
  <c r="H3982" i="1"/>
  <c r="G3983" i="1"/>
  <c r="H3983" i="1"/>
  <c r="G3984" i="1"/>
  <c r="H3984" i="1"/>
  <c r="G3985" i="1"/>
  <c r="H3985" i="1"/>
  <c r="G3986" i="1"/>
  <c r="H3986" i="1"/>
  <c r="G3987" i="1"/>
  <c r="H3987" i="1"/>
  <c r="G3988" i="1"/>
  <c r="H3988" i="1"/>
  <c r="G3989" i="1"/>
  <c r="H3989" i="1"/>
  <c r="G3990" i="1"/>
  <c r="H3990" i="1"/>
  <c r="G3991" i="1"/>
  <c r="H3991" i="1"/>
  <c r="G3992" i="1"/>
  <c r="H3992" i="1"/>
  <c r="G3993" i="1"/>
  <c r="H3993" i="1"/>
  <c r="G3994" i="1"/>
  <c r="H3994" i="1"/>
  <c r="G3995" i="1"/>
  <c r="H3995" i="1"/>
  <c r="G3996" i="1"/>
  <c r="H3996" i="1"/>
  <c r="G3997" i="1"/>
  <c r="H3997" i="1"/>
  <c r="G3998" i="1"/>
  <c r="H3998" i="1"/>
  <c r="G3999" i="1"/>
  <c r="H3999" i="1"/>
  <c r="G4000" i="1"/>
  <c r="H4000" i="1"/>
  <c r="G4001" i="1"/>
  <c r="H4001" i="1"/>
  <c r="G4002" i="1"/>
  <c r="H4002" i="1"/>
  <c r="G4003" i="1"/>
  <c r="H4003" i="1"/>
  <c r="G4004" i="1"/>
  <c r="H4004" i="1"/>
  <c r="G4005" i="1"/>
  <c r="H4005" i="1"/>
  <c r="G4006" i="1"/>
  <c r="H4006" i="1"/>
  <c r="G4007" i="1"/>
  <c r="H4007" i="1"/>
  <c r="G4008" i="1"/>
  <c r="H4008" i="1"/>
  <c r="G4009" i="1"/>
  <c r="H4009" i="1"/>
  <c r="G4010" i="1"/>
  <c r="H4010" i="1"/>
  <c r="G4011" i="1"/>
  <c r="H4011" i="1"/>
  <c r="G4012" i="1"/>
  <c r="H4012" i="1"/>
  <c r="G4013" i="1"/>
  <c r="H4013" i="1"/>
  <c r="G4014" i="1"/>
  <c r="H4014" i="1"/>
  <c r="G4015" i="1"/>
  <c r="H4015" i="1"/>
  <c r="G4016" i="1"/>
  <c r="H4016" i="1"/>
  <c r="G4017" i="1"/>
  <c r="H4017" i="1"/>
  <c r="G4018" i="1"/>
  <c r="H4018" i="1"/>
  <c r="G4019" i="1"/>
  <c r="H4019" i="1"/>
  <c r="G4020" i="1"/>
  <c r="H4020" i="1"/>
  <c r="G4021" i="1"/>
  <c r="H4021" i="1"/>
  <c r="G4022" i="1"/>
  <c r="H4022" i="1"/>
  <c r="G4023" i="1"/>
  <c r="H4023" i="1"/>
  <c r="G4024" i="1"/>
  <c r="H4024" i="1"/>
  <c r="G4025" i="1"/>
  <c r="H4025" i="1"/>
  <c r="G4026" i="1"/>
  <c r="H4026" i="1"/>
  <c r="G4027" i="1"/>
  <c r="H4027" i="1"/>
  <c r="G4028" i="1"/>
  <c r="H4028" i="1"/>
  <c r="G4029" i="1"/>
  <c r="H4029" i="1"/>
  <c r="G4030" i="1"/>
  <c r="H4030" i="1"/>
  <c r="G4031" i="1"/>
  <c r="H4031" i="1"/>
  <c r="G4032" i="1"/>
  <c r="H4032" i="1"/>
  <c r="G4033" i="1"/>
  <c r="H4033" i="1"/>
  <c r="G4034" i="1"/>
  <c r="H4034" i="1"/>
  <c r="G4035" i="1"/>
  <c r="H4035" i="1"/>
  <c r="G4036" i="1"/>
  <c r="H4036" i="1"/>
  <c r="G4037" i="1"/>
  <c r="H4037" i="1"/>
  <c r="G4038" i="1"/>
  <c r="H4038" i="1"/>
  <c r="G4039" i="1"/>
  <c r="H4039" i="1"/>
  <c r="G4040" i="1"/>
  <c r="H4040" i="1"/>
  <c r="G4041" i="1"/>
  <c r="H4041" i="1"/>
  <c r="G4042" i="1"/>
  <c r="H4042" i="1"/>
  <c r="G4043" i="1"/>
  <c r="H4043" i="1"/>
  <c r="G4044" i="1"/>
  <c r="H4044" i="1"/>
  <c r="G4045" i="1"/>
  <c r="H4045" i="1"/>
  <c r="G4046" i="1"/>
  <c r="H4046" i="1"/>
  <c r="G4047" i="1"/>
  <c r="H4047" i="1"/>
  <c r="G4048" i="1"/>
  <c r="H4048" i="1"/>
  <c r="G4049" i="1"/>
  <c r="H4049" i="1"/>
  <c r="G4050" i="1"/>
  <c r="H4050" i="1"/>
  <c r="G4051" i="1"/>
  <c r="H4051" i="1"/>
  <c r="G4052" i="1"/>
  <c r="H4052" i="1"/>
  <c r="G4053" i="1"/>
  <c r="H4053" i="1"/>
  <c r="G4054" i="1"/>
  <c r="H4054" i="1"/>
  <c r="G4055" i="1"/>
  <c r="H4055" i="1"/>
  <c r="G4056" i="1"/>
  <c r="H4056" i="1"/>
  <c r="G4057" i="1"/>
  <c r="H4057" i="1"/>
  <c r="G4058" i="1"/>
  <c r="H4058" i="1"/>
  <c r="G4059" i="1"/>
  <c r="H4059" i="1"/>
  <c r="G4060" i="1"/>
  <c r="H4060" i="1"/>
  <c r="G4061" i="1"/>
  <c r="H4061" i="1"/>
  <c r="G4062" i="1"/>
  <c r="H4062" i="1"/>
  <c r="G4063" i="1"/>
  <c r="H4063" i="1"/>
  <c r="G4064" i="1"/>
  <c r="H4064" i="1"/>
  <c r="G4065" i="1"/>
  <c r="H4065" i="1"/>
  <c r="G4066" i="1"/>
  <c r="H4066" i="1"/>
  <c r="G4067" i="1"/>
  <c r="H4067" i="1"/>
  <c r="G4068" i="1"/>
  <c r="H4068" i="1"/>
  <c r="G4069" i="1"/>
  <c r="H4069" i="1"/>
  <c r="G4070" i="1"/>
  <c r="H4070" i="1"/>
  <c r="G4071" i="1"/>
  <c r="H4071" i="1"/>
  <c r="G4072" i="1"/>
  <c r="H4072" i="1"/>
  <c r="G4073" i="1"/>
  <c r="H4073" i="1"/>
  <c r="G4074" i="1"/>
  <c r="H4074" i="1"/>
  <c r="G4075" i="1"/>
  <c r="H4075" i="1"/>
  <c r="G4076" i="1"/>
  <c r="H4076" i="1"/>
  <c r="G4077" i="1"/>
  <c r="H4077" i="1"/>
  <c r="G4078" i="1"/>
  <c r="H4078" i="1"/>
  <c r="G4079" i="1"/>
  <c r="H4079" i="1"/>
  <c r="G4080" i="1"/>
  <c r="H4080" i="1"/>
  <c r="G4081" i="1"/>
  <c r="H4081" i="1"/>
  <c r="G4082" i="1"/>
  <c r="H4082" i="1"/>
  <c r="G4083" i="1"/>
  <c r="H4083" i="1"/>
  <c r="G4084" i="1"/>
  <c r="H4084" i="1"/>
  <c r="G4085" i="1"/>
  <c r="H4085" i="1"/>
  <c r="G4086" i="1"/>
  <c r="H4086" i="1"/>
  <c r="G4087" i="1"/>
  <c r="H4087" i="1"/>
  <c r="G4088" i="1"/>
  <c r="H4088" i="1"/>
  <c r="G4089" i="1"/>
  <c r="H4089" i="1"/>
  <c r="G4090" i="1"/>
  <c r="H4090" i="1"/>
  <c r="G4091" i="1"/>
  <c r="H4091" i="1"/>
  <c r="G4092" i="1"/>
  <c r="H4092" i="1"/>
  <c r="G4093" i="1"/>
  <c r="H4093" i="1"/>
  <c r="G4094" i="1"/>
  <c r="H4094" i="1"/>
  <c r="G4095" i="1"/>
  <c r="H4095" i="1"/>
  <c r="G4096" i="1"/>
  <c r="H4096" i="1"/>
  <c r="G4097" i="1"/>
  <c r="H4097" i="1"/>
  <c r="G4098" i="1"/>
  <c r="H4098" i="1"/>
  <c r="G4099" i="1"/>
  <c r="H4099" i="1"/>
  <c r="G4100" i="1"/>
  <c r="H4100" i="1"/>
  <c r="G4101" i="1"/>
  <c r="H4101" i="1"/>
  <c r="G4102" i="1"/>
  <c r="H4102" i="1"/>
  <c r="G4103" i="1"/>
  <c r="H4103" i="1"/>
  <c r="G4104" i="1"/>
  <c r="H4104" i="1"/>
  <c r="G4105" i="1"/>
  <c r="H4105" i="1"/>
  <c r="G4106" i="1"/>
  <c r="H4106" i="1"/>
  <c r="G4107" i="1"/>
  <c r="H4107" i="1"/>
  <c r="G4108" i="1"/>
  <c r="H4108" i="1"/>
  <c r="G4109" i="1"/>
  <c r="H4109" i="1"/>
  <c r="G4110" i="1"/>
  <c r="H4110" i="1"/>
  <c r="G4111" i="1"/>
  <c r="H4111" i="1"/>
  <c r="G4112" i="1"/>
  <c r="H4112" i="1"/>
  <c r="G4113" i="1"/>
  <c r="H4113" i="1"/>
  <c r="G4114" i="1"/>
  <c r="H4114" i="1"/>
  <c r="G4115" i="1"/>
  <c r="H4115" i="1"/>
  <c r="G4116" i="1"/>
  <c r="H4116" i="1"/>
  <c r="G4117" i="1"/>
  <c r="H4117" i="1"/>
  <c r="G4118" i="1"/>
  <c r="H4118" i="1"/>
  <c r="G4119" i="1"/>
  <c r="H4119" i="1"/>
  <c r="G4120" i="1"/>
  <c r="H4120" i="1"/>
  <c r="G4121" i="1"/>
  <c r="H4121" i="1"/>
  <c r="G4122" i="1"/>
  <c r="H4122" i="1"/>
  <c r="G4123" i="1"/>
  <c r="H4123" i="1"/>
  <c r="G4124" i="1"/>
  <c r="H4124" i="1"/>
  <c r="G4125" i="1"/>
  <c r="H4125" i="1"/>
  <c r="G4126" i="1"/>
  <c r="H4126" i="1"/>
  <c r="G4127" i="1"/>
  <c r="H4127" i="1"/>
  <c r="G4128" i="1"/>
  <c r="H4128" i="1"/>
  <c r="G4129" i="1"/>
  <c r="H4129" i="1"/>
  <c r="G4130" i="1"/>
  <c r="H4130" i="1"/>
  <c r="G4131" i="1"/>
  <c r="H4131" i="1"/>
  <c r="G4132" i="1"/>
  <c r="H4132" i="1"/>
  <c r="G4133" i="1"/>
  <c r="H4133" i="1"/>
  <c r="G4134" i="1"/>
  <c r="H4134" i="1"/>
  <c r="G4135" i="1"/>
  <c r="H4135" i="1"/>
  <c r="G4136" i="1"/>
  <c r="H4136" i="1"/>
  <c r="G4137" i="1"/>
  <c r="H4137" i="1"/>
  <c r="G4138" i="1"/>
  <c r="H4138" i="1"/>
  <c r="G4139" i="1"/>
  <c r="H4139" i="1"/>
  <c r="G4140" i="1"/>
  <c r="H4140" i="1"/>
  <c r="G4141" i="1"/>
  <c r="H4141" i="1"/>
  <c r="G4142" i="1"/>
  <c r="H4142" i="1"/>
  <c r="G4143" i="1"/>
  <c r="H4143" i="1"/>
  <c r="G4144" i="1"/>
  <c r="H4144" i="1"/>
  <c r="G4145" i="1"/>
  <c r="H4145" i="1"/>
  <c r="G4146" i="1"/>
  <c r="H4146" i="1"/>
  <c r="G4147" i="1"/>
  <c r="H4147" i="1"/>
  <c r="G4148" i="1"/>
  <c r="H4148" i="1"/>
  <c r="G4149" i="1"/>
  <c r="H4149" i="1"/>
  <c r="G4150" i="1"/>
  <c r="H4150" i="1"/>
  <c r="G4151" i="1"/>
  <c r="H4151" i="1"/>
  <c r="G4152" i="1"/>
  <c r="H4152" i="1"/>
  <c r="G4153" i="1"/>
  <c r="H4153" i="1"/>
  <c r="G4154" i="1"/>
  <c r="H4154" i="1"/>
  <c r="G4155" i="1"/>
  <c r="H4155" i="1"/>
  <c r="G4156" i="1"/>
  <c r="H4156" i="1"/>
  <c r="G4157" i="1"/>
  <c r="H4157" i="1"/>
  <c r="G4158" i="1"/>
  <c r="H4158" i="1"/>
  <c r="G4159" i="1"/>
  <c r="H4159" i="1"/>
  <c r="G4160" i="1"/>
  <c r="H4160" i="1"/>
  <c r="G4161" i="1"/>
  <c r="H4161" i="1"/>
  <c r="G4162" i="1"/>
  <c r="H4162" i="1"/>
  <c r="G4163" i="1"/>
  <c r="H4163" i="1"/>
  <c r="G4164" i="1"/>
  <c r="H4164" i="1"/>
  <c r="G4165" i="1"/>
  <c r="H4165" i="1"/>
  <c r="G4166" i="1"/>
  <c r="H4166" i="1"/>
  <c r="G4167" i="1"/>
  <c r="H4167" i="1"/>
  <c r="G4168" i="1"/>
  <c r="H4168" i="1"/>
  <c r="G4169" i="1"/>
  <c r="H4169" i="1"/>
  <c r="G4170" i="1"/>
  <c r="H4170" i="1"/>
  <c r="G4171" i="1"/>
  <c r="H4171" i="1"/>
  <c r="G4172" i="1"/>
  <c r="H4172" i="1"/>
  <c r="G4173" i="1"/>
  <c r="H4173" i="1"/>
  <c r="G4174" i="1"/>
  <c r="H4174" i="1"/>
  <c r="G4175" i="1"/>
  <c r="H4175" i="1"/>
  <c r="G4176" i="1"/>
  <c r="H4176" i="1"/>
  <c r="G4177" i="1"/>
  <c r="H4177" i="1"/>
  <c r="G4178" i="1"/>
  <c r="H4178" i="1"/>
  <c r="G4179" i="1"/>
  <c r="H4179" i="1"/>
  <c r="G4180" i="1"/>
  <c r="H4180" i="1"/>
  <c r="G4181" i="1"/>
  <c r="H4181" i="1"/>
  <c r="G4182" i="1"/>
  <c r="H4182" i="1"/>
  <c r="G4183" i="1"/>
  <c r="H4183" i="1"/>
  <c r="G4184" i="1"/>
  <c r="H4184" i="1"/>
  <c r="G4185" i="1"/>
  <c r="H4185" i="1"/>
  <c r="G4186" i="1"/>
  <c r="H4186" i="1"/>
  <c r="G4187" i="1"/>
  <c r="H4187" i="1"/>
  <c r="G4188" i="1"/>
  <c r="H4188" i="1"/>
  <c r="G4189" i="1"/>
  <c r="H4189" i="1"/>
  <c r="G4190" i="1"/>
  <c r="H4190" i="1"/>
  <c r="G4191" i="1"/>
  <c r="H4191" i="1"/>
  <c r="G4192" i="1"/>
  <c r="H4192" i="1"/>
  <c r="G4193" i="1"/>
  <c r="H4193" i="1"/>
  <c r="G4194" i="1"/>
  <c r="H4194" i="1"/>
  <c r="G4195" i="1"/>
  <c r="H4195" i="1"/>
  <c r="G4196" i="1"/>
  <c r="H4196" i="1"/>
  <c r="G4197" i="1"/>
  <c r="H4197" i="1"/>
  <c r="G4198" i="1"/>
  <c r="H4198" i="1"/>
  <c r="G4199" i="1"/>
  <c r="H4199" i="1"/>
  <c r="G4200" i="1"/>
  <c r="H4200" i="1"/>
  <c r="G4201" i="1"/>
  <c r="H4201" i="1"/>
  <c r="G4202" i="1"/>
  <c r="H4202" i="1"/>
  <c r="G4203" i="1"/>
  <c r="H4203" i="1"/>
  <c r="G4204" i="1"/>
  <c r="H4204" i="1"/>
  <c r="G4205" i="1"/>
  <c r="H4205" i="1"/>
  <c r="G4206" i="1"/>
  <c r="H4206" i="1"/>
  <c r="G4207" i="1"/>
  <c r="H4207" i="1"/>
  <c r="G4208" i="1"/>
  <c r="H4208" i="1"/>
  <c r="G4209" i="1"/>
  <c r="H4209" i="1"/>
  <c r="G4210" i="1"/>
  <c r="H4210" i="1"/>
  <c r="G4211" i="1"/>
  <c r="H4211" i="1"/>
  <c r="G4212" i="1"/>
  <c r="H4212" i="1"/>
  <c r="G4213" i="1"/>
  <c r="H4213" i="1"/>
  <c r="G4214" i="1"/>
  <c r="H4214" i="1"/>
  <c r="G4215" i="1"/>
  <c r="H4215" i="1"/>
  <c r="G4216" i="1"/>
  <c r="H4216" i="1"/>
  <c r="G4217" i="1"/>
  <c r="H4217" i="1"/>
  <c r="G4218" i="1"/>
  <c r="H4218" i="1"/>
  <c r="G4219" i="1"/>
  <c r="H4219" i="1"/>
  <c r="G4220" i="1"/>
  <c r="H4220" i="1"/>
  <c r="G4221" i="1"/>
  <c r="H4221" i="1"/>
  <c r="G4222" i="1"/>
  <c r="H4222" i="1"/>
  <c r="G4223" i="1"/>
  <c r="H4223" i="1"/>
  <c r="G4224" i="1"/>
  <c r="H4224" i="1"/>
  <c r="G4225" i="1"/>
  <c r="H4225" i="1"/>
  <c r="G4226" i="1"/>
  <c r="H4226" i="1"/>
  <c r="G4227" i="1"/>
  <c r="H4227" i="1"/>
  <c r="G4228" i="1"/>
  <c r="H4228" i="1"/>
  <c r="G4229" i="1"/>
  <c r="H4229" i="1"/>
  <c r="G4230" i="1"/>
  <c r="H4230" i="1"/>
  <c r="G4231" i="1"/>
  <c r="H4231" i="1"/>
  <c r="G4232" i="1"/>
  <c r="H4232" i="1"/>
  <c r="G4233" i="1"/>
  <c r="H4233" i="1"/>
  <c r="G4234" i="1"/>
  <c r="H4234" i="1"/>
  <c r="G4235" i="1"/>
  <c r="H4235" i="1"/>
  <c r="G4236" i="1"/>
  <c r="H4236" i="1"/>
  <c r="G4237" i="1"/>
  <c r="H4237" i="1"/>
  <c r="G4238" i="1"/>
  <c r="H4238" i="1"/>
  <c r="G4239" i="1"/>
  <c r="H4239" i="1"/>
  <c r="G4240" i="1"/>
  <c r="H4240" i="1"/>
  <c r="G4241" i="1"/>
  <c r="H4241" i="1"/>
  <c r="G4242" i="1"/>
  <c r="H4242" i="1"/>
  <c r="G4243" i="1"/>
  <c r="H4243" i="1"/>
  <c r="G4244" i="1"/>
  <c r="H4244" i="1"/>
  <c r="G4245" i="1"/>
  <c r="H4245" i="1"/>
  <c r="G4246" i="1"/>
  <c r="H4246" i="1"/>
  <c r="G4247" i="1"/>
  <c r="H4247" i="1"/>
  <c r="G4248" i="1"/>
  <c r="H4248" i="1"/>
  <c r="G4249" i="1"/>
  <c r="H4249" i="1"/>
  <c r="G4250" i="1"/>
  <c r="H4250" i="1"/>
  <c r="G4251" i="1"/>
  <c r="H4251" i="1"/>
  <c r="G4252" i="1"/>
  <c r="H4252" i="1"/>
  <c r="G4253" i="1"/>
  <c r="H4253" i="1"/>
  <c r="G4254" i="1"/>
  <c r="H4254" i="1"/>
  <c r="G4255" i="1"/>
  <c r="H4255" i="1"/>
  <c r="G4256" i="1"/>
  <c r="H4256" i="1"/>
  <c r="G4257" i="1"/>
  <c r="H4257" i="1"/>
  <c r="G4258" i="1"/>
  <c r="H4258" i="1"/>
  <c r="G4259" i="1"/>
  <c r="H4259" i="1"/>
  <c r="G4260" i="1"/>
  <c r="H4260" i="1"/>
  <c r="G4261" i="1"/>
  <c r="H4261" i="1"/>
  <c r="G4262" i="1"/>
  <c r="H4262" i="1"/>
  <c r="G4263" i="1"/>
  <c r="H4263" i="1"/>
  <c r="G4264" i="1"/>
  <c r="H4264" i="1"/>
  <c r="G4265" i="1"/>
  <c r="H4265" i="1"/>
  <c r="G4266" i="1"/>
  <c r="H4266" i="1"/>
  <c r="G4267" i="1"/>
  <c r="H4267" i="1"/>
  <c r="G4268" i="1"/>
  <c r="H4268" i="1"/>
  <c r="G4269" i="1"/>
  <c r="H4269" i="1"/>
  <c r="G4270" i="1"/>
  <c r="H4270" i="1"/>
  <c r="G4271" i="1"/>
  <c r="H4271" i="1"/>
  <c r="G4272" i="1"/>
  <c r="H4272" i="1"/>
  <c r="G4273" i="1"/>
  <c r="H4273" i="1"/>
  <c r="G4274" i="1"/>
  <c r="H4274" i="1"/>
  <c r="G4275" i="1"/>
  <c r="H4275" i="1"/>
  <c r="G4276" i="1"/>
  <c r="H4276" i="1"/>
  <c r="G4277" i="1"/>
  <c r="H4277" i="1"/>
  <c r="G4278" i="1"/>
  <c r="H4278" i="1"/>
  <c r="G4279" i="1"/>
  <c r="H4279" i="1"/>
  <c r="G4280" i="1"/>
  <c r="H4280" i="1"/>
  <c r="G4281" i="1"/>
  <c r="H4281" i="1"/>
  <c r="G4282" i="1"/>
  <c r="H4282" i="1"/>
  <c r="G4283" i="1"/>
  <c r="H4283" i="1"/>
  <c r="G4284" i="1"/>
  <c r="H4284" i="1"/>
  <c r="G4285" i="1"/>
  <c r="H4285" i="1"/>
  <c r="G4286" i="1"/>
  <c r="H4286" i="1"/>
  <c r="G4287" i="1"/>
  <c r="H4287" i="1"/>
  <c r="G4288" i="1"/>
  <c r="H4288" i="1"/>
  <c r="G4289" i="1"/>
  <c r="H4289" i="1"/>
  <c r="G4290" i="1"/>
  <c r="H4290" i="1"/>
  <c r="G4291" i="1"/>
  <c r="H4291" i="1"/>
  <c r="G4292" i="1"/>
  <c r="H4292" i="1"/>
  <c r="G4293" i="1"/>
  <c r="H4293" i="1"/>
  <c r="G4294" i="1"/>
  <c r="H4294" i="1"/>
  <c r="G4295" i="1"/>
  <c r="H4295" i="1"/>
  <c r="G4296" i="1"/>
  <c r="H4296" i="1"/>
  <c r="G4297" i="1"/>
  <c r="H4297" i="1"/>
  <c r="G4298" i="1"/>
  <c r="H4298" i="1"/>
  <c r="G4299" i="1"/>
  <c r="H4299" i="1"/>
  <c r="G4300" i="1"/>
  <c r="H4300" i="1"/>
  <c r="G4301" i="1"/>
  <c r="H4301" i="1"/>
  <c r="G4302" i="1"/>
  <c r="H4302" i="1"/>
  <c r="G4303" i="1"/>
  <c r="H4303" i="1"/>
  <c r="G4304" i="1"/>
  <c r="H4304" i="1"/>
  <c r="G4305" i="1"/>
  <c r="H4305" i="1"/>
  <c r="G4306" i="1"/>
  <c r="H4306" i="1"/>
  <c r="G4307" i="1"/>
  <c r="H4307" i="1"/>
  <c r="G4308" i="1"/>
  <c r="H4308" i="1"/>
  <c r="G4309" i="1"/>
  <c r="H4309" i="1"/>
  <c r="G4310" i="1"/>
  <c r="H4310" i="1"/>
  <c r="G4311" i="1"/>
  <c r="H4311" i="1"/>
  <c r="G4312" i="1"/>
  <c r="H4312" i="1"/>
  <c r="G4313" i="1"/>
  <c r="H4313" i="1"/>
  <c r="G4314" i="1"/>
  <c r="H4314" i="1"/>
  <c r="G4315" i="1"/>
  <c r="H4315" i="1"/>
  <c r="G4316" i="1"/>
  <c r="H4316" i="1"/>
  <c r="G4317" i="1"/>
  <c r="H4317" i="1"/>
  <c r="G4318" i="1"/>
  <c r="H4318" i="1"/>
  <c r="G4319" i="1"/>
  <c r="H4319" i="1"/>
  <c r="G4320" i="1"/>
  <c r="H4320" i="1"/>
  <c r="G4321" i="1"/>
  <c r="H4321" i="1"/>
  <c r="G4322" i="1"/>
  <c r="H4322" i="1"/>
  <c r="G4323" i="1"/>
  <c r="H4323" i="1"/>
  <c r="G4324" i="1"/>
  <c r="H4324" i="1"/>
  <c r="G4325" i="1"/>
  <c r="H4325" i="1"/>
  <c r="G4326" i="1"/>
  <c r="H4326" i="1"/>
  <c r="G4327" i="1"/>
  <c r="H4327" i="1"/>
  <c r="G4328" i="1"/>
  <c r="H4328" i="1"/>
  <c r="G4329" i="1"/>
  <c r="H4329" i="1"/>
  <c r="G4330" i="1"/>
  <c r="H4330" i="1"/>
  <c r="G4331" i="1"/>
  <c r="H4331" i="1"/>
  <c r="G4332" i="1"/>
  <c r="H4332" i="1"/>
  <c r="G4333" i="1"/>
  <c r="H4333" i="1"/>
  <c r="G4334" i="1"/>
  <c r="H4334" i="1"/>
  <c r="G4335" i="1"/>
  <c r="H4335" i="1"/>
  <c r="G4336" i="1"/>
  <c r="H4336" i="1"/>
  <c r="G4337" i="1"/>
  <c r="H4337" i="1"/>
  <c r="G4338" i="1"/>
  <c r="H4338" i="1"/>
  <c r="G4339" i="1"/>
  <c r="H4339" i="1"/>
  <c r="G4340" i="1"/>
  <c r="H4340" i="1"/>
  <c r="G4341" i="1"/>
  <c r="H4341" i="1"/>
  <c r="G4342" i="1"/>
  <c r="H4342" i="1"/>
  <c r="G4343" i="1"/>
  <c r="H4343" i="1"/>
  <c r="G4344" i="1"/>
  <c r="H4344" i="1"/>
  <c r="G4345" i="1"/>
  <c r="H4345" i="1"/>
  <c r="G4346" i="1"/>
  <c r="H4346" i="1"/>
  <c r="G4347" i="1"/>
  <c r="H4347" i="1"/>
  <c r="G4348" i="1"/>
  <c r="H4348" i="1"/>
  <c r="G4349" i="1"/>
  <c r="H4349" i="1"/>
  <c r="G4350" i="1"/>
  <c r="H4350" i="1"/>
  <c r="G4351" i="1"/>
  <c r="H4351" i="1"/>
  <c r="G4352" i="1"/>
  <c r="H4352" i="1"/>
  <c r="G4353" i="1"/>
  <c r="H4353" i="1"/>
  <c r="G4354" i="1"/>
  <c r="H4354" i="1"/>
  <c r="G4355" i="1"/>
  <c r="H4355" i="1"/>
  <c r="G4356" i="1"/>
  <c r="H4356" i="1"/>
  <c r="G4357" i="1"/>
  <c r="H4357" i="1"/>
  <c r="G4358" i="1"/>
  <c r="H4358" i="1"/>
  <c r="G4359" i="1"/>
  <c r="H4359" i="1"/>
  <c r="G4360" i="1"/>
  <c r="H4360" i="1"/>
  <c r="G4361" i="1"/>
  <c r="H4361" i="1"/>
  <c r="G4362" i="1"/>
  <c r="H4362" i="1"/>
  <c r="G4363" i="1"/>
  <c r="H4363" i="1"/>
  <c r="G4364" i="1"/>
  <c r="H4364" i="1"/>
  <c r="G4365" i="1"/>
  <c r="H4365" i="1"/>
  <c r="G4366" i="1"/>
  <c r="H4366" i="1"/>
  <c r="G4367" i="1"/>
  <c r="H4367" i="1"/>
  <c r="G4368" i="1"/>
  <c r="H4368" i="1"/>
  <c r="G4369" i="1"/>
  <c r="H4369" i="1"/>
  <c r="G4370" i="1"/>
  <c r="H4370" i="1"/>
  <c r="G4371" i="1"/>
  <c r="H4371" i="1"/>
  <c r="G4372" i="1"/>
  <c r="H4372" i="1"/>
  <c r="G4373" i="1"/>
  <c r="H4373" i="1"/>
  <c r="G4374" i="1"/>
  <c r="H4374" i="1"/>
  <c r="G4375" i="1"/>
  <c r="H4375" i="1"/>
  <c r="G4376" i="1"/>
  <c r="H4376" i="1"/>
  <c r="G4377" i="1"/>
  <c r="H4377" i="1"/>
  <c r="G4378" i="1"/>
  <c r="H4378" i="1"/>
  <c r="G4379" i="1"/>
  <c r="H4379" i="1"/>
  <c r="G4380" i="1"/>
  <c r="H4380" i="1"/>
  <c r="G4381" i="1"/>
  <c r="H4381" i="1"/>
  <c r="G4382" i="1"/>
  <c r="H4382" i="1"/>
  <c r="G4383" i="1"/>
  <c r="H4383" i="1"/>
  <c r="G4384" i="1"/>
  <c r="H4384" i="1"/>
  <c r="G4385" i="1"/>
  <c r="H4385" i="1"/>
  <c r="G4386" i="1"/>
  <c r="H4386" i="1"/>
  <c r="G4387" i="1"/>
  <c r="H4387" i="1"/>
  <c r="G4388" i="1"/>
  <c r="H4388" i="1"/>
  <c r="G4389" i="1"/>
  <c r="H4389" i="1"/>
  <c r="G4390" i="1"/>
  <c r="H4390" i="1"/>
  <c r="G4391" i="1"/>
  <c r="H4391" i="1"/>
  <c r="G4392" i="1"/>
  <c r="H4392" i="1"/>
  <c r="G4393" i="1"/>
  <c r="H4393" i="1"/>
  <c r="G4394" i="1"/>
  <c r="H4394" i="1"/>
  <c r="G4395" i="1"/>
  <c r="H4395" i="1"/>
  <c r="G4396" i="1"/>
  <c r="H4396" i="1"/>
  <c r="G4397" i="1"/>
  <c r="H4397" i="1"/>
  <c r="G4398" i="1"/>
  <c r="H4398" i="1"/>
  <c r="G4399" i="1"/>
  <c r="H4399" i="1"/>
  <c r="G4400" i="1"/>
  <c r="H4400" i="1"/>
  <c r="G4401" i="1"/>
  <c r="H4401" i="1"/>
  <c r="G4402" i="1"/>
  <c r="H4402" i="1"/>
  <c r="G4403" i="1"/>
  <c r="H4403" i="1"/>
  <c r="G4404" i="1"/>
  <c r="H4404" i="1"/>
  <c r="G4405" i="1"/>
  <c r="H4405" i="1"/>
  <c r="G4406" i="1"/>
  <c r="H4406" i="1"/>
  <c r="G4407" i="1"/>
  <c r="H4407" i="1"/>
  <c r="G4408" i="1"/>
  <c r="H4408" i="1"/>
  <c r="G4409" i="1"/>
  <c r="H4409" i="1"/>
  <c r="G4410" i="1"/>
  <c r="H4410" i="1"/>
  <c r="G4411" i="1"/>
  <c r="H4411" i="1"/>
  <c r="G4412" i="1"/>
  <c r="H4412" i="1"/>
  <c r="G4413" i="1"/>
  <c r="H4413" i="1"/>
  <c r="G4414" i="1"/>
  <c r="H4414" i="1"/>
  <c r="G4415" i="1"/>
  <c r="H4415" i="1"/>
  <c r="G4416" i="1"/>
  <c r="H4416" i="1"/>
  <c r="G4417" i="1"/>
  <c r="H4417" i="1"/>
  <c r="G4418" i="1"/>
  <c r="H4418" i="1"/>
  <c r="G4419" i="1"/>
  <c r="H4419" i="1"/>
  <c r="G4420" i="1"/>
  <c r="H4420" i="1"/>
  <c r="G4421" i="1"/>
  <c r="H4421" i="1"/>
  <c r="G4422" i="1"/>
  <c r="H4422" i="1"/>
  <c r="G4423" i="1"/>
  <c r="H4423" i="1"/>
  <c r="G4424" i="1"/>
  <c r="H4424" i="1"/>
  <c r="G4425" i="1"/>
  <c r="H4425" i="1"/>
</calcChain>
</file>

<file path=xl/sharedStrings.xml><?xml version="1.0" encoding="utf-8"?>
<sst xmlns="http://schemas.openxmlformats.org/spreadsheetml/2006/main" count="17108" uniqueCount="8428">
  <si>
    <t>מספר ספר</t>
  </si>
  <si>
    <t xml:space="preserve"> שם ספר</t>
  </si>
  <si>
    <t xml:space="preserve"> שם מחבר</t>
  </si>
  <si>
    <t xml:space="preserve"> מקום הדפסה</t>
  </si>
  <si>
    <t xml:space="preserve"> שנת הדפסה</t>
  </si>
  <si>
    <t xml:space="preserve"> נושאים</t>
  </si>
  <si>
    <t xml:space="preserve"> קישור</t>
  </si>
  <si>
    <t xml:space="preserve"> LINK</t>
  </si>
  <si>
    <t>אבות על בנים</t>
  </si>
  <si>
    <t>זוהר, אורי</t>
  </si>
  <si>
    <t>ירושלים</t>
  </si>
  <si>
    <t>תשפ"ב</t>
  </si>
  <si>
    <t>אבטליון</t>
  </si>
  <si>
    <t>וולפסזון, אהרן בן זאב וולף</t>
  </si>
  <si>
    <t>ווין,</t>
  </si>
  <si>
    <t>תק"ס</t>
  </si>
  <si>
    <t>אבי בעזרי</t>
  </si>
  <si>
    <t>לוי, יצחק בן אליהו</t>
  </si>
  <si>
    <t>כרמיאל</t>
  </si>
  <si>
    <t>תשע"ה</t>
  </si>
  <si>
    <t>אבי נתן - 3 כרכים</t>
  </si>
  <si>
    <t>פארדו, נתנאל</t>
  </si>
  <si>
    <t>תשפ"א - תשע"ג</t>
  </si>
  <si>
    <t>אבי שר שלום - 2 כרכים</t>
  </si>
  <si>
    <t>בן יצ'ו, מסעוד</t>
  </si>
  <si>
    <t>תשנ"ד</t>
  </si>
  <si>
    <t>אבידה מתבקשת</t>
  </si>
  <si>
    <t>ביכמן, אברהם הכהן</t>
  </si>
  <si>
    <t>אלעד</t>
  </si>
  <si>
    <t>חש""ד</t>
  </si>
  <si>
    <t>אביעה - יג</t>
  </si>
  <si>
    <t>אקוקה, שמעון (עורך)</t>
  </si>
  <si>
    <t>אביעזר</t>
  </si>
  <si>
    <t>דרורי, משה דוד בן עוזר</t>
  </si>
  <si>
    <t>חמ"ד</t>
  </si>
  <si>
    <t>תשפ"א</t>
  </si>
  <si>
    <t>אביר יעקב &lt;מהדורה חדשה&gt;</t>
  </si>
  <si>
    <t>ענתבי, יעקב</t>
  </si>
  <si>
    <t>אבל ונחמה</t>
  </si>
  <si>
    <t>ירושלים,</t>
  </si>
  <si>
    <t>תש"ו</t>
  </si>
  <si>
    <t>אבן השוהם</t>
  </si>
  <si>
    <t>קלזאן, משה בן שמעון</t>
  </si>
  <si>
    <t>אבן חן, מקואות - חלה</t>
  </si>
  <si>
    <t>שמש, חננאל בן יעקב משה</t>
  </si>
  <si>
    <t>תש"פ</t>
  </si>
  <si>
    <t>אבן יקרה - ד</t>
  </si>
  <si>
    <t>ווייס, בנימין אריה בן חיים צבי הכהן</t>
  </si>
  <si>
    <t>לבוב Lvov</t>
  </si>
  <si>
    <t>תרנ"ד - תרע"ג</t>
  </si>
  <si>
    <t>אבן ישראל - גיטין, בבא מציעא,</t>
  </si>
  <si>
    <t>הר אבן, ישראל משה בן אברהם יוסף</t>
  </si>
  <si>
    <t>בני ברק</t>
  </si>
  <si>
    <t>אבן ישראל. תפארת ישראל. גדולים מעשה צדיקים.</t>
  </si>
  <si>
    <t>טלינגאטור, שלמה</t>
  </si>
  <si>
    <t>תש"ל</t>
  </si>
  <si>
    <t>אבן שתיה</t>
  </si>
  <si>
    <t>בראוור, מיכאל בן משה הכהן</t>
  </si>
  <si>
    <t>ירושלם,</t>
  </si>
  <si>
    <t>תר"ץ</t>
  </si>
  <si>
    <t>אבני אש - אבות</t>
  </si>
  <si>
    <t>אויש, יחיאל</t>
  </si>
  <si>
    <t>תשס"ט</t>
  </si>
  <si>
    <t>אבני דרך - יז</t>
  </si>
  <si>
    <t>פרינץ, אלחנן נפתלי</t>
  </si>
  <si>
    <t>אבני העזר - 2 כרכים</t>
  </si>
  <si>
    <t>הלוי, אחיקם בן נחמיה יחיא</t>
  </si>
  <si>
    <t>מעלה מכמש</t>
  </si>
  <si>
    <t>אבני זכרון</t>
  </si>
  <si>
    <t>אומן, יחיאל</t>
  </si>
  <si>
    <t>חש"ד</t>
  </si>
  <si>
    <t>אבני זכרון - ב</t>
  </si>
  <si>
    <t>רוטשטיין, נחום בן חיים אברהם יצחק</t>
  </si>
  <si>
    <t>תשנ"ב</t>
  </si>
  <si>
    <t>אבני חן</t>
  </si>
  <si>
    <t>קלאגסבלאד, אלחנן זאב</t>
  </si>
  <si>
    <t>אנטוורפן</t>
  </si>
  <si>
    <t>תשע"ג</t>
  </si>
  <si>
    <t>אבני מלואים</t>
  </si>
  <si>
    <t>הלר, אריה ליב בן יוסף הכהן</t>
  </si>
  <si>
    <t>שצ'צ'ין Szeczin</t>
  </si>
  <si>
    <t>תר"כ</t>
  </si>
  <si>
    <t>אבני מקום - 2 כרכים</t>
  </si>
  <si>
    <t>כהן, אברהם בנימין בן אריה</t>
  </si>
  <si>
    <t>תשע"ט</t>
  </si>
  <si>
    <t>אבני משפט - א</t>
  </si>
  <si>
    <t>אבני נועם - 3 כרכים</t>
  </si>
  <si>
    <t>אנסבכר, אבינעם בן יששכר</t>
  </si>
  <si>
    <t>אשדוד</t>
  </si>
  <si>
    <t>תשע"א</t>
  </si>
  <si>
    <t>אבני סוגיות - קידושין, יבמות</t>
  </si>
  <si>
    <t>בלום, אהרן בן אליעזר דב</t>
  </si>
  <si>
    <t>אבני צדק - כתובות</t>
  </si>
  <si>
    <t>ברדה, נתנאל</t>
  </si>
  <si>
    <t>אבני קודש</t>
  </si>
  <si>
    <t>לוי, נחום בן אברהם</t>
  </si>
  <si>
    <t>תרצ"ד</t>
  </si>
  <si>
    <t>אבני שהם - 2 כרכים</t>
  </si>
  <si>
    <t>שלומוביץ, ישעיה</t>
  </si>
  <si>
    <t>אנטווערפען</t>
  </si>
  <si>
    <t>אבני שמחה - תניינא</t>
  </si>
  <si>
    <t>קליר, שמחה בונים</t>
  </si>
  <si>
    <t>אבני שש - הלכות בשר וחלב ותערובת</t>
  </si>
  <si>
    <t>שפירא, יעקב שמשון בן משה</t>
  </si>
  <si>
    <t>אבנר</t>
  </si>
  <si>
    <t>זכרון לאבנר יונה</t>
  </si>
  <si>
    <t>תשל"ו</t>
  </si>
  <si>
    <t>אבנתא דליבא - יבמות</t>
  </si>
  <si>
    <t>ויינר, יהודה ליב בן דוד</t>
  </si>
  <si>
    <t>אבקן - 9</t>
  </si>
  <si>
    <t>בטאון בוגרי קרית נוער</t>
  </si>
  <si>
    <t>תשמ"ב</t>
  </si>
  <si>
    <t>אברהם אבינו'ס לעבן און שאפונג</t>
  </si>
  <si>
    <t>רוזמרין, אהרן</t>
  </si>
  <si>
    <t>תשכ"ד</t>
  </si>
  <si>
    <t>אברהם בעודנו חי</t>
  </si>
  <si>
    <t>ראטה, אברהם חיים בן אהרן</t>
  </si>
  <si>
    <t>תשע"ח</t>
  </si>
  <si>
    <t>אברהם יגל - 2 כרכים</t>
  </si>
  <si>
    <t>חזן, אברהם בן עמרם</t>
  </si>
  <si>
    <t>אברהם מאיר - וישב מקץ</t>
  </si>
  <si>
    <t>סלומון, אברהם מאיר</t>
  </si>
  <si>
    <t>אגדות ארץ ישראל - 2 כרכים</t>
  </si>
  <si>
    <t>ווילנאי, זאב בן אברהם</t>
  </si>
  <si>
    <t>אגדות ים התלמוד - שבת</t>
  </si>
  <si>
    <t>ואנונו, שמעון בן יעיש</t>
  </si>
  <si>
    <t>תשס"ב</t>
  </si>
  <si>
    <t>אגדות לספורי התנ"ך וספורים שונים</t>
  </si>
  <si>
    <t>זאקס, ח נ</t>
  </si>
  <si>
    <t>תל אביב,</t>
  </si>
  <si>
    <t>תרצ"ט</t>
  </si>
  <si>
    <t>אגדתא</t>
  </si>
  <si>
    <t>צבי, נתנאל</t>
  </si>
  <si>
    <t>אופקים</t>
  </si>
  <si>
    <t>אגודת אגדות</t>
  </si>
  <si>
    <t>כרמולי, אליקים בן דוד</t>
  </si>
  <si>
    <t>תרמ"ה</t>
  </si>
  <si>
    <t>אגלאי מילתא - 2 כרכים</t>
  </si>
  <si>
    <t>ששון, מנשה דוד בן אלישע</t>
  </si>
  <si>
    <t>בית שמש</t>
  </si>
  <si>
    <t>אגן הסהר</t>
  </si>
  <si>
    <t xml:space="preserve">גלאנטי, אברהם </t>
  </si>
  <si>
    <t>אגרא דפרקא &lt;הגהות הצבי והצדק&gt;</t>
  </si>
  <si>
    <t>שפירא, צבי אלימלך בן פסח מדינוב -</t>
  </si>
  <si>
    <t>אגרות מרן רי"ז הלוי</t>
  </si>
  <si>
    <t>מלר, שמעון יוסף בן אלימלך (עורך)</t>
  </si>
  <si>
    <t>תשס"ח</t>
  </si>
  <si>
    <t>אגרות צפונית</t>
  </si>
  <si>
    <t>ונחוצקר, שרגא פייבל הלוי</t>
  </si>
  <si>
    <t>תשכ"</t>
  </si>
  <si>
    <t>אגרות קודש - לג (תשל"ח)</t>
  </si>
  <si>
    <t>שניאורסון, מנחם מנדל בן לוי יצחק</t>
  </si>
  <si>
    <t>אגרות שומרי אמונים</t>
  </si>
  <si>
    <t>ראטה, אהרן בן שמואל יעקב</t>
  </si>
  <si>
    <t>[תש"ב,</t>
  </si>
  <si>
    <t>אגרות שלום</t>
  </si>
  <si>
    <t>מנחם מאן בן ברוך</t>
  </si>
  <si>
    <t>אגרות שפירין &lt;השלם&gt; - רבי צבי הירש שפירא בעל דרכי תשובה</t>
  </si>
  <si>
    <t>שפירא, צבי הירש בן שלמה</t>
  </si>
  <si>
    <t>אגרת המוסר &lt;מוגה מכת"י&gt;</t>
  </si>
  <si>
    <t>גירונדי, יונה בן אברהם</t>
  </si>
  <si>
    <t>תש"ן</t>
  </si>
  <si>
    <t>אגרת הקדוש &lt;עם ביאור ארי במסתרים&gt;</t>
  </si>
  <si>
    <t>שמשון בן פסח מאוסטרופולי</t>
  </si>
  <si>
    <t>אגרת הקודש</t>
  </si>
  <si>
    <t>יידלש, גרשון בן אליעזר הלוי</t>
  </si>
  <si>
    <t>ווארשא,</t>
  </si>
  <si>
    <t>תרל"ד,</t>
  </si>
  <si>
    <t>אגרת הרמב"ן עם ביאור ועיונים</t>
  </si>
  <si>
    <t>משה בן נחמן (רמב"ן) - ג'קובס, יוסף בן יצחק הכהן</t>
  </si>
  <si>
    <t>אגרת קריאה</t>
  </si>
  <si>
    <t>חרל"פ, יעקב משה בן זבולון</t>
  </si>
  <si>
    <t>[תרע"ג,</t>
  </si>
  <si>
    <t>אגרת רבי ישראל משקלוב לבני עשרת השבטים</t>
  </si>
  <si>
    <t>ישראל בן שמואל משקלוב</t>
  </si>
  <si>
    <t>אמשטרדם</t>
  </si>
  <si>
    <t>תקצ"א</t>
  </si>
  <si>
    <t>אגרת תימן &lt;אין אידישער שפראך&gt;</t>
  </si>
  <si>
    <t>משה בן מימון (רמב"ם)</t>
  </si>
  <si>
    <t>אגרתא דחדוותא - מח</t>
  </si>
  <si>
    <t>גרוס, מרדכי בן צדוק</t>
  </si>
  <si>
    <t>בני ברק Bene Berak</t>
  </si>
  <si>
    <t>אדברה ואעידה - שאנדריף</t>
  </si>
  <si>
    <t>פוקס, אברהם בן שלום</t>
  </si>
  <si>
    <t>תשס"א</t>
  </si>
  <si>
    <t>אדום וישמעאל המאבק על הר הבית</t>
  </si>
  <si>
    <t>גרינברג, מרדכי</t>
  </si>
  <si>
    <t>אדינים דשבת</t>
  </si>
  <si>
    <t>בדוש, אברהם בן מימון - שמש, יעקב</t>
  </si>
  <si>
    <t>אדני פתח האהל</t>
  </si>
  <si>
    <t>דינקל, אלכסנדר</t>
  </si>
  <si>
    <t xml:space="preserve">תשע"ח - </t>
  </si>
  <si>
    <t>אדנים לעמודים</t>
  </si>
  <si>
    <t>חמ''ד</t>
  </si>
  <si>
    <t>אדרת אליהו - אדני מציעא</t>
  </si>
  <si>
    <t>קובץ חבורה (ישיבת תושיה, תפרח)</t>
  </si>
  <si>
    <t>תפרח</t>
  </si>
  <si>
    <t xml:space="preserve">תשע"ז - </t>
  </si>
  <si>
    <t>אדרת אליהו &lt;חלק הנגלה&gt;  - 2 כרכים</t>
  </si>
  <si>
    <t xml:space="preserve">אליהו בן שלמה זלמן (הגר"א) </t>
  </si>
  <si>
    <t>תשנ"ו</t>
  </si>
  <si>
    <t>אדרת יוסף - 3 כרכים</t>
  </si>
  <si>
    <t>כהן, יוסף בן רפאל</t>
  </si>
  <si>
    <t>אדרת כהן - בראשית</t>
  </si>
  <si>
    <t>כהן, נתן</t>
  </si>
  <si>
    <t xml:space="preserve">תשפ"א - </t>
  </si>
  <si>
    <t>אהב מוסר</t>
  </si>
  <si>
    <t>שפירא, יהושע צבי מיכל - הרוניאן, עמנואל</t>
  </si>
  <si>
    <t>אהבה בתענוגים</t>
  </si>
  <si>
    <t>דיין, נסים בן שלמה</t>
  </si>
  <si>
    <t>אהבה רבה - במעגל השנה</t>
  </si>
  <si>
    <t>גולדשמיט, יוסף שלמה בן פסח מאיר</t>
  </si>
  <si>
    <t>קרית ספר</t>
  </si>
  <si>
    <t>תשע"ו</t>
  </si>
  <si>
    <t>אהבה רבה</t>
  </si>
  <si>
    <t>הראי"ש בן הגרח"ש</t>
  </si>
  <si>
    <t>אהבת איתן</t>
  </si>
  <si>
    <t>במברגר, אברהם בן יוסף בן ציון</t>
  </si>
  <si>
    <t>אהבת איתן - פרשת לך לך</t>
  </si>
  <si>
    <t>מונדשיין, שלמה</t>
  </si>
  <si>
    <t>ברנט, איתן</t>
  </si>
  <si>
    <t>בואנוס איירס</t>
  </si>
  <si>
    <t>אהבת חיים &lt;מהדורה חדשה&gt;</t>
  </si>
  <si>
    <t>דייטש, חיים יהודה בן יוסף הלוי</t>
  </si>
  <si>
    <t>תשס"ז</t>
  </si>
  <si>
    <t>אהבת חסד &lt;ארחות חסד&gt;</t>
  </si>
  <si>
    <t>כהן, ישראל מאיר בן אריה זאב</t>
  </si>
  <si>
    <t>אהבת עולם - 5 כרכים</t>
  </si>
  <si>
    <t>כודרי, דוד בן אליהו ציון</t>
  </si>
  <si>
    <t>אהבת ציון</t>
  </si>
  <si>
    <t>קובץ תורה מציון</t>
  </si>
  <si>
    <t>אהבת שלום &lt;מהדורה תנינא&gt;</t>
  </si>
  <si>
    <t>מנחם מנדל בן יעקב קופל מקוסוב</t>
  </si>
  <si>
    <t>טשערנאוויץ</t>
  </si>
  <si>
    <t>תרמ"ד</t>
  </si>
  <si>
    <t>אהל אליהו</t>
  </si>
  <si>
    <t>סקולט, יהושע</t>
  </si>
  <si>
    <t>תשס"ג</t>
  </si>
  <si>
    <t>אהל המשפט - שו''ת מתוך הקובץ</t>
  </si>
  <si>
    <t>מונק, אליהו</t>
  </si>
  <si>
    <t>אהל העדות - מלאכת בורר</t>
  </si>
  <si>
    <t>פאללאק, אהרן בן צבי הלוי</t>
  </si>
  <si>
    <t>אהל טהרה - הלכות נדה</t>
  </si>
  <si>
    <t>אייזנשטיין, יהודה בן נחום</t>
  </si>
  <si>
    <t>אהל יונתן - ג</t>
  </si>
  <si>
    <t>כולל אהל יונתן ובלומא</t>
  </si>
  <si>
    <t>תשנ"ט</t>
  </si>
  <si>
    <t>אהל יוסף - אהלות</t>
  </si>
  <si>
    <t>לב, מאיר אריה בן יוסף</t>
  </si>
  <si>
    <t>אהל יוסף - 2 כרכים</t>
  </si>
  <si>
    <t>מן, הלל בן משה (עורך)</t>
  </si>
  <si>
    <t>אהל יחוד</t>
  </si>
  <si>
    <t>אהל יעקב - תערובות חמץ</t>
  </si>
  <si>
    <t>סקוצילס, יעקב אהרן בן טלי</t>
  </si>
  <si>
    <t>אהל יצחק</t>
  </si>
  <si>
    <t>סבג, יצחק</t>
  </si>
  <si>
    <t>ג'רבה</t>
  </si>
  <si>
    <t>תשל"א</t>
  </si>
  <si>
    <t>אהל יצחק - שנה יא  - אב, אלול</t>
  </si>
  <si>
    <t>אוהל יצחק</t>
  </si>
  <si>
    <t>סטו מרה Satu Mare</t>
  </si>
  <si>
    <t>תרע"ד</t>
  </si>
  <si>
    <t>יצחק בן אליעזר ממונקאץ'</t>
  </si>
  <si>
    <t>וילנה,</t>
  </si>
  <si>
    <t>אהל לאה - ד</t>
  </si>
  <si>
    <t>פישר, שלמה יהונתן יהודה</t>
  </si>
  <si>
    <t>אהל מועד - 2 כרכים</t>
  </si>
  <si>
    <t>זילברשלג, דוד בן ישעיהו שמחה הלוי</t>
  </si>
  <si>
    <t>אהל תורה</t>
  </si>
  <si>
    <t>מורגנשטרן, מנחם מנדל בן יהודה ליב</t>
  </si>
  <si>
    <t>תשי"ט</t>
  </si>
  <si>
    <t>אהלי ליובאוויטש - ה</t>
  </si>
  <si>
    <t>אהלי ליובאוויטש</t>
  </si>
  <si>
    <t>חולון</t>
  </si>
  <si>
    <t>אהלי שם - 12 כרכים</t>
  </si>
  <si>
    <t>פרץ, מיכאל בן יוסף</t>
  </si>
  <si>
    <t>אהלי שם &lt;שו"ע&gt; - אה"ע ג</t>
  </si>
  <si>
    <t>מקסיקו</t>
  </si>
  <si>
    <t>אהלי שם &lt;עין יעקב&gt;  - 2 כרכים</t>
  </si>
  <si>
    <t>אהלי שם - 4 כרכים</t>
  </si>
  <si>
    <t>מלכא, שאול</t>
  </si>
  <si>
    <t>אהלי תורה - לו</t>
  </si>
  <si>
    <t>אהלי תורה</t>
  </si>
  <si>
    <t>אהלים - פסחים, הלכות פסח</t>
  </si>
  <si>
    <t>דיסקין, משה יהושע יהודה ליב בן בנימין</t>
  </si>
  <si>
    <t>אהללה ה' בחי"י</t>
  </si>
  <si>
    <t>ביאלא</t>
  </si>
  <si>
    <t>לונדון</t>
  </si>
  <si>
    <t>אהרן בכהניו - תולדות הגאון רבי אהרן וואלקין מפינסק בעל בית אהרן</t>
  </si>
  <si>
    <t>וואלקין, אהרן בן חיים</t>
  </si>
  <si>
    <t>אודים - 13</t>
  </si>
  <si>
    <t>ועד הרבנים בגרמניה</t>
  </si>
  <si>
    <t>גרמניה</t>
  </si>
  <si>
    <t>תשמ"ט</t>
  </si>
  <si>
    <t>אוהב את הבריות ומקרבן לתורה</t>
  </si>
  <si>
    <t>קוק צבי יהודה בן אברהם יצחק הכהן</t>
  </si>
  <si>
    <t>אוהל יונתן</t>
  </si>
  <si>
    <t>כולל אוהל רבינו יהונתן ובלומה</t>
  </si>
  <si>
    <t>אויף פרעמדער ערד {אידיש}</t>
  </si>
  <si>
    <t>קליימן, אלטר</t>
  </si>
  <si>
    <t>אוכל נפש</t>
  </si>
  <si>
    <t>שלבי, פנחס בן דוד</t>
  </si>
  <si>
    <t>אומר יביע</t>
  </si>
  <si>
    <t>ירחי, מאיר</t>
  </si>
  <si>
    <t>אוסף אמרים - 7 כרכים</t>
  </si>
  <si>
    <t>שכטר, יעקב מאיר בן דוד</t>
  </si>
  <si>
    <t xml:space="preserve">תשע"ד - </t>
  </si>
  <si>
    <t>אוסף גליונות באר התורה - 8 כרכים</t>
  </si>
  <si>
    <t>אביטבול, יוסף בן חיים בנימין</t>
  </si>
  <si>
    <t>אוסף גליונות בדרכו אמונה - 1-148</t>
  </si>
  <si>
    <t>מכון דרך אמונה</t>
  </si>
  <si>
    <t>אוסף מכתבים - 4 כרכים</t>
  </si>
  <si>
    <t>תשעו</t>
  </si>
  <si>
    <t>אוסף מקורות בנושא צדיק ורע לו</t>
  </si>
  <si>
    <t>אוחנה, שלום</t>
  </si>
  <si>
    <t>אוצר אגדות החסידים - כז</t>
  </si>
  <si>
    <t>גוטמן, מנחם</t>
  </si>
  <si>
    <t>אוצר בין אדם לחבירו - 3 כרכים</t>
  </si>
  <si>
    <t>מכון תורת האדם לאדם</t>
  </si>
  <si>
    <t>צפת</t>
  </si>
  <si>
    <t>תשע""ב</t>
  </si>
  <si>
    <t>אוצר דרשות ומאמרים - ד</t>
  </si>
  <si>
    <t>אלטר, פינחס מנחם בן אברהם מרדכי</t>
  </si>
  <si>
    <t>אוצר הברית והדרוש</t>
  </si>
  <si>
    <t>אוצר הברכה</t>
  </si>
  <si>
    <t>הופמן, יהודה אריה בן יואל דוד</t>
  </si>
  <si>
    <t>אוצר הברכות</t>
  </si>
  <si>
    <t>כהן, יוסף דוד בן משה חיים</t>
  </si>
  <si>
    <t>ביתר עילית</t>
  </si>
  <si>
    <t>אוצר הדרשות הקצרות - 2 כרכים</t>
  </si>
  <si>
    <t>דהוקי, עמרם</t>
  </si>
  <si>
    <t>אוצר הזמנים - 2 כרכים</t>
  </si>
  <si>
    <t>בריסק, אהרן מרדכי בן אליהו יצחק</t>
  </si>
  <si>
    <t>אוצר הלכות - 2 כרכים</t>
  </si>
  <si>
    <t>פרידמן, אברהם צבי</t>
  </si>
  <si>
    <t>אוצר הלכות קיץ</t>
  </si>
  <si>
    <t>ווילליגער, דוד יהודה</t>
  </si>
  <si>
    <t>תשמ"א</t>
  </si>
  <si>
    <t>אוצר העיון - נדה</t>
  </si>
  <si>
    <t>קרויזר, אברהם דוד בן שלמה זלמן</t>
  </si>
  <si>
    <t>מודיעין עילית</t>
  </si>
  <si>
    <t>אוצר הפרשה - לך לך</t>
  </si>
  <si>
    <t xml:space="preserve">דאקס, אברהם אביש בן חיים יצחק </t>
  </si>
  <si>
    <t>אוצר השיחות</t>
  </si>
  <si>
    <t>אליאך, יחיאל צבי בן יעקב יצחק</t>
  </si>
  <si>
    <t>אוצר השמחה - א</t>
  </si>
  <si>
    <t>סטוהל, רפאל ראובן בן זאב</t>
  </si>
  <si>
    <t>ליקווד</t>
  </si>
  <si>
    <t>אוצר חיים - א</t>
  </si>
  <si>
    <t>גרליק, חיים עוזר בן ירוחם</t>
  </si>
  <si>
    <t>אוצר ישראל השלם</t>
  </si>
  <si>
    <t>בלום, מרדכי הכהן</t>
  </si>
  <si>
    <t>תשס"ו</t>
  </si>
  <si>
    <t>אוצר לפני עיור - א</t>
  </si>
  <si>
    <t>טויב, משה בן יחזקאל צבי</t>
  </si>
  <si>
    <t>אוצר מאמרים משלחן רבותינו &lt;בעלזא&gt; - 2 כרכים</t>
  </si>
  <si>
    <t>אוסף מתורת רבותינו הק' לבית בעלזא</t>
  </si>
  <si>
    <t xml:space="preserve">תשע"ט - </t>
  </si>
  <si>
    <t>אוצר מפרשי התורה - ז (במדבר א)</t>
  </si>
  <si>
    <t>מכון ירושלים</t>
  </si>
  <si>
    <t>אוצר מפרשים וחידושים</t>
  </si>
  <si>
    <t>אוצר ספר חסידים</t>
  </si>
  <si>
    <t>וולדמן, חיים יוסף בן ישכר דוב</t>
  </si>
  <si>
    <t>אוצר ספר תורה תפילין ומזוזות - כוונות כתיבת השם, כוונות כתיבת פרשיות לתפילין ומזוזות</t>
  </si>
  <si>
    <t>קרויז, ישראל אשר</t>
  </si>
  <si>
    <t>אוצר סת"ם - 2 כרכים</t>
  </si>
  <si>
    <t>תשמ"ג</t>
  </si>
  <si>
    <t>אוצר ערכי היהדות</t>
  </si>
  <si>
    <t>גרוסמן, יוסף בן שניאור זלמן</t>
  </si>
  <si>
    <t>אוצר פירושים על ספר התניא</t>
  </si>
  <si>
    <t>מטוסוב, אליהו</t>
  </si>
  <si>
    <t>אוצר פנינים - 2 כרכים</t>
  </si>
  <si>
    <t>לימאן, חיים דוב בן יוסף מתתיהו</t>
  </si>
  <si>
    <t>אוצר פסקי חלה</t>
  </si>
  <si>
    <t>שמש, ליאור חיים</t>
  </si>
  <si>
    <t>אוצרות אורייתא - 3 כרכים</t>
  </si>
  <si>
    <t>שמרלר, חיים בן אליהו שמואל</t>
  </si>
  <si>
    <t>אוצרות גיטין</t>
  </si>
  <si>
    <t>ישיבת בית שמעיה לצעירים</t>
  </si>
  <si>
    <t>אוצרות המלך - 8 כרכים</t>
  </si>
  <si>
    <t>קמיל, מרדכי בן אליעזר ליטמן הכהן</t>
  </si>
  <si>
    <t>אוצרות הסופר - 10 כרכים</t>
  </si>
  <si>
    <t>קובץ</t>
  </si>
  <si>
    <t>תש"ע</t>
  </si>
  <si>
    <t>אוצרות התורה - 2 כרכים</t>
  </si>
  <si>
    <t>מכון אור החסידות</t>
  </si>
  <si>
    <t>כפר חב"ד</t>
  </si>
  <si>
    <t>אוצרות חנוכה</t>
  </si>
  <si>
    <t>צוריאל, משה בן יחזקאל</t>
  </si>
  <si>
    <t>אוצרות יהודי תונסיה - א</t>
  </si>
  <si>
    <t>אוצרות יהודי תונסיה</t>
  </si>
  <si>
    <t>אוצרות ירושלים - שי-שיט</t>
  </si>
  <si>
    <t>אוצרות ירושלים</t>
  </si>
  <si>
    <t>תשמ"ג - תשמ"ז</t>
  </si>
  <si>
    <t>אוצרות מהר"ש חריף - 4 כרכים</t>
  </si>
  <si>
    <t>מכון דברי ר"ש</t>
  </si>
  <si>
    <t>תש"פ - תשפ"א</t>
  </si>
  <si>
    <t>אוצרות משה - 11 כרכים</t>
  </si>
  <si>
    <t>נידאם, משה בן מכלוף</t>
  </si>
  <si>
    <t>תשעז</t>
  </si>
  <si>
    <t>אוצרות משה &lt;הגות לבי תבונות&gt;  - 3 כרכים</t>
  </si>
  <si>
    <t>אוצרות משה - שערי אבן העזר - 2 כרכים</t>
  </si>
  <si>
    <t>תשעד</t>
  </si>
  <si>
    <t>אור אברהם - חנוכה</t>
  </si>
  <si>
    <t>ברנדווין, אברהם</t>
  </si>
  <si>
    <t>תשע"ז</t>
  </si>
  <si>
    <t>אור אליקים</t>
  </si>
  <si>
    <t>כהן, אליקים געציל</t>
  </si>
  <si>
    <t>אור במושבותם</t>
  </si>
  <si>
    <t>ארלנגר, חזקיהו אלכסנדר סנדר יצחק</t>
  </si>
  <si>
    <t>אור ה' עליך זרח</t>
  </si>
  <si>
    <t>בלוי, אורי בן עמרם (לזכרו)</t>
  </si>
  <si>
    <t>אור הברכה</t>
  </si>
  <si>
    <t>זוננבליק, אברהם יעקב בן צדוק הלוי</t>
  </si>
  <si>
    <t>אור הגנוז - ב</t>
  </si>
  <si>
    <t>חסידי קרלין לעלוב</t>
  </si>
  <si>
    <t>תשמ"ז</t>
  </si>
  <si>
    <t>אור ההלכה</t>
  </si>
  <si>
    <t>ברדה, נתנאל בן אברהם</t>
  </si>
  <si>
    <t>אור ההלכה - א</t>
  </si>
  <si>
    <t>אור ההשגחה</t>
  </si>
  <si>
    <t>מורסקי, אשר זעליג</t>
  </si>
  <si>
    <t>אור החוזר - קהלת</t>
  </si>
  <si>
    <t>העדני, מהלל &lt;יעקב בן שלום מהלה&gt;</t>
  </si>
  <si>
    <t>תל אביב</t>
  </si>
  <si>
    <t>ת"ש</t>
  </si>
  <si>
    <t>אור החיים (ליקוטים) - שבת ומועדים</t>
  </si>
  <si>
    <t>אבן עטר, חיים בן משה</t>
  </si>
  <si>
    <t>אור הישר - בראשית</t>
  </si>
  <si>
    <t>הילמאן, שמואל יצחק בן אברהם חיים</t>
  </si>
  <si>
    <t>אור הכוזרי - א</t>
  </si>
  <si>
    <t>שוורץ, חיים אביהוא בן דוד יוסף</t>
  </si>
  <si>
    <t>בית אל</t>
  </si>
  <si>
    <t>אור המאיר</t>
  </si>
  <si>
    <t>על שם רבי מאיר דן פלאצקי בעל כלי חמדה</t>
  </si>
  <si>
    <t>תרצ"ו</t>
  </si>
  <si>
    <t>אור המאיר - קידושין</t>
  </si>
  <si>
    <t>כץ, מרדכי אברהם בן מאיר</t>
  </si>
  <si>
    <t>אור המזרח - מב ב</t>
  </si>
  <si>
    <t>אור המזרח</t>
  </si>
  <si>
    <t>ניו יורק New York</t>
  </si>
  <si>
    <t>אור המערב - 6 כרכים</t>
  </si>
  <si>
    <t>ירחון תורני ולמורשת יהדות המערב</t>
  </si>
  <si>
    <t>אור הנר</t>
  </si>
  <si>
    <t>רביבו, נסים בן דוד</t>
  </si>
  <si>
    <t>אור הסת"ם</t>
  </si>
  <si>
    <t>רובינשטיין, בן ציון</t>
  </si>
  <si>
    <t>אור הצפון - 21 כרכים</t>
  </si>
  <si>
    <t>מכון אור הצפון בעלזא</t>
  </si>
  <si>
    <t>אור הצפון  שיעורא דתלמודא</t>
  </si>
  <si>
    <t>אוחין, ישראל בן יוסף חיים</t>
  </si>
  <si>
    <t>אור השבת</t>
  </si>
  <si>
    <t>ורשנר, צבי בן מאיר ישעיה</t>
  </si>
  <si>
    <t>אור השבת - לא</t>
  </si>
  <si>
    <t>אור התהילה</t>
  </si>
  <si>
    <t>שרון, נתן</t>
  </si>
  <si>
    <t>אור התורה</t>
  </si>
  <si>
    <t>טירר, יחיאל בן יעקב ירחמיאל</t>
  </si>
  <si>
    <t>דוידוביץ, אברהם מרדכי</t>
  </si>
  <si>
    <t>אור התחיה - 2 כרכים</t>
  </si>
  <si>
    <t>הל-אור, יום טוב ל.</t>
  </si>
  <si>
    <t>אור התפילה - ח</t>
  </si>
  <si>
    <t>מערכת אוצר החסידים</t>
  </si>
  <si>
    <t>ברוקלין ניו יורק</t>
  </si>
  <si>
    <t>אור וחיות - 2 כרכים</t>
  </si>
  <si>
    <t>מעיינותיך</t>
  </si>
  <si>
    <t>אור זרוע שבת &lt;ביאורים ובירורים&gt;</t>
  </si>
  <si>
    <t>יצחק בן משה מווינה</t>
  </si>
  <si>
    <t>אור חדש</t>
  </si>
  <si>
    <t>אופיר, אהרן</t>
  </si>
  <si>
    <t>אור חזון</t>
  </si>
  <si>
    <t>זוהר, חנניה</t>
  </si>
  <si>
    <t>גני תקוה</t>
  </si>
  <si>
    <t>תשד"מ</t>
  </si>
  <si>
    <t>אור חיים - 2 כרכים</t>
  </si>
  <si>
    <t>חרל"פ, חיים לייב בן אפרים אליעזר</t>
  </si>
  <si>
    <t>אור חיינו</t>
  </si>
  <si>
    <t>וויינברג, נתן דוד בן מרדכי</t>
  </si>
  <si>
    <t>אור יהושע</t>
  </si>
  <si>
    <t>אברהם יהושע השל בן משולם זוסיא</t>
  </si>
  <si>
    <t>אור ישראל &lt;מאנסי&gt; - כט (שנה ח א)</t>
  </si>
  <si>
    <t>אור ישראל &lt;שו"ת&gt; - הלכות שמחות</t>
  </si>
  <si>
    <t>שוורץ, ישראל</t>
  </si>
  <si>
    <t>אור ליהודים</t>
  </si>
  <si>
    <t>אור לישרים - ב</t>
  </si>
  <si>
    <t>האזנלויף, צבי הירש בן שרגא פייבל</t>
  </si>
  <si>
    <t>קרקוב Cracow</t>
  </si>
  <si>
    <t>תרס"ח</t>
  </si>
  <si>
    <t>קדוש, ציון בן דוד</t>
  </si>
  <si>
    <t>אור לנתיבתי - פרקי שירה</t>
  </si>
  <si>
    <t>רייז, מאיר אריה</t>
  </si>
  <si>
    <t>אור מאיר - א</t>
  </si>
  <si>
    <t>ישיבה וכולל אברכים תורת משה</t>
  </si>
  <si>
    <t>אור מאיר - 3 כרכים</t>
  </si>
  <si>
    <t>פוזנא, מאיר בן יוסף יצחק</t>
  </si>
  <si>
    <t>תש"ס</t>
  </si>
  <si>
    <t>אור מרדכי - אדר ב תשפ"ב</t>
  </si>
  <si>
    <t>אור מתוק - ד</t>
  </si>
  <si>
    <t>למפרט, ישראל בנימין בן דוד</t>
  </si>
  <si>
    <t>וילנה Vilna</t>
  </si>
  <si>
    <t>תרמ"ח - תרנ"ו</t>
  </si>
  <si>
    <t>אור עולם &lt;שו"ת&gt; - א</t>
  </si>
  <si>
    <t>ניסן, עזרא בן מרדכי</t>
  </si>
  <si>
    <t>אור עולם</t>
  </si>
  <si>
    <t>אור עולם - 2 כרכים</t>
  </si>
  <si>
    <t>אור על השבת</t>
  </si>
  <si>
    <t>אגודת אמונים</t>
  </si>
  <si>
    <t xml:space="preserve">חש"ד - </t>
  </si>
  <si>
    <t>אור פני יהושע - 2 כרכים</t>
  </si>
  <si>
    <t>בוקסבוים, יהושע בן יוסף</t>
  </si>
  <si>
    <t>ברוקלין</t>
  </si>
  <si>
    <t>אור פני צדיקים</t>
  </si>
  <si>
    <t>פרידמאן, אברהם יעקב בן ישראל</t>
  </si>
  <si>
    <t>זיטאמיר,</t>
  </si>
  <si>
    <t>תרס"ב</t>
  </si>
  <si>
    <t>אור פניך</t>
  </si>
  <si>
    <t>בלויא, אלכסנדר בן נתן בנימין</t>
  </si>
  <si>
    <t>מאנטריאל</t>
  </si>
  <si>
    <t>אור צפון - שבת ותפילותיה</t>
  </si>
  <si>
    <t>שונברג, אוריאל צבי בן מנחם</t>
  </si>
  <si>
    <t>אור רב</t>
  </si>
  <si>
    <t>פופרש, מאיר בן יהודה ליב הכהן</t>
  </si>
  <si>
    <t>אור תורה - 8 כרכים</t>
  </si>
  <si>
    <t>כהן, ישראל (עורך)</t>
  </si>
  <si>
    <t>אור תורה - 2 כרכים</t>
  </si>
  <si>
    <t>פרחי אגודת ישראל דבארא פארק</t>
  </si>
  <si>
    <t>תשי"ז</t>
  </si>
  <si>
    <t>אורה זו תורה - 5 כרכים</t>
  </si>
  <si>
    <t>וילהלם, נחמן יוסף בן יהודה דב</t>
  </si>
  <si>
    <t>אורה של השבת</t>
  </si>
  <si>
    <t>טהרני, אליהו פורת</t>
  </si>
  <si>
    <t>אורו של ט"ו באב</t>
  </si>
  <si>
    <t>מנדלקורן, אריה</t>
  </si>
  <si>
    <t>אורו של יום - 2 כרכים</t>
  </si>
  <si>
    <t>שפירא, משה מנחם בן שלום צבי הכהן</t>
  </si>
  <si>
    <t>אורוחות ההלכה - 2 כרכים</t>
  </si>
  <si>
    <t>דוד, עזרא</t>
  </si>
  <si>
    <t>אורות</t>
  </si>
  <si>
    <t>זפינסקי (בלשן), יעקב</t>
  </si>
  <si>
    <t>תש"ט</t>
  </si>
  <si>
    <t>אורות אלחנן</t>
  </si>
  <si>
    <t>לייפער, נחום</t>
  </si>
  <si>
    <t>אורות אלים &lt;הוצאת תושיה&gt;</t>
  </si>
  <si>
    <t>פאפו, אליעזר בן יצחק</t>
  </si>
  <si>
    <t>תשנה</t>
  </si>
  <si>
    <t>אורות הזהר - 4 כרכים</t>
  </si>
  <si>
    <t>ספר הזהר</t>
  </si>
  <si>
    <t>אורות המדע</t>
  </si>
  <si>
    <t>קוק, אברהם יצחק בן שלמה זלמן הכהן</t>
  </si>
  <si>
    <t>הר ברכה</t>
  </si>
  <si>
    <t>אורות המועדים - שבועות</t>
  </si>
  <si>
    <t>ביהמ"ד בני יששכר דינוב</t>
  </si>
  <si>
    <t>אורות המשפט</t>
  </si>
  <si>
    <t>כולל חושן משפט</t>
  </si>
  <si>
    <t>אורות והערות</t>
  </si>
  <si>
    <t>יעקבסון, מ.</t>
  </si>
  <si>
    <t>אורח מברך</t>
  </si>
  <si>
    <t>רוט, ישראל בן חיים דוב</t>
  </si>
  <si>
    <t>תשס"ד</t>
  </si>
  <si>
    <t>אורחות חיים &lt;משיבת נפש&gt;</t>
  </si>
  <si>
    <t>אשר בן יחיאל (רא"ש) - גולדברג, אהרן דוד בן יצחק הלוי</t>
  </si>
  <si>
    <t>ויקליף, אוהיו</t>
  </si>
  <si>
    <t>אורחות יושר - הלכות תפילה</t>
  </si>
  <si>
    <t>קנייבסקי, שמריהו יוסף חיים בן יעקב ישראל - אלון, אליעזר בן שמחה דוד</t>
  </si>
  <si>
    <t>אורי וישעי - 2 כרכים</t>
  </si>
  <si>
    <t>יונגרייז, אורי שרגא בן אהרן הלוי</t>
  </si>
  <si>
    <t>אוריין תליתאי - מעיין גנים, דובר שלום, חמדת ישראל</t>
  </si>
  <si>
    <t>ניישלאס, גבריאל יהודה - ניישלאס, שלום - ניישלאס, ישראל דוד</t>
  </si>
  <si>
    <t>אורייתא דשמואל</t>
  </si>
  <si>
    <t>כהן, שמואל בן יהודה</t>
  </si>
  <si>
    <t>אורייתא ממרנן דאיטליה</t>
  </si>
  <si>
    <t>אורים במקרא</t>
  </si>
  <si>
    <t>קניגסברג, יצחק</t>
  </si>
  <si>
    <t>פתח תקוה</t>
  </si>
  <si>
    <t>תשע"ב</t>
  </si>
  <si>
    <t>אורים ותומים</t>
  </si>
  <si>
    <t>אורים ותומים. תרכ"ה</t>
  </si>
  <si>
    <t>תרכ"ה</t>
  </si>
  <si>
    <t>אורן של חכמים</t>
  </si>
  <si>
    <t>י.ל.ש</t>
  </si>
  <si>
    <t>אושר ואהבה במשפחה</t>
  </si>
  <si>
    <t>זאקס, יהושע פישל</t>
  </si>
  <si>
    <t>תשי"ד</t>
  </si>
  <si>
    <t>אות לטובה</t>
  </si>
  <si>
    <t>סובל, ישראל משה בן חיים</t>
  </si>
  <si>
    <t>פרעמישלא,</t>
  </si>
  <si>
    <t>תר"ל</t>
  </si>
  <si>
    <t>אות לטובה - 8 כרכים</t>
  </si>
  <si>
    <t>בצלאל, אברהם בן שמואל</t>
  </si>
  <si>
    <t>אותות ומופתים</t>
  </si>
  <si>
    <t>ג'קובס, יוסף בן יצחק הכהן</t>
  </si>
  <si>
    <t>אותיות מאירות</t>
  </si>
  <si>
    <t>קפלן, מאיר זאב</t>
  </si>
  <si>
    <t>אותיות מחכמת</t>
  </si>
  <si>
    <t>ציגלמן, אליעזר צבי</t>
  </si>
  <si>
    <t>אז נדברו (סדרה חדשה) - יב</t>
  </si>
  <si>
    <t>חסידי ויזניץ</t>
  </si>
  <si>
    <t xml:space="preserve">תשל"ג - </t>
  </si>
  <si>
    <t>אזהרות &lt;עם קיצור זהר הרקיע&gt;</t>
  </si>
  <si>
    <t>אבן-גבירול, שלמה בן יהודה - דוראן, שמעון בן צמח (מתוך פירושו)</t>
  </si>
  <si>
    <t>אמשטרדם,</t>
  </si>
  <si>
    <t>תצ"ו</t>
  </si>
  <si>
    <t>אחד היה אברהם</t>
  </si>
  <si>
    <t>עטייה, אברהם (לזכרו)</t>
  </si>
  <si>
    <t>אחדו"ת</t>
  </si>
  <si>
    <t>אחוד חסידי ותלמידי סערט ויז'ניץ</t>
  </si>
  <si>
    <t>חיפה</t>
  </si>
  <si>
    <t>אחוזי שוא</t>
  </si>
  <si>
    <t>שילה, יואל</t>
  </si>
  <si>
    <t>רכסים</t>
  </si>
  <si>
    <t>אחוזת הלוי - 2 כרכים</t>
  </si>
  <si>
    <t>מאנן, אשר הלוי</t>
  </si>
  <si>
    <t xml:space="preserve">תשע"א - </t>
  </si>
  <si>
    <t>אידוותא דימא - 3 כרכים</t>
  </si>
  <si>
    <t>בעילום שם</t>
  </si>
  <si>
    <t>אידרת אליהו - אדרא זוטא ע"פ הגר"א עם ביאור</t>
  </si>
  <si>
    <t>איטליה - כרך א חוברת 1</t>
  </si>
  <si>
    <t>קובץ  מאמרים</t>
  </si>
  <si>
    <t xml:space="preserve">תשל"ו - </t>
  </si>
  <si>
    <t>איי הים - 3 כרכים</t>
  </si>
  <si>
    <t>דוד, אברהם ירמיהו בן יוחנן הכהן</t>
  </si>
  <si>
    <t>לייקאווד</t>
  </si>
  <si>
    <t>איילת השחר שבקע אורה</t>
  </si>
  <si>
    <t>איין נייא קלאג ליד</t>
  </si>
  <si>
    <t>נייע קלאגליד</t>
  </si>
  <si>
    <t>האלי</t>
  </si>
  <si>
    <t>תע"ב</t>
  </si>
  <si>
    <t>new</t>
  </si>
  <si>
    <t>פרג</t>
  </si>
  <si>
    <t>תע"ד</t>
  </si>
  <si>
    <t>איך מתבצע חוק ניתוחי מתים</t>
  </si>
  <si>
    <t>ועדה ציבורית להגנת כבוד האדם</t>
  </si>
  <si>
    <t>איכה יועם זהב</t>
  </si>
  <si>
    <t>חדש, משה מרדכי (לזכרו)</t>
  </si>
  <si>
    <t>איכה לליל תשעה באב</t>
  </si>
  <si>
    <t>תנ"ך. תרפ"ו. ירושלים</t>
  </si>
  <si>
    <t>תרפ"ו</t>
  </si>
  <si>
    <t>אילו של יצחק - 2 כרכים</t>
  </si>
  <si>
    <t>נויאויטש, יצחק שאול יחזקאל בן זאב</t>
  </si>
  <si>
    <t>אילנא דחיי &lt;מהדורה חדשה&gt;</t>
  </si>
  <si>
    <t>מנחם מנדל בן יוסף מרימאנוב</t>
  </si>
  <si>
    <t>אין געראנגל פאר יידישקייט</t>
  </si>
  <si>
    <t>שרגאי, שלמה זלמן</t>
  </si>
  <si>
    <t>תש"ך</t>
  </si>
  <si>
    <t>אין רויך פון בזשעזשיניקי</t>
  </si>
  <si>
    <t>פריוועס, הדסה</t>
  </si>
  <si>
    <t>תשכ"ו</t>
  </si>
  <si>
    <t>איסור היציאה מן הארץ</t>
  </si>
  <si>
    <t>וינגרטן, שמואל הכהן</t>
  </si>
  <si>
    <t>תשי"ב</t>
  </si>
  <si>
    <t>איפה לקטת היום</t>
  </si>
  <si>
    <t>איפה שלימה</t>
  </si>
  <si>
    <t>דוויך, חיים שאול בן אליהו הכהן</t>
  </si>
  <si>
    <t>איש ומקומו</t>
  </si>
  <si>
    <t>ויצמן, יוסף</t>
  </si>
  <si>
    <t>איש חי"ל - תולדות רבי חנניה יום טוב ליפא לפקוביץ - 2 כרכים</t>
  </si>
  <si>
    <t>לפקוביץ, שלמה דב</t>
  </si>
  <si>
    <t>תשע''ח</t>
  </si>
  <si>
    <t>איש חסיד היה - רבי אליהו ראטה</t>
  </si>
  <si>
    <t>פרידמן, בצלאל - ברגר, גדליה</t>
  </si>
  <si>
    <t>איש יהודי היה</t>
  </si>
  <si>
    <t>מזוז, אפרים זאב בן שמואל</t>
  </si>
  <si>
    <t>אישות הלכה וכונות התורה</t>
  </si>
  <si>
    <t>שילת, יצחק</t>
  </si>
  <si>
    <t>אך טוב לישראל - ד</t>
  </si>
  <si>
    <t>כחלון, אפרים</t>
  </si>
  <si>
    <t>אכילת בשר ושתיית יין בסעודת ברית בתשעת הימים</t>
  </si>
  <si>
    <t>פיליפס, אריה לייב</t>
  </si>
  <si>
    <t>אל עמי</t>
  </si>
  <si>
    <t>וישליצקי, אלישע</t>
  </si>
  <si>
    <t>תשמ"ח</t>
  </si>
  <si>
    <t>אלדד הדני</t>
  </si>
  <si>
    <t>אלדד הדני. תרל"ג</t>
  </si>
  <si>
    <t>תרל"ג</t>
  </si>
  <si>
    <t>אלה הם מועדי - 3 כרכים</t>
  </si>
  <si>
    <t>מכון כתר מלכות</t>
  </si>
  <si>
    <t>תשס''ח</t>
  </si>
  <si>
    <t>אלה מועדי - 9 כרכים</t>
  </si>
  <si>
    <t>הלפרין, אברהם משה בן לוי יצחק</t>
  </si>
  <si>
    <t>אלה מסעי</t>
  </si>
  <si>
    <t>זוסמן-סופר, מרדכי אפרים המכונה פישל</t>
  </si>
  <si>
    <t>בודפסט</t>
  </si>
  <si>
    <t>תרפ"ז</t>
  </si>
  <si>
    <t>אלה תולדות</t>
  </si>
  <si>
    <t>אלומת יוסף</t>
  </si>
  <si>
    <t>קובנר, יוסף בן חיים עוזר</t>
  </si>
  <si>
    <t>אלופי יהודה - דרשות</t>
  </si>
  <si>
    <t>פריינד, דוד יהודה</t>
  </si>
  <si>
    <t>אליבא דהלכתא - 2 כרכים</t>
  </si>
  <si>
    <t>חברת אהבת שלום</t>
  </si>
  <si>
    <t>תשע"ד</t>
  </si>
  <si>
    <t>אלף המג"ן</t>
  </si>
  <si>
    <t>לוצאטו, משה חיים בן יעקב חי (רמח"ל) - פרידמן, אהרן הכהן</t>
  </si>
  <si>
    <t>כרם ביבנה</t>
  </si>
  <si>
    <t xml:space="preserve">תשס"ד - </t>
  </si>
  <si>
    <t>אלפי ישראל - החי א</t>
  </si>
  <si>
    <t>מחפוץ, ישראל</t>
  </si>
  <si>
    <t>תשמ"ד</t>
  </si>
  <si>
    <t>אלפי ישראל - ירח האיתנים</t>
  </si>
  <si>
    <t>פנחסי, ישראל בן אברהם הלוי</t>
  </si>
  <si>
    <t>אלקטה באמרים - תשובה, אלול וכו'</t>
  </si>
  <si>
    <t>בן דב, אורי</t>
  </si>
  <si>
    <t>אם הבנים שמחה &lt;מהדורה חדשה&gt;</t>
  </si>
  <si>
    <t>טייכטאל, יששכר שלמה בן יצחק</t>
  </si>
  <si>
    <t>תשנ"ח</t>
  </si>
  <si>
    <t>אם לבינה - א</t>
  </si>
  <si>
    <t>דרשר, יונה</t>
  </si>
  <si>
    <t>אם תראה בהלקחי מעימך</t>
  </si>
  <si>
    <t>קובץ הספדים על הגראי"ל שטינמן זצ"ל</t>
  </si>
  <si>
    <t>אמונה - 2</t>
  </si>
  <si>
    <t>תשנ"א</t>
  </si>
  <si>
    <t>אמונה</t>
  </si>
  <si>
    <t>ערכים אגודה להפצת התודעה היהודית</t>
  </si>
  <si>
    <t>אמונה ישרה - ג</t>
  </si>
  <si>
    <t>קאלישר, צבי הירש בן שלמה</t>
  </si>
  <si>
    <t>ליק</t>
  </si>
  <si>
    <t>תר"ג - תר"ל</t>
  </si>
  <si>
    <t>אמונים נוצר</t>
  </si>
  <si>
    <t>חן-תמים, אברהם משה בן יהושע אליעזר</t>
  </si>
  <si>
    <t>תרנ"ג</t>
  </si>
  <si>
    <t>אמונת איש - פאה, דמאי, כלאים</t>
  </si>
  <si>
    <t>אדלר, אברהם ישעיהו</t>
  </si>
  <si>
    <t>אמונת עתיך - (תשעד) גליונות 100</t>
  </si>
  <si>
    <t>מכון התורה והארץ</t>
  </si>
  <si>
    <t>כפר דרום - אשקלון</t>
  </si>
  <si>
    <t>אמירה דכיא</t>
  </si>
  <si>
    <t>פעטעני, מרדכי</t>
  </si>
  <si>
    <t>אמירה נעימה</t>
  </si>
  <si>
    <t>אלטמן, רפאל הלוי בן אברהם</t>
  </si>
  <si>
    <t>אמר רבי אלעזר</t>
  </si>
  <si>
    <t>אביחצירא, אלעזר</t>
  </si>
  <si>
    <t>באר שבע</t>
  </si>
  <si>
    <t>אמרה צרופה - גיטין</t>
  </si>
  <si>
    <t>יוטקובסקי, ישראל</t>
  </si>
  <si>
    <t>אמרה שיש בה אמירה - 3 כרכים</t>
  </si>
  <si>
    <t>פרקש, פנחס</t>
  </si>
  <si>
    <t xml:space="preserve">תשע"ו - </t>
  </si>
  <si>
    <t>אמרו לפני מלכיות</t>
  </si>
  <si>
    <t>מייזליש, יעקב יצחק אלעזר בן יהושע זאב</t>
  </si>
  <si>
    <t>אמרות דעת</t>
  </si>
  <si>
    <t>אייכנשטיין, יהושע בן מנחם צבי</t>
  </si>
  <si>
    <t>אמרות חיים</t>
  </si>
  <si>
    <t>ויסוקיר, חיים בן שבתי הכהן</t>
  </si>
  <si>
    <t>אמרות טהורות - סוכות</t>
  </si>
  <si>
    <t>מרכז ליהדות בגליל</t>
  </si>
  <si>
    <t>חצור</t>
  </si>
  <si>
    <t>אמרות משה - בבא קמא</t>
  </si>
  <si>
    <t>קלויזנר, משה מאיר</t>
  </si>
  <si>
    <t>אמרי אברהם, אמרי חיים</t>
  </si>
  <si>
    <t>אנגלרד, אברהם - ליבערמאן, חיים הלוי</t>
  </si>
  <si>
    <t>אמרי אליהו - שבת</t>
  </si>
  <si>
    <t>אלטמן, אליהו מאיר בן אברהם הלוי</t>
  </si>
  <si>
    <t>אמרי אליהו - 5 כרכים</t>
  </si>
  <si>
    <t>צוברי, אליהו בן מוסא</t>
  </si>
  <si>
    <t>יבנה</t>
  </si>
  <si>
    <t>אמרי בינה &lt;כוונת המקווה&gt;</t>
  </si>
  <si>
    <t>צבי אריה בן אליעזר</t>
  </si>
  <si>
    <t>אמרי בנימין - 2 כרכים</t>
  </si>
  <si>
    <t>רבינוביץ, בנימין</t>
  </si>
  <si>
    <t>אמרי דבש</t>
  </si>
  <si>
    <t>שווארץ, דב בער</t>
  </si>
  <si>
    <t>אמרי דוד</t>
  </si>
  <si>
    <t>בטלמן, דוד הכהן</t>
  </si>
  <si>
    <t>תשס"ה</t>
  </si>
  <si>
    <t>מזרחי, דוד בן אהרן</t>
  </si>
  <si>
    <t>אמרי חיזוק</t>
  </si>
  <si>
    <t>פישר, משה הכהן</t>
  </si>
  <si>
    <t>אמרי חיים עוזר - ביצה</t>
  </si>
  <si>
    <t>מלמד, חיים עוזר</t>
  </si>
  <si>
    <t>תשנ"ז</t>
  </si>
  <si>
    <t>אמרי חן - 3 כרכים</t>
  </si>
  <si>
    <t>חובארה, נריה</t>
  </si>
  <si>
    <t>אמרי יהודה - ב</t>
  </si>
  <si>
    <t>ישיבת קול יהודה</t>
  </si>
  <si>
    <t>אמרי יהודה</t>
  </si>
  <si>
    <t>רוזנר, יהודה סג"ל בן מאיר יששכר בר הלוי</t>
  </si>
  <si>
    <t>סקואני -ירושלים</t>
  </si>
  <si>
    <t>תרפ"ח - תשנ"ט</t>
  </si>
  <si>
    <t>אמרי יואל</t>
  </si>
  <si>
    <t>דייטש, יואל בן מתתיהו</t>
  </si>
  <si>
    <t>תשנ"ה</t>
  </si>
  <si>
    <t>אמרי יוסף - סוכה</t>
  </si>
  <si>
    <t>קנטר, יוסף מאיר</t>
  </si>
  <si>
    <t>אמרי יעקב</t>
  </si>
  <si>
    <t>פרלוב, יעקב יצחק משה בן יוסף</t>
  </si>
  <si>
    <t>אמרי יצחק - 2 כרכים</t>
  </si>
  <si>
    <t>פוס, יצחק חיים</t>
  </si>
  <si>
    <t>אמרי ישראל - ד</t>
  </si>
  <si>
    <t>אפלבוים</t>
  </si>
  <si>
    <t>אמרי ישרה</t>
  </si>
  <si>
    <t>זוכמאן, מאיר צבי הירש בן נתן</t>
  </si>
  <si>
    <t>מונקאטש,</t>
  </si>
  <si>
    <t>אמרי כהן - יבמות</t>
  </si>
  <si>
    <t>כהן, אברהם ישראל</t>
  </si>
  <si>
    <t>אמרי מאיר</t>
  </si>
  <si>
    <t>קרויס, מאיר בן חיים אלעזר</t>
  </si>
  <si>
    <t>ליקווד נ. ג' Lakewoo</t>
  </si>
  <si>
    <t>אמרי מרדכי - בראשית שמות</t>
  </si>
  <si>
    <t>שמואלביץ, מרדכי שמואל בן מאיר הלוי</t>
  </si>
  <si>
    <t>אמרי משה</t>
  </si>
  <si>
    <t>פודהורצר, משה בן יעקב</t>
  </si>
  <si>
    <t>[לבוב]-צפת,</t>
  </si>
  <si>
    <t>תרכ"ו</t>
  </si>
  <si>
    <t>כהן, משה בן שלום</t>
  </si>
  <si>
    <t>תשל"ג</t>
  </si>
  <si>
    <t>אמרי משה - הגדה של פסח</t>
  </si>
  <si>
    <t>הולצברג, משה צבי</t>
  </si>
  <si>
    <t>אמרי נועם</t>
  </si>
  <si>
    <t>אברהם בן יהודה ליב מגרידץ</t>
  </si>
  <si>
    <t>האמבורג,</t>
  </si>
  <si>
    <t>תר"ד</t>
  </si>
  <si>
    <t>אמרי נעם - שביעית</t>
  </si>
  <si>
    <t>ארן, נועם אלימלך בן חיים</t>
  </si>
  <si>
    <t>אמרי סופר - חנוכה</t>
  </si>
  <si>
    <t>סופר, יוחנן בן משה</t>
  </si>
  <si>
    <t>אמרי פי - א</t>
  </si>
  <si>
    <t>צגייר, מאיר</t>
  </si>
  <si>
    <t xml:space="preserve">תשפ"ב - </t>
  </si>
  <si>
    <t>אמרי ציון</t>
  </si>
  <si>
    <t>שילדקרויט, בן-ציון חיים בן אהרן משה</t>
  </si>
  <si>
    <t>אמרי רפאל - 2 כרכים</t>
  </si>
  <si>
    <t>פישל, רפאל בנימין</t>
  </si>
  <si>
    <t>אמרי שמואל - 3 כרכים</t>
  </si>
  <si>
    <t>עדס, שמואל בן מאיר</t>
  </si>
  <si>
    <t>אמרי שמואל - ג במדבר, דברים</t>
  </si>
  <si>
    <t>ברגר, שמואל</t>
  </si>
  <si>
    <t>אמרי שמחה - ביצה</t>
  </si>
  <si>
    <t>אוירבאך, מאיר שמחה, בן שלמה זלמן</t>
  </si>
  <si>
    <t>ביתר עלית</t>
  </si>
  <si>
    <t>אמרי שמחה - 2 כרכים</t>
  </si>
  <si>
    <t>אמרי שפר - חנוכה</t>
  </si>
  <si>
    <t>פרידמן, שמעון בן שמחה</t>
  </si>
  <si>
    <t>ירוחם</t>
  </si>
  <si>
    <t>אמרי שפר - 4 כרכים</t>
  </si>
  <si>
    <t>כולל מגדל עוז מודיעין עילית</t>
  </si>
  <si>
    <t>אמרים - א</t>
  </si>
  <si>
    <t>מוסדות סטריקוב</t>
  </si>
  <si>
    <t>תש"ע - תשע"ב</t>
  </si>
  <si>
    <t>אמת ומשפט שלום - ט</t>
  </si>
  <si>
    <t>ונונו, בן נון אבישי</t>
  </si>
  <si>
    <t>מעלה אדומים</t>
  </si>
  <si>
    <t>אמת ליעקב - תשובה וימים נוראים</t>
  </si>
  <si>
    <t>גוטמן, יעקב</t>
  </si>
  <si>
    <t>אמת מארץ תצמח - א</t>
  </si>
  <si>
    <t>פינס, יחיאל מיכל בן נח</t>
  </si>
  <si>
    <t>תרנ"ד - תרנ"ו</t>
  </si>
  <si>
    <t>אמת'דיגע מעשיות פון.. ר' ישעי'לע קערעסטירער זצ"ל</t>
  </si>
  <si>
    <t>אנטישמיות מן התורה מנין</t>
  </si>
  <si>
    <t>אני לדודי</t>
  </si>
  <si>
    <t>אדהאן, יחייא בן מכלוף</t>
  </si>
  <si>
    <t>אני מאמין בגלגולי נשמות</t>
  </si>
  <si>
    <t>גוטפריד, מרדכי בן עזריאל</t>
  </si>
  <si>
    <t>תשי"ט,</t>
  </si>
  <si>
    <t>אנכי המעלך</t>
  </si>
  <si>
    <t>נוביק, טוביה</t>
  </si>
  <si>
    <t>חדרה</t>
  </si>
  <si>
    <t>אנעקדאטען און פאלקס - מעשיות</t>
  </si>
  <si>
    <t>הוטנר, אליהו בן שמריהו</t>
  </si>
  <si>
    <t>מונטריאול</t>
  </si>
  <si>
    <t>אנציקלופדיה לחכמי גליציה - א</t>
  </si>
  <si>
    <t>וונדר, מאיר</t>
  </si>
  <si>
    <t>תשל"ח - תשנ"ז</t>
  </si>
  <si>
    <t>אנציקלופדיה תלמודית - 2 כרכים</t>
  </si>
  <si>
    <t>יד הרב הרצוג</t>
  </si>
  <si>
    <t>אנקת השיר</t>
  </si>
  <si>
    <t>הלוי, אליהו בן רפאל שלמה</t>
  </si>
  <si>
    <t>ליוורנו</t>
  </si>
  <si>
    <t>[תקמ"ח,</t>
  </si>
  <si>
    <t>אנשי אמנה</t>
  </si>
  <si>
    <t>שיינר, אברהם</t>
  </si>
  <si>
    <t>רוטמן, שלום</t>
  </si>
  <si>
    <t>אסופות ופנינים ממרן שר התורה</t>
  </si>
  <si>
    <t>קנייבסקי, שמריהו יוסף חיים</t>
  </si>
  <si>
    <t>אסוקי נתנאל</t>
  </si>
  <si>
    <t>אסולין, נתנאל בן אליעזר יהודה</t>
  </si>
  <si>
    <t>אסוקי שמעתתא - 2 כרכים</t>
  </si>
  <si>
    <t>ליברמן, יוסף בן יצחק צבי</t>
  </si>
  <si>
    <t>אסיא - 4 כרכים</t>
  </si>
  <si>
    <t>מאמרים בעניני הלכה ורפואה</t>
  </si>
  <si>
    <t>אסיפת גאונים החדש</t>
  </si>
  <si>
    <t>מכון זכרון אהרן</t>
  </si>
  <si>
    <t>אסיפת דינים בענין חשמל בשבת</t>
  </si>
  <si>
    <t>דיין, משה</t>
  </si>
  <si>
    <t>אסיפת מכתבים &lt;מהדו"ת&gt;</t>
  </si>
  <si>
    <t>קאהן, אברהם יצחק בן אהרן דוד הכהן</t>
  </si>
  <si>
    <t>אספת קטוביץ</t>
  </si>
  <si>
    <t>טויבש, אריה ליב בן יצחק איזיק יששכר</t>
  </si>
  <si>
    <t>וינה,</t>
  </si>
  <si>
    <t>[תר"ף,</t>
  </si>
  <si>
    <t>אעירה שחר - א</t>
  </si>
  <si>
    <t>שושנה, חיים רפאל</t>
  </si>
  <si>
    <t>תשל"ט</t>
  </si>
  <si>
    <t>אפומא דמחתרתא</t>
  </si>
  <si>
    <t>מושקוביץ, יחזקאל בן בנימין</t>
  </si>
  <si>
    <t>אפי זוטרי</t>
  </si>
  <si>
    <t>מאיר, יעקב בן שמואל</t>
  </si>
  <si>
    <t>אפיקי מים - יציאת מצרים, הגדה של פסח</t>
  </si>
  <si>
    <t>זית, מאיר בן אברהם</t>
  </si>
  <si>
    <t>אפיקי מים - 2 כרכים</t>
  </si>
  <si>
    <t>מילר, מנשה יוסף בן שלמה הלוי</t>
  </si>
  <si>
    <t>אפריון - א</t>
  </si>
  <si>
    <t>מוסדות תפארת יוחנן טאלנא אשדוד</t>
  </si>
  <si>
    <t>אצילי בני ישראל</t>
  </si>
  <si>
    <t>תש"י</t>
  </si>
  <si>
    <t>אקח מועד</t>
  </si>
  <si>
    <t>פפנהיים, אברהם צבי</t>
  </si>
  <si>
    <t>ארבע אמהות ואם המלוכה</t>
  </si>
  <si>
    <t>ידיד, אליהו</t>
  </si>
  <si>
    <t>ארבע דרשות נישואין לאחד מחכמי ביזנטיון הקדומים</t>
  </si>
  <si>
    <t>סטל יעקב ישראל</t>
  </si>
  <si>
    <t>ארבע תעניות ובין המצרים בהלכה ובאגדה</t>
  </si>
  <si>
    <t>נקי, דוד שלום</t>
  </si>
  <si>
    <t>ארגון יוצאי רוה - רוסקה והסביבה בישראל</t>
  </si>
  <si>
    <t>עלון</t>
  </si>
  <si>
    <t>תשכ"ב</t>
  </si>
  <si>
    <t>ארזי איש - קידושין</t>
  </si>
  <si>
    <t>שמואל, אבי בן נתן</t>
  </si>
  <si>
    <t>ארזי הלבנון - 2 כרכים</t>
  </si>
  <si>
    <t>גאנז, אריה</t>
  </si>
  <si>
    <t>ארח ישראל</t>
  </si>
  <si>
    <t>בוגייסקי, ש</t>
  </si>
  <si>
    <t>נויארק,</t>
  </si>
  <si>
    <t>תרפ"ח</t>
  </si>
  <si>
    <t>ארחות - 2 כרכים</t>
  </si>
  <si>
    <t>בטאון המועצה הדתית חיפה</t>
  </si>
  <si>
    <t>ארחות אמנו ע"ה</t>
  </si>
  <si>
    <t>ברנשטיין, באשע ליבא</t>
  </si>
  <si>
    <t>ארחות הסופר</t>
  </si>
  <si>
    <t>סופר, משה בן שמואל</t>
  </si>
  <si>
    <t>ארחות חיים &lt;מכון אור עציון&gt; - ב</t>
  </si>
  <si>
    <t>אהרן בן יעקב הכהן מלוניל</t>
  </si>
  <si>
    <t>מרכז שפירא</t>
  </si>
  <si>
    <t>ארחות יושר - עם ביאור ערך תפילה</t>
  </si>
  <si>
    <t>ארחות מנחם</t>
  </si>
  <si>
    <t>דאכנער, מנחם מענדיל אלטר (עליו)</t>
  </si>
  <si>
    <t>ארחץ בנקיון כפי - 3 כרכים</t>
  </si>
  <si>
    <t>פרץ, שמואל בן מיכאל</t>
  </si>
  <si>
    <t>ארי במסתרים</t>
  </si>
  <si>
    <t>ברגמן, עקיבא אריה</t>
  </si>
  <si>
    <t>ארי שבחבורה - רבי לייבל פרידמן</t>
  </si>
  <si>
    <t>פרידמן, דוד</t>
  </si>
  <si>
    <t>אריה שאג</t>
  </si>
  <si>
    <t>פינקל, אריה ליב בן חיים זאב</t>
  </si>
  <si>
    <t>ארמיא אדמורא</t>
  </si>
  <si>
    <t>ישיבת תומכי תמימים ליובאוויטש איסטרא- מוסקבה</t>
  </si>
  <si>
    <t>מוסקבה</t>
  </si>
  <si>
    <t>ארץ במשפט</t>
  </si>
  <si>
    <t>כולל חושן משפט מתיבתא דרבי יוחנן</t>
  </si>
  <si>
    <t>טבריה</t>
  </si>
  <si>
    <t>ארץ גשן - 2 כרכים</t>
  </si>
  <si>
    <t>גורטלר, נחום שמואל בן זאב</t>
  </si>
  <si>
    <t>רחובות</t>
  </si>
  <si>
    <t>ארץ דשא - 3 כרכים</t>
  </si>
  <si>
    <t>ארץ החוילה</t>
  </si>
  <si>
    <t>כולל זכרון אלימלך</t>
  </si>
  <si>
    <t>ארץ החיים - 2 כרכים</t>
  </si>
  <si>
    <t>שומרוני, מ, חיים בן נחמיה</t>
  </si>
  <si>
    <t>ארץ הצבי ואתריה במקורותינו</t>
  </si>
  <si>
    <t>וייס, שרגא</t>
  </si>
  <si>
    <t>ארץ והלכותיה - ב</t>
  </si>
  <si>
    <t>בית המדרש להלכה בהתישבות</t>
  </si>
  <si>
    <t>ארץ חמדה</t>
  </si>
  <si>
    <t>הורוויץ, ישראל זאב בן שמואל הלוי</t>
  </si>
  <si>
    <t>למברג</t>
  </si>
  <si>
    <t>תרי"ז</t>
  </si>
  <si>
    <t>ארץ ישראל</t>
  </si>
  <si>
    <t>בק, שמואל בן ניסן</t>
  </si>
  <si>
    <t>פראנקפורט דמיין</t>
  </si>
  <si>
    <t>גלסמן, אפרים</t>
  </si>
  <si>
    <t>יעקוביוס, דורון יעקב</t>
  </si>
  <si>
    <t>ארץ ישראל משא גיא חזיון</t>
  </si>
  <si>
    <t>פפד"מ</t>
  </si>
  <si>
    <t>ארצות החיים - שם הגדולים לגדולי ישראל באמריקא</t>
  </si>
  <si>
    <t>ארצי - 2 כרכים</t>
  </si>
  <si>
    <t>בהרב, יהודה (עורך)</t>
  </si>
  <si>
    <t>ארשות החיים</t>
  </si>
  <si>
    <t>תפילות. מקומות קדושים וקברי צדיקים</t>
  </si>
  <si>
    <t>תרכ"ח</t>
  </si>
  <si>
    <t>אש דת - בבא מציעא</t>
  </si>
  <si>
    <t>גרונין, שמעון אלחנן</t>
  </si>
  <si>
    <t>אש דת &lt;מהדורה חדשה&gt;</t>
  </si>
  <si>
    <t>מנחם מנדל בן זאב וולף</t>
  </si>
  <si>
    <t>אש יוסף - בבא בתרא</t>
  </si>
  <si>
    <t>גולדנטל, שמואל</t>
  </si>
  <si>
    <t>אש שחורה</t>
  </si>
  <si>
    <t>גונן, אלעזר בן פנחס</t>
  </si>
  <si>
    <t>אש תמיד - ויקרא</t>
  </si>
  <si>
    <t>צינמון, אהרן שלמה בן שמחה בונם</t>
  </si>
  <si>
    <t>אשד הנחלים - 2 כרכים</t>
  </si>
  <si>
    <t>ריינמן, שמואל אהרן בן דוד משה</t>
  </si>
  <si>
    <t>אשכול הכופר - 2 כרכים</t>
  </si>
  <si>
    <t>שמילה, עופר בן חיים</t>
  </si>
  <si>
    <t>קרית שמואל חיפה</t>
  </si>
  <si>
    <t>אשכל הכפר</t>
  </si>
  <si>
    <t>פילץ, מאיר בן אביעזר</t>
  </si>
  <si>
    <t>אשל אברהם</t>
  </si>
  <si>
    <t>גולדנבום, אברהם שלמה</t>
  </si>
  <si>
    <t>אשל אברהם - 4 כרכים</t>
  </si>
  <si>
    <t>חפוטא, אברהם בן יאיר</t>
  </si>
  <si>
    <t>פתח תקווה</t>
  </si>
  <si>
    <t>אשל ברמה - 2 כרכים</t>
  </si>
  <si>
    <t>סילבר, שמואל אברהם בן יצחק אייזיק</t>
  </si>
  <si>
    <t>אשרי האיש - 8 כרכים</t>
  </si>
  <si>
    <t>אלישיב, יוסף שלום בן אברהם</t>
  </si>
  <si>
    <t>אשרי הגבר</t>
  </si>
  <si>
    <t>ועקנין, מסעוד</t>
  </si>
  <si>
    <t>אשריכם ישראל</t>
  </si>
  <si>
    <t>אברמסון, ישראל שמחה</t>
  </si>
  <si>
    <t>אשת חיל</t>
  </si>
  <si>
    <t>רובין, שאול בן שמואל אהרן</t>
  </si>
  <si>
    <t>אשת חיל &lt;מהדורה חדשה&gt;</t>
  </si>
  <si>
    <t>אברהם יגל בן חנניה ממונסליצ'ה</t>
  </si>
  <si>
    <t>את אחינו אנו מבקשים</t>
  </si>
  <si>
    <t>הסתדרות צעירי אגודת ישראל</t>
  </si>
  <si>
    <t>[תרצ"ד,</t>
  </si>
  <si>
    <t>את עלית</t>
  </si>
  <si>
    <t>אתגרים</t>
  </si>
  <si>
    <t>אתה בחרתנו - 2 כרכים</t>
  </si>
  <si>
    <t>גרליץ, מרדכי בן יחיאל משה</t>
  </si>
  <si>
    <t>בא השמש</t>
  </si>
  <si>
    <t>באהבה ובאמונה - א</t>
  </si>
  <si>
    <t>אבינר, שלמה חיים הכהן</t>
  </si>
  <si>
    <t>באהל - י</t>
  </si>
  <si>
    <t>ידיעון בית הכנסת אהל אברהם</t>
  </si>
  <si>
    <t>באהלי צדיקים</t>
  </si>
  <si>
    <t>קנין ספרים דישיבת גלאנטא</t>
  </si>
  <si>
    <t>באהלי שם</t>
  </si>
  <si>
    <t>קינסטליכר</t>
  </si>
  <si>
    <t>באו שעריו</t>
  </si>
  <si>
    <t>באור פני מלך חיים</t>
  </si>
  <si>
    <t>ברדא, דוד</t>
  </si>
  <si>
    <t>באורחותיך - בבא בתרא</t>
  </si>
  <si>
    <t>ישיבת ארחות מאיר</t>
  </si>
  <si>
    <t>באותות ובמופתים</t>
  </si>
  <si>
    <t>יעקבס, בנימין חיים</t>
  </si>
  <si>
    <t>באר איתן מכות &lt;מהדורת מכון כנסת&gt;</t>
  </si>
  <si>
    <t>רוגובין, אברהם יצחק</t>
  </si>
  <si>
    <t>באר אמונים - 5 כרכים</t>
  </si>
  <si>
    <t>רבינוביץ, גמליאל בן אלחנן הכהן</t>
  </si>
  <si>
    <t>באר בצלאל - בבא מציעא א</t>
  </si>
  <si>
    <t>אזואלוס, בצלאל בן רפאל</t>
  </si>
  <si>
    <t>באר חנוך - 2 כרכים</t>
  </si>
  <si>
    <t>פיעטרקובסקי, אברהם חנוך העניך</t>
  </si>
  <si>
    <t>באר יהודה - 2 כרכים</t>
  </si>
  <si>
    <t>זולדן, יהודה</t>
  </si>
  <si>
    <t>באר יוסף</t>
  </si>
  <si>
    <t>באר יוסף ובנימין</t>
  </si>
  <si>
    <t>באר יעקב - 2 כרכים</t>
  </si>
  <si>
    <t>גרינוולד, יעקב</t>
  </si>
  <si>
    <t>באר יצחק - מועדים א</t>
  </si>
  <si>
    <t>אמסלם, יצחק בן אברהם</t>
  </si>
  <si>
    <t>באר יצחק - 2 כרכים</t>
  </si>
  <si>
    <t>ישיבת באר יצחק</t>
  </si>
  <si>
    <t>קרית יערים</t>
  </si>
  <si>
    <t>באר ישראל - פרק כיסוי הדם</t>
  </si>
  <si>
    <t>אליאך, ישראל יצחק בן פנחס יחיאל</t>
  </si>
  <si>
    <t>תשפ"ג</t>
  </si>
  <si>
    <t>באר לחי ראי</t>
  </si>
  <si>
    <t>כהן, רחמים</t>
  </si>
  <si>
    <t>באר מים חיים - מועדים</t>
  </si>
  <si>
    <t>חיים בן שלמה מצ'רנוביץ</t>
  </si>
  <si>
    <t>תשס</t>
  </si>
  <si>
    <t>באר מים חיים</t>
  </si>
  <si>
    <t>טלר, יששכר</t>
  </si>
  <si>
    <t>פרג-ניו יורק</t>
  </si>
  <si>
    <t>באר מרדכי - ברכות, שבת</t>
  </si>
  <si>
    <t>פארהאנד, מרדכי בן משה</t>
  </si>
  <si>
    <t>באר שמואל - 2 כרכים</t>
  </si>
  <si>
    <t>אולמן, אברהם שמואל בנימין</t>
  </si>
  <si>
    <t>ישועה, שמואל</t>
  </si>
  <si>
    <t>בארה של תורה</t>
  </si>
  <si>
    <t>גולן, ראובן</t>
  </si>
  <si>
    <t>רחובות- כפר חב"ד</t>
  </si>
  <si>
    <t>באתי לגני &lt;מהדורה חדשה&gt; - 5 כרכים</t>
  </si>
  <si>
    <t>מזרחי, ששון בן בנימין ציון</t>
  </si>
  <si>
    <t>בבואה דבבואה</t>
  </si>
  <si>
    <t>ארלנגר, ירוחם</t>
  </si>
  <si>
    <t>תשנ"ג</t>
  </si>
  <si>
    <t>בבת עינינו - 5 כרכים</t>
  </si>
  <si>
    <t>הלוי, אבירן יצחק</t>
  </si>
  <si>
    <t>בגדי השרד</t>
  </si>
  <si>
    <t>ראטה, שמואל דוד</t>
  </si>
  <si>
    <t xml:space="preserve">תש"פ - </t>
  </si>
  <si>
    <t>בגדי יום טוב - הלכות עירוב תבשילין</t>
  </si>
  <si>
    <t>ברנר, גיורא</t>
  </si>
  <si>
    <t>גבעת אסף</t>
  </si>
  <si>
    <t>בגדי קודש - 2 כרכים</t>
  </si>
  <si>
    <t>דרור, שמעון בן אליהו</t>
  </si>
  <si>
    <t>בגלל אבות - דברי משה - שארית שלמה - באר שלמה - מי ימלל</t>
  </si>
  <si>
    <t>הרצפלד, משה - הרצפלד, שלמה -נעטצער, שלמה -נעטצער, משה יהודה</t>
  </si>
  <si>
    <t>בד קודש - 2 כרכים</t>
  </si>
  <si>
    <t>פוברסקי, ברוך דוב בן דוד</t>
  </si>
  <si>
    <t>בדחילו וברחימו</t>
  </si>
  <si>
    <t>מכון אור פני משה</t>
  </si>
  <si>
    <t>בדיקת המזון כהלכה - 2 כרכים</t>
  </si>
  <si>
    <t>ויא, משה</t>
  </si>
  <si>
    <t>בדרך הרמז</t>
  </si>
  <si>
    <t>רייצס, מנחם מנדל</t>
  </si>
  <si>
    <t>בדרך התורה הגואלת</t>
  </si>
  <si>
    <t>בדרך טובים</t>
  </si>
  <si>
    <t>מוריאל, יהודה בן דוד</t>
  </si>
  <si>
    <t>תשל"ה</t>
  </si>
  <si>
    <t>בדרכי שלמה</t>
  </si>
  <si>
    <t>מרגליות, שלמה בן נפתלי</t>
  </si>
  <si>
    <t>בהלו נרו</t>
  </si>
  <si>
    <t>אקרמן, יהודה בן שמחה</t>
  </si>
  <si>
    <t>בהעלותך את הנרות</t>
  </si>
  <si>
    <t>בהר ה' יראה</t>
  </si>
  <si>
    <t>שפירא, אריה בן רפאל</t>
  </si>
  <si>
    <t>בהתנדב עם</t>
  </si>
  <si>
    <t>אליאב, מרדכי</t>
  </si>
  <si>
    <t>בו תדבקון</t>
  </si>
  <si>
    <t>הירשלר, שמעון</t>
  </si>
  <si>
    <t>בוחן כליות ולב - תרומת כליה</t>
  </si>
  <si>
    <t>שריג, ישי</t>
  </si>
  <si>
    <t>בונייך - ד</t>
  </si>
  <si>
    <t>מאסף תורני</t>
  </si>
  <si>
    <t>בחלום אדבר בו</t>
  </si>
  <si>
    <t>פרלוב, אהרן</t>
  </si>
  <si>
    <t>בחצרות בית ה'</t>
  </si>
  <si>
    <t>ישיבת הקיץ צעירי ליובאוויטש</t>
  </si>
  <si>
    <t>בטאון תורת כהנים - 1</t>
  </si>
  <si>
    <t>ישיבת תורת כהנים</t>
  </si>
  <si>
    <t>בטוב אלין ואקיץ ברחמים</t>
  </si>
  <si>
    <t>דרגצקי, יונתן יעקב</t>
  </si>
  <si>
    <t>ביאוגרפיות של חכמי המשנה</t>
  </si>
  <si>
    <t>מרדכי בר יוסף</t>
  </si>
  <si>
    <t>ביאור הפרשה</t>
  </si>
  <si>
    <t>מינקוס, יהושע</t>
  </si>
  <si>
    <t>ביאור על מגילת רות</t>
  </si>
  <si>
    <t>הורוויץ, אהרן בן משה הלוי</t>
  </si>
  <si>
    <t>ביאור שיטות הראשונים בגדר מצוות ואהבת לרעך כמוך</t>
  </si>
  <si>
    <t>רקובסקי, אברהם ברוך אבא</t>
  </si>
  <si>
    <t>ביאורי החושן - הלכות מקח וממכר א</t>
  </si>
  <si>
    <t>נגר, יוסף הלוי בן שלום</t>
  </si>
  <si>
    <t>אלקנה</t>
  </si>
  <si>
    <t>ביאורי סוגיות - שבת</t>
  </si>
  <si>
    <t>כץ, חיים עוזר בן אהרן</t>
  </si>
  <si>
    <t>ביאורי עניינים במסכת עירובין</t>
  </si>
  <si>
    <t>גרבוז, אריה בן אברהם נח</t>
  </si>
  <si>
    <t>ביאורי רבי שמואל - חג המצות</t>
  </si>
  <si>
    <t>ברנד, שמואל בן חיים</t>
  </si>
  <si>
    <t>ביאורים - 2 כרכים</t>
  </si>
  <si>
    <t>טאוב, יהודה בן יחזקאל צבי</t>
  </si>
  <si>
    <t>ביאורים בהלכות רבית ח"א</t>
  </si>
  <si>
    <t>ביאורים במועדים - 2 כרכים</t>
  </si>
  <si>
    <t>פרבשטיין, יוסף</t>
  </si>
  <si>
    <t>ביאורים בסוגיות - מקואות</t>
  </si>
  <si>
    <t>ביאורים והנהגות - 5 כרכים</t>
  </si>
  <si>
    <t>שטרנבוך, משה בן אשר</t>
  </si>
  <si>
    <t>ביאורים והערות - שמות בשלח</t>
  </si>
  <si>
    <t>הורן, משה בן שמעון הלוי</t>
  </si>
  <si>
    <t>ביאורים על ציורי הרמב"ם למסכת מדות והל' בית הבחירה</t>
  </si>
  <si>
    <t>מייערס, יוסף אליהו</t>
  </si>
  <si>
    <t>ביאת אליהו ומלך המשיח</t>
  </si>
  <si>
    <t>ביבליוגרפיה של הגדות פסח</t>
  </si>
  <si>
    <t>יערי אברהם בן חיים יוסף</t>
  </si>
  <si>
    <t>תשכ"א</t>
  </si>
  <si>
    <t>ביד הלשון</t>
  </si>
  <si>
    <t>קסטנר, נחום</t>
  </si>
  <si>
    <t>ביד רמ"א - 3 כרכים</t>
  </si>
  <si>
    <t>וידיסלבסקי, ברוך</t>
  </si>
  <si>
    <t>קרית גת</t>
  </si>
  <si>
    <t>ביד רמה</t>
  </si>
  <si>
    <t>גאל-דור, נורית</t>
  </si>
  <si>
    <t>ביומו תתן שכרו</t>
  </si>
  <si>
    <t>קצבורג, יצחק שמואל בן אברהם יהושע</t>
  </si>
  <si>
    <t>ביחד לנצח</t>
  </si>
  <si>
    <t>חילו, יהושע</t>
  </si>
  <si>
    <t xml:space="preserve">תשע"ה - </t>
  </si>
  <si>
    <t>ביכורי אשר - 2 כרכים</t>
  </si>
  <si>
    <t>אלחדד, מסעוד בן דוד</t>
  </si>
  <si>
    <t>ביכורי יעקב - שביעית</t>
  </si>
  <si>
    <t>עטיה, יעקב בן שלמה</t>
  </si>
  <si>
    <t>ביכורי עזרא - בבא מציעא</t>
  </si>
  <si>
    <t>בן שושן, עזרא בן משה</t>
  </si>
  <si>
    <t>ביכורי שמחה</t>
  </si>
  <si>
    <t>כולל בנין שמחה מנשסתר</t>
  </si>
  <si>
    <t>מנשסתר</t>
  </si>
  <si>
    <t>בים דרכך</t>
  </si>
  <si>
    <t>הללי, יהודה</t>
  </si>
  <si>
    <t>בים דרכך - 4 כרכים</t>
  </si>
  <si>
    <t>בנוי ומיוסד על ספרי ים החכמה</t>
  </si>
  <si>
    <t>בימים ההם בזמן הזה - חנוכה ופורים</t>
  </si>
  <si>
    <t>פנדל, זלמן הלל בן זכריה</t>
  </si>
  <si>
    <t>בין אדם לחבירו</t>
  </si>
  <si>
    <t>המחלקה לתרבות תורנית</t>
  </si>
  <si>
    <t>תשכ"ז</t>
  </si>
  <si>
    <t>שטאל, אברהם</t>
  </si>
  <si>
    <t>תשל"ד</t>
  </si>
  <si>
    <t>בין ישראל לעמים</t>
  </si>
  <si>
    <t>בין ניצוץ לשלהבת</t>
  </si>
  <si>
    <t>עובדיהו, מרדכי</t>
  </si>
  <si>
    <t>בין תכלת ללבן</t>
  </si>
  <si>
    <t>ספיר, ברוך מרדכי בן פסח אליהו</t>
  </si>
  <si>
    <t>קדומים</t>
  </si>
  <si>
    <t>בינה ודעת - מחללי שבת בזמנינו</t>
  </si>
  <si>
    <t>אדלר, מנחם</t>
  </si>
  <si>
    <t>בינה לעתים - חנוכה ופורים</t>
  </si>
  <si>
    <t>פרייס, משה בן יששכר הלוי</t>
  </si>
  <si>
    <t>בני ברק - ניו יורק</t>
  </si>
  <si>
    <t>בינה לעתים ותיקון יששכר</t>
  </si>
  <si>
    <t>בינה לעתים</t>
  </si>
  <si>
    <t>תרל"ז,</t>
  </si>
  <si>
    <t>ביני ובין בני ישראל</t>
  </si>
  <si>
    <t>יעקבזון, בנימין זאב</t>
  </si>
  <si>
    <t>בינת דניאל - פרפראות חכמה ח"ב</t>
  </si>
  <si>
    <t>לרפלד, דניאל בן יהודה ליב</t>
  </si>
  <si>
    <t>בינת המשפט - 4 כרכים</t>
  </si>
  <si>
    <t>דסקל, יצחק בירך בן שמואל יהודה</t>
  </si>
  <si>
    <t>בינת יוסף - 2 כרכים</t>
  </si>
  <si>
    <t>נדב, יוסף</t>
  </si>
  <si>
    <t>בירור הלכה במעלת ומצות ישובה של ארץ ישראל</t>
  </si>
  <si>
    <t>פראנק, חיים שרגא פייביל בן זאב</t>
  </si>
  <si>
    <t>בירורי אמונות ברמב"ם</t>
  </si>
  <si>
    <t>ויסמן, חיים</t>
  </si>
  <si>
    <t>בירורי מנהגים - סדר היום והלילה</t>
  </si>
  <si>
    <t>פרידמן, שבתי יונה</t>
  </si>
  <si>
    <t>בירורי סוגיות - בהלכות שבת א</t>
  </si>
  <si>
    <t>וקסשטוק, יהודה לייב</t>
  </si>
  <si>
    <t>בירורי סוגיות - 2 כרכים</t>
  </si>
  <si>
    <t>גרינבלט, ראובן בן דניאל</t>
  </si>
  <si>
    <t>בירורים במלאכות שבת - 2 כרכים</t>
  </si>
  <si>
    <t>בירורים במסכת ביצה</t>
  </si>
  <si>
    <t>בירורים במסכת גיטין</t>
  </si>
  <si>
    <t>בירורים במסכת יבמות</t>
  </si>
  <si>
    <t>בירורים בענייני בישול</t>
  </si>
  <si>
    <t>בירורים בענייני מוקצה</t>
  </si>
  <si>
    <t>בישורון מלך</t>
  </si>
  <si>
    <t>בית אב - 4 כרכים</t>
  </si>
  <si>
    <t>שלזינגר, אליקים בן דוד</t>
  </si>
  <si>
    <t>בית אברהם - 3 כרכים</t>
  </si>
  <si>
    <t>וויינברג, אברהם בן שמואל</t>
  </si>
  <si>
    <t>תש"י - תשי"ג</t>
  </si>
  <si>
    <t>בית אברהם - 4 כרכים</t>
  </si>
  <si>
    <t>פלוצקר, יוסף מאיר בן אברהם</t>
  </si>
  <si>
    <t>בית אהרן וישראל - 7 כרכים</t>
  </si>
  <si>
    <t>בית אוצר השיעורים - 7 כרכים</t>
  </si>
  <si>
    <t>קופמן, מיכאל בן אליהו</t>
  </si>
  <si>
    <t>בית אלהי יעקב</t>
  </si>
  <si>
    <t>תשעה</t>
  </si>
  <si>
    <t>בית גנזי - 2 כרכים</t>
  </si>
  <si>
    <t>לוריא, רפאל משה בן מרדכי יחיאל</t>
  </si>
  <si>
    <t>בית דוד - הלכות פסח - א</t>
  </si>
  <si>
    <t>שאול, דוד צבי בן חיים שלום</t>
  </si>
  <si>
    <t>בית דוד - 3 כרכים</t>
  </si>
  <si>
    <t>ווייס, דוד מרדכי איתן</t>
  </si>
  <si>
    <t>בית דוד &lt;מכון ירושלים&gt; - אורח חיים</t>
  </si>
  <si>
    <t>דוד, יוסף בן דוד משאלוניקי</t>
  </si>
  <si>
    <t>בית דוד ושלמה</t>
  </si>
  <si>
    <t>צברי, שלמה</t>
  </si>
  <si>
    <t>בית הוראה</t>
  </si>
  <si>
    <t>ירושלים. ישיבת רבינו חיים יוסף</t>
  </si>
  <si>
    <t>בית הזבח</t>
  </si>
  <si>
    <t>גן, יוסף</t>
  </si>
  <si>
    <t>אזמיר,</t>
  </si>
  <si>
    <t>תר"צ</t>
  </si>
  <si>
    <t>בית הלוי - סוגיות חנוכה</t>
  </si>
  <si>
    <t>סולובייצ'יק, יוסף דוב בן יצחק זאב הלוי - כנרתי, עמיחי</t>
  </si>
  <si>
    <t>איתמר</t>
  </si>
  <si>
    <t>בית הלל - 2 כרכים</t>
  </si>
  <si>
    <t>בית המדרש - 3 כרכים</t>
  </si>
  <si>
    <t>טוקצינסקי, מרדכי מאיר בן ישראל יו"ט</t>
  </si>
  <si>
    <t>בית הספק - א</t>
  </si>
  <si>
    <t>גיברלטר, יהודה</t>
  </si>
  <si>
    <t>בית הסתרים</t>
  </si>
  <si>
    <t>בן שמחון, אשר</t>
  </si>
  <si>
    <t>בית השואבה &lt;מהדורה מוערת&gt;</t>
  </si>
  <si>
    <t>אשכנזי, יהודה שמואל</t>
  </si>
  <si>
    <t>בית התלמוד - חולין</t>
  </si>
  <si>
    <t>גריינמן, שמריהו יוסף בן שמשון</t>
  </si>
  <si>
    <t>בית ועד</t>
  </si>
  <si>
    <t>ברודא, אברהם אהרן בן שלום</t>
  </si>
  <si>
    <t>תקצ"ב</t>
  </si>
  <si>
    <t>בית ועד לחכמים &lt;נאראל&gt; - תשע"ב</t>
  </si>
  <si>
    <t>מאסף חידושי תורה</t>
  </si>
  <si>
    <t>בית ועד לחכמים - 8 כרכים</t>
  </si>
  <si>
    <t>בית מדרש בית ישראל עזרת תורה</t>
  </si>
  <si>
    <t>בית חשמונאי</t>
  </si>
  <si>
    <t>חורגין, פינחס מיכאל בן ראובן יונה</t>
  </si>
  <si>
    <t>תרצ"ח</t>
  </si>
  <si>
    <t>בית יהודה - רבי יהודה הורביץ מדז'יקוב</t>
  </si>
  <si>
    <t>גנוט, מרדכי</t>
  </si>
  <si>
    <t>בית יער הלבנון</t>
  </si>
  <si>
    <t>עילם, שי</t>
  </si>
  <si>
    <t>בית ישי - דרשות</t>
  </si>
  <si>
    <t>בית ישראל</t>
  </si>
  <si>
    <t>הערלינג, אהרן אפרים פישעל</t>
  </si>
  <si>
    <t>תש"מ</t>
  </si>
  <si>
    <t>בית ישראל &lt;הגהות הצבי והצדק&gt;</t>
  </si>
  <si>
    <t>אייכנשטיין, צבי הירש בן יצחק איזיק</t>
  </si>
  <si>
    <t>פנחסי, ישראל בן אברהם הלוי (לזכרו)</t>
  </si>
  <si>
    <t>בית לוי</t>
  </si>
  <si>
    <t>שלזינגר, יעקב</t>
  </si>
  <si>
    <t>בית מאיר - 3 כרכים</t>
  </si>
  <si>
    <t>בית מאיר</t>
  </si>
  <si>
    <t>לודז-פיעטרקוב,</t>
  </si>
  <si>
    <t>תרצ"א,</t>
  </si>
  <si>
    <t>בית מדרש אברכים מצוינים בית אלחנן דב</t>
  </si>
  <si>
    <t>בית הכנסת אהל יונתן גבעת שאול</t>
  </si>
  <si>
    <t>בית משיח - 1004 כרכים</t>
  </si>
  <si>
    <t>בית משיח</t>
  </si>
  <si>
    <t>תשנ"ד - תשע"ג</t>
  </si>
  <si>
    <t>בית מתתיהו - ה</t>
  </si>
  <si>
    <t>גבאי, מתתיהו</t>
  </si>
  <si>
    <t>בית שלמה - תורה</t>
  </si>
  <si>
    <t>דרימר, שלמה בן יעקב</t>
  </si>
  <si>
    <t>בית שמואל</t>
  </si>
  <si>
    <t>דרבקין, שלום הלל (לזכרו)</t>
  </si>
  <si>
    <t>בית שער למצוות</t>
  </si>
  <si>
    <t>בקיש, אליהו בן הלל</t>
  </si>
  <si>
    <t>בית שרגא - 3 כרכים</t>
  </si>
  <si>
    <t>ברומברג, חיים שמואל בן יונה הלוי</t>
  </si>
  <si>
    <t>בית תפילתי - 2 כרכים</t>
  </si>
  <si>
    <t>וולינר, אליהו בן אריה</t>
  </si>
  <si>
    <t>בכורי יוסף</t>
  </si>
  <si>
    <t>זוהר. ליקוטים. תקע"ז. רדלהים</t>
  </si>
  <si>
    <t>רעדלהיים?</t>
  </si>
  <si>
    <t>[תקע"ז,</t>
  </si>
  <si>
    <t>בכורים - כב</t>
  </si>
  <si>
    <t>ישיבת הרמב"ם</t>
  </si>
  <si>
    <t>תל אביב Tel Aviv</t>
  </si>
  <si>
    <t>בלילת פז - קדושין</t>
  </si>
  <si>
    <t>היינעמאנן, דוד</t>
  </si>
  <si>
    <t>בלכתך בדרך - תש"ן</t>
  </si>
  <si>
    <t>ישיבת כרם ביבנה</t>
  </si>
  <si>
    <t>במוצאי יום מנוחה - המצא לעמך רוחה</t>
  </si>
  <si>
    <t>בן צור, יהונתן בן שלום</t>
  </si>
  <si>
    <t>במישור - 88 כרכים</t>
  </si>
  <si>
    <t>שבועון מזרחי</t>
  </si>
  <si>
    <t>תש"א</t>
  </si>
  <si>
    <t>במסילה - 1</t>
  </si>
  <si>
    <t>יד לאחים</t>
  </si>
  <si>
    <t>במסילה העולה - פסחים</t>
  </si>
  <si>
    <t>במסילות החינוך</t>
  </si>
  <si>
    <t>במעגלי הסופר - ל"ג בעומר</t>
  </si>
  <si>
    <t>תשע</t>
  </si>
  <si>
    <t>במעלות קדושים</t>
  </si>
  <si>
    <t>קובץ זכרון</t>
  </si>
  <si>
    <t>במערכה הצבורית</t>
  </si>
  <si>
    <t>במרחבי החינוך</t>
  </si>
  <si>
    <t>במשנה לחם</t>
  </si>
  <si>
    <t>כולל עומק ההלכה - זוטשקא</t>
  </si>
  <si>
    <t>במשעול הספק</t>
  </si>
  <si>
    <t>אלון, אברהם חיים  עוזר, אפרי</t>
  </si>
  <si>
    <t>במשקל החזקה</t>
  </si>
  <si>
    <t>קשש, צבי מרדכי</t>
  </si>
  <si>
    <t>בן אדם מה לך נרדם</t>
  </si>
  <si>
    <t>פרידמן, משיח הכהן</t>
  </si>
  <si>
    <t>בן איש חי - 2 כרכים</t>
  </si>
  <si>
    <t>יוסף חיים בן אליהו</t>
  </si>
  <si>
    <t>בן י"ג למצוות - תפארת ישראל</t>
  </si>
  <si>
    <t>חסידי מודזיץ</t>
  </si>
  <si>
    <t>ירושלים-פולין</t>
  </si>
  <si>
    <t>תשנ"ד - תרצ"ו</t>
  </si>
  <si>
    <t>בן מלך תורה - 3 כרכים</t>
  </si>
  <si>
    <t>מינצברג, נתן יהודה לייב בן אלימלך</t>
  </si>
  <si>
    <t>בן נחום - שבת</t>
  </si>
  <si>
    <t>היימליך, מנחם יוסף הלוי</t>
  </si>
  <si>
    <t>בן עליה בעולם הפרנסה</t>
  </si>
  <si>
    <t>קליין, יוסף שמחה בן שמואל</t>
  </si>
  <si>
    <t>דטרויט</t>
  </si>
  <si>
    <t>בן שנה שאול</t>
  </si>
  <si>
    <t>נאור, בצלאל</t>
  </si>
  <si>
    <t>תשמ"ה</t>
  </si>
  <si>
    <t>בנאדם וחברו</t>
  </si>
  <si>
    <t>ארן, זאב</t>
  </si>
  <si>
    <t>בנאות דשא - שנה א</t>
  </si>
  <si>
    <t>אלתר, שאול בן פנחס מנחם</t>
  </si>
  <si>
    <t>בנות ישראל</t>
  </si>
  <si>
    <t>לוגאסי, יעקב ישראל</t>
  </si>
  <si>
    <t>בני גרשון</t>
  </si>
  <si>
    <t>פלדמן, יואל בן מנחם גרשון</t>
  </si>
  <si>
    <t>בני הנביאים</t>
  </si>
  <si>
    <t>בני חורין - כונות ליל הסדר</t>
  </si>
  <si>
    <t>לוי, יעקב ישראל - בצרי, משה</t>
  </si>
  <si>
    <t>בני ציון יגילו במלכם</t>
  </si>
  <si>
    <t>אוחנה, אברהם</t>
  </si>
  <si>
    <t>בני שמעיה</t>
  </si>
  <si>
    <t>לוו, שמעיה בן אשר</t>
  </si>
  <si>
    <t>ברוקלין,</t>
  </si>
  <si>
    <t>בניות ברמה</t>
  </si>
  <si>
    <t>שילר-סינשי, שלמה בן מאיר</t>
  </si>
  <si>
    <t>קאנטאבריגיא,</t>
  </si>
  <si>
    <t>תרל"ו</t>
  </si>
  <si>
    <t>בנין אריאל - 2 כרכים</t>
  </si>
  <si>
    <t>ינאי, אריאל בן חיים צבי</t>
  </si>
  <si>
    <t>בנין דעת - כלים</t>
  </si>
  <si>
    <t>זילברברג, בנימין בן יצחק נחום</t>
  </si>
  <si>
    <t>בנין המשפט - 3 כרכים</t>
  </si>
  <si>
    <t>רטבי, ישועה</t>
  </si>
  <si>
    <t>מצפה יריחו</t>
  </si>
  <si>
    <t>בנין משה - 3 כרכים</t>
  </si>
  <si>
    <t>רצאבי, משה בן יצחק</t>
  </si>
  <si>
    <t>בנין צבי - 3 כרכים</t>
  </si>
  <si>
    <t>מייזלש, צבי הירש בן דוד דוב</t>
  </si>
  <si>
    <t>בנין, המשפט - 3 כרכים</t>
  </si>
  <si>
    <t>בנשוב הרוח - 20 כרכים</t>
  </si>
  <si>
    <t>כתב עת למחשבה יהודית</t>
  </si>
  <si>
    <t>בנתיב החלב - ט</t>
  </si>
  <si>
    <t>קובץ (עורך: וייטמן, זאב)</t>
  </si>
  <si>
    <t>בנתיב הקודש</t>
  </si>
  <si>
    <t>בנתיבות המועדים - 3 כרכים</t>
  </si>
  <si>
    <t>בנתיבות הסופר</t>
  </si>
  <si>
    <t>בנתיבות הראשונים - תורה</t>
  </si>
  <si>
    <t>בנתיבותיה של תורה - 6 כרכים</t>
  </si>
  <si>
    <t>תנעמי, זכריה</t>
  </si>
  <si>
    <t>בסבך הנסיון</t>
  </si>
  <si>
    <t>להמן, מאיר בן אשר למל אהרן</t>
  </si>
  <si>
    <t>תשט"ז</t>
  </si>
  <si>
    <t>בסוד הנביאים</t>
  </si>
  <si>
    <t>בית המדרש מאור חיים</t>
  </si>
  <si>
    <t>בסערה השמימה</t>
  </si>
  <si>
    <t>ספר הזכרון לבעל הישועות משה זצ"ל</t>
  </si>
  <si>
    <t>בסערה השמימה - הגאון רבי דוד לוי</t>
  </si>
  <si>
    <t>נהרי, מזל בת דוד</t>
  </si>
  <si>
    <t>בעד הנפש - 3 כרכים</t>
  </si>
  <si>
    <t>משלוף, חנינא</t>
  </si>
  <si>
    <t>בעול העשיה - משה קלמר ופעלו</t>
  </si>
  <si>
    <t>דון יחיא, שבתי</t>
  </si>
  <si>
    <t>בעידנא דחדוותא</t>
  </si>
  <si>
    <t>באללאג, שמשון רפאל</t>
  </si>
  <si>
    <t>בעין טובה - 2 כרכים</t>
  </si>
  <si>
    <t>מלמד, זלמן ברוך</t>
  </si>
  <si>
    <t>בעלי אסופות - 3 כרכים</t>
  </si>
  <si>
    <t>בית המדרש גבעת אסף</t>
  </si>
  <si>
    <t>בענין מצות סיפור יציאת מצרים</t>
  </si>
  <si>
    <t>ויסבקר, ברוך</t>
  </si>
  <si>
    <t>בעקבות המחבר - ג</t>
  </si>
  <si>
    <t>בוצ'קו שאול דוד</t>
  </si>
  <si>
    <t>כוכב יעקב</t>
  </si>
  <si>
    <t>בעקבות לוחמים</t>
  </si>
  <si>
    <t>לקט רשימות ומאמרים</t>
  </si>
  <si>
    <t>בעקבי אמונה - שמיטה ויובל</t>
  </si>
  <si>
    <t>אדלשטיין, יעקב בן צבי יהודה</t>
  </si>
  <si>
    <t>בעקבתא דמשיחא</t>
  </si>
  <si>
    <t>בערי יהודה - נודע ביהודה או"ח</t>
  </si>
  <si>
    <t>קניג, יהודה לייביש בן חיים ישעיה</t>
  </si>
  <si>
    <t>בצדק ובמשפט - נזקי שכנים</t>
  </si>
  <si>
    <t>וידר, יחיאל בן יצחק</t>
  </si>
  <si>
    <t>בצדקה תכונני</t>
  </si>
  <si>
    <t>טבריה. חכמים ורבנים</t>
  </si>
  <si>
    <t>כאזאבלאנכא</t>
  </si>
  <si>
    <t>בציצית ראשי</t>
  </si>
  <si>
    <t>אשכול, יוחאי</t>
  </si>
  <si>
    <t>בצל הברכה</t>
  </si>
  <si>
    <t>בלוי, בצלאל ברוך בן יצחק שלמה</t>
  </si>
  <si>
    <t>בצל הטוב - 2 כרכים</t>
  </si>
  <si>
    <t>ווטנשטין, בצלאל טוביה בן ישראל</t>
  </si>
  <si>
    <t>בצל הכתר</t>
  </si>
  <si>
    <t>בלידשטיין, בצלאל יצחק</t>
  </si>
  <si>
    <t>בצל העצים בצל הלהבות</t>
  </si>
  <si>
    <t>פרל, חיים ישראל</t>
  </si>
  <si>
    <t>רמת גן</t>
  </si>
  <si>
    <t>בצל ידך</t>
  </si>
  <si>
    <t>בזק, מאיר בן יעקב</t>
  </si>
  <si>
    <t xml:space="preserve">תשס"ח - </t>
  </si>
  <si>
    <t>בצל כנפיך</t>
  </si>
  <si>
    <t>דונט, שמעון</t>
  </si>
  <si>
    <t>בצל נסיונות התקופה</t>
  </si>
  <si>
    <t xml:space="preserve">תשע"ג - </t>
  </si>
  <si>
    <t>בצרור החיים</t>
  </si>
  <si>
    <t>פרלמוטר, יצחק אייזיק בן עמרם מרדכי דוד</t>
  </si>
  <si>
    <t>בצרור החיים - 2 כרכים</t>
  </si>
  <si>
    <t>פרידלנד, אברהם מנדל</t>
  </si>
  <si>
    <t>נחלת הר חב"ד</t>
  </si>
  <si>
    <t>בקהל קדושים</t>
  </si>
  <si>
    <t>בקיאות כהלכה - 3 כרכים</t>
  </si>
  <si>
    <t>כהן-זדה, שמואל בן עזרא</t>
  </si>
  <si>
    <t>בקיבוץ בניה</t>
  </si>
  <si>
    <t>בית המדרש חניכי הישיבות רכסים</t>
  </si>
  <si>
    <t>בקנה אחד - ז</t>
  </si>
  <si>
    <t>בקר וידע ה'</t>
  </si>
  <si>
    <t>אבוהב, אלעזר אהרן</t>
  </si>
  <si>
    <t>בקרבך קדוש</t>
  </si>
  <si>
    <t>זכאי, עובדיה בן שמואל</t>
  </si>
  <si>
    <t xml:space="preserve">תשפ"ג - </t>
  </si>
  <si>
    <t>בקרת ספרים</t>
  </si>
  <si>
    <t>גולדבלום, ישראל איסר בן משה</t>
  </si>
  <si>
    <t>פאריש,</t>
  </si>
  <si>
    <t>[תרמ"ו,</t>
  </si>
  <si>
    <t>בקשות מהאדרא זוטא קדישא</t>
  </si>
  <si>
    <t>תיקונים. ל"ג בעומר. תרצ"ה. ירושלים</t>
  </si>
  <si>
    <t>תרצ"ה</t>
  </si>
  <si>
    <t>בר הדיא</t>
  </si>
  <si>
    <t>טורש, דוב בר בן אלכסנדר זושא</t>
  </si>
  <si>
    <t>ברוח הזמן - 6 כרכים</t>
  </si>
  <si>
    <t>דמרי, שאול</t>
  </si>
  <si>
    <t>ברוך השלחן - ג</t>
  </si>
  <si>
    <t>כהן, ברוך</t>
  </si>
  <si>
    <t>ברוך פודה ומציל</t>
  </si>
  <si>
    <t>ברוך צורי - מקור חיים</t>
  </si>
  <si>
    <t>בלומנקרץ, שלמה בן חיים מנחם בן ציון</t>
  </si>
  <si>
    <t>ברומו של אדם</t>
  </si>
  <si>
    <t>הסגל, חנניה</t>
  </si>
  <si>
    <t>ברומו של עולם</t>
  </si>
  <si>
    <t>גרנג'ווד, אליהו דב בן קלמן וולף</t>
  </si>
  <si>
    <t>ברית אברהם - עניני ברית מילה</t>
  </si>
  <si>
    <t>ברנוודין, אברהם</t>
  </si>
  <si>
    <t>ברית אליהו</t>
  </si>
  <si>
    <t>איפרגן, אליהו בן יוסף</t>
  </si>
  <si>
    <t>ברית יעקב - ריבית</t>
  </si>
  <si>
    <t>נידם, יעקב בן מסעוד</t>
  </si>
  <si>
    <t>ברית מילה בהלכה ובאגדה</t>
  </si>
  <si>
    <t>ברית סיני ודת סינסינטי</t>
  </si>
  <si>
    <t>טלזנר, דוד</t>
  </si>
  <si>
    <t>חשד</t>
  </si>
  <si>
    <t>ברית עולם - פרשת נח</t>
  </si>
  <si>
    <t>ברית עולם - שמות ב</t>
  </si>
  <si>
    <t>וואלי, משה דוד</t>
  </si>
  <si>
    <t>ברית שלום הוא ספר תורת העמים</t>
  </si>
  <si>
    <t>שוורדשארף, משה יעקב בן דוד טבל</t>
  </si>
  <si>
    <t>קאלאמעא,</t>
  </si>
  <si>
    <t>תר"ס</t>
  </si>
  <si>
    <t>בריתי יצחק - 2 כרכים</t>
  </si>
  <si>
    <t>ברנד, יצחק בן וולף זאב</t>
  </si>
  <si>
    <t>ברך משה &lt;מהדורה חדשה&gt;</t>
  </si>
  <si>
    <t>גאלאנטי, משה בן מרדכי מדמשק</t>
  </si>
  <si>
    <t>ברכה בקידושא רבה</t>
  </si>
  <si>
    <t>ברכות לראש צדיק</t>
  </si>
  <si>
    <t>דבליצקי, דוד בן שריה</t>
  </si>
  <si>
    <t>ברכות שמים - בבא קמא א</t>
  </si>
  <si>
    <t>בלום, רפאל בן שמואל</t>
  </si>
  <si>
    <t>ברכת אברהם - 2 כרכים</t>
  </si>
  <si>
    <t>ארלנגר, אברהם בן שמשון רפאל</t>
  </si>
  <si>
    <t>ברכת אברהם - פסח ב</t>
  </si>
  <si>
    <t>אלברט, אברהם מרדכי בן אריה</t>
  </si>
  <si>
    <t>ברכת אברהם - 8 כרכים</t>
  </si>
  <si>
    <t>ברוכמן, אברהם</t>
  </si>
  <si>
    <t>ברכת אהרן - 3 כרכים</t>
  </si>
  <si>
    <t>וולברשטין, אהרן בן אריה</t>
  </si>
  <si>
    <t>אחיסמך</t>
  </si>
  <si>
    <t>ברכת אוריאל - ב</t>
  </si>
  <si>
    <t>חוברה, אוריאל בן ישעיהו</t>
  </si>
  <si>
    <t>נחליאל</t>
  </si>
  <si>
    <t>ברכת אליהו - א</t>
  </si>
  <si>
    <t>ארז, אליהו</t>
  </si>
  <si>
    <t>ברכת אליהו - 2 כרכים</t>
  </si>
  <si>
    <t>רקובסקי, אליהו בן שלום מתתיהו</t>
  </si>
  <si>
    <t>ברכת בנימין - אהלות א</t>
  </si>
  <si>
    <t>סורוצקין, בנימין בן ברוך</t>
  </si>
  <si>
    <t>ברכת דוד - א - תורה</t>
  </si>
  <si>
    <t>לוין, דוד בן שמואל</t>
  </si>
  <si>
    <t>ברכת דוד - 2 כרכים</t>
  </si>
  <si>
    <t>חרר, דוד בן דניאל</t>
  </si>
  <si>
    <t>ברכת ה' - 2 כרכים</t>
  </si>
  <si>
    <t>ועקנין, מיכאל בן יעיש</t>
  </si>
  <si>
    <t>יקנעם</t>
  </si>
  <si>
    <t>ברכת הארץ</t>
  </si>
  <si>
    <t>רבינוביץ, מרדכי בן נחום אליעזר</t>
  </si>
  <si>
    <t>ברכת המזון - גינת מגדים</t>
  </si>
  <si>
    <t>פראנד, יחיאל הלוי</t>
  </si>
  <si>
    <t>ברכת המזון ושבע ברכות</t>
  </si>
  <si>
    <t>סופר, משה בן שמואל - לורברבוים, יעקב בן יעקב משה</t>
  </si>
  <si>
    <t>ברכת המזון כמנהג אשכנז ופולין</t>
  </si>
  <si>
    <t>תפילות. ברכת המזון. תפ"ב. פיורדה</t>
  </si>
  <si>
    <t>אמסטרדם</t>
  </si>
  <si>
    <t xml:space="preserve">תש"נ - </t>
  </si>
  <si>
    <t>ברכת המזון עם ביאור ממרן הגר"ח קנייבסקי</t>
  </si>
  <si>
    <t>יברוב, צבי בן משה</t>
  </si>
  <si>
    <t>ברכת המשנה</t>
  </si>
  <si>
    <t xml:space="preserve">קליין, מנשה בן אליעזר זאב </t>
  </si>
  <si>
    <t>ברכת השם - מזוזה</t>
  </si>
  <si>
    <t>פארהאנד, משה יצחק</t>
  </si>
  <si>
    <t>ברכת זאב - חולין ב</t>
  </si>
  <si>
    <t>רבינוביץ, זאב</t>
  </si>
  <si>
    <t>ברכת חיים - בבא קמא</t>
  </si>
  <si>
    <t>מגורי הכהן, חיים</t>
  </si>
  <si>
    <t>ברכת חן - ברכות</t>
  </si>
  <si>
    <t>עוזר, חננאל</t>
  </si>
  <si>
    <t>ברכת יהודה &lt;שו"ת &gt; ח</t>
  </si>
  <si>
    <t>ברכה, יהודה</t>
  </si>
  <si>
    <t>ברכת יהודה - 8 כרכים</t>
  </si>
  <si>
    <t>שטארק, זלמן לייב בן חיים אהרן</t>
  </si>
  <si>
    <t>ברכת יהושע - 3 כרכים</t>
  </si>
  <si>
    <t>צוקרמן, יהושע העשיל בן משולם יואל</t>
  </si>
  <si>
    <t>ברכת יוסף ואליהו רבא &lt;מהדורה חדשה&gt;</t>
  </si>
  <si>
    <t>תאומים, מאיר בן יוסף</t>
  </si>
  <si>
    <t>[תק"ז,</t>
  </si>
  <si>
    <t>ברכת יעקב - ב"ב א</t>
  </si>
  <si>
    <t>סטראם, זאב ארי בן יעקב</t>
  </si>
  <si>
    <t>ברכת יצחק - גיטין, קידושין</t>
  </si>
  <si>
    <t>ישיבת ברכת יצחק</t>
  </si>
  <si>
    <t>אור יהודה</t>
  </si>
  <si>
    <t>ברכת יצחק - ברכות, שבת</t>
  </si>
  <si>
    <t>לנדא, מנחם מנדל בן יצחק</t>
  </si>
  <si>
    <t>לוד</t>
  </si>
  <si>
    <t>ברכת יצחק - 3 כרכים</t>
  </si>
  <si>
    <t>לוין, יצחק בן חיים שרגא הלוי</t>
  </si>
  <si>
    <t>ברכת ישראל - 2 כרכים</t>
  </si>
  <si>
    <t>יפרח, ישראל</t>
  </si>
  <si>
    <t>ברכת מאיר - 4 כרכים</t>
  </si>
  <si>
    <t>לוי, מאיר</t>
  </si>
  <si>
    <t>אשקלון</t>
  </si>
  <si>
    <t>ברכת מגדים על פרי מגדים - בציעת הפת, סעודה, ברכת המזון</t>
  </si>
  <si>
    <t>תאומים, יוסף</t>
  </si>
  <si>
    <t>ברכת מועדיך - חול המועד</t>
  </si>
  <si>
    <t>רוזן, מאיר</t>
  </si>
  <si>
    <t>ברכת מיכאל</t>
  </si>
  <si>
    <t>דמתי, מיכאל</t>
  </si>
  <si>
    <t>אור עקיבא</t>
  </si>
  <si>
    <t>ברכת מיכאל - יראת ה'</t>
  </si>
  <si>
    <t>ברכת מרדכי - 2 כרכים</t>
  </si>
  <si>
    <t>אזרחי, ברוך מרדכי בן ישראל</t>
  </si>
  <si>
    <t>ברכת משה - קידושין, נדרים</t>
  </si>
  <si>
    <t>פינקל, משה בן אליעזר דוד</t>
  </si>
  <si>
    <t>ברכת שבת</t>
  </si>
  <si>
    <t>זמירות לשבת קוסוב ויזניץ</t>
  </si>
  <si>
    <t>תשל"ב</t>
  </si>
  <si>
    <t>ברכת שלמה אורחות לשון</t>
  </si>
  <si>
    <t>אגודת נוצרי לשון</t>
  </si>
  <si>
    <t>ברכתא - 5 כרכים</t>
  </si>
  <si>
    <t>בית המדרש ברכת מנחם</t>
  </si>
  <si>
    <t>ברכתו של אבא</t>
  </si>
  <si>
    <t>חייימוביץ, יהודית</t>
  </si>
  <si>
    <t>ברנה יקצורו</t>
  </si>
  <si>
    <t>כייעס, יצחק יעקב</t>
  </si>
  <si>
    <t>בשבילי אליעזר</t>
  </si>
  <si>
    <t>שקד (מנדלקורן), אליעזר נחום</t>
  </si>
  <si>
    <t>בשבילי ההגדה</t>
  </si>
  <si>
    <t>מחמלי, ינון בן אהרן</t>
  </si>
  <si>
    <t>בשבילי ההלכה - ב</t>
  </si>
  <si>
    <t>דבורקס, אליקום בן ישעיהו אריה לייב</t>
  </si>
  <si>
    <t>בשבילי המועד - גלות ונחמה</t>
  </si>
  <si>
    <t>ישיבת מיר</t>
  </si>
  <si>
    <t>בשבילי המשפט - ע"ה - צ"ו</t>
  </si>
  <si>
    <t>חבורת אהל יעקב</t>
  </si>
  <si>
    <t>בשדה החסידות</t>
  </si>
  <si>
    <t>אלפסי, יצחק</t>
  </si>
  <si>
    <t>בשם מרדכי</t>
  </si>
  <si>
    <t>אוהב ציון, יצחק בן מרדכי</t>
  </si>
  <si>
    <t>בשמחת צדיקים - יבמות</t>
  </si>
  <si>
    <t>בשמך אשא כפי</t>
  </si>
  <si>
    <t>בשמעתתא דחזקה ורוב</t>
  </si>
  <si>
    <t>רותן, יהודה אריה בן זאב</t>
  </si>
  <si>
    <t>בשערי ישכר - תורה ב</t>
  </si>
  <si>
    <t>אנגלנדר, ישכר דוב</t>
  </si>
  <si>
    <t>בשעריך ירושלים</t>
  </si>
  <si>
    <t>פראנק, צבי פסח בן יהודה ליב</t>
  </si>
  <si>
    <t>בת עין</t>
  </si>
  <si>
    <t>אוירבאך, אברהם דוב בן דוד</t>
  </si>
  <si>
    <t>תר"ז</t>
  </si>
  <si>
    <t>בתוככי ירושלים - 3 כרכים</t>
  </si>
  <si>
    <t>קובץ תורני</t>
  </si>
  <si>
    <t>בתורתו יהגה &lt;על התורה&gt; - 2 כרכים</t>
  </si>
  <si>
    <t>פלק, דוד בן יעקב יהודה</t>
  </si>
  <si>
    <t>בתי אליהו - 2 כרכים</t>
  </si>
  <si>
    <t>ליברמן, אליהו בן יצחק צבי</t>
  </si>
  <si>
    <t>בתי התפילין</t>
  </si>
  <si>
    <t>בוארון, שלמה בן רפאל</t>
  </si>
  <si>
    <t>נתיבות</t>
  </si>
  <si>
    <t>בתי כנסיות - בית האסופים</t>
  </si>
  <si>
    <t>בן עזרא, אברהם בן חיים ידידיה</t>
  </si>
  <si>
    <t>שאלוניקי,</t>
  </si>
  <si>
    <t>תקס"ו</t>
  </si>
  <si>
    <t>בתי כנסת בהודו</t>
  </si>
  <si>
    <t>בן אליהו, אליה</t>
  </si>
  <si>
    <t>קרית מוצקין</t>
  </si>
  <si>
    <t>בתי משה - בבא בתרא</t>
  </si>
  <si>
    <t>טויב, משה בן אברהם</t>
  </si>
  <si>
    <t>זכרון יעקב</t>
  </si>
  <si>
    <t>גאולה</t>
  </si>
  <si>
    <t>גאון יעקב</t>
  </si>
  <si>
    <t>בן-טובים, יצחק אייזיק בן שלמה זלמן</t>
  </si>
  <si>
    <t>תרס"ג</t>
  </si>
  <si>
    <t>גבורות ארי &lt;מכון כנסת&gt; - מכות</t>
  </si>
  <si>
    <t>גינצבורג, אריה ליב בן אשר</t>
  </si>
  <si>
    <t>גבורות ה' - 2 כרכים</t>
  </si>
  <si>
    <t>יהודה ליווא בן בצלאל (מהר"ל מפראג)</t>
  </si>
  <si>
    <t>גבורות יהודה - פסחים</t>
  </si>
  <si>
    <t>פרום, מרדכי יהודה הלוי</t>
  </si>
  <si>
    <t>גבורות שמונים &lt;שפת שלמה&gt;</t>
  </si>
  <si>
    <t>ענגיל, יוסף בן יהודה</t>
  </si>
  <si>
    <t>גבורי כח</t>
  </si>
  <si>
    <t>מדינה, יוסף</t>
  </si>
  <si>
    <t>גבעות עולם, ברך בנים בקרבך, זמרו לשמו, חכו ממתקים</t>
  </si>
  <si>
    <t>דיין, נסים</t>
  </si>
  <si>
    <t>גבעת שאול ושכנותיה</t>
  </si>
  <si>
    <t>קלוגר, בנימין</t>
  </si>
  <si>
    <t>גבר לבי - 2 כרכים</t>
  </si>
  <si>
    <t>קוניו, גיל</t>
  </si>
  <si>
    <t>גדול קטן קטן גדול - מגילת אסתר</t>
  </si>
  <si>
    <t>גדולת מרדכי</t>
  </si>
  <si>
    <t>גולדשטיין, יוסף בן אהרן</t>
  </si>
  <si>
    <t>גדולת מרדכי &lt;מהדורה חדשה&gt;</t>
  </si>
  <si>
    <t>גאלאנטי, מרדכי בן משה</t>
  </si>
  <si>
    <t>גודל ענין חיוב לימוד ספרי מוסר - חזרת הלימוד</t>
  </si>
  <si>
    <t>זאהן, שלום שכנא בן חיים יצחק יעקב</t>
  </si>
  <si>
    <t>גוילין - ה</t>
  </si>
  <si>
    <t>ירחון</t>
  </si>
  <si>
    <t>תשי"ח</t>
  </si>
  <si>
    <t>גוילין - 2 כרכים</t>
  </si>
  <si>
    <t>"מעלה" המרכז לציונות דתית</t>
  </si>
  <si>
    <t>תש"נ</t>
  </si>
  <si>
    <t>גור אריה - קידושין</t>
  </si>
  <si>
    <t>צינץ, אריה ליב בן משה</t>
  </si>
  <si>
    <t>גור אריה יהודה - הלכות תלמוד תורה</t>
  </si>
  <si>
    <t>גולדשטוף, אריה לייב</t>
  </si>
  <si>
    <t>גורל לה'</t>
  </si>
  <si>
    <t>אלקלעי, יהודה בן שלמה חי</t>
  </si>
  <si>
    <t>תרי"ח</t>
  </si>
  <si>
    <t>גורן האטד</t>
  </si>
  <si>
    <t>טריביטש, יששכר בר</t>
  </si>
  <si>
    <t>ווינא,</t>
  </si>
  <si>
    <t>תקנ"ג</t>
  </si>
  <si>
    <t>גזע ישי</t>
  </si>
  <si>
    <t>יצחקי, שי</t>
  </si>
  <si>
    <t>בת ים</t>
  </si>
  <si>
    <t>גזע ישי &lt;מהדורה חדשה&gt; - 2 כרכים</t>
  </si>
  <si>
    <t>אשכנזי, יהודה שמואל בן יעקב</t>
  </si>
  <si>
    <t>גחלי אור - 4</t>
  </si>
  <si>
    <t>אברכי חסידי גור</t>
  </si>
  <si>
    <t>גחלי אש</t>
  </si>
  <si>
    <t>רבינזון, יעקב</t>
  </si>
  <si>
    <t>בני-ברק,</t>
  </si>
  <si>
    <t>[תשי"ב,</t>
  </si>
  <si>
    <t>גיא חזיון</t>
  </si>
  <si>
    <t>ספיר, יעקב בן נתן הלוי</t>
  </si>
  <si>
    <t>תרט"ו</t>
  </si>
  <si>
    <t>גידולי מוסר - 2 כרכים</t>
  </si>
  <si>
    <t>אייזמן, גדליה</t>
  </si>
  <si>
    <t>גידולי שביעית</t>
  </si>
  <si>
    <t>כהן, משה ישראל</t>
  </si>
  <si>
    <t>גידולי שמואל</t>
  </si>
  <si>
    <t>פרנקו, אברהם</t>
  </si>
  <si>
    <t>גיליוני החומש</t>
  </si>
  <si>
    <t>גרדנויץ, ברוך ישראל מאיר</t>
  </si>
  <si>
    <t>גינת ורדים - קובץ תורני לענייני הלכה ואגדה - לח</t>
  </si>
  <si>
    <t>תלמידי וחסידי סאטמאר</t>
  </si>
  <si>
    <t>גינת ראובן - כלאים א</t>
  </si>
  <si>
    <t>שוורץ, ראובן מלך בן בנימין יצחק</t>
  </si>
  <si>
    <t>גיצי אורה - 2 כרכים</t>
  </si>
  <si>
    <t>פריד, אליקים גציל</t>
  </si>
  <si>
    <t>גל עיני - ב (כט)</t>
  </si>
  <si>
    <t>תלמידי ישיבת ליובאוויטש בולטימור</t>
  </si>
  <si>
    <t>בולטימור</t>
  </si>
  <si>
    <t>גלגולי נשמות לרמ"ע מפאנו - עם ביאור חסד לאברהם</t>
  </si>
  <si>
    <t>פאנו, מנחם עזריה בן יצחק ברכיה</t>
  </si>
  <si>
    <t>גלגל המזלות של טבריה</t>
  </si>
  <si>
    <t>שטרנברג גנוסר, אהרן</t>
  </si>
  <si>
    <t xml:space="preserve">תשל"ב - </t>
  </si>
  <si>
    <t>גלי הים - 3 כרכים</t>
  </si>
  <si>
    <t>מאיה, יצחק בן משה</t>
  </si>
  <si>
    <t>גליון אר"ץ זבת חל'ב - 35-51</t>
  </si>
  <si>
    <t>עדס, אברהם בן עזרא</t>
  </si>
  <si>
    <t>גליון הלכות מים חיים - 8 כרכים</t>
  </si>
  <si>
    <t>דינר, יהודה אריה</t>
  </si>
  <si>
    <t>גליון מנחת העומר</t>
  </si>
  <si>
    <t>מכון תורת הקרבנות</t>
  </si>
  <si>
    <t>גליון תורת הקרבנות - 8 כרכים</t>
  </si>
  <si>
    <t>גליונות באר ההלכה - א-כב</t>
  </si>
  <si>
    <t>גליונות הליכות לבן ישיבה</t>
  </si>
  <si>
    <t>דרוק, שלמה זלמן</t>
  </si>
  <si>
    <t>גליונות וחידושי הגרחש"ק מלינק זצ"ל</t>
  </si>
  <si>
    <t>מלינק, חיים שמואל קלמן</t>
  </si>
  <si>
    <t>גליונות רבי דב לנדו - 5 כרכים</t>
  </si>
  <si>
    <t>לנדו, דב</t>
  </si>
  <si>
    <t>גליוני מהר"י - יור"ד ר"מ-ר"צ</t>
  </si>
  <si>
    <t>הורוויץ, יהודה</t>
  </si>
  <si>
    <t>גליוני שיעורים - 2 כרכים</t>
  </si>
  <si>
    <t>טייכטל, יוסף יצחק מאיר</t>
  </si>
  <si>
    <t>צרפת</t>
  </si>
  <si>
    <t>גליוני שלמי שמעון - 2 כרכים</t>
  </si>
  <si>
    <t>ביטון, שמעון בן חיים</t>
  </si>
  <si>
    <t>גלת - ג</t>
  </si>
  <si>
    <t>בית ועד לתורה הר חברון</t>
  </si>
  <si>
    <t>עתניאל</t>
  </si>
  <si>
    <t>גם אני אודך - 25 כרכים</t>
  </si>
  <si>
    <t>גם יכלתי</t>
  </si>
  <si>
    <t>קופשיץ, נפתלי בן משה הכהן</t>
  </si>
  <si>
    <t>גמילות חסדים הכללי דחסידי בעלזא</t>
  </si>
  <si>
    <t>דין וחשבון</t>
  </si>
  <si>
    <t>גמרא לתלמיד - פרק המניח</t>
  </si>
  <si>
    <t>גמרא מבוארת - ב"מ פ"ג</t>
  </si>
  <si>
    <t>ביאליק, מנוח</t>
  </si>
  <si>
    <t>תשכ"ה</t>
  </si>
  <si>
    <t>גמרא מבוארת - ב"ק פ"א</t>
  </si>
  <si>
    <t>הוברמן, מרדכי יוסף</t>
  </si>
  <si>
    <t>גן ההלכה - ב</t>
  </si>
  <si>
    <t>ישיבת רמת גן</t>
  </si>
  <si>
    <t>גן נעול - 2 כרכים</t>
  </si>
  <si>
    <t>לוי, יעקב בן יוסף</t>
  </si>
  <si>
    <t>גנזי דרשות ורעיונות - א</t>
  </si>
  <si>
    <t>כהן, צבי הירש</t>
  </si>
  <si>
    <t>תרצ"ג</t>
  </si>
  <si>
    <t>גנזי תפילין</t>
  </si>
  <si>
    <t>גנת אגוז - תשפ"ב</t>
  </si>
  <si>
    <t>אלטמן, שמשון בן שרגא צבי</t>
  </si>
  <si>
    <t>גפן בעצי היער</t>
  </si>
  <si>
    <t>גרינוולד, יצחק אייזיק</t>
  </si>
  <si>
    <t>גרש ירחים</t>
  </si>
  <si>
    <t>לנגע, גרשון</t>
  </si>
  <si>
    <t>דאס אידישע ווארט - 63 כרכים</t>
  </si>
  <si>
    <t>חודש זשורנאל</t>
  </si>
  <si>
    <t>דאס אידישע ליכט - תמוז תשל"ג</t>
  </si>
  <si>
    <t>דאס אידישע ליכט - 112 כרכים</t>
  </si>
  <si>
    <t>שבועון</t>
  </si>
  <si>
    <t>דאס ליכט פון ישראל</t>
  </si>
  <si>
    <t>טאבארי, צבי</t>
  </si>
  <si>
    <t xml:space="preserve">תש"כ - </t>
  </si>
  <si>
    <t>דביר מרדכי - חנוכה</t>
  </si>
  <si>
    <t>דבר גדעון - 2 כרכים</t>
  </si>
  <si>
    <t>גילקרוב, גדעון</t>
  </si>
  <si>
    <t>דבר המלך - א הלכות איסו"ב</t>
  </si>
  <si>
    <t>קרויזר, דוב מאיר בן אליהו צבי</t>
  </si>
  <si>
    <t>דבר השם - 3 כרכים</t>
  </si>
  <si>
    <t>רייך, משה אליעזר בן דוד</t>
  </si>
  <si>
    <t>דבר השמיטה - מט</t>
  </si>
  <si>
    <t>בד"ץ העדה החרדית ירושלים</t>
  </si>
  <si>
    <t>דבר השמיטה, גליונות בתי הוראה</t>
  </si>
  <si>
    <t>בד"צ חניכי ישיבות ספרדים בני ברק</t>
  </si>
  <si>
    <t>דבר חברון - 8 כרכים</t>
  </si>
  <si>
    <t>ליאור, דב בן משה</t>
  </si>
  <si>
    <t>קרית ארבע</t>
  </si>
  <si>
    <t>דבר חיים - בבא מציעא</t>
  </si>
  <si>
    <t>כולל שע''י ישיבת נחלת משה</t>
  </si>
  <si>
    <t>דבר חן</t>
  </si>
  <si>
    <t>אורטנר, נתן</t>
  </si>
  <si>
    <t>דבר טוב - ערבי פסחים</t>
  </si>
  <si>
    <t>רוזנברג, דב בעריש</t>
  </si>
  <si>
    <t>דבר יום</t>
  </si>
  <si>
    <t>שפיגלר, ישכר דב בן יוסף</t>
  </si>
  <si>
    <t>דבר עובדיה - 3 כרכים</t>
  </si>
  <si>
    <t>יונה, עובדיה בן שמריהו</t>
  </si>
  <si>
    <t>דבר שלום - 4 כרכים</t>
  </si>
  <si>
    <t>הורוביץ, דב בן שלום הלוי</t>
  </si>
  <si>
    <t>דבר שמואל</t>
  </si>
  <si>
    <t>פחימה, שמואל</t>
  </si>
  <si>
    <t>דבר שמואל - ספר הזכרונות &lt;מהדורת זכרון אהרן&gt;</t>
  </si>
  <si>
    <t>אבוהב, שמואל בן אברהם</t>
  </si>
  <si>
    <t>דברות אליהו - 2 כרכים</t>
  </si>
  <si>
    <t>אסולין, אליהו בן ישראל</t>
  </si>
  <si>
    <t>מודיעין</t>
  </si>
  <si>
    <t>דברות אריאל - 2 כרכים</t>
  </si>
  <si>
    <t>וינברג, ברוך משה אריאל בן נח רפאל</t>
  </si>
  <si>
    <t>דברות מנחם - הלכות מוקצה</t>
  </si>
  <si>
    <t>פוקס, מנחם מנדל בן שבתי זאב</t>
  </si>
  <si>
    <t>דברות צבי כח &lt;מועדים ד&gt;</t>
  </si>
  <si>
    <t>וייספיש, צבי בן שמואל</t>
  </si>
  <si>
    <t>דברות צבי כט &lt;סוטה&gt;</t>
  </si>
  <si>
    <t>דברות צבי כז &lt;נזיר&gt;</t>
  </si>
  <si>
    <t>דברי אור - ה</t>
  </si>
  <si>
    <t>הרשקוביץ, יצחק בן אפרים פישל</t>
  </si>
  <si>
    <t>דברי אמת ואהבה</t>
  </si>
  <si>
    <t>שטנגל, א מ</t>
  </si>
  <si>
    <t>Wien</t>
  </si>
  <si>
    <t>[תרמ"ד]</t>
  </si>
  <si>
    <t>דברי בינה &lt;מכון כנסת&gt; - מכות</t>
  </si>
  <si>
    <t>ברודא, דוב בריש בן חיים</t>
  </si>
  <si>
    <t>דברי ברוך - 6 כרכים</t>
  </si>
  <si>
    <t>קעפעטש, אליהו ברוך</t>
  </si>
  <si>
    <t>דברי דוד יוסף - א</t>
  </si>
  <si>
    <t>אזולאי, דביר דוד יוסף</t>
  </si>
  <si>
    <t>דברי הברית</t>
  </si>
  <si>
    <t>דברי הימים לציון ברוסיא - ב</t>
  </si>
  <si>
    <t>דיינארד, אפרים בן יקותיאל גרשון</t>
  </si>
  <si>
    <t>קארני. נ. דז.,</t>
  </si>
  <si>
    <t>תרס"ד</t>
  </si>
  <si>
    <t>דברי השירה - יבמות, קידושין</t>
  </si>
  <si>
    <t>שרייבר, דוד</t>
  </si>
  <si>
    <t>ראשון לציון</t>
  </si>
  <si>
    <t>דברי זכרון &lt;אור הזכרון&gt; - ג</t>
  </si>
  <si>
    <t>גרוס, מרדכי בן צדוק - שטאט האגן, יוסף בן שמשון</t>
  </si>
  <si>
    <t>דברי זכרון לזכרו של הרב זצ"ל</t>
  </si>
  <si>
    <t>יעקבוביץ, יצחק יחיאל (אודותיו)</t>
  </si>
  <si>
    <t>הרצליה</t>
  </si>
  <si>
    <t>דברי חיים - 2 כרכים</t>
  </si>
  <si>
    <t>אליהו, יוסף חיים</t>
  </si>
  <si>
    <t>דברי חכמים</t>
  </si>
  <si>
    <t>גינזברג, אריה זאב</t>
  </si>
  <si>
    <t>ארצות הברית</t>
  </si>
  <si>
    <t>דברי יהודה - 8 כרכים</t>
  </si>
  <si>
    <t>לורבר, יהודה בן חיים</t>
  </si>
  <si>
    <t>דברי יואל מועדים י &lt;שבועות&gt;</t>
  </si>
  <si>
    <t>טייטלבוים, יואל בן חנניה יום טוב ליפא</t>
  </si>
  <si>
    <t>דברי יוסף</t>
  </si>
  <si>
    <t>פטרובר, יוסף אריה בן שמואל</t>
  </si>
  <si>
    <t>דברי יוסף - 6 כרכים</t>
  </si>
  <si>
    <t>דברי יחזקאל</t>
  </si>
  <si>
    <t>ליפשיץ-האלברשטאם, יחזקאל שרגא בן יששכר דוב</t>
  </si>
  <si>
    <t>באמבערק,</t>
  </si>
  <si>
    <t>תש"ח</t>
  </si>
  <si>
    <t>דברי יעקב</t>
  </si>
  <si>
    <t>טאוושונסקי, יעקב בן שלמה</t>
  </si>
  <si>
    <t>פיעטרקוב Podgorze</t>
  </si>
  <si>
    <t>דברי יעקב - מ"ב סי' ל"ו</t>
  </si>
  <si>
    <t>לקס, יעקב ישראל הכהן</t>
  </si>
  <si>
    <t>דברי יעקב - 9 כרכים</t>
  </si>
  <si>
    <t>עדס, יעקב בן יהודה</t>
  </si>
  <si>
    <t>דברי כבושין - אוזן שומעת</t>
  </si>
  <si>
    <t>אזכרי, אלעזר בן משה</t>
  </si>
  <si>
    <t>דברי מיכאל - בבא מציעא (שנים אוחזין), מכות (כיצד העדים)</t>
  </si>
  <si>
    <t>שהם, מיכאל</t>
  </si>
  <si>
    <t>מתתיהו</t>
  </si>
  <si>
    <t>דברי מרדכי - סוכה</t>
  </si>
  <si>
    <t>מן, מרדכי לייב בן משה</t>
  </si>
  <si>
    <t>דברי מרדכי - 2 כרכים</t>
  </si>
  <si>
    <t>דברי משה</t>
  </si>
  <si>
    <t>מחבר, משה</t>
  </si>
  <si>
    <t>דברי סופרים - 7 כרכים</t>
  </si>
  <si>
    <t>יברוב, נחום בן משה יצחק אהרן</t>
  </si>
  <si>
    <t>דברי סופרים אור אליהו</t>
  </si>
  <si>
    <t>ישיבת אור אלחנן</t>
  </si>
  <si>
    <t>דברי רבותינו הראשונים - בבא קמא</t>
  </si>
  <si>
    <t>בריזל, אלעזר בן דוד אריה</t>
  </si>
  <si>
    <t>דברי שלום</t>
  </si>
  <si>
    <t>מכון שיח אבות</t>
  </si>
  <si>
    <t>דברי שלום - עיונים בש"ס (תניינא)</t>
  </si>
  <si>
    <t>יודייקין, שמואל יצחק גד הכהן</t>
  </si>
  <si>
    <t>דברי שלום ואמת</t>
  </si>
  <si>
    <t>קמפלר, א.מ.    ליברמאן, י.צ.ה.</t>
  </si>
  <si>
    <t>דברי שלום ואמת - 2 כרכים</t>
  </si>
  <si>
    <t>רוזנבליט, שלום</t>
  </si>
  <si>
    <t>דברי שלמה ח"א</t>
  </si>
  <si>
    <t>טולידאנו, שלמה מאיר</t>
  </si>
  <si>
    <t>דברי תורה ושיחות קודש - בראשית</t>
  </si>
  <si>
    <t>מיליקובסקי, יעקב אריה בן חיים (אדמו"ר מאמשינוב)</t>
  </si>
  <si>
    <t>דברים אחדים אל הקורא</t>
  </si>
  <si>
    <t>בן טובים, זלמן</t>
  </si>
  <si>
    <t>תרנ"ט</t>
  </si>
  <si>
    <t>דברים בעתם - פסח</t>
  </si>
  <si>
    <t>בוימל, יוסף</t>
  </si>
  <si>
    <t>דברים היוצאים מן הלב</t>
  </si>
  <si>
    <t>מקסימוב, אוריאל</t>
  </si>
  <si>
    <t>דברים ערבים - ה</t>
  </si>
  <si>
    <t>וינברג, שלמה זלמינא</t>
  </si>
  <si>
    <t>דברים שבלב</t>
  </si>
  <si>
    <t>פייבלזון, אליהו מאיר בן שמואל אביגדור</t>
  </si>
  <si>
    <t>דברים שנאמרו - 2 כרכים</t>
  </si>
  <si>
    <t>קדוש, יצחק</t>
  </si>
  <si>
    <t>דבש צבי</t>
  </si>
  <si>
    <t>ווייס, חיים צבי בן יעקב</t>
  </si>
  <si>
    <t>דבשה של תורה - 3 כרכים</t>
  </si>
  <si>
    <t>גינסבורג, דניאל הלוי</t>
  </si>
  <si>
    <t>דגל ירושלים - ט</t>
  </si>
  <si>
    <t>דגל ישראל סבא - א</t>
  </si>
  <si>
    <t>מוסדות ויזניץ</t>
  </si>
  <si>
    <t>תשכ"ח</t>
  </si>
  <si>
    <t>דגן שמים</t>
  </si>
  <si>
    <t>פאלי, אליהו בן נח</t>
  </si>
  <si>
    <t>דובבות יעקב - 2 כרכים</t>
  </si>
  <si>
    <t>מאשינסקי, יואל נחום</t>
  </si>
  <si>
    <t>דובבות יעקב - 5 כרכים</t>
  </si>
  <si>
    <t>אייזנברג, דב בן אברהם יעקב</t>
  </si>
  <si>
    <t>פוזן, יעקב בן פנחס פרץ</t>
  </si>
  <si>
    <t>דודאי ראובן - א</t>
  </si>
  <si>
    <t>כ"ץ, ראובן בן שמעון הכהן</t>
  </si>
  <si>
    <t>דודאי ראובן - ברכות, שבת, ביצה, כתובות, גיטין, חולין, נדה,</t>
  </si>
  <si>
    <t>סעדון, ראובן בן אליהו</t>
  </si>
  <si>
    <t>דור דור</t>
  </si>
  <si>
    <t>סגל, משה צבי</t>
  </si>
  <si>
    <t>דור המלקטים - 2 כרכים</t>
  </si>
  <si>
    <t>שטילרמן, יוסף בן נחום</t>
  </si>
  <si>
    <t>דור ודורשיו - א</t>
  </si>
  <si>
    <t>מכון צופה פני דמשק</t>
  </si>
  <si>
    <t>דור רביעי - חולין</t>
  </si>
  <si>
    <t>גלזנר, משה שמואל בן אברהם</t>
  </si>
  <si>
    <t>קלויזנבורג</t>
  </si>
  <si>
    <t>תרפ"א</t>
  </si>
  <si>
    <t>דור רבניו וסופריו - א</t>
  </si>
  <si>
    <t>אייזנשטאט, בן-ציון בן משה</t>
  </si>
  <si>
    <t>ורשה</t>
  </si>
  <si>
    <t>תרנ"ה</t>
  </si>
  <si>
    <t>דורון דרשה</t>
  </si>
  <si>
    <t>פלוצ'ק, רפאל מנחם</t>
  </si>
  <si>
    <t>דורות - 42 כרכים</t>
  </si>
  <si>
    <t>הגליון השבועי של בטאון העדה</t>
  </si>
  <si>
    <t>דורש לציון</t>
  </si>
  <si>
    <t>רוזנטאל, דוד זאב בן אשר זליג</t>
  </si>
  <si>
    <t>תרכ"ח - תרכ"ט</t>
  </si>
  <si>
    <t>דורש ציון</t>
  </si>
  <si>
    <t>האס, שמחה בן יהושע</t>
  </si>
  <si>
    <t>תקכ"ד</t>
  </si>
  <si>
    <t>דורשי תורה - תשע"ו</t>
  </si>
  <si>
    <t>יוסף, עובדיה</t>
  </si>
  <si>
    <t>די אויסראטונג פון לאדזשער יידן</t>
  </si>
  <si>
    <t>יאסני, א. וולף</t>
  </si>
  <si>
    <t>די אידישע היים - 2 כרכים</t>
  </si>
  <si>
    <t>ירחון לנשי ובנות חב"ד</t>
  </si>
  <si>
    <t>די אידישע פרוי</t>
  </si>
  <si>
    <t>קרויז, אשר אנשיל</t>
  </si>
  <si>
    <t>תשי"א</t>
  </si>
  <si>
    <t>די ברכה אין שטוב - 38 כרכים</t>
  </si>
  <si>
    <t>בית ברכה מרכז מפעלי חינוך לבנות סטולין קרלין</t>
  </si>
  <si>
    <t>די סדרה און הפטרה - 3 כרכים</t>
  </si>
  <si>
    <t>זליג, ה, ל</t>
  </si>
  <si>
    <t>די תורה וועלט</t>
  </si>
  <si>
    <t>ווילמסבורג</t>
  </si>
  <si>
    <t>דידקטיקה לתלמוד - ב</t>
  </si>
  <si>
    <t>אפרתי, יעקב אליהו</t>
  </si>
  <si>
    <t>דיוקים ודקדוקים בתורה</t>
  </si>
  <si>
    <t>שרעבי, חיים בן סעדיה</t>
  </si>
  <si>
    <t>דיני איסור והיתר על פי נושאים וסדר שו"ע</t>
  </si>
  <si>
    <t>גולן, שמואל ניסים בן פנחס</t>
  </si>
  <si>
    <t>דיני בציעת הפת</t>
  </si>
  <si>
    <t>פררה, יוסף בן חיים</t>
  </si>
  <si>
    <t>דיני גמ"ח כספים</t>
  </si>
  <si>
    <t>ורטהיימר, יוסף</t>
  </si>
  <si>
    <t>דיני ומנהגי בין המצרים</t>
  </si>
  <si>
    <t>יעקב, דוד יוסף</t>
  </si>
  <si>
    <t>דיני ומנהגי הימים הנוראים</t>
  </si>
  <si>
    <t>דיני ומנהגי חג החנוכה</t>
  </si>
  <si>
    <t>דיני ומנהגי חג הסוכות וחול המועד</t>
  </si>
  <si>
    <t>דיני ומנהגי חג הפורים</t>
  </si>
  <si>
    <t>דיני ומנהגי חג הפסח</t>
  </si>
  <si>
    <t>דיני ומנהגי ספירת העומר וחג השבועות</t>
  </si>
  <si>
    <t>דיני חג השבועות שחל ביום א'</t>
  </si>
  <si>
    <t>זיכרמן, ישראל שמעון</t>
  </si>
  <si>
    <t>דיני ישראל - ז</t>
  </si>
  <si>
    <t>דיני כשרות המטבח</t>
  </si>
  <si>
    <t>דיני מנחת העומר</t>
  </si>
  <si>
    <t>יונה, אברהם</t>
  </si>
  <si>
    <t>דיני סוכה וארבעת המינים</t>
  </si>
  <si>
    <t>קרן התרבות דגל ירושלים</t>
  </si>
  <si>
    <t>דיני ערב פסח שחל בערב שבת</t>
  </si>
  <si>
    <t>דיני ערב פסח שחל בשבת</t>
  </si>
  <si>
    <t>זארגער, משה זאב</t>
  </si>
  <si>
    <t>דיני פרוז ומוקף בן יומו</t>
  </si>
  <si>
    <t>דיני תרומות ומעשרות לרבינו האר"י</t>
  </si>
  <si>
    <t>בית המדרש להתיישבות בהלכה</t>
  </si>
  <si>
    <t>דיני תשעה באב שחל בשבת</t>
  </si>
  <si>
    <t>דינים פון קאנטרי</t>
  </si>
  <si>
    <t>סוסנה, מרדכי צבי</t>
  </si>
  <si>
    <t xml:space="preserve">תשכ"ד - </t>
  </si>
  <si>
    <t>דליות דוד - שביעית</t>
  </si>
  <si>
    <t>מצגר, דוד בן יהושע מנחם</t>
  </si>
  <si>
    <t>דם ונפש</t>
  </si>
  <si>
    <t>רובינסון, גרשון</t>
  </si>
  <si>
    <t>דם ענבים - אהלות</t>
  </si>
  <si>
    <t>וינברג, דוב משה בן חיים מאיר</t>
  </si>
  <si>
    <t>דמעת עשוקים</t>
  </si>
  <si>
    <t>חברון. רבנים</t>
  </si>
  <si>
    <t>תרל"ט</t>
  </si>
  <si>
    <t>דמתה לתמר - 5 כרכים</t>
  </si>
  <si>
    <t>דניאל איש חמודות - הלכות תלמוד תורה</t>
  </si>
  <si>
    <t>דניאל עזרא ונחמיה עם תרגום אשכנזי ובאור</t>
  </si>
  <si>
    <t>תנ"ך. תקי"ז</t>
  </si>
  <si>
    <t>וויאן WIEN</t>
  </si>
  <si>
    <t>דע את נפשך</t>
  </si>
  <si>
    <t>מחבר בלבבי משכן אבנה</t>
  </si>
  <si>
    <t>דעה ברורה - 3 כרכים</t>
  </si>
  <si>
    <t>דויטש, אהרן בן זרח</t>
  </si>
  <si>
    <t>דעה חכמה לנפשך - 14 כרכים</t>
  </si>
  <si>
    <t>מורגנשטרן, יצחק מאיר בן יעקב מנחם</t>
  </si>
  <si>
    <t>דעה ערוכה - ריבית</t>
  </si>
  <si>
    <t>אלטמן, אביגדור</t>
  </si>
  <si>
    <t>דער אויפשטאנד אין ווארשעווער געטא</t>
  </si>
  <si>
    <t>דער אוצר פון אלע מדרשים - 4 כרכים</t>
  </si>
  <si>
    <t>זווין, ישראל יוסף</t>
  </si>
  <si>
    <t>דער אידיש אמעריקאנער רעדנער - 2 כרכים</t>
  </si>
  <si>
    <t>זעליקאוויץ, ג</t>
  </si>
  <si>
    <t>תרס"ט</t>
  </si>
  <si>
    <t>דער אידישער שטראל - 5 כרכים</t>
  </si>
  <si>
    <t>דער אידישער שטראל</t>
  </si>
  <si>
    <t>דער וועג צו קדוש השם</t>
  </si>
  <si>
    <t>לאו, משה חיים בן צבי יהודה</t>
  </si>
  <si>
    <t>דבליצקי</t>
  </si>
  <si>
    <t>תרפ"ט</t>
  </si>
  <si>
    <t>דער חפץ חיים</t>
  </si>
  <si>
    <t>וואלף, ח</t>
  </si>
  <si>
    <t>דער יוד (שבועון) - 11 כרכים</t>
  </si>
  <si>
    <t>ארגאן פון אגודת שלומי אמוני ישראל</t>
  </si>
  <si>
    <t>תרע"ט</t>
  </si>
  <si>
    <t>דער שלחן ערוך</t>
  </si>
  <si>
    <t>עהרמאן, נפתלי הירץ</t>
  </si>
  <si>
    <t>דעת אלקים - א</t>
  </si>
  <si>
    <t>טורנר, דוד - קוק, אברהם יצחק הכהן בן שלמה זלמן</t>
  </si>
  <si>
    <t>דעת האיסור</t>
  </si>
  <si>
    <t>מנדה, רפאל</t>
  </si>
  <si>
    <t>ירושלי</t>
  </si>
  <si>
    <t>דעת הסופר - ב ד</t>
  </si>
  <si>
    <t>כהן, קרוס</t>
  </si>
  <si>
    <t xml:space="preserve">תשנ"ט - </t>
  </si>
  <si>
    <t>דעת ותורה</t>
  </si>
  <si>
    <t>דעת יחזקאל - 2 כרכים</t>
  </si>
  <si>
    <t>כהן, יחזקאל</t>
  </si>
  <si>
    <t>דעת ישראל - השכמת הבוקר וציצית</t>
  </si>
  <si>
    <t>דעת כשרות - 9 כרכים</t>
  </si>
  <si>
    <t>הכהן עדני, יעקב ידידיה בן דוד</t>
  </si>
  <si>
    <t>דעת מרן - א</t>
  </si>
  <si>
    <t>מיחאוי, רועי חיים</t>
  </si>
  <si>
    <t>דעת נוטה - על התורה במדבר</t>
  </si>
  <si>
    <t>קנייבסקי, שמריהו יוסף חיים בן יעקב ישראל</t>
  </si>
  <si>
    <t>דעת עזרא &lt;על פירוש ראב"ע&gt; - ב ב (שמות)</t>
  </si>
  <si>
    <t>שינפלד, נחמיה בן משה חיים</t>
  </si>
  <si>
    <t>דעת שלמה - עניני הש"ס והלכה</t>
  </si>
  <si>
    <t>גבאי, שלמה</t>
  </si>
  <si>
    <t>מושב הודיה</t>
  </si>
  <si>
    <t>דעת שמואל - ביעור שביעית</t>
  </si>
  <si>
    <t>דעתן עלך - סוטה</t>
  </si>
  <si>
    <t>אליטוב, אליהו מאיר</t>
  </si>
  <si>
    <t>דף לפרשת השבוע</t>
  </si>
  <si>
    <t>בית הספר עוזיאל</t>
  </si>
  <si>
    <t>דף לתרבות יהודית - 15 כרכים</t>
  </si>
  <si>
    <t>דף לתרבות יהודית</t>
  </si>
  <si>
    <t>דפים לפורים</t>
  </si>
  <si>
    <t>הכהן, מרדכי בן חנוך חיים</t>
  </si>
  <si>
    <t>תשי"ג</t>
  </si>
  <si>
    <t>דר ודר אמונתו</t>
  </si>
  <si>
    <t>טאו, צבי ישראל</t>
  </si>
  <si>
    <t>עצמונה</t>
  </si>
  <si>
    <t>דרוש יד ושם טוב</t>
  </si>
  <si>
    <t>שיפמאן, דוד</t>
  </si>
  <si>
    <t>דרוש לחודש ניסן</t>
  </si>
  <si>
    <t>אהרנברג, יהושע מנחם מנדל</t>
  </si>
  <si>
    <t>דרוש לתשובה - מהדורה חדשה</t>
  </si>
  <si>
    <t>אליהו בן אברהם שלמה הכהן</t>
  </si>
  <si>
    <t>דרוש נאה - 2</t>
  </si>
  <si>
    <t>פישר, עמנואל</t>
  </si>
  <si>
    <t>דרושי המועדים</t>
  </si>
  <si>
    <t>אלבז, מרדכי בן יעקב</t>
  </si>
  <si>
    <t>מודיעין עלית</t>
  </si>
  <si>
    <t>דרושים יקרים</t>
  </si>
  <si>
    <t>כ"ץ, שבתי בן מאיר הכהן</t>
  </si>
  <si>
    <t>תרנ"ד,</t>
  </si>
  <si>
    <t>דרישה וחקירה - א</t>
  </si>
  <si>
    <t>לינטופ, יהושע בן שמואל הכהן</t>
  </si>
  <si>
    <t>דרישה וחקירה - 3 כרכים</t>
  </si>
  <si>
    <t>לינטופ, יהושע (עורך)</t>
  </si>
  <si>
    <t>דרישת כבוד חכמי התורה</t>
  </si>
  <si>
    <t>ירושלים. חברת "דרישת כבוד חכמי התורה"</t>
  </si>
  <si>
    <t>תרנ"ח</t>
  </si>
  <si>
    <t>דרישת ציון</t>
  </si>
  <si>
    <t>תאומים, יחזקאל בן יצחק</t>
  </si>
  <si>
    <t>פראנקפורט דאדר,</t>
  </si>
  <si>
    <t>טהארן,</t>
  </si>
  <si>
    <t>דרך אמונה &lt;פותח שערים&gt;</t>
  </si>
  <si>
    <t>אבן גבאי, מאיר בן יחזקאל</t>
  </si>
  <si>
    <t>דרך אמונה &lt;שיח אמונה&gt; - שמיטה ויובל</t>
  </si>
  <si>
    <t>דרך אמונה - מהדורה חדשה</t>
  </si>
  <si>
    <t>דרך אמונה בחרתי</t>
  </si>
  <si>
    <t>הס, מרדכי זאב</t>
  </si>
  <si>
    <t>נווה</t>
  </si>
  <si>
    <t>דרך ברורה - בורר</t>
  </si>
  <si>
    <t>נמצקי, אליהו בן צבי יהודה</t>
  </si>
  <si>
    <t>דרך ה' - ג (פרקים א-ה)</t>
  </si>
  <si>
    <t>לוצאטו, משה חיים בן יעקב חי (רמח"ל) - פרץ, פנחס שמעון בן יעקב</t>
  </si>
  <si>
    <t>דרך החיים</t>
  </si>
  <si>
    <t>קצין, רפאל בן אליהו</t>
  </si>
  <si>
    <t>קושטאנדינה</t>
  </si>
  <si>
    <t>תר"ח</t>
  </si>
  <si>
    <t>דרך הישר להילדים</t>
  </si>
  <si>
    <t>מזרחי, נחמיה בן אלחנן</t>
  </si>
  <si>
    <t>[תרכ"ב]</t>
  </si>
  <si>
    <t>דרך המלך</t>
  </si>
  <si>
    <t>יוסף, עובדיה בן יעקב</t>
  </si>
  <si>
    <t>דרך הקודש</t>
  </si>
  <si>
    <t>דרך זו אלך</t>
  </si>
  <si>
    <t>פחה, יאיר ידידה</t>
  </si>
  <si>
    <t>דרך חדשה</t>
  </si>
  <si>
    <t>כהן, מאור</t>
  </si>
  <si>
    <t>דרך חיים &lt;אלף בינה&gt; - א</t>
  </si>
  <si>
    <t>לוס אנגלס</t>
  </si>
  <si>
    <t>דרך חיים - 10 כרכים</t>
  </si>
  <si>
    <t>אזבנד, חיים מרדכי בן אייזיק</t>
  </si>
  <si>
    <t>דרך ישרה - עניני שחיטה</t>
  </si>
  <si>
    <t>כהן, ישראל בן צבי</t>
  </si>
  <si>
    <t>דרך מצותיך המבואר - 2 כרכים</t>
  </si>
  <si>
    <t>שניאורסון, מנחם מנדל בן שלום שכנא</t>
  </si>
  <si>
    <t>דרך נתיבה - א</t>
  </si>
  <si>
    <t>בטאון לליבון סוגיות בעבודה סוציאלית לאור ההשקפה היהודית</t>
  </si>
  <si>
    <t>דרך עדותיך - ראש השנה</t>
  </si>
  <si>
    <t>קאהן, דוד בן אברהם יצחק (אדמו"ר מתו"א)</t>
  </si>
  <si>
    <t>דרך עץ החיים - 14 כרכים</t>
  </si>
  <si>
    <t>ארלנגר, פנחס בן יצחק</t>
  </si>
  <si>
    <t>דרך פקודיך &lt;הגהות הצבי והצדק&gt;</t>
  </si>
  <si>
    <t>דרכי אבות</t>
  </si>
  <si>
    <t>דרכי ברוך - 2 כרכים</t>
  </si>
  <si>
    <t>קמפה, ברוך מרדכי בן אורי דוד</t>
  </si>
  <si>
    <t>דרכי ברכות</t>
  </si>
  <si>
    <t>גרוסמן, יצחק מרדכי</t>
  </si>
  <si>
    <t>דרכי דעה - 2 כרכים</t>
  </si>
  <si>
    <t>גרינפלד, מרדכי צבי</t>
  </si>
  <si>
    <t>דרכי ההוראה</t>
  </si>
  <si>
    <t>קליין, משה שאול</t>
  </si>
  <si>
    <t>דרכי החינוך</t>
  </si>
  <si>
    <t>לרנר, מרדכי</t>
  </si>
  <si>
    <t>דרכי הנחמה למעשה</t>
  </si>
  <si>
    <t>צארום, יהודה</t>
  </si>
  <si>
    <t>דרכי השביעית</t>
  </si>
  <si>
    <t>שינדלר, מרדכי בן לוי יצחק</t>
  </si>
  <si>
    <t>דרכי טוהר - נדה</t>
  </si>
  <si>
    <t>אלברמן, מרדכי דוד</t>
  </si>
  <si>
    <t>דרכי יצחק - 3 כרכים</t>
  </si>
  <si>
    <t>דרכי ישרים - עירובין מחיצות</t>
  </si>
  <si>
    <t>שניידר, מרדכי</t>
  </si>
  <si>
    <t>דרכי משה עקבות יצחק</t>
  </si>
  <si>
    <t>מוסדות קרלין לעלוב</t>
  </si>
  <si>
    <t>דרכי נועם</t>
  </si>
  <si>
    <t>גוטליב, מנחם בן אליעזר</t>
  </si>
  <si>
    <t>האננאפער</t>
  </si>
  <si>
    <t>תרנ"ו</t>
  </si>
  <si>
    <t>בלוגראדו,</t>
  </si>
  <si>
    <t>תקצ"ט</t>
  </si>
  <si>
    <t>דרכי נעם - ב</t>
  </si>
  <si>
    <t>פרלמוטר, יעקב</t>
  </si>
  <si>
    <t>דרכי צבי - 8 כרכים</t>
  </si>
  <si>
    <t>לרנר, צבי יוסף</t>
  </si>
  <si>
    <t>דרכי צדק השלם</t>
  </si>
  <si>
    <t>זכריה מנחם מנדל</t>
  </si>
  <si>
    <t>דרכי שלום</t>
  </si>
  <si>
    <t>פרידמן, שלום</t>
  </si>
  <si>
    <t>דרכי תורה - 5 כרכים</t>
  </si>
  <si>
    <t>מילר, אלחנן בן שלמה הלוי</t>
  </si>
  <si>
    <t>דרש יהודה - פרקי אבות</t>
  </si>
  <si>
    <t>מועלם, יהודה בן יצחק</t>
  </si>
  <si>
    <t>דרשה</t>
  </si>
  <si>
    <t>סולובייצ'יק, יוסף דוב בן משה הלוי</t>
  </si>
  <si>
    <t>דרשה לישראל - 2 כרכים</t>
  </si>
  <si>
    <t>ישראל, אברהם</t>
  </si>
  <si>
    <t>דרשות אמרי סופר - 2 כרכים</t>
  </si>
  <si>
    <t>דרשות בגדי כהן - 2 כרכים</t>
  </si>
  <si>
    <t>כ"ץ, צבי יששכר דוב</t>
  </si>
  <si>
    <t>דרשות התורה - ויקרא</t>
  </si>
  <si>
    <t>עובד, אפרים</t>
  </si>
  <si>
    <t>דרשות וחידושי רבי בנימין וידאל עדו</t>
  </si>
  <si>
    <t>בנימין וידאל עדו - סידיס, ניר ישראל</t>
  </si>
  <si>
    <t>דרשות מהחיים והטבע</t>
  </si>
  <si>
    <t>טשארני, אהרן ראובן</t>
  </si>
  <si>
    <t>דרשות נודע ביהודה השלם - 2 כרכים</t>
  </si>
  <si>
    <t>לאנדא, יחזקאל בן יהודה הלוי</t>
  </si>
  <si>
    <t>דרשות רבינו בעל האמרי יהודה מסעקלהיד - ימים נוראים וחג הסוכות</t>
  </si>
  <si>
    <t>דרשת בר מצוה</t>
  </si>
  <si>
    <t>גליק, יוסף בן אברהם</t>
  </si>
  <si>
    <t>דרשת הבר מצוה</t>
  </si>
  <si>
    <t>היילפרין, דוד יהודה</t>
  </si>
  <si>
    <t>דרשת שבת הגדול</t>
  </si>
  <si>
    <t>דרשת שדרש הרמב"ן &lt;תורת ה' תמימה&gt;</t>
  </si>
  <si>
    <t>משה בן נחמן (רמב"ן)</t>
  </si>
  <si>
    <t>תרל"ה</t>
  </si>
  <si>
    <t>דת ודעת - 4 כרכים</t>
  </si>
  <si>
    <t>בער, צבי</t>
  </si>
  <si>
    <t>דת ומדינה</t>
  </si>
  <si>
    <t>מירסקי, שמואל קלמן בן משה צבי</t>
  </si>
  <si>
    <t>ניו-יורק,</t>
  </si>
  <si>
    <t>ה' אוהב אותי תמיד</t>
  </si>
  <si>
    <t>פריד, שרה</t>
  </si>
  <si>
    <t>ה' רועי - א</t>
  </si>
  <si>
    <t>ה'יום יום' לעם</t>
  </si>
  <si>
    <t>קפלון, אלישיב הכהן</t>
  </si>
  <si>
    <t>האדם ועולמו בראי היהדות והקבלה</t>
  </si>
  <si>
    <t>בלוי, אורי בן יוסף חיים</t>
  </si>
  <si>
    <t>האדרת והאמונה</t>
  </si>
  <si>
    <t>אדמו"ר מפוריסוב</t>
  </si>
  <si>
    <t>האהל - 13 כרכים</t>
  </si>
  <si>
    <t>ממלכת התורה וכתבתם</t>
  </si>
  <si>
    <t>האומה היהודית של ליוורנו - מסלולי חיים</t>
  </si>
  <si>
    <t>ליוורנו. קהילה</t>
  </si>
  <si>
    <t>האוניברסליות של היהדות</t>
  </si>
  <si>
    <t>תשי"ג,</t>
  </si>
  <si>
    <t>האושר שבמועדים</t>
  </si>
  <si>
    <t>גרינבוים, נפתלי</t>
  </si>
  <si>
    <t>האושר שבנישואין</t>
  </si>
  <si>
    <t>עובד, אפרים בן יוסף</t>
  </si>
  <si>
    <t>האותיות וסודותיהן</t>
  </si>
  <si>
    <t>כהנא, שמואל זאנוויל בן שלמה דוד</t>
  </si>
  <si>
    <t>האיגוד - 2 כרכים</t>
  </si>
  <si>
    <t>האיגוד</t>
  </si>
  <si>
    <t>האיחוד - יב</t>
  </si>
  <si>
    <t>בטאון איחוד הבחורים דחסידי סטריקוב</t>
  </si>
  <si>
    <t>האיש על העדה - רבי עזרא עטיה זצ"ל</t>
  </si>
  <si>
    <t>עטיה, יהודה</t>
  </si>
  <si>
    <t>האלף לך שלמה &lt;מהדורה מוערת&gt; - א</t>
  </si>
  <si>
    <t>קלוגר, שלמה בן יהודה אהרן</t>
  </si>
  <si>
    <t>האמנתי ואברכה</t>
  </si>
  <si>
    <t>טולידאנו, משה בן יוסף</t>
  </si>
  <si>
    <t>האספיטאל</t>
  </si>
  <si>
    <t>חברת משגב לדך</t>
  </si>
  <si>
    <t xml:space="preserve">ת"ט - </t>
  </si>
  <si>
    <t>הארה דפוריא</t>
  </si>
  <si>
    <t>הארות חיים - 4 כרכים</t>
  </si>
  <si>
    <t>איינהורן, חיים צבי</t>
  </si>
  <si>
    <t>הארץ ומצוותיה</t>
  </si>
  <si>
    <t>יפרח, דוד</t>
  </si>
  <si>
    <t>הארת שבת</t>
  </si>
  <si>
    <t>זכאי, שלמה בן אהרן</t>
  </si>
  <si>
    <t>הארת תורה - ויקרא</t>
  </si>
  <si>
    <t>פוסטבסקי, אהרן בן שאול הכהן</t>
  </si>
  <si>
    <t>האשכולות</t>
  </si>
  <si>
    <t>שוב, שלמה בן נסים</t>
  </si>
  <si>
    <t>האשנב - א</t>
  </si>
  <si>
    <t>שטרן, אליהו בן נפתלי</t>
  </si>
  <si>
    <t>הבאר - שנה ג</t>
  </si>
  <si>
    <t>פרידלינג, צבי הירש (עורך) - קובץ תורני</t>
  </si>
  <si>
    <t>זאמושטץ</t>
  </si>
  <si>
    <t>תרפ"ג - תרצ"ג</t>
  </si>
  <si>
    <t>הבוגד בוגד</t>
  </si>
  <si>
    <t>נימרק, דוד בן שלמה</t>
  </si>
  <si>
    <t xml:space="preserve">1902 - </t>
  </si>
  <si>
    <t>הבינני ואשיחה</t>
  </si>
  <si>
    <t>אנגלנדר, יעקב הכהן</t>
  </si>
  <si>
    <t>הבן האובד</t>
  </si>
  <si>
    <t>ברמאן, שלמה בן אברהם ליב</t>
  </si>
  <si>
    <t>תל-אביב</t>
  </si>
  <si>
    <t>[תשט"ו,</t>
  </si>
  <si>
    <t>הברכה והמצוה</t>
  </si>
  <si>
    <t>שטרסלר, יוסף חיים בן אברהם</t>
  </si>
  <si>
    <t>הברכות כהלכתן</t>
  </si>
  <si>
    <t>ינאי, יאיר</t>
  </si>
  <si>
    <t>הגאולה בסוד חודשי השנה</t>
  </si>
  <si>
    <t>הגאון החסיד מוילנא - השלמות ותיקונים למהדורה ראשונה</t>
  </si>
  <si>
    <t>לנדוי, בצלאל בן לוי יצחק</t>
  </si>
  <si>
    <t>הגאון רבי אליעזר עוזר</t>
  </si>
  <si>
    <t>לבינסון, נפתלי</t>
  </si>
  <si>
    <t>הגבורה והנבואה</t>
  </si>
  <si>
    <t>תשט"ז,</t>
  </si>
  <si>
    <t>הגדה לפרחות</t>
  </si>
  <si>
    <t>שוויינברג, טוביה פרץ</t>
  </si>
  <si>
    <t>Lemberg</t>
  </si>
  <si>
    <t>[תרע"א].</t>
  </si>
  <si>
    <t>הגדה של יום טוב - סוכות</t>
  </si>
  <si>
    <t>קירשנבוים, אברהם צבי</t>
  </si>
  <si>
    <t>הגדה של פסח &lt;לפי מנהגי ויזניץ&gt;</t>
  </si>
  <si>
    <t>הגדה של פסח. תשכ"ח. נתניה</t>
  </si>
  <si>
    <t>נתניה</t>
  </si>
  <si>
    <t>הגדה של פסח &lt;משא גיא חזיון&gt;</t>
  </si>
  <si>
    <t>פרומקין, אריה ליב בן שמואל</t>
  </si>
  <si>
    <t>הגדה של פסח &lt;שירת יהודה&gt;</t>
  </si>
  <si>
    <t>גינזבורג, אליעזר בן אפרים מרדכי</t>
  </si>
  <si>
    <t>הגדה של פסח &lt;ברכת נתנאל&gt;</t>
  </si>
  <si>
    <t>תמיר, רועי צבי</t>
  </si>
  <si>
    <t>הגדה של פסח - הפוך בה</t>
  </si>
  <si>
    <t>קטשה, עזרא אריאל בן שלמה הלוי</t>
  </si>
  <si>
    <t>הגדה של פסח - נהורא דהגדתא</t>
  </si>
  <si>
    <t>סבאג, נהוראי בן אלדד</t>
  </si>
  <si>
    <t>הגדה של פסח - אוצרות אברהם</t>
  </si>
  <si>
    <t>עטייה, אברהם</t>
  </si>
  <si>
    <t>הגדה של פסח &lt;עיוני ההגדה&gt;</t>
  </si>
  <si>
    <t>בניש, חיים פנחס</t>
  </si>
  <si>
    <t>הגדה של פסח &lt;מלחמות ה'&gt;</t>
  </si>
  <si>
    <t>אריאלי, שלמה בן חיים יעקב</t>
  </si>
  <si>
    <t>הגדה של פסח &lt;אור החיים הקדוש&gt;</t>
  </si>
  <si>
    <t>הגדה של פסח &lt;אוצרות יהודה&gt;</t>
  </si>
  <si>
    <t>טריקי, יוסף שלמה - טריקי, יהודה מאיר</t>
  </si>
  <si>
    <t>הגדה של פסח - שירת דוד</t>
  </si>
  <si>
    <t>גולדברג, אהרן דוד בן יצחק הלוי</t>
  </si>
  <si>
    <t>אוהיו</t>
  </si>
  <si>
    <t>הגדה של פסח - מגיד דבריו, דברי שיר</t>
  </si>
  <si>
    <t>הגדה של פסח &lt;מעשה כהן&gt;</t>
  </si>
  <si>
    <t>כהן, משה שמעון עקיבא בן כתריאל יהודה</t>
  </si>
  <si>
    <t>הגדה של פסח {משחת שמן)</t>
  </si>
  <si>
    <t>קויפמאן, חיים שאול</t>
  </si>
  <si>
    <t>הגדה של פסח אמרי רפאל</t>
  </si>
  <si>
    <t>אזואלוס, רפאל בן שמואל</t>
  </si>
  <si>
    <t>הגדה של פסח גבורת יצחק</t>
  </si>
  <si>
    <t>דזובאס, אברהם יצחק בן דוד מאיר</t>
  </si>
  <si>
    <t>פיוטרקוב</t>
  </si>
  <si>
    <t>הגדה של פסח גדולי ישראל</t>
  </si>
  <si>
    <t>שטיין, ישראל אברהם בן שלמה אהרן הכהן</t>
  </si>
  <si>
    <t>הגדה של פסח מבית אב</t>
  </si>
  <si>
    <t>הגדה של פסח נפש יהודי</t>
  </si>
  <si>
    <t>גרטנר, יוסף</t>
  </si>
  <si>
    <t>הגדה של פסח ע"פ ברכת השיר</t>
  </si>
  <si>
    <t>הגדה של פסח עם איי הים</t>
  </si>
  <si>
    <t>הגדה של פסח תפארת יעקב &lt;נהורא השלם יריעות שלמה&gt;</t>
  </si>
  <si>
    <t>הגדה של פרשה</t>
  </si>
  <si>
    <t>הגדולות אשר עשה אלישע - שיעורים</t>
  </si>
  <si>
    <t>כהן, שמעון</t>
  </si>
  <si>
    <t>הגדת העתיד</t>
  </si>
  <si>
    <t>ווייס, שאול יחזקאל</t>
  </si>
  <si>
    <t>הגדת מהרש"ם</t>
  </si>
  <si>
    <t>שוואדרון, שלום מרדכי בן משה הכהן</t>
  </si>
  <si>
    <t>הגה רא"ם</t>
  </si>
  <si>
    <t>מזאה, אליהו מרדכי הכהן</t>
  </si>
  <si>
    <t>הגורלות לאחיתופל</t>
  </si>
  <si>
    <t>גורלות אחיתופל. תרכ"ו</t>
  </si>
  <si>
    <t>הגות - בין ישראל לעמים</t>
  </si>
  <si>
    <t>מאסף למחשבה יהודית</t>
  </si>
  <si>
    <t>תשל"ח</t>
  </si>
  <si>
    <t>הגות תשובה</t>
  </si>
  <si>
    <t>קוטלר, אריה מלכיאל</t>
  </si>
  <si>
    <t>הגיגים על העם התורה והמדינה</t>
  </si>
  <si>
    <t>ירון, צבי</t>
  </si>
  <si>
    <t>ירושלים-תלאביב</t>
  </si>
  <si>
    <t>הגיון לבי - 3 כרכים</t>
  </si>
  <si>
    <t>ברזל, יוסף צבי</t>
  </si>
  <si>
    <t>הגיונות במקרא ובחינוך</t>
  </si>
  <si>
    <t>קיל, יהודה</t>
  </si>
  <si>
    <t>הגיוני שמואל - 5 כרכים</t>
  </si>
  <si>
    <t>כהן, שמואל</t>
  </si>
  <si>
    <t>הגן הנעלם</t>
  </si>
  <si>
    <t>הדור קבלוה</t>
  </si>
  <si>
    <t>הלוי, מיכה</t>
  </si>
  <si>
    <t>הדנו - שנה תשיעית גליון א</t>
  </si>
  <si>
    <t>ניו יורק. ישיבת ר' יצחק אלחנן</t>
  </si>
  <si>
    <t>הדעה והדיבור - 50 כרכים</t>
  </si>
  <si>
    <t>הדק היטב</t>
  </si>
  <si>
    <t>רפאל, אסף</t>
  </si>
  <si>
    <t>הדר בלולב</t>
  </si>
  <si>
    <t>בלודשטארק, ישראל בן שאול</t>
  </si>
  <si>
    <t xml:space="preserve">מודיעין עילית </t>
  </si>
  <si>
    <t>הדר הודו - הלכות אבילות</t>
  </si>
  <si>
    <t>סאמעט, פינחס בן בנימין</t>
  </si>
  <si>
    <t>הדר המועדים - ירח האיתנים</t>
  </si>
  <si>
    <t>שנדורפי, איתן</t>
  </si>
  <si>
    <t>הדר הנביאים</t>
  </si>
  <si>
    <t>הדר התורה - 4 כרכים</t>
  </si>
  <si>
    <t>הדרך אל ד' - 2 כרכים</t>
  </si>
  <si>
    <t>סמליוס, אברהם חיים</t>
  </si>
  <si>
    <t>הדרך אל השמחה</t>
  </si>
  <si>
    <t>הדרת קדש</t>
  </si>
  <si>
    <t>קליינמאן, משה חיים בן אברהם יוסף</t>
  </si>
  <si>
    <t>תרפ"ה</t>
  </si>
  <si>
    <t>הדרת קדש - ויקרא - במדבר</t>
  </si>
  <si>
    <t>ההד - 23 כרכים</t>
  </si>
  <si>
    <t>ההד. ירושלים.</t>
  </si>
  <si>
    <t>ההפרשה - שיעורים במסכת תרומות</t>
  </si>
  <si>
    <t>סלושץ, מרדכי אליהו בן חיים משה אהרן</t>
  </si>
  <si>
    <t>ההשגחה במקרא</t>
  </si>
  <si>
    <t>בארט, אהרן בן יעקב</t>
  </si>
  <si>
    <t>(תל-אביב),</t>
  </si>
  <si>
    <t>הואיל משה באר &lt;פירוש על אבן עזרא&gt;  - 6 כרכים</t>
  </si>
  <si>
    <t>כרמי, משה בן שלמה חיים</t>
  </si>
  <si>
    <t>עיש,</t>
  </si>
  <si>
    <t>תקצ"ג</t>
  </si>
  <si>
    <t>הואיל משה באר &lt;על סדר התפילה&gt;  - 2 כרכים</t>
  </si>
  <si>
    <t>הוד והדר</t>
  </si>
  <si>
    <t>שולמאן, חיים בן  שמריהו</t>
  </si>
  <si>
    <t>הוד צבי - א</t>
  </si>
  <si>
    <t>אדלשטיין, צבי יהודה בן ירחמיאל גרשון</t>
  </si>
  <si>
    <t>הודאת צבי - קידושין, חגיגה</t>
  </si>
  <si>
    <t>אדלשטיין, צבי יהודה בן יעקב</t>
  </si>
  <si>
    <t>הוי חסיד</t>
  </si>
  <si>
    <t>בלוך, אליהו משה בן אברהם דוד</t>
  </si>
  <si>
    <t>הולך תמים - בבא בתרא</t>
  </si>
  <si>
    <t>ברנד, אברהם</t>
  </si>
  <si>
    <t>הולך תמים ופועל צדק</t>
  </si>
  <si>
    <t>קיסטר, אליעזר בן יצחק</t>
  </si>
  <si>
    <t>הוראה ומשפט &lt;ליובאוויטש&gt;  - 3 כרכים</t>
  </si>
  <si>
    <t>גליון בית המדרש</t>
  </si>
  <si>
    <t>הוראות והנהגות מרבינו חיים מוואלוז'ין - אגרת הגר"א</t>
  </si>
  <si>
    <t xml:space="preserve">חיים בן יצחק מוואלוזין - אליהו בן שלמה זלמן (הגר"א) </t>
  </si>
  <si>
    <t>הוראת שעה</t>
  </si>
  <si>
    <t>[תרע"ב]</t>
  </si>
  <si>
    <t>הורודנקה</t>
  </si>
  <si>
    <t>ספר קהילה</t>
  </si>
  <si>
    <t>תשכ"ג</t>
  </si>
  <si>
    <t>הזהיר בנר</t>
  </si>
  <si>
    <t>לובין, מנחם מנדל</t>
  </si>
  <si>
    <t>הזורעים בדמעה</t>
  </si>
  <si>
    <t>יברוב, שמואל בן יעקב מרדכי</t>
  </si>
  <si>
    <t>הזיוף הגדול</t>
  </si>
  <si>
    <t>ז. כ"ץ-שור</t>
  </si>
  <si>
    <t>החברה בהלכה ובמחשבה - ב</t>
  </si>
  <si>
    <t>מנהל קהילתי רמת שלמה</t>
  </si>
  <si>
    <t>החודש הזה</t>
  </si>
  <si>
    <t>החוט המשולש - יב</t>
  </si>
  <si>
    <t>החיים והשלום</t>
  </si>
  <si>
    <t>פרוש, מרדכי בן חיים</t>
  </si>
  <si>
    <t>החיים והשלום - ב</t>
  </si>
  <si>
    <t>הדאיה, שלום בן משה חיים</t>
  </si>
  <si>
    <t>תרפ"ו - תרצ"ז</t>
  </si>
  <si>
    <t>החיים לפניך</t>
  </si>
  <si>
    <t>טאובר, עזריאל</t>
  </si>
  <si>
    <t>החיל והחוסן</t>
  </si>
  <si>
    <t>וייס, אלחנן</t>
  </si>
  <si>
    <t>החינוך הדתי</t>
  </si>
  <si>
    <t>החיפני והגלילי - שלשלת רבני חיפה</t>
  </si>
  <si>
    <t>דבדה, יצחק</t>
  </si>
  <si>
    <t>החלוף</t>
  </si>
  <si>
    <t>וילנא</t>
  </si>
  <si>
    <t>תרמ"א</t>
  </si>
  <si>
    <t>החלוקה</t>
  </si>
  <si>
    <t>לונץ, אברהם משה בן צבי</t>
  </si>
  <si>
    <t>[תרע"ב,</t>
  </si>
  <si>
    <t>החסיד מהמבורג</t>
  </si>
  <si>
    <t>סגל, יוכבד</t>
  </si>
  <si>
    <t>החציצה הלכה למעשה</t>
  </si>
  <si>
    <t>החשמל בשבת</t>
  </si>
  <si>
    <t>מורגנשטרן, ישראל מאיר בן דוד אריה</t>
  </si>
  <si>
    <t>הט"ז הידוע</t>
  </si>
  <si>
    <t>קאהן, דוד בן צבי משה</t>
  </si>
  <si>
    <t>הטבע</t>
  </si>
  <si>
    <t>תשי"ז,</t>
  </si>
  <si>
    <t>הטהרה בהלכה ובאגדה (מקוצר)</t>
  </si>
  <si>
    <t>היא שיחתי</t>
  </si>
  <si>
    <t>קסלר, שמחה בן יוסף</t>
  </si>
  <si>
    <t>היהדות מבעד לסורג ובריח</t>
  </si>
  <si>
    <t>גרשוני, אהרן אליהו בן ישראל גרשון</t>
  </si>
  <si>
    <t>היהודים והיהדות בנויארק</t>
  </si>
  <si>
    <t>וויינברגר, משה בן יששכר דוב</t>
  </si>
  <si>
    <t>תקמ"ז</t>
  </si>
  <si>
    <t>היומנים נחשפים</t>
  </si>
  <si>
    <t>ולצר, ברוך (עליו)</t>
  </si>
  <si>
    <t>היופי שבצער</t>
  </si>
  <si>
    <t>היחיד בדורות</t>
  </si>
  <si>
    <t>היכון לקראת אלוקיך יעקב</t>
  </si>
  <si>
    <t>חזן, יעקב</t>
  </si>
  <si>
    <t>היכל הזכות</t>
  </si>
  <si>
    <t>נוסנצווייג, יעקב בן זאב פנחס</t>
  </si>
  <si>
    <t>היכל השמחה</t>
  </si>
  <si>
    <t>גשטטנר, יחיאל מיכל</t>
  </si>
  <si>
    <t>היכלא - 3 כרכים</t>
  </si>
  <si>
    <t>קהילת בני תורה הר נוף</t>
  </si>
  <si>
    <t>הימים הלאומיים - גישת חב"ד</t>
  </si>
  <si>
    <t>רשת חינוך חב"ד</t>
  </si>
  <si>
    <t>הין צדק &lt;מהדורה חדשה&gt;</t>
  </si>
  <si>
    <t>שפירא, מנחם מנדל בן משה ישעיהו</t>
  </si>
  <si>
    <t>הירח</t>
  </si>
  <si>
    <t>בלומנטל, אהרן שמחה בן יעקב</t>
  </si>
  <si>
    <t>היתה אור"ה</t>
  </si>
  <si>
    <t>וואהל, אריה בן אפרים משה</t>
  </si>
  <si>
    <t>הכאב האמיתי</t>
  </si>
  <si>
    <t>פרידמן, נפתלי</t>
  </si>
  <si>
    <t>הכוזרי &lt;מבחר פרקים&gt;</t>
  </si>
  <si>
    <t>יהודה הלוי</t>
  </si>
  <si>
    <t>הכינוס לעיון בהלכות הקודש והמקדש</t>
  </si>
  <si>
    <t>לקט מאמרים</t>
  </si>
  <si>
    <t>הכנה לסעודה</t>
  </si>
  <si>
    <t>לוין, דוד משה הלוי</t>
  </si>
  <si>
    <t>הכנות לחתונה</t>
  </si>
  <si>
    <t>קרץ, דוד</t>
  </si>
  <si>
    <t>עפולה</t>
  </si>
  <si>
    <t>הכתב והלשון - ג</t>
  </si>
  <si>
    <t>ריבלין, שלמה זלמן</t>
  </si>
  <si>
    <t>תרע"ה</t>
  </si>
  <si>
    <t>הכתוב לחיים - כתובות</t>
  </si>
  <si>
    <t>וויס, חיים יוסף</t>
  </si>
  <si>
    <t>הלולא רבא - ל"ג בעומר</t>
  </si>
  <si>
    <t>ליוורנו,</t>
  </si>
  <si>
    <t>תרל"ז</t>
  </si>
  <si>
    <t>הלולא רבא</t>
  </si>
  <si>
    <t>תיקונים. ל"ג בעומר. תר"ך. ליוורנו</t>
  </si>
  <si>
    <t>תרנ"א</t>
  </si>
  <si>
    <t>הלולא רבא החדש</t>
  </si>
  <si>
    <t>תיקונים. ל"ג בעומר. תרס"ט. ירושלים</t>
  </si>
  <si>
    <t>הלולי דוד</t>
  </si>
  <si>
    <t>שרמן, דוד הלל</t>
  </si>
  <si>
    <t>הליכות אבן ישראל - שבת ב</t>
  </si>
  <si>
    <t>פישר, ישראל יעקב בן אהרן</t>
  </si>
  <si>
    <t>הליכות בכורות - 2 כרכים</t>
  </si>
  <si>
    <t>רקוב, יוסף</t>
  </si>
  <si>
    <t>הליכות המשנה - ראש השנה</t>
  </si>
  <si>
    <t>פרידמן, זאב</t>
  </si>
  <si>
    <t>תשמ"ו</t>
  </si>
  <si>
    <t>הליכות הסופר</t>
  </si>
  <si>
    <t>תשעא</t>
  </si>
  <si>
    <t>הליכות והנהגות מרן הגרי"ש אלישיב - פורים</t>
  </si>
  <si>
    <t xml:space="preserve">תשס"ה - </t>
  </si>
  <si>
    <t>הליכות חיים - 2 כרכים</t>
  </si>
  <si>
    <t>הלברשטאם, יקותיאל יהודה בן צבי הירש - קלוגר, אהרן יהושע</t>
  </si>
  <si>
    <t>תשס''ג</t>
  </si>
  <si>
    <t>הליכות טוהר</t>
  </si>
  <si>
    <t>רייזמן, אהרן</t>
  </si>
  <si>
    <t>הליכות ירח האיתנים - סדר תקיעותנו ארבעת המינים</t>
  </si>
  <si>
    <t>טוקצינסקי, יחיאל מיכל בן צבי אריה</t>
  </si>
  <si>
    <t>הליכות כריתות - 2 כרכים</t>
  </si>
  <si>
    <t>הליכות מעילה</t>
  </si>
  <si>
    <t>הליכות עולם - 8 כרכים</t>
  </si>
  <si>
    <t>תש"סב</t>
  </si>
  <si>
    <t>הליכות עולם לו</t>
  </si>
  <si>
    <t>לוי, דוד בן יהודה</t>
  </si>
  <si>
    <t>הליכות פסח</t>
  </si>
  <si>
    <t>הליכות שדה - 12 כרכים</t>
  </si>
  <si>
    <t>המכון לחקר החקלאות ע"פ התורה</t>
  </si>
  <si>
    <t>הלילא דמרדכי</t>
  </si>
  <si>
    <t>גולוב, מרדכי אורי</t>
  </si>
  <si>
    <t>הלימוד עם נותן התורה</t>
  </si>
  <si>
    <t>הלכה ברורה - יט</t>
  </si>
  <si>
    <t>יוסף, דוד בן עובדיה</t>
  </si>
  <si>
    <t>הלכה ומשפט - 6 כרכים</t>
  </si>
  <si>
    <t>קובץ מכון הלכה ומשפט</t>
  </si>
  <si>
    <t>הלכה למעשה - שביעית</t>
  </si>
  <si>
    <t>שפירא, אליעזר דוד</t>
  </si>
  <si>
    <t>הלכה סדורה</t>
  </si>
  <si>
    <t>כולל תפארת שלמה</t>
  </si>
  <si>
    <t>הלכה שלימה - 2 כרכים</t>
  </si>
  <si>
    <t>סודרי, שלמה</t>
  </si>
  <si>
    <t>הלכות "קירבה", והלכות יחוד</t>
  </si>
  <si>
    <t>כרמי, יצחק</t>
  </si>
  <si>
    <t>הלכות ברכת האילנות</t>
  </si>
  <si>
    <t>בן חיים אברהם בן דוד</t>
  </si>
  <si>
    <t>הלכות דנדה</t>
  </si>
  <si>
    <t>בדוש, אברהם בן מימון</t>
  </si>
  <si>
    <t>הלכות הגינה</t>
  </si>
  <si>
    <t>הלכות הרי"ף כפשוטן - שבת</t>
  </si>
  <si>
    <t>אלפאסי, יצחק בן יעקב (רי"ף)</t>
  </si>
  <si>
    <t>הלכות ומנהגי בית כנסת</t>
  </si>
  <si>
    <t>אדלר, בנימין בן שמעון</t>
  </si>
  <si>
    <t>הלכות ומנהגים למתפלל יחידי</t>
  </si>
  <si>
    <t>מטיאס, דוד יעקב</t>
  </si>
  <si>
    <t>הלכות חג הפסח שחל בשבת</t>
  </si>
  <si>
    <t>נוסבוים, נפתלי</t>
  </si>
  <si>
    <t>הלכות חג השבועות תשפ"א</t>
  </si>
  <si>
    <t>לשכת הרבנות כפר חב"ד</t>
  </si>
  <si>
    <t>הלכות חנוכה</t>
  </si>
  <si>
    <t>הלכות יחוד</t>
  </si>
  <si>
    <t>גורליק, יהודה</t>
  </si>
  <si>
    <t>הלכות כיבוד הורים</t>
  </si>
  <si>
    <t>הלכות כלי ראשון ושני</t>
  </si>
  <si>
    <t>שטיינהרטר, רפאל בן ישכר</t>
  </si>
  <si>
    <t>הלכות מתוך משנה תורה לרמב"ם - 11 כרכים</t>
  </si>
  <si>
    <t>איזק, יצחק - קליין, אלכסנדר</t>
  </si>
  <si>
    <t>הלכות ערב פסח</t>
  </si>
  <si>
    <t>מיכלסקי, יעקב אברהם יחיאל בן שאול</t>
  </si>
  <si>
    <t>הלכות פסח</t>
  </si>
  <si>
    <t>בנבנישתי, אברהם</t>
  </si>
  <si>
    <t>הלכות ציצית ותפילין בפיוט</t>
  </si>
  <si>
    <t>מיארה, מאיר</t>
  </si>
  <si>
    <t>הלכות קדוש החדש - עם פירוש</t>
  </si>
  <si>
    <t>משה בן מימון (רמב"ם) - עקביא, אברהם אריה</t>
  </si>
  <si>
    <t>הלכות רב אלפס &lt;שביל הישר&gt; - ברכות, שבת, עירובין</t>
  </si>
  <si>
    <t>הלכות שביעית - הנהגה בפירות שביעית</t>
  </si>
  <si>
    <t>הלכתא דברכתא</t>
  </si>
  <si>
    <t>הלכתא כשמואל - א</t>
  </si>
  <si>
    <t>כולל לזכרו של מרן בעל שבט הלוי</t>
  </si>
  <si>
    <t>הלכתא רבתא - זימון</t>
  </si>
  <si>
    <t>כולל להוראה שימאני</t>
  </si>
  <si>
    <t>הלל אומר - ז - ביאורים לתניא</t>
  </si>
  <si>
    <t>רבינוביץ, הלל</t>
  </si>
  <si>
    <t>הלל צייטלין</t>
  </si>
  <si>
    <t>אורבאך, שמחה בונם בן חיים ברוך הכהן</t>
  </si>
  <si>
    <t>תשכ"ט</t>
  </si>
  <si>
    <t>הללו עבדי ה'</t>
  </si>
  <si>
    <t>ברעודה, שלמה ליב</t>
  </si>
  <si>
    <t>המאור שנה עד חוברת ג &lt;תצט&gt;</t>
  </si>
  <si>
    <t>ירחון תורני , אמסעל, מאיר (עורך)</t>
  </si>
  <si>
    <t>המאור שנה עה חוברת ב &lt;תקד&gt;</t>
  </si>
  <si>
    <t>המאור שנה עה חוברת ג &lt;תקה&gt;</t>
  </si>
  <si>
    <t>המאור שנה עה חוברת ד &lt;תקו&gt;</t>
  </si>
  <si>
    <t>המאור שנה עה חוברת ה &lt;תקז&gt;</t>
  </si>
  <si>
    <t>המאור שנה עה חוברת ה &lt;תקח&gt;</t>
  </si>
  <si>
    <t>המאור שבתורה - 4 כרכים</t>
  </si>
  <si>
    <t>מוסדות אור החיים</t>
  </si>
  <si>
    <t>המאיר - פסח</t>
  </si>
  <si>
    <t>אגודת אהבה ואחוה</t>
  </si>
  <si>
    <t>המאיר לארץ</t>
  </si>
  <si>
    <t>המבשר תורני - 70 כרכים</t>
  </si>
  <si>
    <t>המוסף התורני של עתון המבשר</t>
  </si>
  <si>
    <t>המגיד הקדוש רבי יחיאל מיכל מזלאטשוב</t>
  </si>
  <si>
    <t>מכון אל ההרים</t>
  </si>
  <si>
    <t>המדבר בצדקה</t>
  </si>
  <si>
    <t>כולל שומרי החומות</t>
  </si>
  <si>
    <t>(Budapest)</t>
  </si>
  <si>
    <t>המדריך לארבעת המינים</t>
  </si>
  <si>
    <t>קרישבסקי, לוי מאיר דוד בן יצחק זאב</t>
  </si>
  <si>
    <t>המדריך ליום הכיפורים</t>
  </si>
  <si>
    <t>מכון הבינני</t>
  </si>
  <si>
    <t>המורה לצדקה - 6 כרכים</t>
  </si>
  <si>
    <t>ירושלים. עדת הספרדים</t>
  </si>
  <si>
    <t>המחקר המתימטי והאסטרונומי אצל היהודים</t>
  </si>
  <si>
    <t>פרנקל, אברהם בן אביעזרי הלוי</t>
  </si>
  <si>
    <t>המלון בהלכה</t>
  </si>
  <si>
    <t>המסילה &lt;לונדון&gt; - ב</t>
  </si>
  <si>
    <t>ועד הרבנים דפדריישן לונדון</t>
  </si>
  <si>
    <t>תש"ז</t>
  </si>
  <si>
    <t>המעין - 20 כרכים</t>
  </si>
  <si>
    <t>המעין</t>
  </si>
  <si>
    <t>תשל"ז</t>
  </si>
  <si>
    <t>המעין - 4 כרכים</t>
  </si>
  <si>
    <t>קובץ - כולל אברכים דטורונטו</t>
  </si>
  <si>
    <t>המרכז הקהילתי איחוד שיבת ציון - תשע"ד</t>
  </si>
  <si>
    <t>איחוד שיבת ציון</t>
  </si>
  <si>
    <t>המשביר - 4 כרכים</t>
  </si>
  <si>
    <t>המשגיח רבינו ירוחם</t>
  </si>
  <si>
    <t>פלאטו, מנחם מנדל</t>
  </si>
  <si>
    <t>המשניות המבוארות מי באר - בבא מציעא</t>
  </si>
  <si>
    <t>קנובל, מרדכי יהושע</t>
  </si>
  <si>
    <t>המתיבתא - 9 כרכים</t>
  </si>
  <si>
    <t>מתיבתא תורה ודעת</t>
  </si>
  <si>
    <t>המתיקות שבפרשה</t>
  </si>
  <si>
    <t>ברכה, ינון עובדיה בן יצחק</t>
  </si>
  <si>
    <t>הן הן נוראותיו</t>
  </si>
  <si>
    <t>גולדשמידט, יוסף</t>
  </si>
  <si>
    <t>הנהגת אדם</t>
  </si>
  <si>
    <t>יעקב יוסף בן יהודה ליב מאוסטרהא</t>
  </si>
  <si>
    <t>פיעטרקוב,</t>
  </si>
  <si>
    <t>תרס"ג,</t>
  </si>
  <si>
    <t>הנותן אמרי שפר - ימים נוראים, סוכות</t>
  </si>
  <si>
    <t>סגלשטיין, מרדכי</t>
  </si>
  <si>
    <t>הנותן בים דרך - חלק ראשון כרך ב</t>
  </si>
  <si>
    <t>וואכסמאן, אברהם בן פינחס</t>
  </si>
  <si>
    <t>בודפסט Budapest</t>
  </si>
  <si>
    <t>תרצ"ז - תרצ"ט</t>
  </si>
  <si>
    <t>הנישואין בהלכה ובאגדה</t>
  </si>
  <si>
    <t>הנפש אשר בשמחה</t>
  </si>
  <si>
    <t>שוקרון, יצחק בן אשר לדוד</t>
  </si>
  <si>
    <t>הנפש אשר בתהלים</t>
  </si>
  <si>
    <t>הנתן אמרי שפר - במדבר, חג השבועות</t>
  </si>
  <si>
    <t>הסיפורת החסידית</t>
  </si>
  <si>
    <t>נגאל, גדליה</t>
  </si>
  <si>
    <t>הסכת - כתובות</t>
  </si>
  <si>
    <t>ישיבת מיר מודיעין עילית</t>
  </si>
  <si>
    <t>הספרים העבריים שנדפסו בירושלים</t>
  </si>
  <si>
    <t>הלוי, שושנה בת יעקב יהושע</t>
  </si>
  <si>
    <t>העבר - י</t>
  </si>
  <si>
    <t>רבעון לדברי ימי היהודים והיהדות ברוסיה</t>
  </si>
  <si>
    <t>העדה - 220 כרכים</t>
  </si>
  <si>
    <t>בטאון העדה החרדית</t>
  </si>
  <si>
    <t>העדה קינדערליך - 80 כרכים</t>
  </si>
  <si>
    <t>מערכת העדה</t>
  </si>
  <si>
    <t>העיירה בוערת</t>
  </si>
  <si>
    <t>העמק - ג</t>
  </si>
  <si>
    <t>העמק - 2 כרכים</t>
  </si>
  <si>
    <t>הערבות בהלכה</t>
  </si>
  <si>
    <t>רוטנר, יהודה דוב</t>
  </si>
  <si>
    <t>הערה בענין צורת מצות ההסבה</t>
  </si>
  <si>
    <t>הערות בשו"ע ומשנ"ב</t>
  </si>
  <si>
    <t>טעפ, איתמר</t>
  </si>
  <si>
    <t>הערות התמימים ואנ"ש - (מאריסטאון) תתק"כ</t>
  </si>
  <si>
    <t>מאריסטאון</t>
  </si>
  <si>
    <t>הערות וביאורים</t>
  </si>
  <si>
    <t>הערות וביאורים - ספר היובל</t>
  </si>
  <si>
    <t>מערכת הערות וביאורים</t>
  </si>
  <si>
    <t>הערות וביאורים - 2 כרכים</t>
  </si>
  <si>
    <t>אדלשטין, ירחמיאל גרשון בן צבי יהודה</t>
  </si>
  <si>
    <t>הערות וביאורים - 3 כרכים</t>
  </si>
  <si>
    <t>מנדלוביץ, ישראל</t>
  </si>
  <si>
    <t>הערות וביאורים בהלכות השכמת הבוקר ובהלכות ציצית</t>
  </si>
  <si>
    <t>כהן, פנחס</t>
  </si>
  <si>
    <t>הערות וביאורים בהלכות יום טוב וחול המועד</t>
  </si>
  <si>
    <t>הערות והארות</t>
  </si>
  <si>
    <t>שטרלינג, דוד</t>
  </si>
  <si>
    <t>תש"ד</t>
  </si>
  <si>
    <t>הערות ושו"ת במסכת ביצה ומועד קטן</t>
  </si>
  <si>
    <t>מנדל, מאיר</t>
  </si>
  <si>
    <t>מיצד</t>
  </si>
  <si>
    <t>הערות ושו"ת במסכת מכות והוריות</t>
  </si>
  <si>
    <t>הערות ושו"ת במסכת ערכין</t>
  </si>
  <si>
    <t>הערות לביאור הגר"א על ספרא דצניעותא - יד אליהו, לשם שבו ואחלמה</t>
  </si>
  <si>
    <t>אלישוב, שלמה בן חיים חייקל - אליהו בן יעקב רוגולר</t>
  </si>
  <si>
    <t>הערות קצרות - בבא קמא</t>
  </si>
  <si>
    <t>שרפהרץ, אריה בן צבי דב</t>
  </si>
  <si>
    <t>הערות קצרות בהלכות שבת</t>
  </si>
  <si>
    <t>הפוך בה</t>
  </si>
  <si>
    <t>בלוך, דניאל יהודה בן אברהם</t>
  </si>
  <si>
    <t>הפותח שער</t>
  </si>
  <si>
    <t>כי טוב, אברהם אליהו בן מיכאל</t>
  </si>
  <si>
    <t>(ירושלים),</t>
  </si>
  <si>
    <t>[תשט"ז]</t>
  </si>
  <si>
    <t>הפטרת השבוע - רעיונות חינוכיים</t>
  </si>
  <si>
    <t>מלמד כהן, רחמים</t>
  </si>
  <si>
    <t>הפילוסופיה של ה"חסידות"</t>
  </si>
  <si>
    <t>תשי"א,</t>
  </si>
  <si>
    <t>הפני מנחם - ג</t>
  </si>
  <si>
    <t>מכון פני מנחם</t>
  </si>
  <si>
    <t>הפקדון</t>
  </si>
  <si>
    <t>ארם צובה, מרדכי</t>
  </si>
  <si>
    <t>הפרדס - 2 כרכים</t>
  </si>
  <si>
    <t>באדהב, יצחק בן מיכאל</t>
  </si>
  <si>
    <t>הפרשת תרומות ומעשרות בדרך נכונה</t>
  </si>
  <si>
    <t>רייכנברג, שאול</t>
  </si>
  <si>
    <t>הצ'יק בהלכה - 2 כרכים</t>
  </si>
  <si>
    <t>ליפשיץ, פנחס מנחם בן אברהם מאיר</t>
  </si>
  <si>
    <t>הצדיק הגנוז</t>
  </si>
  <si>
    <t>ברכות, אברהם יוסף בנימין בן זכריה</t>
  </si>
  <si>
    <t>הצופה על דרכי המשנה</t>
  </si>
  <si>
    <t>אוירבאך, צבי בנימין בן אברהם</t>
  </si>
  <si>
    <t>פראנקפורט דמיין,</t>
  </si>
  <si>
    <t>תרכ"א</t>
  </si>
  <si>
    <t>הציבי ציונים - ב</t>
  </si>
  <si>
    <t>שלז, בן-ציון בן שלמה</t>
  </si>
  <si>
    <t>תרל"א - תרל"ב</t>
  </si>
  <si>
    <t>הציבי ציונים - תענית (תקנת עזרא)</t>
  </si>
  <si>
    <t>ישיבת בית מאיר</t>
  </si>
  <si>
    <t>הצלחה בידיעת התורה</t>
  </si>
  <si>
    <t>הצמצום והמציאות</t>
  </si>
  <si>
    <t>וילק, ישראל</t>
  </si>
  <si>
    <t>הצנע לכת</t>
  </si>
  <si>
    <t>כוכב, דוד</t>
  </si>
  <si>
    <t>הצעה לטובת בנות ישראל העגונות</t>
  </si>
  <si>
    <t>פלדמאן, משה</t>
  </si>
  <si>
    <t>וואיטצען,</t>
  </si>
  <si>
    <t>תרע"ו</t>
  </si>
  <si>
    <t>הצעת השלחן</t>
  </si>
  <si>
    <t>דובין, נתן נטע</t>
  </si>
  <si>
    <t>הקדמות ושערים לחכמת הקבלה</t>
  </si>
  <si>
    <t>טולידנו, שמואל</t>
  </si>
  <si>
    <t>הקדמות לחכמת התכונה</t>
  </si>
  <si>
    <t>טרכטינגוט, א</t>
  </si>
  <si>
    <t>הקדמות לחכמת התכונה וביאור הסוגיות למסכת ראש השנה</t>
  </si>
  <si>
    <t>הקדמת הרמב"ם ליד החזקה - אגרת רבי שרירא גאון - זכרון לראשונים</t>
  </si>
  <si>
    <t>גוטרר, אהרן יוסף בן אפרים משולם</t>
  </si>
  <si>
    <t>הקובץ ב</t>
  </si>
  <si>
    <t>מכינה לישיבה קטנה זכרון משה</t>
  </si>
  <si>
    <t>הקטן באיסורים - נועם השבת</t>
  </si>
  <si>
    <t>הקמת בתי מדרש של שם ועבר בימינו</t>
  </si>
  <si>
    <t>שוורץ, יואל בן אהרן</t>
  </si>
  <si>
    <t>הר בשן &lt;מבשן אשיב&gt; - 2 כרכים</t>
  </si>
  <si>
    <t>בידרמן, שמעון נתן נטע</t>
  </si>
  <si>
    <t>הרב ובנו</t>
  </si>
  <si>
    <t>קלנר, יוסף</t>
  </si>
  <si>
    <t>הרבנות הראשית לישראל</t>
  </si>
  <si>
    <t>הרבנים במרכז - 22</t>
  </si>
  <si>
    <t>מרכז רבני אירופה</t>
  </si>
  <si>
    <t>בלגיה</t>
  </si>
  <si>
    <t>הרבנית</t>
  </si>
  <si>
    <t>הרהורי דברים - 2 כרכים</t>
  </si>
  <si>
    <t>אסחייק, דניאל</t>
  </si>
  <si>
    <t>הרועה את הנולד</t>
  </si>
  <si>
    <t>הרחב עירובין - 2 כרכים</t>
  </si>
  <si>
    <t>הורביץ, אליהו</t>
  </si>
  <si>
    <t>הרחקת נזיקין</t>
  </si>
  <si>
    <t>הרי יהודה - ד</t>
  </si>
  <si>
    <t>יוסף, משה יהודה</t>
  </si>
  <si>
    <t>הרי ישראל - הלכות ארבעת המינים</t>
  </si>
  <si>
    <t>פריס, יהודה</t>
  </si>
  <si>
    <t>הריבית בעידן המודרני</t>
  </si>
  <si>
    <t>הרימו מכשול</t>
  </si>
  <si>
    <t>סבאג, אורי</t>
  </si>
  <si>
    <t>הרמב"ם השלם - הלכות שבת כ-כא</t>
  </si>
  <si>
    <t>וולפא, שלום דובער הלוי (עורך)</t>
  </si>
  <si>
    <t>רמלה</t>
  </si>
  <si>
    <t>הרמב"ם ז"ל</t>
  </si>
  <si>
    <t>תשט"ו,</t>
  </si>
  <si>
    <t>הרמב"ם לאור חכמי הקבלה</t>
  </si>
  <si>
    <t>דינסטאג, ישראל יעקב בן בנימין</t>
  </si>
  <si>
    <t>הרפואה בהלכה ובאגדה</t>
  </si>
  <si>
    <t>הרפואה המשלימה בהלכה</t>
  </si>
  <si>
    <t>שור, דוד שלמה</t>
  </si>
  <si>
    <t>הררי ציון - ירושלמי ברכות</t>
  </si>
  <si>
    <t>רשת הכוללים דורשי ציון</t>
  </si>
  <si>
    <t>השבת</t>
  </si>
  <si>
    <t>השבת לשיטתם</t>
  </si>
  <si>
    <t>סויסה, אברהם בן יוסף - בן הרוש, אליעזר בן סעדיה</t>
  </si>
  <si>
    <t>השושנה מסלוניקי, זיס אופנהיים, בת הש"ך, במועד הנכון</t>
  </si>
  <si>
    <t>השיב משה &lt;מהדורה חדשה&gt;  - 5 כרכים</t>
  </si>
  <si>
    <t>טייטלבוים, משה בן צבי הירש</t>
  </si>
  <si>
    <t>השיעורים והמידות בהלכה &lt;מהדורת ביקורת&gt;</t>
  </si>
  <si>
    <t>אדלר, דורון</t>
  </si>
  <si>
    <t>השיר הישר - שיר השירים</t>
  </si>
  <si>
    <t>השירה והציור</t>
  </si>
  <si>
    <t>השלחן הטהור</t>
  </si>
  <si>
    <t>אדלר, אברהם חיים הכהן</t>
  </si>
  <si>
    <t>השמחה</t>
  </si>
  <si>
    <t>רבני ישוב בית אל</t>
  </si>
  <si>
    <t>השמטות ושנויי הדפוס בספרי הטור שלנו</t>
  </si>
  <si>
    <t>קאהן, דוד</t>
  </si>
  <si>
    <t>השמיטה בגינה</t>
  </si>
  <si>
    <t>מגנוז, אברהם בן דוד</t>
  </si>
  <si>
    <t>השמיטה והלכותיה</t>
  </si>
  <si>
    <t>זכאי, אהרן</t>
  </si>
  <si>
    <t>השמש - 1</t>
  </si>
  <si>
    <t>קובץ תורני בטאון ברית בני תורה</t>
  </si>
  <si>
    <t>השמש יצא על הארץ - מנחות ד</t>
  </si>
  <si>
    <t>כולל הרבנים סונדרלנד</t>
  </si>
  <si>
    <t>סונדרלנד</t>
  </si>
  <si>
    <t>השקפת התורה</t>
  </si>
  <si>
    <t>יפה, חיים יצחק</t>
  </si>
  <si>
    <t>השתיקה מחייה</t>
  </si>
  <si>
    <t>טיבי אהרן</t>
  </si>
  <si>
    <t>השתלשלות התורה</t>
  </si>
  <si>
    <t>שבת, משה ש</t>
  </si>
  <si>
    <t>התלמוד הירושלמי כבסיס לתורת ארץ ישראל</t>
  </si>
  <si>
    <t>ישיבת ההסדר חולון</t>
  </si>
  <si>
    <t>התלמוד ויוצריו - 2 כרכים</t>
  </si>
  <si>
    <t>נפתל, אברהם משה</t>
  </si>
  <si>
    <t>התמנות כהן גדול</t>
  </si>
  <si>
    <t>פלסנר, אליהו בן שלמה</t>
  </si>
  <si>
    <t>בערלין,</t>
  </si>
  <si>
    <t>התעשיה והיצור במקורות היהדות</t>
  </si>
  <si>
    <t>גולדברג, יצחק - שינובר צבי</t>
  </si>
  <si>
    <t>נחלים</t>
  </si>
  <si>
    <t>התפלה בישראל בהתפתחותה</t>
  </si>
  <si>
    <t>הולנדר, עקיבא בן יצחק משולם</t>
  </si>
  <si>
    <t>(תל אביב),</t>
  </si>
  <si>
    <t>התקשרות - 22 כרכים</t>
  </si>
  <si>
    <t>התקשרות</t>
  </si>
  <si>
    <t>התשובה שיבה אל העצמאיות</t>
  </si>
  <si>
    <t>הורביץ, אלי</t>
  </si>
  <si>
    <t>חברון</t>
  </si>
  <si>
    <t>ואחד תרגום</t>
  </si>
  <si>
    <t>וינברגר, אלי</t>
  </si>
  <si>
    <t>ואין למו מכשול - מועדי ישראל ב</t>
  </si>
  <si>
    <t>ואמונתך בלילות - תכלית היסורים ומעלת קבלתם באהבה</t>
  </si>
  <si>
    <t>לובטון, א</t>
  </si>
  <si>
    <t>ואשיבה דברי - דרושים למועדים וזמני השנה</t>
  </si>
  <si>
    <t>מוזסון, יעקב שלמה</t>
  </si>
  <si>
    <t>ובו תדבק</t>
  </si>
  <si>
    <t>אונגער, שלום גרשון בן יעקב יצחק</t>
  </si>
  <si>
    <t>ובחרת בחיים</t>
  </si>
  <si>
    <t>סיטיון, אליהו</t>
  </si>
  <si>
    <t>ובחרת בחיים - 2 כרכים</t>
  </si>
  <si>
    <t>צדיקי ויז'ניץ</t>
  </si>
  <si>
    <t>וגילו צדיקים - נסיעה לצדיק</t>
  </si>
  <si>
    <t>תולדות אברהם יצחק ב"פ</t>
  </si>
  <si>
    <t>וגילח הכהן</t>
  </si>
  <si>
    <t>כהן, אברהם ישראל בן מרדכי</t>
  </si>
  <si>
    <t>ודברת ב"ם</t>
  </si>
  <si>
    <t>מנדלסון, בנימין</t>
  </si>
  <si>
    <t>ודברת בם - שמות, ויקרא</t>
  </si>
  <si>
    <t>ישיבת המתמידים צא"י</t>
  </si>
  <si>
    <t>ודברת בם - תשס"ו (טו)</t>
  </si>
  <si>
    <t>שאלות תמיהות וקושיות לימי בין הזמנים</t>
  </si>
  <si>
    <t>ודברת בם - 2 כרכים</t>
  </si>
  <si>
    <t>דניאלי, בועז מרדכי</t>
  </si>
  <si>
    <t>ודרשת והגידו לך</t>
  </si>
  <si>
    <t>עוזיאל, בן ציון מאיר חי בן יוסף רפאל</t>
  </si>
  <si>
    <t>ודרשת וחקרת</t>
  </si>
  <si>
    <t>בד''ץ מעלה אדומים</t>
  </si>
  <si>
    <t>והגדת לבנך</t>
  </si>
  <si>
    <t>רפאל, יאיר בן יעקב</t>
  </si>
  <si>
    <t>והגדת לבנך - ב</t>
  </si>
  <si>
    <t>והגית בו יומם ולילה</t>
  </si>
  <si>
    <t>והודעתם - ג</t>
  </si>
  <si>
    <t>ישיבת עטרת שלמה</t>
  </si>
  <si>
    <t>והופע והנשא עלינו</t>
  </si>
  <si>
    <t>והיו לאחדים - א</t>
  </si>
  <si>
    <t>והייתם לי סגולה</t>
  </si>
  <si>
    <t>רינגל, משה אהרן</t>
  </si>
  <si>
    <t>והימים האלה נזכרים</t>
  </si>
  <si>
    <t>שקלים, עזרא</t>
  </si>
  <si>
    <t>והלכת בדרכיו</t>
  </si>
  <si>
    <t>ליטוואק, הלל דוד בן שלום</t>
  </si>
  <si>
    <t>והמה בכתובים</t>
  </si>
  <si>
    <t>ברלינר, אברהם בן צבי הירש</t>
  </si>
  <si>
    <t>ברלין Berlin</t>
  </si>
  <si>
    <t>תרס"ט,</t>
  </si>
  <si>
    <t>והרים הכהן - ה</t>
  </si>
  <si>
    <t>כהן, ירמיהו מנחם בן דוד</t>
  </si>
  <si>
    <t>וואס איז פארט א איד</t>
  </si>
  <si>
    <t>ווארט קצר לפרשת השבוע</t>
  </si>
  <si>
    <t>כהנוב, מנחם נחום בן לוי ירמיהו</t>
  </si>
  <si>
    <t>וזאת ליהודה - ראם, יעקב בן שמואל אהרן</t>
  </si>
  <si>
    <t>וזאת ליהודה - 3 כרכים</t>
  </si>
  <si>
    <t>שרייבר, שמעון שמואל בן יהודה</t>
  </si>
  <si>
    <t>וזה דבר השמיטה</t>
  </si>
  <si>
    <t>ריינס, יצחק יעקב בן שלמה נפתלי</t>
  </si>
  <si>
    <t>וחזקת והיית לאיש</t>
  </si>
  <si>
    <t>ויאמר אברהם - 3 כרכים</t>
  </si>
  <si>
    <t>פטאל, אברהם משה הלוי</t>
  </si>
  <si>
    <t>ויאמר גבריאל - 5 כרכים</t>
  </si>
  <si>
    <t>פלאס, גבריאל סלים</t>
  </si>
  <si>
    <t>ארגנטינה</t>
  </si>
  <si>
    <t>ויאמר דוד</t>
  </si>
  <si>
    <t>זאלר, דוד בן משה מנחם</t>
  </si>
  <si>
    <t>ויאמר יהושע - 2 כרכים</t>
  </si>
  <si>
    <t>כץ, יהושע בן אשר אנשיל</t>
  </si>
  <si>
    <t>ויאמר יצחק &lt;מהדורה חדשה&gt;  - 3 כרכים</t>
  </si>
  <si>
    <t>וואליד, יצחק בן שם-טוב אבן</t>
  </si>
  <si>
    <t>ויאמר משה ושערי צדק - ג ויקרא, במדבר, פרקי אבות</t>
  </si>
  <si>
    <t>שנדוך, משה בן שמעון - ששון, משה בן מרדכי</t>
  </si>
  <si>
    <t>ויאמר שמואל</t>
  </si>
  <si>
    <t>מויאל, שמואל</t>
  </si>
  <si>
    <t>ויבן אברהם - קידושין</t>
  </si>
  <si>
    <t>שטרן, אברהם צבי בן בנימין</t>
  </si>
  <si>
    <t>ויברך דוד - ברכות</t>
  </si>
  <si>
    <t>שפידל, דוד משה בן אפרים שרגא</t>
  </si>
  <si>
    <t>ויברך דוד - 2 כרכים</t>
  </si>
  <si>
    <t>הרפנס, ישראל דוד</t>
  </si>
  <si>
    <t>ויברכהו יהושע - ב</t>
  </si>
  <si>
    <t>ויגד משה - 3 כרכים</t>
  </si>
  <si>
    <t>כ"ץ, משה יהודה בן אשר אנשיל</t>
  </si>
  <si>
    <t>וינה</t>
  </si>
  <si>
    <t>ויגדל המספד - א</t>
  </si>
  <si>
    <t>ישיבה גדולה בוהוש</t>
  </si>
  <si>
    <t>ויגדלו הנערים - בר מצוה</t>
  </si>
  <si>
    <t>רקובסקי, ברוך בן יונה דוד</t>
  </si>
  <si>
    <t>ויגמול שקדים</t>
  </si>
  <si>
    <t>מנדל, מאיר יהודה בן ישי</t>
  </si>
  <si>
    <t>וידבר משה &lt;שער אליעזר&gt;  - 6 כרכים</t>
  </si>
  <si>
    <t>פולאק, משה בן יצחק זקל הלוי</t>
  </si>
  <si>
    <t>וידעת היום - 2 כרכים</t>
  </si>
  <si>
    <t>הגר, משה יהושע בן חיים מאיר</t>
  </si>
  <si>
    <t>ויהי בנסוע</t>
  </si>
  <si>
    <t>ציון, מרדכי</t>
  </si>
  <si>
    <t>ויהי נועם</t>
  </si>
  <si>
    <t>דידובסקי, רפאל יעקב בן עקיבא</t>
  </si>
  <si>
    <t>[תרצ"ז,</t>
  </si>
  <si>
    <t>ויהי נעם - שמות</t>
  </si>
  <si>
    <t>ויואל משה &lt;הבהיר&gt;  - 2 כרכים</t>
  </si>
  <si>
    <t>ויוסף עוד דוד - ב</t>
  </si>
  <si>
    <t>מלול, דוד בן יוסף</t>
  </si>
  <si>
    <t>ויז'ניץ - שבעים שנות חינוך</t>
  </si>
  <si>
    <t>איגוד מוסדות ויז'ניץ</t>
  </si>
  <si>
    <t xml:space="preserve">תש"ע - </t>
  </si>
  <si>
    <t>ויזרח אור - 2 כרכים</t>
  </si>
  <si>
    <t>ווילגער, משה בן דוד יהודה לייבל</t>
  </si>
  <si>
    <t>ויטע אשל - מעילה</t>
  </si>
  <si>
    <t>יוז'וק, שאול</t>
  </si>
  <si>
    <t>ויכוחי אמונה</t>
  </si>
  <si>
    <t>גליקסברג, שמעון יעקב בן מאיר דוב הלוי</t>
  </si>
  <si>
    <t>מזכרת בתיה</t>
  </si>
  <si>
    <t>ויכתוב מרדכי - ביאור הלכות קידוש החודש לרמב"ם - א</t>
  </si>
  <si>
    <t>שווימער, מרדכי בן ישראל</t>
  </si>
  <si>
    <t>וילן בעמק - 2 כרכים</t>
  </si>
  <si>
    <t>וימינו תחבקני</t>
  </si>
  <si>
    <t>פנחסי, שמואל בן אליהו חיים</t>
  </si>
  <si>
    <t>ויניקהו דבש - 4 כרכים</t>
  </si>
  <si>
    <t>קסטנבוים, יעקב נחום בן ברוך משה</t>
  </si>
  <si>
    <t>ויעודם לג &lt;ניסן&gt; תשפ"ב</t>
  </si>
  <si>
    <t>ויעודם לב &lt;אדר&gt; תשפ"ב</t>
  </si>
  <si>
    <t>ויעל אליהו</t>
  </si>
  <si>
    <t>לזכר רבי אליהו טפר זצ"ל</t>
  </si>
  <si>
    <t>ויעל משה</t>
  </si>
  <si>
    <t>יפרח, משה יהודה חננאל בן דוד</t>
  </si>
  <si>
    <t>ויעמידה ליעקב לחק</t>
  </si>
  <si>
    <t>שוחטמן, אליאב</t>
  </si>
  <si>
    <t>ויען שמואל - כג</t>
  </si>
  <si>
    <t>ספר זכרון</t>
  </si>
  <si>
    <t>ויען שמעון</t>
  </si>
  <si>
    <t>עמר, שמעון בן דוד</t>
  </si>
  <si>
    <t>ויקהל משה - 5 כרכים</t>
  </si>
  <si>
    <t>וירא יעקב - בהר</t>
  </si>
  <si>
    <t>פלק, יעקב יהודה בן מאיר</t>
  </si>
  <si>
    <t>וישב יוסף - ג</t>
  </si>
  <si>
    <t>סופר, אלטר יוסף צבי</t>
  </si>
  <si>
    <t>וישב משה - שו"ע אבן העזר</t>
  </si>
  <si>
    <t>וישבתם בה</t>
  </si>
  <si>
    <t>וישמע משה - ו</t>
  </si>
  <si>
    <t>פריד, משה בן עמרם</t>
  </si>
  <si>
    <t>וישרים יעלוזו</t>
  </si>
  <si>
    <t>קארפ, משה מרדכי</t>
  </si>
  <si>
    <t>ולאשר אמר - 2 כרכים</t>
  </si>
  <si>
    <t>כץ, אשר אנשיל</t>
  </si>
  <si>
    <t>ולחשך קרא לילה</t>
  </si>
  <si>
    <t>ולירושלים עירך</t>
  </si>
  <si>
    <t>בלייכר, משה</t>
  </si>
  <si>
    <t>ולנפתלי אמר - פסח וספירת העומר</t>
  </si>
  <si>
    <t>ארלנגר, נפתלי בן אברהם חיים</t>
  </si>
  <si>
    <t>ולעבדו בכל לבבכם</t>
  </si>
  <si>
    <t>ומהללים לה' יום ביום</t>
  </si>
  <si>
    <t>דויטש, מאיר בן ברוך שמואל הכהן</t>
  </si>
  <si>
    <t>ומתוקים מדבש</t>
  </si>
  <si>
    <t>דויטש, אברהם ישעיהו בן יעקב פרץ</t>
  </si>
  <si>
    <t>ונתנו על ציצית הכנף</t>
  </si>
  <si>
    <t>וסת הגוף</t>
  </si>
  <si>
    <t>משולם, אלחנן יצחק</t>
  </si>
  <si>
    <t>ועד היוזם להרחבת פעולות "למען קדושת השבת" בישראל</t>
  </si>
  <si>
    <t>בן ישעיהו, אברהם בן ישעיהו</t>
  </si>
  <si>
    <t>ועתה כתבו לכם</t>
  </si>
  <si>
    <t>גרוסמן, ישראל מתתיהו</t>
  </si>
  <si>
    <t>וקדשתו</t>
  </si>
  <si>
    <t>איגוד טהרת הכהנים</t>
  </si>
  <si>
    <t>ושב ורפא - ט</t>
  </si>
  <si>
    <t>אייפרס, רפאל בן יוחנן</t>
  </si>
  <si>
    <t>ושבתה הארץ</t>
  </si>
  <si>
    <t>ושכנתי בתוכם</t>
  </si>
  <si>
    <t>ושמואל בקראי שמו</t>
  </si>
  <si>
    <t>וינברגר, שמואל יהודה הלוי (לזכרו)</t>
  </si>
  <si>
    <t>ושמחתם לפני ה' - 3 כרכים</t>
  </si>
  <si>
    <t>גולדשטיין, עקיבא בן אליעזר</t>
  </si>
  <si>
    <t>מודעין עילית</t>
  </si>
  <si>
    <t>ושננתם - שאלות ותשובות לחזרה על מסכת בבא קמא</t>
  </si>
  <si>
    <t>ושפני טמוני חול</t>
  </si>
  <si>
    <t>בן נון, יצחק</t>
  </si>
  <si>
    <t>ושתי את גבולך</t>
  </si>
  <si>
    <t>שווארץ, יעקב קאפל בן בנימין זאב</t>
  </si>
  <si>
    <t>ותורתך שעשעי</t>
  </si>
  <si>
    <t>ארביב, אלון</t>
  </si>
  <si>
    <t>ותימרון חידושא - מודז'יץ</t>
  </si>
  <si>
    <t>ותימרון חידושא</t>
  </si>
  <si>
    <t>ותמכיה מאשר</t>
  </si>
  <si>
    <t>ווסטהים, אשר יעקב - לייטנר, שלמה</t>
  </si>
  <si>
    <t>זאת חנוכה</t>
  </si>
  <si>
    <t>זיידמאן, ישראל איסר בן יהודה דוב</t>
  </si>
  <si>
    <t>זאת משחת אהרן</t>
  </si>
  <si>
    <t>נוימן, אהרן בן אליהו פינחס הכהן</t>
  </si>
  <si>
    <t>זבח מיכאל</t>
  </si>
  <si>
    <t>חזן, מיכאל אליהו</t>
  </si>
  <si>
    <t>פריז</t>
  </si>
  <si>
    <t>זבח שלמה - 2 כרכים</t>
  </si>
  <si>
    <t>בוחבוט, אייל שלום</t>
  </si>
  <si>
    <t>זבחי שלמים</t>
  </si>
  <si>
    <t>בק, יעקב בן חנוך</t>
  </si>
  <si>
    <t>[תרט"ז].</t>
  </si>
  <si>
    <t>זה האות - עניני ברית מילה</t>
  </si>
  <si>
    <t>זה היום - 2 כרכים</t>
  </si>
  <si>
    <t>זה כפרתינו</t>
  </si>
  <si>
    <t>זה כתב ידי - 2 כרכים</t>
  </si>
  <si>
    <t>ישיבת כנסת יצחק קרית ספר</t>
  </si>
  <si>
    <t>זהב שבא</t>
  </si>
  <si>
    <t>בינדר, שאול אריה</t>
  </si>
  <si>
    <t>זהרי חיים</t>
  </si>
  <si>
    <t>פינטו, שלמה אוריאל - חיים בן צבי</t>
  </si>
  <si>
    <t>זוהר ההלכה - שמיטה</t>
  </si>
  <si>
    <t>זמיר, זוהר משה בן טל</t>
  </si>
  <si>
    <t>זוהר התפילה - ימות החול - א</t>
  </si>
  <si>
    <t>גרוס, שלום יהודה</t>
  </si>
  <si>
    <t>זוהר רעיא מהימנא השלם</t>
  </si>
  <si>
    <t>מכון אלף המגן</t>
  </si>
  <si>
    <t>זיקוקין של אש</t>
  </si>
  <si>
    <t>בן ציון, שמעון</t>
  </si>
  <si>
    <t>זית רענן</t>
  </si>
  <si>
    <t>בר כוכבא, ינון</t>
  </si>
  <si>
    <t>תל ציון</t>
  </si>
  <si>
    <t>זכור זאת ליעקב</t>
  </si>
  <si>
    <t>לזכר רבי יעקב ישעיה בלוי</t>
  </si>
  <si>
    <t>זכור לדוד</t>
  </si>
  <si>
    <t>לזכר ר' דוד אכוע</t>
  </si>
  <si>
    <t>זכור לדוד - 2 כרכים</t>
  </si>
  <si>
    <t>פרנקל, דוד (עליו)</t>
  </si>
  <si>
    <t xml:space="preserve">תש"ס - </t>
  </si>
  <si>
    <t>זכור ליצחק &lt;מהדורה חדשה&gt;</t>
  </si>
  <si>
    <t>הררי, יצחק בן משה</t>
  </si>
  <si>
    <t>זכור ליצחק - הגדה של פסח</t>
  </si>
  <si>
    <t>יעקבוביץ, יצחק יחיאל</t>
  </si>
  <si>
    <t>זכור לקדשו - ב</t>
  </si>
  <si>
    <t>לאבין, אברהם יהודה יקותיאל בן אהרן מאיר</t>
  </si>
  <si>
    <t>זכות אבות</t>
  </si>
  <si>
    <t>זכות התורה</t>
  </si>
  <si>
    <t>פלבינסקי, מנחם מנדל</t>
  </si>
  <si>
    <t>זכות משה &lt;מהדורה חדשה&gt;</t>
  </si>
  <si>
    <t>בולה, רפאל משה בן יוסף</t>
  </si>
  <si>
    <t>זכותיה דיוסף - 2 כרכים</t>
  </si>
  <si>
    <t>קריית ספר</t>
  </si>
  <si>
    <t>זכירת המקדש</t>
  </si>
  <si>
    <t>זכר חסדו - 4 כרכים</t>
  </si>
  <si>
    <t>אלחדד, אברהם בן יהודה</t>
  </si>
  <si>
    <t>זכר עולם</t>
  </si>
  <si>
    <t>אוניקסטר, רבקה ליפא בת משה מישל</t>
  </si>
  <si>
    <t>תרע"א</t>
  </si>
  <si>
    <t>סטרליסקר, מרדכי בן דוד</t>
  </si>
  <si>
    <t>Lemberg)</t>
  </si>
  <si>
    <t>זכר צדיק לברכה</t>
  </si>
  <si>
    <t>יוחנן, בן ציון</t>
  </si>
  <si>
    <t>תרפ"ב</t>
  </si>
  <si>
    <t>זכר צדיק לברכה &lt;הספד על מהרי"ל דיסקין&gt;</t>
  </si>
  <si>
    <t>הורוויץ, שאול חיים בן אברהם הלוי</t>
  </si>
  <si>
    <t>זכר צדיק לברכה &lt;הספדים על מהרי"ל דיסקין&gt;</t>
  </si>
  <si>
    <t>זכרון אהרן</t>
  </si>
  <si>
    <t>מילבסקי, אהרן בן משה אריה</t>
  </si>
  <si>
    <t>זכרון אחי זה לעיר דוד</t>
  </si>
  <si>
    <t>כהן, דוד בן אהרן מירושלים</t>
  </si>
  <si>
    <t>זכרון אשר</t>
  </si>
  <si>
    <t>אדלשטיין, אשר אנשיל</t>
  </si>
  <si>
    <t>זכרון בירושלים - 2 כרכים</t>
  </si>
  <si>
    <t>פולייאשטרו, יהודה</t>
  </si>
  <si>
    <t>תק"ג</t>
  </si>
  <si>
    <t>זכרון בנימין זאב - 2 כרכים</t>
  </si>
  <si>
    <t>וויינגרטן, צבי בן ישראל</t>
  </si>
  <si>
    <t>זכרון ברוך - שו"ת מהר"י נבון - דרושים למהר"י נבון</t>
  </si>
  <si>
    <t>נבון, יונה בן חנון</t>
  </si>
  <si>
    <t>תשסד</t>
  </si>
  <si>
    <t>זכרון ברכה - 2 כרכים</t>
  </si>
  <si>
    <t>כולל זכרון ברכה 'רצופות'</t>
  </si>
  <si>
    <t>זכרון דברים - חולין</t>
  </si>
  <si>
    <t>שרייבר, מאיר בן ישראל בונם</t>
  </si>
  <si>
    <t>זכרון דוד - 2 כרכים</t>
  </si>
  <si>
    <t>ישיבת כפר חסידים</t>
  </si>
  <si>
    <t>כפר חסידים</t>
  </si>
  <si>
    <t>זכרון השולחן - נדה (קפג-ר)</t>
  </si>
  <si>
    <t>הכהן, ישראל מאיר בן יהודה</t>
  </si>
  <si>
    <t>זכרון חידושי רבי יצחק מאיר ובנו רבי יעקב</t>
  </si>
  <si>
    <t>לוינברג, יצחק מאיר</t>
  </si>
  <si>
    <t>זכרון יהודה</t>
  </si>
  <si>
    <t>טלינגאטור, יהודה ליב בן יצחק אשר</t>
  </si>
  <si>
    <t>ברדיטשוב,</t>
  </si>
  <si>
    <t>זכרון יהושע</t>
  </si>
  <si>
    <t>פריד, יהושע השיל בן גדליה הכהן</t>
  </si>
  <si>
    <t>זכרון יוסף - אבות</t>
  </si>
  <si>
    <t>הלוי, יוסף צבי בן אליהו</t>
  </si>
  <si>
    <t>זכרון יחזקאל אהרן - פסח</t>
  </si>
  <si>
    <t>איזבי, יחזקאל אהרן הכהן (לזכרו)</t>
  </si>
  <si>
    <t>זכרון יצחק</t>
  </si>
  <si>
    <t>דרחי, זכריה דוד בן יעקב</t>
  </si>
  <si>
    <t>זכרון ישעיה זושא</t>
  </si>
  <si>
    <t>ווילהעלם, ישעיה זושא בן אברהם דוד (לזכרו)</t>
  </si>
  <si>
    <t>זכרון למעשה בראשית</t>
  </si>
  <si>
    <t>ניימאן, אהרן ליב בן אשר אנשיל</t>
  </si>
  <si>
    <t>Varshava</t>
  </si>
  <si>
    <t>תרל"ט,</t>
  </si>
  <si>
    <t>זכרון למשה</t>
  </si>
  <si>
    <t>שובקס, משה מנחם יוסף (לזכרו)</t>
  </si>
  <si>
    <t>זכרון משה</t>
  </si>
  <si>
    <t>יאקאבאוויטש, משה יהודה</t>
  </si>
  <si>
    <t>זכרון נפתלי - החדש</t>
  </si>
  <si>
    <t>זילברמן, נפתלי הירצקא הלוי</t>
  </si>
  <si>
    <t>זכרון צבי מאיר - יג</t>
  </si>
  <si>
    <t>זילברברג, משה שמעון חיים בן רפאל צבי מאיר</t>
  </si>
  <si>
    <t>מונסי</t>
  </si>
  <si>
    <t>זכרון תנחום</t>
  </si>
  <si>
    <t>זרחי, תנחום בן שמעון</t>
  </si>
  <si>
    <t>תרנ"ב,</t>
  </si>
  <si>
    <t>זכרונה לברכה</t>
  </si>
  <si>
    <t>פרג, ברכה (עליה)</t>
  </si>
  <si>
    <t>זכרונות מן חברת כל ישראל חברים</t>
  </si>
  <si>
    <t>זכרונות</t>
  </si>
  <si>
    <t xml:space="preserve">תרל"ב - </t>
  </si>
  <si>
    <t>זכרונות רמב"ח</t>
  </si>
  <si>
    <t>קניג, מנשה בן חיים</t>
  </si>
  <si>
    <t>זכרנו לחיים</t>
  </si>
  <si>
    <t>לזכרו של הבה"ח חיים דב אלתר</t>
  </si>
  <si>
    <t>הרארי, חיים בן משה הכהן</t>
  </si>
  <si>
    <t>זמירות לשבת עם ילקוט נהורא דשבתא</t>
  </si>
  <si>
    <t>מכון מעיינות טשאבא</t>
  </si>
  <si>
    <t>זמירות לשבת קודש &lt;מזמור לדוד&gt; לעלוב</t>
  </si>
  <si>
    <t>זמירות. חסידים.</t>
  </si>
  <si>
    <t>זמירות לשבת קודש {צמאה נפשי}</t>
  </si>
  <si>
    <t>הגר, חיים מאיר בן ישראל</t>
  </si>
  <si>
    <t>זמירות לשבת קודש מהרש"ם</t>
  </si>
  <si>
    <t>זמירות לשבת קודש עם פניני קדושת לוי</t>
  </si>
  <si>
    <t>לוי יצחק בן מאיר מברדיטשוב</t>
  </si>
  <si>
    <t>זמירות קודש לשבת ברך משה</t>
  </si>
  <si>
    <t>טייטלבוים, משה בן חיים צבי</t>
  </si>
  <si>
    <t>זמירות שבת</t>
  </si>
  <si>
    <t>זמירות שבת עלי באר</t>
  </si>
  <si>
    <t>אלטמן, ישראל מאיר</t>
  </si>
  <si>
    <t>זמירות שבת קודש קול מנחם</t>
  </si>
  <si>
    <t>טאוב, מנחם מנדל בן יהודה יחיאל</t>
  </si>
  <si>
    <t>זמן הקרבת הפסח במשנת הדבר יהושע</t>
  </si>
  <si>
    <t>זמן חרותנו</t>
  </si>
  <si>
    <t>כהן, דוד בן יוסף</t>
  </si>
  <si>
    <t>זמרת הארץ</t>
  </si>
  <si>
    <t>בירב, יעקב בן חיים</t>
  </si>
  <si>
    <t>בודאפעשט,</t>
  </si>
  <si>
    <t>תרפ"ג</t>
  </si>
  <si>
    <t>נחמן בן שמחה מבראסלאב</t>
  </si>
  <si>
    <t>לעמבערג,</t>
  </si>
  <si>
    <t>[תרל"ו]</t>
  </si>
  <si>
    <t>זמרת הארץ - 2 כרכים</t>
  </si>
  <si>
    <t>זר זהב</t>
  </si>
  <si>
    <t>שמילאוויטש, מאיר יצחק</t>
  </si>
  <si>
    <t>זריעה ובנין בחינוך</t>
  </si>
  <si>
    <t>וולבה, שלמה</t>
  </si>
  <si>
    <t>זרמים ורמזים - א</t>
  </si>
  <si>
    <t>גולדפארב, שמואל דוד</t>
  </si>
  <si>
    <t>זרע אברהם אוהבי - א</t>
  </si>
  <si>
    <t>זרע אמת &lt;מהדורת אהבת שלום&gt; - 3 כרכים</t>
  </si>
  <si>
    <t>כהן, ישמעאל בן אברהם יצחק</t>
  </si>
  <si>
    <t>זרע יהודה - 3 כרכים</t>
  </si>
  <si>
    <t>גולדברג, חיים יחיאל מיכל</t>
  </si>
  <si>
    <t>זרע יצחק - 7 כרכים</t>
  </si>
  <si>
    <t>לינטופ, יעקב יוסף בן דב יצחק</t>
  </si>
  <si>
    <t>חבורות שנכתבו על סדר הסוגיות - כתובות</t>
  </si>
  <si>
    <t>ישיבת עמלה של תורה</t>
  </si>
  <si>
    <t>חבוש על ראשך פארך</t>
  </si>
  <si>
    <t>חביבים יסורים</t>
  </si>
  <si>
    <t>טויטאן, משה חיים</t>
  </si>
  <si>
    <t>חבל הכסף</t>
  </si>
  <si>
    <t>רבינוביץ, חנוך בן יעקב</t>
  </si>
  <si>
    <t>חבל יוסף אולם המשפט &lt;מהדורה חדשה&gt;</t>
  </si>
  <si>
    <t>הוטנר, יוסף זונדל בן חיים</t>
  </si>
  <si>
    <t>חבל נחלתו - כו</t>
  </si>
  <si>
    <t>אפשטיין, יעקב בן חיים</t>
  </si>
  <si>
    <t>שומריה</t>
  </si>
  <si>
    <t>חבל נחלתו - 3 כרכים</t>
  </si>
  <si>
    <t>ליברמן, חיים ברכיה</t>
  </si>
  <si>
    <t>חברא מחזירי עטרה ליושנה</t>
  </si>
  <si>
    <t>שלזינגר, עקיבא יוסף בן יחיאל</t>
  </si>
  <si>
    <t>חברה והלכה - 3 כרכים</t>
  </si>
  <si>
    <t>זלמנוביץ, אפרים בן יוסף</t>
  </si>
  <si>
    <t>חברה מעל"ה</t>
  </si>
  <si>
    <t>חברה קדישא גחש"א</t>
  </si>
  <si>
    <t>ירושלים. חברה קדישא</t>
  </si>
  <si>
    <t>צפורי, מ</t>
  </si>
  <si>
    <t>חברת כרם שלמה</t>
  </si>
  <si>
    <t>חג הפסח בהלכה ובאגדה</t>
  </si>
  <si>
    <t>חג הפסח במורשת ישראל</t>
  </si>
  <si>
    <t>שער יוסף</t>
  </si>
  <si>
    <t>חג השבועות בהלכה ובאגדה</t>
  </si>
  <si>
    <t>חג מציון</t>
  </si>
  <si>
    <t>לקט מאמרים על מועדי ישראל</t>
  </si>
  <si>
    <t>חדוותא - 12</t>
  </si>
  <si>
    <t>כתב עת</t>
  </si>
  <si>
    <t>חדר הורתי</t>
  </si>
  <si>
    <t>טופיק, יצחק בן אברהם</t>
  </si>
  <si>
    <t>חדרי תורה - בבא קמא</t>
  </si>
  <si>
    <t>חדשות עולם הספר - א</t>
  </si>
  <si>
    <t>חובות הלבבות שער  הכניעה &lt;לב הארי&gt;</t>
  </si>
  <si>
    <t>אבן-פקודה, בחיי בן יוסף - פישר, ברוך אריה הלוי</t>
  </si>
  <si>
    <t>חובות הלבבות שער הבטחון &lt;לב הארי&gt;</t>
  </si>
  <si>
    <t>חובות הלבבות שער יחוד המעשה &lt;לב הארי&gt;</t>
  </si>
  <si>
    <t>חוברת ירחי כלה גיטסהד</t>
  </si>
  <si>
    <t>חוברת לחזרה והעמקה בתורה ומפרשים - 4 כרכים</t>
  </si>
  <si>
    <t>רחמני, דוד</t>
  </si>
  <si>
    <t>חובת הלבבות &lt;לבב הסופר&gt;</t>
  </si>
  <si>
    <t>אבן-פקודה, בחיי בן יוסף</t>
  </si>
  <si>
    <t>חובת נשים &lt;מדת ודין&gt; - ב</t>
  </si>
  <si>
    <t>פרידלנדר, יואל בן מאיר</t>
  </si>
  <si>
    <t>לונדון London</t>
  </si>
  <si>
    <t>חודה תנ"ך</t>
  </si>
  <si>
    <t>הלר-גלעדי, רבקה בת בנציון</t>
  </si>
  <si>
    <t>חודש בחדשו - לוח תש"ע</t>
  </si>
  <si>
    <t>קינסטליכער, משה אלכסנדר זושא</t>
  </si>
  <si>
    <t>חודשי השנה</t>
  </si>
  <si>
    <t>ביגל, אביחי יצחק בן משה</t>
  </si>
  <si>
    <t>קדימה</t>
  </si>
  <si>
    <t>חוות דעת נדה &lt;דעת שלום&gt;</t>
  </si>
  <si>
    <t>לורברבוים, יעקב בן יעקב משה</t>
  </si>
  <si>
    <t>חוט המשולש - 2 כרכים</t>
  </si>
  <si>
    <t>סופר, אברהם שמואל בנימין - סופר, משה - איגר, עקיבא</t>
  </si>
  <si>
    <t>חוט המשולש החדש</t>
  </si>
  <si>
    <t>סופר, שלמה בן אברהם שמואל בנימין</t>
  </si>
  <si>
    <t>חומות ירושלים</t>
  </si>
  <si>
    <t>וויינטרויב, נח גד בן יעקב דוד</t>
  </si>
  <si>
    <t>חומש אור יקר - 5 כרכים</t>
  </si>
  <si>
    <t>רבותינו חכמי המערב</t>
  </si>
  <si>
    <t>חומש שיח התורה - 2 כרכים</t>
  </si>
  <si>
    <t>חומש שיח התורה</t>
  </si>
  <si>
    <t>חומת ירושלים - שבת</t>
  </si>
  <si>
    <t>כולל חומת ירושלים</t>
  </si>
  <si>
    <t>חומת ישראל - 2 כרכים</t>
  </si>
  <si>
    <t>חוסט ובנותיה</t>
  </si>
  <si>
    <t>חופת חתנים &lt;יידיש&gt;</t>
  </si>
  <si>
    <t>מילדולה, רפאל בן חזקיהו</t>
  </si>
  <si>
    <t>חוקי הסופר</t>
  </si>
  <si>
    <t>חוקי חיים</t>
  </si>
  <si>
    <t>הראל, משה אליהו</t>
  </si>
  <si>
    <t>חוקי חיים - דברים</t>
  </si>
  <si>
    <t>חוקים להורתם - 2 כרכים</t>
  </si>
  <si>
    <t>פרידמן, יחיאל מיכל אברהם</t>
  </si>
  <si>
    <t>חזון איש - עמ"ס זבחים א</t>
  </si>
  <si>
    <t>קרליץ, אברהם ישעיהו בן שמריהו יוסף</t>
  </si>
  <si>
    <t>חזון איש עם ביאורים והערות - 4 כרכים</t>
  </si>
  <si>
    <t>חזון איש קונטרס השיעורים ע"פ פשר חזון</t>
  </si>
  <si>
    <t>רוטנברג, ישראל בן מרדכי - קרליץ, אברהם ישעיהו</t>
  </si>
  <si>
    <t>חזון טברימון</t>
  </si>
  <si>
    <t>הלל, משה בן יעקב</t>
  </si>
  <si>
    <t>חזון ישעיהו (יד השל"ה)</t>
  </si>
  <si>
    <t>הורוויץ, ישעיה בן אברהם הלוי - גרוסברג, חנוך זונדל בן דוב בר (עורך)</t>
  </si>
  <si>
    <t>חזון עובדיה - 22 כרכים</t>
  </si>
  <si>
    <t>חזוננו - 5</t>
  </si>
  <si>
    <t>בטאון התאחדות תלמידי ישיבת חזון נחום</t>
  </si>
  <si>
    <t>חזוק אמונה</t>
  </si>
  <si>
    <t>יצחק בן אברהם מטרוקי</t>
  </si>
  <si>
    <t>[תר"ה,</t>
  </si>
  <si>
    <t>חזוק הנפש</t>
  </si>
  <si>
    <t>חזן הכנסת</t>
  </si>
  <si>
    <t>יעקובוביץ, יחזקאל שלום בן אברהם אליהו</t>
  </si>
  <si>
    <t>חזקו ויאמץ לבבכם</t>
  </si>
  <si>
    <t>אסופת מאמרים</t>
  </si>
  <si>
    <t>חטא תוכחה ותשובה במשנת ר"א מליז'ענסק</t>
  </si>
  <si>
    <t>חטיבה אחת בעולם</t>
  </si>
  <si>
    <t>חיבת העבודה</t>
  </si>
  <si>
    <t>בידרמן, חיים יוסף</t>
  </si>
  <si>
    <t>חידושי הגאון רבי יהושע ליב דיסקין - 2 כרכים</t>
  </si>
  <si>
    <t>חידושי הגר"ח השלם - בבא בתרא</t>
  </si>
  <si>
    <t>סולובייצ'יק, חיים בן יוסף דוב הלוי</t>
  </si>
  <si>
    <t>חידושי הלכות מהר"ם חריף - 4 כרכים</t>
  </si>
  <si>
    <t>ברנדס (חריף), משה בן יעקב</t>
  </si>
  <si>
    <t>חידושי הלכות מהרש"א - עיון המהרש"א - גיטין קידושין</t>
  </si>
  <si>
    <t>לוין, יוסף דוד</t>
  </si>
  <si>
    <t>חידושי המהריל"ד - יבמות</t>
  </si>
  <si>
    <t>חידושי הרב המאירי על מסכת שבת</t>
  </si>
  <si>
    <t>מאירי, מנחם בן שלמה</t>
  </si>
  <si>
    <t>ירושלים-ניו יארק,</t>
  </si>
  <si>
    <t>תש"ה</t>
  </si>
  <si>
    <t>חידושי הרמב"ן &lt;מהדורה מוערת&gt;- קידושין</t>
  </si>
  <si>
    <t>חידושי וביאורי רבי אריה לייב</t>
  </si>
  <si>
    <t>מאלין, אריה לייב בן אברהם משה</t>
  </si>
  <si>
    <t>חידושי וכתבי רבי שלמה הלוי אלקבץ</t>
  </si>
  <si>
    <t>אלקבץ, שלמה בן משה, הלוי</t>
  </si>
  <si>
    <t>חידושי חיים - א</t>
  </si>
  <si>
    <t>קאפשטיין, משה יעקב חיים בן יהודא ליב</t>
  </si>
  <si>
    <t>תרע"ג</t>
  </si>
  <si>
    <t>חידושי חתם סופר - בבא בתרא עם ביאורים</t>
  </si>
  <si>
    <t>חידושי יפה לב - ברכות</t>
  </si>
  <si>
    <t>לוינסון, יוסף פנחס הלוי</t>
  </si>
  <si>
    <t>חידושי מהר"י שפירא - יבמות</t>
  </si>
  <si>
    <t>שפירא, יוסף יאסקי בן אליהו</t>
  </si>
  <si>
    <t>חידושי מחצית השקל - עירובין</t>
  </si>
  <si>
    <t>קלין, שמואל בן נתן נטע הלוי</t>
  </si>
  <si>
    <t>חידושי רבי דב לנדו - 7 כרכים</t>
  </si>
  <si>
    <t>חידושי רבי חיים ישר</t>
  </si>
  <si>
    <t>ישר, חיים</t>
  </si>
  <si>
    <t>חידושי רבינו משה מאימראן - עבודה זרה</t>
  </si>
  <si>
    <t>מאימראן, משה בן אברהם</t>
  </si>
  <si>
    <t>תשס''ו</t>
  </si>
  <si>
    <t>חידושי רפאל &lt;מכון כנסת&gt; - מכות</t>
  </si>
  <si>
    <t>שלזינגר, רפאל בן צבי הירש</t>
  </si>
  <si>
    <t>חידושי תורה</t>
  </si>
  <si>
    <t>חידושי תורה - 4 כרכים</t>
  </si>
  <si>
    <t>חידושי תורה &lt;במסיבות להחזקת מוסדות התורה והחינוך&gt;  - 2 כרכים</t>
  </si>
  <si>
    <t>חידושי תורה עמ"ס ב"מ</t>
  </si>
  <si>
    <t>ישיבת זרע יצחק</t>
  </si>
  <si>
    <t>חידושים וביאורים בענייני ל"ג בעומר</t>
  </si>
  <si>
    <t>בלוי, יצחק מנחם - כהן, פנחס (עורך)</t>
  </si>
  <si>
    <t>חידושים וביאורים בענייני עשרה בטבת</t>
  </si>
  <si>
    <t>חידושים וביאורים בענייני שובבי"ם וט"ו בשבט</t>
  </si>
  <si>
    <t>חידושים לאחד מהראשונים &lt;מיוחס לרשב"א&gt;  עמ"ס מנחות</t>
  </si>
  <si>
    <t>גוטסגנדה, מרדכי (עורך)</t>
  </si>
  <si>
    <t>חידושים מפתיעים על מעשיות חז"ל - יא</t>
  </si>
  <si>
    <t>גוטסמן, הלל</t>
  </si>
  <si>
    <t>חידושים נחמדים</t>
  </si>
  <si>
    <t>גור, יוסף שאול</t>
  </si>
  <si>
    <t>חיוניות יהודית בשואה</t>
  </si>
  <si>
    <t>כרמון, א - אורון, י</t>
  </si>
  <si>
    <t>חיי אברהם - כיצד מברכים, שלשה שאכלו</t>
  </si>
  <si>
    <t>אלטמן, אברהם בן חיים הלוי</t>
  </si>
  <si>
    <t>חיי אדם - שומר מצוה</t>
  </si>
  <si>
    <t>דנציג, אברהם בן יחיאל מיכל - שטיינברגר, אליעזר בן ישעיה</t>
  </si>
  <si>
    <t>חיי אפרים - על התורה</t>
  </si>
  <si>
    <t>קשש, אפרים</t>
  </si>
  <si>
    <t>חיי הלוי ט &lt;תריג מצוות ג&gt;</t>
  </si>
  <si>
    <t>ואזנר, יוחנן בן מאיר יהודה</t>
  </si>
  <si>
    <t>חיי הלוי - יא</t>
  </si>
  <si>
    <t>חיי נועם - 3 כרכים</t>
  </si>
  <si>
    <t>טאוב, נועם חיים</t>
  </si>
  <si>
    <t>חיי עולם - שער הכונות א</t>
  </si>
  <si>
    <t>חיי עולם ובית הכנסת</t>
  </si>
  <si>
    <t>וויגודר, מאיר יואל בן יהודה ליב</t>
  </si>
  <si>
    <t>חיי פנחס</t>
  </si>
  <si>
    <t>הומינר, פנחס בן מיכל</t>
  </si>
  <si>
    <t>חיי שלמה - 3 כרכים</t>
  </si>
  <si>
    <t>רוזנברג, שלמה</t>
  </si>
  <si>
    <t>חייב איניש לבסומי בפוריא</t>
  </si>
  <si>
    <t>איל, נתנאל</t>
  </si>
  <si>
    <t>חיים הדבקים</t>
  </si>
  <si>
    <t>סלר, חיים עוזר בן שלום (לזכרו)</t>
  </si>
  <si>
    <t>חיים למוצאיהם</t>
  </si>
  <si>
    <t>חיים של ברכה - 2 כרכים</t>
  </si>
  <si>
    <t>שטיין, שמואל ליב</t>
  </si>
  <si>
    <t>חיינתי נפשי</t>
  </si>
  <si>
    <t>פנחסי, משה שלמה בן יוסף שלום</t>
  </si>
  <si>
    <t>חייתני נפשי - 2 כרכים</t>
  </si>
  <si>
    <t>חינוך האבות</t>
  </si>
  <si>
    <t>פינטו, רפאל בן עמרם</t>
  </si>
  <si>
    <t>סארסל</t>
  </si>
  <si>
    <t>חכם ושר</t>
  </si>
  <si>
    <t>אדלמאן, מרדכי יצחק בן שמחה ראובן</t>
  </si>
  <si>
    <t>תרנ"ו,</t>
  </si>
  <si>
    <t>חכם לב - 2 כרכים</t>
  </si>
  <si>
    <t>פער-אופנהיים, יחיאל מיכל</t>
  </si>
  <si>
    <t>חכמה קדומה - 3 כרכים</t>
  </si>
  <si>
    <t>קורח, שלמה בן יחיא</t>
  </si>
  <si>
    <t>חכמי ישראל דטאראנטא</t>
  </si>
  <si>
    <t>אברומוביץ, מאיר שמחה</t>
  </si>
  <si>
    <t>טורנטו</t>
  </si>
  <si>
    <t>חכמי לוב</t>
  </si>
  <si>
    <t>מקובר, ח</t>
  </si>
  <si>
    <t>חכמת היד והפרצוף</t>
  </si>
  <si>
    <t>יעקב בן מרדכי מפולדה</t>
  </si>
  <si>
    <t>חכמת הלב ולב החכמה - 2 כרכים</t>
  </si>
  <si>
    <t>חכמת הנפש עם זכות משה</t>
  </si>
  <si>
    <t>קורח, שלמה בן יחיא - אלעזר בן יהודה מגרמיזא</t>
  </si>
  <si>
    <t>חכמת חיים</t>
  </si>
  <si>
    <t>זוננפלד, שלמה זלמן - זוננפלד, יוסף חיים</t>
  </si>
  <si>
    <t>זינגר, חיים בן משה יוחנן</t>
  </si>
  <si>
    <t>חכמת שלמה</t>
  </si>
  <si>
    <t>סבח, שלמה</t>
  </si>
  <si>
    <t>חלב חטים &lt;מהדורה חדשה&gt; - ברכות, מועד</t>
  </si>
  <si>
    <t>טייב, יצחק חי</t>
  </si>
  <si>
    <t xml:space="preserve">תשס"ט - </t>
  </si>
  <si>
    <t>חלון התבה - מועדים וזמנים</t>
  </si>
  <si>
    <t>חפץ, נח בן ישראל</t>
  </si>
  <si>
    <t>חלוקת עלויות בניה</t>
  </si>
  <si>
    <t>מנדלוביץ, שלמה אהרן</t>
  </si>
  <si>
    <t>חלק יעקב - 2 כרכים</t>
  </si>
  <si>
    <t>חלקו של ידיד - 4 כרכים</t>
  </si>
  <si>
    <t>אלמשעלי, ידידיה בן אלחנן</t>
  </si>
  <si>
    <t>חלקנו בתורתך - 2 כרכים</t>
  </si>
  <si>
    <t>ישיבת בית מדרש עליון</t>
  </si>
  <si>
    <t>חלקת יהושע - מועדים</t>
  </si>
  <si>
    <t>וויכברויט, יהושע אלימלך</t>
  </si>
  <si>
    <t>חלקת יואב</t>
  </si>
  <si>
    <t>וינגרטן, יואב יהושע</t>
  </si>
  <si>
    <t>חלקת צבי - סוכה</t>
  </si>
  <si>
    <t>כהן, צבי</t>
  </si>
  <si>
    <t>חלקת שמעון - שמואל</t>
  </si>
  <si>
    <t>סורוצקין, שמעון זימל בן אברהם יצחק</t>
  </si>
  <si>
    <t>חלת אהרן</t>
  </si>
  <si>
    <t>כהן, אהרן בן יוסף דוד</t>
  </si>
  <si>
    <t>חלת דבש - שבת, עניינים</t>
  </si>
  <si>
    <t>שיף, דב הלוי</t>
  </si>
  <si>
    <t>חלת דבש - אה"ע (סימנים סו-פד, פו)</t>
  </si>
  <si>
    <t>קוסובסקי-שחור, שאול בן יצחק אברהם</t>
  </si>
  <si>
    <t>חמדת אפרים - יורה דעה</t>
  </si>
  <si>
    <t>לוונטאל, אפרים שרגא בן חיים משה הלוי</t>
  </si>
  <si>
    <t>חמדת אריה - מצוות הנחת תפילין</t>
  </si>
  <si>
    <t>רוטנברג, אריה יוסף בן אליעזר שרגא</t>
  </si>
  <si>
    <t>חמדת דניאל - פסח והגדה</t>
  </si>
  <si>
    <t>חמדת חיים</t>
  </si>
  <si>
    <t>מלין, חיים בן ראובן</t>
  </si>
  <si>
    <t>חמדת ימים</t>
  </si>
  <si>
    <t>חמדת ישראל - ב</t>
  </si>
  <si>
    <t>זילברשיץ, חיים משה בן שמואל</t>
  </si>
  <si>
    <t>זלוצ'וב Zolochev</t>
  </si>
  <si>
    <t>תר"צ - תרצ"ב</t>
  </si>
  <si>
    <t>חמדת צבי &lt;מהדורה חדשה&gt;</t>
  </si>
  <si>
    <t>ליברמאן, צבי הירש בן שלמה זלמן</t>
  </si>
  <si>
    <t>חמשה דורות</t>
  </si>
  <si>
    <t>וגנר, צבי</t>
  </si>
  <si>
    <t>חמשה חומשי תורה &lt;בינת מקרא&gt; - ב</t>
  </si>
  <si>
    <t>גורדון, אריה ליב בן שלמה</t>
  </si>
  <si>
    <t>חמשה סדרים</t>
  </si>
  <si>
    <t>תיקונים. שונים</t>
  </si>
  <si>
    <t>ויניציה,</t>
  </si>
  <si>
    <t>תצ"ג</t>
  </si>
  <si>
    <t>חן המסכת - מכות</t>
  </si>
  <si>
    <t>פיליפ, חנן בן משה</t>
  </si>
  <si>
    <t>חן יעקב - בבא בתרא</t>
  </si>
  <si>
    <t>פילשטיק, יוחנן בן יעקב חיים</t>
  </si>
  <si>
    <t>חנוך לנער</t>
  </si>
  <si>
    <t>חנוכת הבית - מדריך יהודי לכניסה לבית חדש</t>
  </si>
  <si>
    <t>צעירי אגודת חב"ד</t>
  </si>
  <si>
    <t>חסד חפצתי</t>
  </si>
  <si>
    <t>חסד יהושע &lt;מהדורה חדשה&gt; - 2 כרכים</t>
  </si>
  <si>
    <t>גרינוואלד, יהושע בן אברהם יוסף</t>
  </si>
  <si>
    <t>חסד לאברהם</t>
  </si>
  <si>
    <t>ווידהויזן, משה דניאל קהת בן צבי הירש הלוי</t>
  </si>
  <si>
    <t>חסד לאברהם &lt;מהדורה חדשה&gt;</t>
  </si>
  <si>
    <t>אברהם בן יחיאל</t>
  </si>
  <si>
    <t>חסד לאברהם - ברכות</t>
  </si>
  <si>
    <t>יצחקי, אורי</t>
  </si>
  <si>
    <t>דימונה</t>
  </si>
  <si>
    <t>חסד רחמים</t>
  </si>
  <si>
    <t>פנחסי, רחמים בן משה</t>
  </si>
  <si>
    <t>חסדי דוד</t>
  </si>
  <si>
    <t>רוח, דוד</t>
  </si>
  <si>
    <t>חסדי השם דברי מרדכי - תורה</t>
  </si>
  <si>
    <t>קריגר, מרדכי אהרן בן זאב</t>
  </si>
  <si>
    <t>חסידות און יום טוב</t>
  </si>
  <si>
    <t>אונגר, מנשה</t>
  </si>
  <si>
    <t>חסידות און עטיק</t>
  </si>
  <si>
    <t>הורביץ, נפתלי</t>
  </si>
  <si>
    <t>חסידות על הדף - ברכות, מועד</t>
  </si>
  <si>
    <t>גמסון, אורי</t>
  </si>
  <si>
    <t>חפץ חיים &lt;ארחות חיים&gt;</t>
  </si>
  <si>
    <t>חפץ חיים - אמרי יצחק, אמרי שיח</t>
  </si>
  <si>
    <t>חפץ חיים על אגדות הש"ס</t>
  </si>
  <si>
    <t>חציצה בהלכה</t>
  </si>
  <si>
    <t>וינד, נתן אליעזר</t>
  </si>
  <si>
    <t>חצר הקודש ערלוי - 52 כרכים</t>
  </si>
  <si>
    <t>התאחדות תלמידי וחסידי ערלוי</t>
  </si>
  <si>
    <t>חק לאלול</t>
  </si>
  <si>
    <t>טיקוצקי, יוסף בן אליהו</t>
  </si>
  <si>
    <t>חק לניסן</t>
  </si>
  <si>
    <t>חק תרומת צבא החדש</t>
  </si>
  <si>
    <t>תורכיה. חוקים</t>
  </si>
  <si>
    <t>[תרע"ה,</t>
  </si>
  <si>
    <t>חקים ומשפטים - הלכות הלואה ופרוזבול</t>
  </si>
  <si>
    <t>חקר ועיון - עניני פורים (תשפ"ב)</t>
  </si>
  <si>
    <t>פרוש, חיים יצחק</t>
  </si>
  <si>
    <t>חקר משפט - 2 כרכים</t>
  </si>
  <si>
    <t>אוצר הפוסקים</t>
  </si>
  <si>
    <t>חש"ש ללא חשש</t>
  </si>
  <si>
    <t>מושקוביץ, יחזקאל בן בנימין הלוי</t>
  </si>
  <si>
    <t>חשב האפד - 3 כרכים</t>
  </si>
  <si>
    <t>פאל, אליעזר דוד</t>
  </si>
  <si>
    <t>חשבון בית תלמוד תורה וישיבת תפארת ירושלים לעדת הספרדים</t>
  </si>
  <si>
    <t>תפארת ירושלים לעדת הספרדים</t>
  </si>
  <si>
    <t>חשבון הכנסה והוצאה מחברת משגב לדך - 3 כרכים</t>
  </si>
  <si>
    <t>תרמ"ג</t>
  </si>
  <si>
    <t>חשבון הנפש &lt;מהדורת מוסד הרב קוק&gt;</t>
  </si>
  <si>
    <t>לפין, מנחם מנדל בן יהודה ליב</t>
  </si>
  <si>
    <t>חשוקי חמד - 11 כרכים</t>
  </si>
  <si>
    <t>זילברשטיין, יצחק בן דוד יוסף</t>
  </si>
  <si>
    <t>חתם סופר - סוגיות</t>
  </si>
  <si>
    <t>[תרנ"א,</t>
  </si>
  <si>
    <t>ט"ז וש"ך - 2 כרכים</t>
  </si>
  <si>
    <t>ווינמן, יוסף</t>
  </si>
  <si>
    <t>טהור רעיונים - על התורה</t>
  </si>
  <si>
    <t>יום-טוב נטיל בן מנחם</t>
  </si>
  <si>
    <t>טהרת אהרן</t>
  </si>
  <si>
    <t>יצחק בן אבא מארי</t>
  </si>
  <si>
    <t>אופי באך</t>
  </si>
  <si>
    <t>טהרת אליהו - נגעים</t>
  </si>
  <si>
    <t>לבנון ויספיש, אליהו אליעזר</t>
  </si>
  <si>
    <t>טהרת הבית - 3 כרכים</t>
  </si>
  <si>
    <t>טהרת הקודש</t>
  </si>
  <si>
    <t>הלר, שמואל בן ישראל</t>
  </si>
  <si>
    <t>צפת,</t>
  </si>
  <si>
    <t>[תרכ"ד,</t>
  </si>
  <si>
    <t>טהרת הקודש א &lt;ונשמרתם&gt; - 2 כרכים</t>
  </si>
  <si>
    <t>טהרת משפחה</t>
  </si>
  <si>
    <t>ועד טהרת המשפחה</t>
  </si>
  <si>
    <t>טוב הארץ</t>
  </si>
  <si>
    <t>שולזינגר, טוביה בן שמואל</t>
  </si>
  <si>
    <t>טוב העץ</t>
  </si>
  <si>
    <t>דיויד, יעקב</t>
  </si>
  <si>
    <t>טוב סחרה - שמעתתא דקרפף</t>
  </si>
  <si>
    <t>טוב עין הוא יבורך</t>
  </si>
  <si>
    <t>בלום, צבי אלימלך בן מרדכי דוד</t>
  </si>
  <si>
    <t>טובות זכרונות - 3 כרכים</t>
  </si>
  <si>
    <t>טובים השנים - ט</t>
  </si>
  <si>
    <t>טור שולחן ערוך המקוצר - 3 כרכים</t>
  </si>
  <si>
    <t>טורי אבן &lt;ברכת צבי&gt; - מגילה</t>
  </si>
  <si>
    <t>טורי ישרון - לד</t>
  </si>
  <si>
    <t>ירחון בהוצאת הסתדרות ישרון בירושלים</t>
  </si>
  <si>
    <t>טיב גיטין &lt;מאזני צדק&gt;</t>
  </si>
  <si>
    <t>מרגליות, אפרים זלמן בן מנחם מאנוש</t>
  </si>
  <si>
    <t>טיפה מן הדבש - חולין בכורות</t>
  </si>
  <si>
    <t>שטרנבוך, בנימין</t>
  </si>
  <si>
    <t>טירת הכסף - חנוכה</t>
  </si>
  <si>
    <t>סופר, נוריאל</t>
  </si>
  <si>
    <t>טירת כסף - על התורה</t>
  </si>
  <si>
    <t>משדי, יואל רועי</t>
  </si>
  <si>
    <t>מגדל העמק</t>
  </si>
  <si>
    <t>טל אורות</t>
  </si>
  <si>
    <t>טל השמים</t>
  </si>
  <si>
    <t>הדאיה, יצחק</t>
  </si>
  <si>
    <t>טל חיים - 2 כרכים</t>
  </si>
  <si>
    <t>טל, שמואל</t>
  </si>
  <si>
    <t>יד בנימין</t>
  </si>
  <si>
    <t>טל ילדות</t>
  </si>
  <si>
    <t>יעבץ, זאב בן זוסמאן</t>
  </si>
  <si>
    <t>ווילנא,</t>
  </si>
  <si>
    <t>תרנ"ח,</t>
  </si>
  <si>
    <t>טל לישראל - שבת</t>
  </si>
  <si>
    <t>ביטון, ישראל מאיר בן שמעון חנניה</t>
  </si>
  <si>
    <t>טעם ודעת - ב (שאר אבות הטומאות )</t>
  </si>
  <si>
    <t>פישהוף, יחיאל בן שמואל</t>
  </si>
  <si>
    <t>טעם ודעת - 6 כרכים</t>
  </si>
  <si>
    <t>אופן, אלעד</t>
  </si>
  <si>
    <t>טעמו וממשו</t>
  </si>
  <si>
    <t>טעמי המנהגים</t>
  </si>
  <si>
    <t>שפרלינג, אברהם יצחק</t>
  </si>
  <si>
    <t>טעמי המקרא ותורה שבעל פה - תש"פ -תשפ"א</t>
  </si>
  <si>
    <t>פישר, זלמן</t>
  </si>
  <si>
    <t>י"א ניסן - מאה ועשרים שנה</t>
  </si>
  <si>
    <t>ועד אור וחום ההתקשרות</t>
  </si>
  <si>
    <t>יאיר דעת - 6 כרכים</t>
  </si>
  <si>
    <t>גולדשטוף, יאיר</t>
  </si>
  <si>
    <t>יאיר נתיב</t>
  </si>
  <si>
    <t>שפירא, יאיר בן ששון (לזכרו)</t>
  </si>
  <si>
    <t>יאר ה' - 2 כרכים</t>
  </si>
  <si>
    <t>יארבוך - א</t>
  </si>
  <si>
    <t>פדרבוש, שמעון</t>
  </si>
  <si>
    <t>יבול הארץ</t>
  </si>
  <si>
    <t>אורצל, אליהו משה בן עקיבא</t>
  </si>
  <si>
    <t>יבום או חליצה</t>
  </si>
  <si>
    <t>ערד</t>
  </si>
  <si>
    <t>יבין שמועה - חלה</t>
  </si>
  <si>
    <t>נפתלי, יוסף</t>
  </si>
  <si>
    <t>יגדיל תורה &lt;לונדון&gt; - נג</t>
  </si>
  <si>
    <t>עורך: הלפרין, אלחנן</t>
  </si>
  <si>
    <t>יגדיל תורה - 5 כרכים</t>
  </si>
  <si>
    <t>מרקסון, אברהם מרדכי יוסף - לודמיר, משה מנחם</t>
  </si>
  <si>
    <t>יד אברהם - 2 כרכים</t>
  </si>
  <si>
    <t>טנזר, יחיאל דוב בן אברהם חיים</t>
  </si>
  <si>
    <t>יד אהרן &lt;תיקוני המחבר בכת"י&gt;</t>
  </si>
  <si>
    <t>אהרן צבי בן משה יהודה אשכנזי</t>
  </si>
  <si>
    <t>שלוניקי Salonika</t>
  </si>
  <si>
    <t>יד בניהו</t>
  </si>
  <si>
    <t>עבדלחק, בניהו בן משה אליעזר</t>
  </si>
  <si>
    <t>יד ברוך</t>
  </si>
  <si>
    <t>דסקל, ישראל אליהו - שטרן, ברוך נתן הלוי</t>
  </si>
  <si>
    <t>יד גד - 3 כרכים</t>
  </si>
  <si>
    <t>רייס, גדליה</t>
  </si>
  <si>
    <t>יד המעין</t>
  </si>
  <si>
    <t>פינקלשטיין, יששכר דב</t>
  </si>
  <si>
    <t>יד העירוב - 2 כרכים</t>
  </si>
  <si>
    <t>שטרן, ישראל דוד</t>
  </si>
  <si>
    <t>יד ושם - תמיד נשחט</t>
  </si>
  <si>
    <t>ברגשטיין, יעקב דב</t>
  </si>
  <si>
    <t>יד ושם טוב</t>
  </si>
  <si>
    <t>שיפמאן, דוד מטבריה</t>
  </si>
  <si>
    <t>(ירושלם,</t>
  </si>
  <si>
    <t>[תר"ע,</t>
  </si>
  <si>
    <t>יד יהודה - אבן העזר סט-פח</t>
  </si>
  <si>
    <t>יד יקותיאל</t>
  </si>
  <si>
    <t>טייטלבוים, יקותיאל יהודה בן חיים צבי</t>
  </si>
  <si>
    <t>יד לאחים - 3 כרכים</t>
  </si>
  <si>
    <t>חבר פעילי המחנה התורתי</t>
  </si>
  <si>
    <t>יד לשבועה - שבועות</t>
  </si>
  <si>
    <t>גרודזינצקי, יהושע דב בן חיים שמחה</t>
  </si>
  <si>
    <t>יד מהרש"א - 22 כרכים</t>
  </si>
  <si>
    <t>פולגר, יחזקאל</t>
  </si>
  <si>
    <t>יד משה - פסחים</t>
  </si>
  <si>
    <t>גפן, משה</t>
  </si>
  <si>
    <t>ידות הבית - 3 כרכים</t>
  </si>
  <si>
    <t>ואזנר, יוסף בנימין בן חיים מאיר הלוי</t>
  </si>
  <si>
    <t>תשע"ט - תשפ"א</t>
  </si>
  <si>
    <t>ידות הלוי - 3 כרכים</t>
  </si>
  <si>
    <t>ידי כהן - 5 כרכים</t>
  </si>
  <si>
    <t>ידי משה - שערי הר הבית</t>
  </si>
  <si>
    <t xml:space="preserve">תש"א - </t>
  </si>
  <si>
    <t>ידיעת שבת - 2 כרכים</t>
  </si>
  <si>
    <t>יהודי אתיופיה</t>
  </si>
  <si>
    <t>ולדמן, מנחם בן זאב הכהן</t>
  </si>
  <si>
    <t>יהיה לששון ולשמחה</t>
  </si>
  <si>
    <t>יעבץ, יהודה אריה בן שמחה</t>
  </si>
  <si>
    <t>יובל העשרים לתנועת תורה ועבודה</t>
  </si>
  <si>
    <t>תנועת תורה ועבודה</t>
  </si>
  <si>
    <t>יודאיקה ירושלים - קהלת 5</t>
  </si>
  <si>
    <t>קטלוג מכירה פומבית</t>
  </si>
  <si>
    <t>יודוך אחיך - ריבית</t>
  </si>
  <si>
    <t>יצחקי, יהודה - כולל שירת דוד</t>
  </si>
  <si>
    <t>יודוך רעיוני</t>
  </si>
  <si>
    <t>יודישע געשיכטע</t>
  </si>
  <si>
    <t>קמינר, משולם</t>
  </si>
  <si>
    <t>יודעי העתים - 10 כרכים</t>
  </si>
  <si>
    <t>גייטסהעד</t>
  </si>
  <si>
    <t>יודעי תרועה</t>
  </si>
  <si>
    <t>פרנקהויז, אברהם</t>
  </si>
  <si>
    <t>יום הדין</t>
  </si>
  <si>
    <t>יום הכיפורים</t>
  </si>
  <si>
    <t>יום השישי</t>
  </si>
  <si>
    <t>יום זה לישראל</t>
  </si>
  <si>
    <t>זאדה, ישראל בן אבנר</t>
  </si>
  <si>
    <t>הלפרין, ירחמיאל ישראל יצחק</t>
  </si>
  <si>
    <t>יום טוב כהלכתו</t>
  </si>
  <si>
    <t>ליברמן, משה אפרים - גראזינגר, שמעון</t>
  </si>
  <si>
    <t>יום טוב ערצעהלונגען - ראש השנה</t>
  </si>
  <si>
    <t>משי זהב, מנחם מנדל</t>
  </si>
  <si>
    <t>יום מחמדים</t>
  </si>
  <si>
    <t>יום שבתון - 2 כרכים</t>
  </si>
  <si>
    <t>שלזינגר, אליהו בן אהרן צבי</t>
  </si>
  <si>
    <t>יוסף טוהר</t>
  </si>
  <si>
    <t>משדי, יוסף</t>
  </si>
  <si>
    <t>יוסף לקח - ברכות</t>
  </si>
  <si>
    <t>יופי של צניעות</t>
  </si>
  <si>
    <t>בשארי, יפתח</t>
  </si>
  <si>
    <t>יזל מים מדליו</t>
  </si>
  <si>
    <t>ליבוביץ, יהודה זאב</t>
  </si>
  <si>
    <t>יזרח אור</t>
  </si>
  <si>
    <t>שווארץ, פינחס זליג בן נפתלי הכהן</t>
  </si>
  <si>
    <t>יזרח אור &lt;מהדורה חדשה&gt;</t>
  </si>
  <si>
    <t>יחוד היראה ויחוד הגן &lt;ערוך ומבואר&gt;</t>
  </si>
  <si>
    <t>לוצאטו, משה חיים בן יעקב חי (רמח"ל)</t>
  </si>
  <si>
    <t>יחוה דעת - חוות דעת הלכות נדה עם ראשית דעת וטעם ודעת</t>
  </si>
  <si>
    <t>יחוס אבות - קאזמיר -מודז'יץ</t>
  </si>
  <si>
    <t>מכון דברות ישראל</t>
  </si>
  <si>
    <t>יחוס הצדיקים</t>
  </si>
  <si>
    <t>יחוס הצדיקים. תרנ"ו</t>
  </si>
  <si>
    <t>יחלק שלל - פורים, מגילת אסתר</t>
  </si>
  <si>
    <t>רייז, זאב וואלף</t>
  </si>
  <si>
    <t>ייחוד ברכה וקדושה</t>
  </si>
  <si>
    <t>יין המשומר - 3 כרכים</t>
  </si>
  <si>
    <t>יין ישמח - 3 כרכים</t>
  </si>
  <si>
    <t>וינגוט, שמחה בונים בן אפרים שרגא</t>
  </si>
  <si>
    <t>יין ישן - מבקש דעת</t>
  </si>
  <si>
    <t>ניסן, יעקב ישראל בן אמנון</t>
  </si>
  <si>
    <t>יין ישן - שנה ד</t>
  </si>
  <si>
    <t>גליון שבועי</t>
  </si>
  <si>
    <t>יכולה שבת שתרפא</t>
  </si>
  <si>
    <t>איצקוביץ, דוד בן יעקב</t>
  </si>
  <si>
    <t>ילדותנו - 2 כרכים</t>
  </si>
  <si>
    <t>ילדותנו</t>
  </si>
  <si>
    <t>תש"ו - תשט"ז</t>
  </si>
  <si>
    <t>ילקוט אדרת הסופר - אדר ראשון ושני</t>
  </si>
  <si>
    <t>איסטבארן</t>
  </si>
  <si>
    <t>ילקוט אורה ושמחה</t>
  </si>
  <si>
    <t>ילקוט בר מצוה ותפילין</t>
  </si>
  <si>
    <t>ילקוט הרואה</t>
  </si>
  <si>
    <t>ילקוט הרועים הגדול</t>
  </si>
  <si>
    <t>קובץ ספרי קבלה קדומים</t>
  </si>
  <si>
    <t>ילקוט טוב הארץ</t>
  </si>
  <si>
    <t>דסקל, ישראל אליהו</t>
  </si>
  <si>
    <t>ילקוט יוסף - 4 כרכים</t>
  </si>
  <si>
    <t>יוסף, יצחק בן עובדיה</t>
  </si>
  <si>
    <t>ילקוט יוסף &lt;מהדורה חדשה&gt; - או"ח ב (תפילה א)</t>
  </si>
  <si>
    <t>ילקוט מאמרים על הפרשיות והמועדים - 2 כרכים</t>
  </si>
  <si>
    <t>סגל, גדליה</t>
  </si>
  <si>
    <t>ילקוט מדרשים - ט</t>
  </si>
  <si>
    <t>דשא, עידן (עורך)</t>
  </si>
  <si>
    <t>ילקוט מפרשים על מסכת יבמות &lt;מכון כנסת&gt; - הפלאה ובית פנחס</t>
  </si>
  <si>
    <t>הורוויץ, פינחס בן צבי הירש הלוי</t>
  </si>
  <si>
    <t>ילקוט מפרשים על מסכת יבמות &lt;מכון כנסת&gt; - נהור שרגא</t>
  </si>
  <si>
    <t>לוריא, משה בצלאל בן שרגא פייבוש</t>
  </si>
  <si>
    <t>ילקוט מפרשים על מסכת יבמות &lt;מכון כנסת&gt; - קובץ הערות</t>
  </si>
  <si>
    <t>וואסרמאן, אלחנן בונם בן נפתלי בינוש</t>
  </si>
  <si>
    <t>ילקוט מפרשים על מסכת יבמות &lt;מכון כנסת&gt; - מי נפתוח</t>
  </si>
  <si>
    <t>קאצנלנבוגן, דוד טביל בן נפתלי הירץ</t>
  </si>
  <si>
    <t>ילקוט מפרשים על מסכת יבמות &lt;מכון כנסת&gt; - מנחת יעקב</t>
  </si>
  <si>
    <t>סג"ל, יעקב אליעזר בן יהודה הלוי</t>
  </si>
  <si>
    <t>ילקוט מפרשים על מסכת יבמות &lt;מכון כנסת&gt;</t>
  </si>
  <si>
    <t>ילקוט מפרשים. מכון כנסת.</t>
  </si>
  <si>
    <t>ילקוט מפרשים על מסכת מכות &lt;מכון כנסת&gt;</t>
  </si>
  <si>
    <t>מכון כנסת</t>
  </si>
  <si>
    <t>ילקוט מרדכי - 5 כרכים</t>
  </si>
  <si>
    <t>נקש, מרדכי יצחק</t>
  </si>
  <si>
    <t>ילקוט משה - שבת</t>
  </si>
  <si>
    <t>כהן, איתמר</t>
  </si>
  <si>
    <t>קריית אונו</t>
  </si>
  <si>
    <t>ילקוט קדמונים על מסכת מכות &lt;מכון כנסת&gt;</t>
  </si>
  <si>
    <t>ילקוט שיעורים - מרובה</t>
  </si>
  <si>
    <t>רוזובסקי, שמואל</t>
  </si>
  <si>
    <t>ילקוט שמעוני השלם &lt;תושיה - מכון ירושלים&gt; - 6 כרכים</t>
  </si>
  <si>
    <t>שמעון הדרשן מפראנקפורט</t>
  </si>
  <si>
    <t>ילקוט תיקוני טעויות ושינויי נוסחאות מכתבי יד וראשונים - בבא בתרא (השותפין)</t>
  </si>
  <si>
    <t>מכון סולת נקייה</t>
  </si>
  <si>
    <t>ים החכמה</t>
  </si>
  <si>
    <t>שטרן, יחיאל מיכל</t>
  </si>
  <si>
    <t>ים החכמה - 12 כרכים</t>
  </si>
  <si>
    <t>ים הטהרה - נגעים</t>
  </si>
  <si>
    <t>שלומוביץ, יהושע בן ישראל זלמן - שטיין, משה בן שמואל זלמן</t>
  </si>
  <si>
    <t>ים של שלמה &lt;מכון משנת רבי אהרן&gt; - 3 כרכים</t>
  </si>
  <si>
    <t>לוריא, שלמה בן יחיאל (מהרש"ל)</t>
  </si>
  <si>
    <t>ימי האור - חג החנוכה</t>
  </si>
  <si>
    <t>בצלאל, י י</t>
  </si>
  <si>
    <t>ימי האיתנים - ימים נוראים</t>
  </si>
  <si>
    <t>ימי העומר בהלכה ובאגדה</t>
  </si>
  <si>
    <t>ימי הפורים</t>
  </si>
  <si>
    <t>גוטמן, אריה יהודה בן חיים צבי</t>
  </si>
  <si>
    <t>ימי הפרים</t>
  </si>
  <si>
    <t>עשוש, צגייר בן בנימין</t>
  </si>
  <si>
    <t>ימי השמחה - חג הפורים</t>
  </si>
  <si>
    <t>ימי התלאות</t>
  </si>
  <si>
    <t>חזן, אברהם בן נחמן ישראל הלוי</t>
  </si>
  <si>
    <t>ימי שבת ומועד</t>
  </si>
  <si>
    <t>רייכמן, דוד מנחם בן אברהם אהרן</t>
  </si>
  <si>
    <t>ימי שמחתינו - חג הסוכות</t>
  </si>
  <si>
    <t>ימים ידברו</t>
  </si>
  <si>
    <t>ימים מקדם - 12 כרכים</t>
  </si>
  <si>
    <t>זקס, יונתן אבנר בן יהודה אריה</t>
  </si>
  <si>
    <t>יסד המעלה</t>
  </si>
  <si>
    <t>ברי"ל, יחיאל בן יהודה ליב</t>
  </si>
  <si>
    <t>מגנצא - ירושלים</t>
  </si>
  <si>
    <t>תרמ"ג - תשל"ח</t>
  </si>
  <si>
    <t>יסוד צדיק</t>
  </si>
  <si>
    <t>ארלנגר, חיים אריה בן שמשון רפאל</t>
  </si>
  <si>
    <t>יסודות העבודה וליקוטי מוסר</t>
  </si>
  <si>
    <t>לקט מספרים</t>
  </si>
  <si>
    <t>יסודות קודש - בפרדס הבית היהודי</t>
  </si>
  <si>
    <t>בוהדנה, שקד בן אהרן</t>
  </si>
  <si>
    <t>יסודי הלכות שבת</t>
  </si>
  <si>
    <t>יסודי שמחות</t>
  </si>
  <si>
    <t>פלדר, אהרן</t>
  </si>
  <si>
    <t>יעבדוך עמים</t>
  </si>
  <si>
    <t>יעיר אזן &lt;לשון לימודים&gt;</t>
  </si>
  <si>
    <t>אזולאי, חיים יוסף דוד בן רפאל יצחק זרחיה</t>
  </si>
  <si>
    <t>[תקנ"ג]</t>
  </si>
  <si>
    <t>יעלה הדס - ד</t>
  </si>
  <si>
    <t>יעלו אבר - עיוני תפילה</t>
  </si>
  <si>
    <t>טולדינו, אברהם יחיאל בן גבריאל</t>
  </si>
  <si>
    <t>יעלזו חסידים</t>
  </si>
  <si>
    <t>יעלזו חסידים &lt;הוצאת תושיה&gt;</t>
  </si>
  <si>
    <t>תשמ''ט</t>
  </si>
  <si>
    <t>יפה מראה - בבא קמא</t>
  </si>
  <si>
    <t>בית מדרש עליון</t>
  </si>
  <si>
    <t>יפה מראה - 10 כרכים</t>
  </si>
  <si>
    <t>ליסיצין, יוסף שלמה בן צבי יעקב</t>
  </si>
  <si>
    <t>יפה מראה - 2 כרכים</t>
  </si>
  <si>
    <t>יפה נדרשת - 2 כרכים</t>
  </si>
  <si>
    <t>פרידמן, יונה בן משה</t>
  </si>
  <si>
    <t>יפה פרי תואר</t>
  </si>
  <si>
    <t>פלנר, יואל חיים בן שמעון הלוי</t>
  </si>
  <si>
    <t>יפה שיחתן - ג</t>
  </si>
  <si>
    <t>היילפרין, אלחנן</t>
  </si>
  <si>
    <t>יצחק ירנן - שומרים</t>
  </si>
  <si>
    <t>הלר, יצחק זאב</t>
  </si>
  <si>
    <t>יצחק לשוח</t>
  </si>
  <si>
    <t>קובו, יצחק בן חזקיה יוסף</t>
  </si>
  <si>
    <t>תקפ"ב</t>
  </si>
  <si>
    <t>יציב פתגם - דברים</t>
  </si>
  <si>
    <t>הלברשטאם, יקותיאל יהודה בן צבי הירש</t>
  </si>
  <si>
    <t>יצירת קדש</t>
  </si>
  <si>
    <t>יצק שמן - בראשית</t>
  </si>
  <si>
    <t>קראוס, יונה צבי הכהן</t>
  </si>
  <si>
    <t>יקח מצוות - 2 כרכים</t>
  </si>
  <si>
    <t>ארצי, יהודה בן עזרא</t>
  </si>
  <si>
    <t>יקיר לי אפרים</t>
  </si>
  <si>
    <t>קייזר, אפרים הלל בן אריה יהודה - קייזר, אריה יהודה</t>
  </si>
  <si>
    <t>יקר אורייתא - שבת</t>
  </si>
  <si>
    <t>קלור, יחזקאל הכהן</t>
  </si>
  <si>
    <t>יקר תפארת - ברכת כהנים באהבה</t>
  </si>
  <si>
    <t>יקר תפארת - ויקרא במדבר דברים</t>
  </si>
  <si>
    <t>קיסטר, עקיבא</t>
  </si>
  <si>
    <t>יקרא דחיי ויקרא דשכבי</t>
  </si>
  <si>
    <t>יקרא דחיי"ם</t>
  </si>
  <si>
    <t>ארנרייך, שלמה זלמן בן יעקב</t>
  </si>
  <si>
    <t>שאמלוי</t>
  </si>
  <si>
    <t>תרצ"ז</t>
  </si>
  <si>
    <t>יקרה היא מפנינים</t>
  </si>
  <si>
    <t>לזכרה של פנינה פרל מישקובסקי</t>
  </si>
  <si>
    <t>יקרות כתב סופר - 2 כרכים</t>
  </si>
  <si>
    <t>סופר, אברהם שמואל בנימין בן משה</t>
  </si>
  <si>
    <t>ירבה תורה - 2 כרכים</t>
  </si>
  <si>
    <t>רוטנברג, יששכר דב הלוי</t>
  </si>
  <si>
    <t>ירוץ דברו - ב</t>
  </si>
  <si>
    <t>ולר, אמיר</t>
  </si>
  <si>
    <t>ירושלים והמקדש</t>
  </si>
  <si>
    <t>(פלברבאום) בר יוסף, מרדכי</t>
  </si>
  <si>
    <t>ירח האיתנים</t>
  </si>
  <si>
    <t>ירחון בית רוז'ין - כה</t>
  </si>
  <si>
    <t>ירחון בית רוז'ין</t>
  </si>
  <si>
    <t>ירחון האוצר - 12 כרכים</t>
  </si>
  <si>
    <t>ירחים מבורכים</t>
  </si>
  <si>
    <t>פענפיל, ברוך בן יצחק אהרן</t>
  </si>
  <si>
    <t>ירים משה</t>
  </si>
  <si>
    <t>יריעות אהרן</t>
  </si>
  <si>
    <t>קאפח, אהרן בן חיים דוד</t>
  </si>
  <si>
    <t>יריעות שלמה &lt;על ביאור הגר"א&gt; - הלכות תערובות</t>
  </si>
  <si>
    <t>יש מנהיג לעולם</t>
  </si>
  <si>
    <t>ישא יוסף - או"ח ד</t>
  </si>
  <si>
    <t>אפרתי, יוסף יקותיאל</t>
  </si>
  <si>
    <t>ישועות יעקב - תורה</t>
  </si>
  <si>
    <t>אורנשטיין, יעקב משולם בן מרדכי זאב</t>
  </si>
  <si>
    <t>ורשה Warsaw</t>
  </si>
  <si>
    <t>תרס"ז</t>
  </si>
  <si>
    <t>ישועות כהן - 3 כרכים</t>
  </si>
  <si>
    <t>אדלר, יהושע העשיל בן אהרן הכהן</t>
  </si>
  <si>
    <t>ישועות משה - 5 כרכים</t>
  </si>
  <si>
    <t>ישורון - לא</t>
  </si>
  <si>
    <t>ירחון לימודי חינוכי</t>
  </si>
  <si>
    <t>ישורון - 2 כרכים</t>
  </si>
  <si>
    <t>ישורון - 11 כרכים</t>
  </si>
  <si>
    <t>בטאון ארגון הנוער פרחי ויז'ניץ</t>
  </si>
  <si>
    <t>ישיבת הארץ</t>
  </si>
  <si>
    <t>שמדרה, אהרן בן מנחם בנימין</t>
  </si>
  <si>
    <t>ישכילו זאת</t>
  </si>
  <si>
    <t>מרקוביץ, יהושע</t>
  </si>
  <si>
    <t>ישכר באהליך</t>
  </si>
  <si>
    <t>כולל אברכים דחסידי בעלזא לונדון</t>
  </si>
  <si>
    <t>ישמח אב - 3 כרכים</t>
  </si>
  <si>
    <t>שולמן, אליהו ברוך בן ניסן אלחנן</t>
  </si>
  <si>
    <t>ישמח לבי - עירובין</t>
  </si>
  <si>
    <t>כולל זכרון יהודה ליב</t>
  </si>
  <si>
    <t>ישמרו דעת - 2 כרכים</t>
  </si>
  <si>
    <t>דויטש, שמואל ברוך בן בנימין זאב הכהן</t>
  </si>
  <si>
    <t>ישע ימינו - 2 כרכים</t>
  </si>
  <si>
    <t>ישר יחזו פנימו - 2 כרכים</t>
  </si>
  <si>
    <t>שפירא, יהושע נריה בן משה</t>
  </si>
  <si>
    <t>ישראל 70</t>
  </si>
  <si>
    <t>שינובר צבי - פרנס, אברהם</t>
  </si>
  <si>
    <t>ישראל ערבים</t>
  </si>
  <si>
    <t>ישרי לב - ג</t>
  </si>
  <si>
    <t>שוורץ, יחזקאל שרגא</t>
  </si>
  <si>
    <t>ישרים דרכי ה'</t>
  </si>
  <si>
    <t>ישרש יעקב - תורה וסוגיות הש"ס</t>
  </si>
  <si>
    <t>שיק, יעקב בן דוד</t>
  </si>
  <si>
    <t>יתד המאיר - 172</t>
  </si>
  <si>
    <t>ירחון תורני</t>
  </si>
  <si>
    <t>יתרון האור</t>
  </si>
  <si>
    <t>יתרון החכם</t>
  </si>
  <si>
    <t>כ"ג נידונים בענייני שתי הלחם</t>
  </si>
  <si>
    <t>כדונג נמסו - 6 כרכים</t>
  </si>
  <si>
    <t>גרשטין, דוד נתן בן זאב</t>
  </si>
  <si>
    <t>כדור קטן</t>
  </si>
  <si>
    <t>סימונסון, נחמן בן שמחה בר"ש</t>
  </si>
  <si>
    <t>ברסלאו?</t>
  </si>
  <si>
    <t>כהונת ישראל</t>
  </si>
  <si>
    <t>כוונת איש - 2 כרכים</t>
  </si>
  <si>
    <t>שושן, איתן בן אליהו</t>
  </si>
  <si>
    <t>כוינים פתיחין</t>
  </si>
  <si>
    <t>אייכנשטיין, יצחק אייזיק מנחם בן שלמה יעקב</t>
  </si>
  <si>
    <t>כוכב בעלטה</t>
  </si>
  <si>
    <t>זיידמן, רות</t>
  </si>
  <si>
    <t>כוכבי בוקר</t>
  </si>
  <si>
    <t>שמחה, מרדכי בן דובריש</t>
  </si>
  <si>
    <t>כולו אורה</t>
  </si>
  <si>
    <t>ועד התמימים העולמי</t>
  </si>
  <si>
    <t>כולו לב - תולדות רבי ישראל זאב דבורץ</t>
  </si>
  <si>
    <t>שפרכר, נ.</t>
  </si>
  <si>
    <t>כולל לעיוני הלכה</t>
  </si>
  <si>
    <t>שור, דוד</t>
  </si>
  <si>
    <t xml:space="preserve">תשמ"ה - </t>
  </si>
  <si>
    <t>כוננת מאז - 8 כרכים</t>
  </si>
  <si>
    <t>כוננת מאז תשע"ב - תשע"ג</t>
  </si>
  <si>
    <t>כוס ישועות - ביאור ספר ישעיהו תניינא</t>
  </si>
  <si>
    <t>כור המבחן - בשר בחלב</t>
  </si>
  <si>
    <t>רוזנברג, מאיר יהושע בן יהודה יודל</t>
  </si>
  <si>
    <t>בילוגרייא</t>
  </si>
  <si>
    <t>תרצ"ב</t>
  </si>
  <si>
    <t>כותרות שבעה פרשנים לחומש - 5 כרכים</t>
  </si>
  <si>
    <t>כזאת היתה בורשה</t>
  </si>
  <si>
    <t>הלר, פנינה</t>
  </si>
  <si>
    <t>כח הדיבור השלם בפרשה - 2 כרכים</t>
  </si>
  <si>
    <t>אלביליה, שלמה</t>
  </si>
  <si>
    <t>כחה של צדקה - 2 כרכים</t>
  </si>
  <si>
    <t>לוריא, משה בן מרדכי</t>
  </si>
  <si>
    <t>כטל אמרתי - א</t>
  </si>
  <si>
    <t>כי ברוב הימים</t>
  </si>
  <si>
    <t>כי זה משה האיש לא ידענו</t>
  </si>
  <si>
    <t>יעקבזון, מנחם</t>
  </si>
  <si>
    <t>כי טובה חכמה מפנינים</t>
  </si>
  <si>
    <t>פנחס, ליאור</t>
  </si>
  <si>
    <t>כיבוד אב ואם במקורות היהדות</t>
  </si>
  <si>
    <t>כינויי נדרים</t>
  </si>
  <si>
    <t>ויסבקר, משה</t>
  </si>
  <si>
    <t>כיצד אטפל בילדי בשבת ובחג</t>
  </si>
  <si>
    <t>שלזינגר, יחיאל משה</t>
  </si>
  <si>
    <t>כיצד מרקדין לפני החתן</t>
  </si>
  <si>
    <t>טאוב, יהודה בן משה</t>
  </si>
  <si>
    <t>קרית אתא</t>
  </si>
  <si>
    <t>כך הם ניספו</t>
  </si>
  <si>
    <t>האראפ, אברהם משה</t>
  </si>
  <si>
    <t>כל בו לפורים</t>
  </si>
  <si>
    <t>מור, אברהם מנחם מנדל</t>
  </si>
  <si>
    <t>[תרט"ו]</t>
  </si>
  <si>
    <t>כל הכתוב לחיים - 2 כרכים</t>
  </si>
  <si>
    <t>מכון להוצאת ספרי אור החיים הקדוש</t>
  </si>
  <si>
    <t>כל כתבי המשכנות יעקב והבית אפרים בענין אתו רבים ומבטלי מחיצות</t>
  </si>
  <si>
    <t>מרגליות, אפרים זלמן - ברוכין, יעקב</t>
  </si>
  <si>
    <t>כל כתבי וחידושי רבינו הברוך טעם ברוך טעם &lt;עם הגהות דברי חיים&gt;</t>
  </si>
  <si>
    <t>פרנקל-תאומים, ברוך בן יהושע יחזקאל פייבל</t>
  </si>
  <si>
    <t>כל כתבי וחידושי רבינו הברוך טעם - 3 כרכים</t>
  </si>
  <si>
    <t>כל סיפורי בעל שם טוב - ב</t>
  </si>
  <si>
    <t>קלפהולץ, ישראל יעקב</t>
  </si>
  <si>
    <t>כל עוף למינהו</t>
  </si>
  <si>
    <t>פורטמן, חזקיהו</t>
  </si>
  <si>
    <t>כלי האהל</t>
  </si>
  <si>
    <t>ניר, נתנאל</t>
  </si>
  <si>
    <t>כלי מחזיק ברכה &lt;מהד"ח&gt;</t>
  </si>
  <si>
    <t>נאג'ארה, ישראל בן משה</t>
  </si>
  <si>
    <t>כליות יזמרו לשמך</t>
  </si>
  <si>
    <t>כליל תפארת - יב (שנה ב גליון ו)</t>
  </si>
  <si>
    <t>כולל תפארת ירושלים</t>
  </si>
  <si>
    <t>כלל הפסד מרובה</t>
  </si>
  <si>
    <t>קולברש, עקיבא אברהם</t>
  </si>
  <si>
    <t>כלל ופרט - ישראל והעמים</t>
  </si>
  <si>
    <t>כללי הדקדוק מהגר"א</t>
  </si>
  <si>
    <t>כללים להזהר מפני החלירה</t>
  </si>
  <si>
    <t>[תרע" - ,</t>
  </si>
  <si>
    <t>כמוס עמדי</t>
  </si>
  <si>
    <t>עגיב, כמוס</t>
  </si>
  <si>
    <t>כמנח בכיסיה - 6 כרכים</t>
  </si>
  <si>
    <t>כנס פוע"ה - לידה והנקה</t>
  </si>
  <si>
    <t>מכון פוע"ה</t>
  </si>
  <si>
    <t>כנסת הסופר - 2 כרכים</t>
  </si>
  <si>
    <t>ויסברג, ישעיהו</t>
  </si>
  <si>
    <t>כנסת יחזקאל</t>
  </si>
  <si>
    <t>רבינוביץ, יחזקאל בן אברהם ישכר הכהן</t>
  </si>
  <si>
    <t>כנסת ישראל</t>
  </si>
  <si>
    <t>כנסת מנחם - הלכות תוכחה וחנופה</t>
  </si>
  <si>
    <t>זילברפרב, מנחם</t>
  </si>
  <si>
    <t>כנסת מרדכי</t>
  </si>
  <si>
    <t>פרמישלה Przemysl</t>
  </si>
  <si>
    <t>כנקין והקהילה היהודית - 3 כרכים</t>
  </si>
  <si>
    <t>בן ברוך, דוד</t>
  </si>
  <si>
    <t>כסא אליהו</t>
  </si>
  <si>
    <t>רביע, מיכאל שמואל</t>
  </si>
  <si>
    <t>כסף לרצות ורוצה לכסוף</t>
  </si>
  <si>
    <t>מכון חישבתי מחשבתי</t>
  </si>
  <si>
    <t>כסף נבחר - 7 כרכים</t>
  </si>
  <si>
    <t>כעס וסבלנות</t>
  </si>
  <si>
    <t>כף החיים &lt;מהדורה חדשה&gt;  - 10 כרכים</t>
  </si>
  <si>
    <t>סופר, יעקב חיים בן יצחק ברוך אליהו</t>
  </si>
  <si>
    <t>כפי תהיה</t>
  </si>
  <si>
    <t>הללי, י</t>
  </si>
  <si>
    <t>כפר החשמונאים</t>
  </si>
  <si>
    <t>כפר ליצחק</t>
  </si>
  <si>
    <t>אבירז'ל, יצחק</t>
  </si>
  <si>
    <t>מרראקס,</t>
  </si>
  <si>
    <t>[תרצ"ב,</t>
  </si>
  <si>
    <t>כפרת החטא והחוטא</t>
  </si>
  <si>
    <t>כפתור ופרח</t>
  </si>
  <si>
    <t xml:space="preserve">תשמ"ג - </t>
  </si>
  <si>
    <t>כצפיחת בדבש</t>
  </si>
  <si>
    <t>רויד, שלמה אפרים בן מיכאל עזרא</t>
  </si>
  <si>
    <t>כרם - שבט אדר תשל"ח</t>
  </si>
  <si>
    <t>צימערמאן, אהרן חיים הלוי (עורך)</t>
  </si>
  <si>
    <t>כרם זלות - הלכות תפילה</t>
  </si>
  <si>
    <t>זרגריאן, ערן</t>
  </si>
  <si>
    <t>כרם חמד</t>
  </si>
  <si>
    <t>פיוטרקוב,</t>
  </si>
  <si>
    <t>תרפ"ט - תר"ץ</t>
  </si>
  <si>
    <t>כשרות המטבח בהלכה ובאגדה</t>
  </si>
  <si>
    <t>כשרות השלחן א</t>
  </si>
  <si>
    <t>וענונו, מאיר</t>
  </si>
  <si>
    <t>כשרות השלחן ג</t>
  </si>
  <si>
    <t>כשרות השלחן ד</t>
  </si>
  <si>
    <t>כשרות השלחן ה</t>
  </si>
  <si>
    <t>כשרות השלחן ו</t>
  </si>
  <si>
    <t>כשרות השלחן ז</t>
  </si>
  <si>
    <t>כשרות השלחן ח</t>
  </si>
  <si>
    <t>כשרות כהלכה - ב</t>
  </si>
  <si>
    <t>רבני כושרות</t>
  </si>
  <si>
    <t>אלון מורה</t>
  </si>
  <si>
    <t>כתב משה - בדיני נ"ט בר נ"ט ודבר חריף</t>
  </si>
  <si>
    <t>נוימן, משה בן צבי הכהן</t>
  </si>
  <si>
    <t>מנתשסתר</t>
  </si>
  <si>
    <t>כתב סופר גיטין &lt;מכון תלמידי כתב סופר&gt;</t>
  </si>
  <si>
    <t>כתבוני לדורות - פורים</t>
  </si>
  <si>
    <t>כתבי הסבא מקלם - ימים נוראים</t>
  </si>
  <si>
    <t>זיו, שמחה זיסל בן ישראל</t>
  </si>
  <si>
    <t>כתבי יד קודש - (מתוך 'המזכיר')</t>
  </si>
  <si>
    <t>גרונר, יהודה לייב</t>
  </si>
  <si>
    <t>כתבי מהרצ"א</t>
  </si>
  <si>
    <t>כתבי מנחם מבש"ן - ב</t>
  </si>
  <si>
    <t>מבש"ן, מנחם בן חיים צבי</t>
  </si>
  <si>
    <t>תרפ"ח - תרצ"ג</t>
  </si>
  <si>
    <t>כתבי קודש רמ"מ - ליקוטים יקרים</t>
  </si>
  <si>
    <t>מידנר, משה - סלאנים, מרדכי חיים</t>
  </si>
  <si>
    <t xml:space="preserve">תשכ"ו - </t>
  </si>
  <si>
    <t>כתבי רבינו יצחק אבוהב (דה פונסקה) - ג</t>
  </si>
  <si>
    <t>אבוהב, יצחק (השלישי)</t>
  </si>
  <si>
    <t>כתבים לתולדות חבת - ציון וישוב ארץ-ישראל - ג</t>
  </si>
  <si>
    <t>דרויאנוב, אלתר אשר אברהם אבא בן פסח אליקים גצל</t>
  </si>
  <si>
    <t>אודיסה - תל-אביב,</t>
  </si>
  <si>
    <t>תרע"ט - תרצ"ב</t>
  </si>
  <si>
    <t>כתוב לחיים</t>
  </si>
  <si>
    <t>אברהם חיים בן יצחק יעקב</t>
  </si>
  <si>
    <t>כתונת אור</t>
  </si>
  <si>
    <t>כתונת יוסף</t>
  </si>
  <si>
    <t>כתונת פסים</t>
  </si>
  <si>
    <t>כתלי בית המדרש - 2 כרכים</t>
  </si>
  <si>
    <t>ישיבת שערי יושר</t>
  </si>
  <si>
    <t>כתר חכמה</t>
  </si>
  <si>
    <t>ירושלם, חיים זאב וולף בן יצחק</t>
  </si>
  <si>
    <t>תר"ם - תרמ"א</t>
  </si>
  <si>
    <t>כתר מלוכה</t>
  </si>
  <si>
    <t>חבורת המוסר משיבת נפש</t>
  </si>
  <si>
    <t>כתר מלוכה - ראש השנה</t>
  </si>
  <si>
    <t>חזן, שלמה יהודה</t>
  </si>
  <si>
    <t>כתר שלמה - 2 כרכים</t>
  </si>
  <si>
    <t>חלפון, אליהו בן חיים</t>
  </si>
  <si>
    <t>נוף איילון</t>
  </si>
  <si>
    <t>כתר תורה</t>
  </si>
  <si>
    <t>קונטרסי תשורה משמחות חסידות חב"ד</t>
  </si>
  <si>
    <t>חמ"דת</t>
  </si>
  <si>
    <t>כתר תורה - מ"ח דברים שהתורה נקנית</t>
  </si>
  <si>
    <t>ישיבת חיי עולם לונדון</t>
  </si>
  <si>
    <t>פינחס בן יהודה מפולוצק</t>
  </si>
  <si>
    <t>כתרי פרשיות</t>
  </si>
  <si>
    <t>שורקין יעקב משה</t>
  </si>
  <si>
    <t>לא זו הדרך</t>
  </si>
  <si>
    <t>צירלסון, יהודה ליב</t>
  </si>
  <si>
    <t>קישנוב</t>
  </si>
  <si>
    <t>תרפ"ד</t>
  </si>
  <si>
    <t>לא ככל הגוים בית ישראל</t>
  </si>
  <si>
    <t>בילסקי, ישראל חיים יוחנן בן אליהו</t>
  </si>
  <si>
    <t>תשט"ו</t>
  </si>
  <si>
    <t>לא תעשון אתי</t>
  </si>
  <si>
    <t>לאור שפת אמת</t>
  </si>
  <si>
    <t>וינרוט, אברהם בן משה אהרן</t>
  </si>
  <si>
    <t>לאיש כדרכיו</t>
  </si>
  <si>
    <t>לאיש שלום - 2 כרכים</t>
  </si>
  <si>
    <t>הירשמן, צבי יעקב שלום</t>
  </si>
  <si>
    <t>לאן הלכת</t>
  </si>
  <si>
    <t>קלמנסון, מענדל</t>
  </si>
  <si>
    <t>לאסוקי שמעתא אליבא דהילכתא - 2 כרכים</t>
  </si>
  <si>
    <t>לב אברהם - 2 כרכים</t>
  </si>
  <si>
    <t>סילברשטין, אברהם</t>
  </si>
  <si>
    <t>לב אלמנה ארנין</t>
  </si>
  <si>
    <t>כנרתי, עמיחי</t>
  </si>
  <si>
    <t>לב האש</t>
  </si>
  <si>
    <t>פחימה, הריאל בן יעקב</t>
  </si>
  <si>
    <t>לב הלקוטים</t>
  </si>
  <si>
    <t>לב, מני</t>
  </si>
  <si>
    <t>לב טוב &lt;מכון אור הצפון&gt;</t>
  </si>
  <si>
    <t>יצחק בן אליקים</t>
  </si>
  <si>
    <t>לב ים - גיטין</t>
  </si>
  <si>
    <t>זילבר, יחיאל מיכל</t>
  </si>
  <si>
    <t>לב יצחק</t>
  </si>
  <si>
    <t>מזרחי, אריה</t>
  </si>
  <si>
    <t>לב לדעת</t>
  </si>
  <si>
    <t>לב נפתלי</t>
  </si>
  <si>
    <t>פוגל, נפתלי הירץ (עליו) - פוגל, נחמן (עורך)</t>
  </si>
  <si>
    <t>פוגל, נחמן</t>
  </si>
  <si>
    <t>לב רחב - תורה בראשית</t>
  </si>
  <si>
    <t>בוכריס, רחמים בן משה</t>
  </si>
  <si>
    <t>לב שמואל - שבת, פסחים, סוכה, שביעית</t>
  </si>
  <si>
    <t>סולומונס, שמואל ליב בן נח</t>
  </si>
  <si>
    <t>לב שמח</t>
  </si>
  <si>
    <t>תפילות. סידור.</t>
  </si>
  <si>
    <t>לב שמחה</t>
  </si>
  <si>
    <t>בן שי, אשר</t>
  </si>
  <si>
    <t>לבב חכמה</t>
  </si>
  <si>
    <t>ישיבת לבב חכמה</t>
  </si>
  <si>
    <t>לבוקר חסדך</t>
  </si>
  <si>
    <t>צילגמן, אליעזר צבי</t>
  </si>
  <si>
    <t>לבוש יוסף - 3 כרכים</t>
  </si>
  <si>
    <t>לבושי מרדכי - 3 כרכים</t>
  </si>
  <si>
    <t>ווינקלר, מרדכי יהודה ליב בן נפתלי הרץ</t>
  </si>
  <si>
    <t>לדוד אמת &lt;עם ילקוט יוסף&gt;</t>
  </si>
  <si>
    <t>לדוד ולזרעו - זרע חיים - כתית למאור - ב</t>
  </si>
  <si>
    <t>כהן, יצחק בן דוד</t>
  </si>
  <si>
    <t>לדוד להזכיר</t>
  </si>
  <si>
    <t>זאגורי, דוד</t>
  </si>
  <si>
    <t>קמפינסקי, מנחם</t>
  </si>
  <si>
    <t>לדוד מזמור סיכום תמציתי של פרקי תהלים</t>
  </si>
  <si>
    <t>הס, יאיר חיים בן ישראל</t>
  </si>
  <si>
    <t>לדור ולדורות - ב</t>
  </si>
  <si>
    <t>ניסים, יצחק בן רחמים</t>
  </si>
  <si>
    <t>לדורו ולדורות</t>
  </si>
  <si>
    <t>קובץ מאמרים מהגרש"ר הירש ולתולדותיו</t>
  </si>
  <si>
    <t>לדניאל מזמור</t>
  </si>
  <si>
    <t>להבין את הקסם</t>
  </si>
  <si>
    <t>מכללת בית רבקה</t>
  </si>
  <si>
    <t>להבין ולהשכיל</t>
  </si>
  <si>
    <t>גרוס, יהושע</t>
  </si>
  <si>
    <t>להבין ולהשכיל - 2 כרכים</t>
  </si>
  <si>
    <t>קובץ בית מדרש נר ישראל</t>
  </si>
  <si>
    <t>להגדיל תורה ולהאדירה</t>
  </si>
  <si>
    <t>חברי הקיבוץ ישיבת גיטסהעד</t>
  </si>
  <si>
    <t>להדבק בדרכיו של רבינו חיים קנייבסקי זצ"ל - 2 כרכים</t>
  </si>
  <si>
    <t>הוניגסברג, גדליה בן מאיר יחיאל הלוי</t>
  </si>
  <si>
    <t>להדבק ביראתם של רבותינו</t>
  </si>
  <si>
    <t>להודות ולהלל</t>
  </si>
  <si>
    <t>בלומנטל, יעקב</t>
  </si>
  <si>
    <t>להטות לבבנו - מקומו של הלב בעבודת ה'</t>
  </si>
  <si>
    <t>להיות את</t>
  </si>
  <si>
    <t>להסיר מכשול של קלה נאה וחשודה</t>
  </si>
  <si>
    <t>בוגין, חיים בן משה גרשון</t>
  </si>
  <si>
    <t>(Poltava)</t>
  </si>
  <si>
    <t>להקים שם</t>
  </si>
  <si>
    <t>אוסטרן, ישראל חיים בן אלקנה</t>
  </si>
  <si>
    <t>להתהלך - בראשית</t>
  </si>
  <si>
    <t>הולצמן, אורי</t>
  </si>
  <si>
    <t>להתענג על השם - 3 כרכים</t>
  </si>
  <si>
    <t>לו חכמו - שיעורים בענייני חנוכה</t>
  </si>
  <si>
    <t>לוח - לשנת תשל"ד</t>
  </si>
  <si>
    <t>הצדקות המאוחדות בירושלים</t>
  </si>
  <si>
    <t>לוח ברכות</t>
  </si>
  <si>
    <t>לוח ההלכות והמנהגים - תשפ"ג</t>
  </si>
  <si>
    <t>זלזניק, אליהו אשר</t>
  </si>
  <si>
    <t>לוח לשנת תרמ"ז - זכרונות ירושלים</t>
  </si>
  <si>
    <t>אדלמן, מרדכי בן צבי,</t>
  </si>
  <si>
    <t>לוח לשנת תשל"א</t>
  </si>
  <si>
    <t>פדרציה של קהילות רומניה</t>
  </si>
  <si>
    <t>בוקרסט</t>
  </si>
  <si>
    <t>לוח מנהגי בית הכנסת ע"פ פסקי הגרי"א הנקין זצ"ל והגהותיו - 5 כרכים</t>
  </si>
  <si>
    <t>מרגולין, משה א - הנקין, יוסף אליהו</t>
  </si>
  <si>
    <t>לוח מנהגי ודיני בית הכנסת - תשל"ו</t>
  </si>
  <si>
    <t>לוח שנה. ניו יורק</t>
  </si>
  <si>
    <t>לוח ניסן תשפ"ב</t>
  </si>
  <si>
    <t>וועד רבני ליובאויץ צרפת</t>
  </si>
  <si>
    <t>לוח על כל אלף הששי</t>
  </si>
  <si>
    <t>שרגא פייבל בן משה מהורודנא</t>
  </si>
  <si>
    <t>[תרכ"ז,</t>
  </si>
  <si>
    <t>לוח ערך כל ימי השנה</t>
  </si>
  <si>
    <t>שווארץ, יהוסף בן מנחם</t>
  </si>
  <si>
    <t>תרכ"ב</t>
  </si>
  <si>
    <t>לוח שנה חכמי ספרד</t>
  </si>
  <si>
    <t>מכון חכמי ספרד</t>
  </si>
  <si>
    <t>לזכר עולם יהי' צדיק</t>
  </si>
  <si>
    <t>היילפרין, שמעון בן יעקב ישראל</t>
  </si>
  <si>
    <t>[תרצ"ג,</t>
  </si>
  <si>
    <t>לחזות בנועם - 2 כרכים</t>
  </si>
  <si>
    <t>ויצמן, ישי</t>
  </si>
  <si>
    <t>לחיות את הנצח</t>
  </si>
  <si>
    <t>זכרון לבנימין גל</t>
  </si>
  <si>
    <t>לחמי תודה &lt;מהדורת אהבת שלום&gt;</t>
  </si>
  <si>
    <t>באסאן, ישעיהו בן ישראל חזקיה</t>
  </si>
  <si>
    <t>לטביא ורבניה</t>
  </si>
  <si>
    <t>גלזמן, מרדכי</t>
  </si>
  <si>
    <t>ריגא</t>
  </si>
  <si>
    <t>ליגמר איניש - 5 כרכים</t>
  </si>
  <si>
    <t>ליהודים היתה אורה ושמחה - באור עשר לשונות של שמחה</t>
  </si>
  <si>
    <t>כהן, חננניה</t>
  </si>
  <si>
    <t>גבעת שמואל</t>
  </si>
  <si>
    <t>ליובאוויטש העיירה של חב"ד</t>
  </si>
  <si>
    <t>ליובאוויטש</t>
  </si>
  <si>
    <t>לימדה תורה דרך ארץ</t>
  </si>
  <si>
    <t>הופנר, הלל יחיאל בן נפתלי</t>
  </si>
  <si>
    <t>לימוד הסוגיא - קידושין</t>
  </si>
  <si>
    <t>רוזנר, ח.ל</t>
  </si>
  <si>
    <t>לימוד הרמב"ם - לדעת להבין להעמיק</t>
  </si>
  <si>
    <t>וולף, שלום דובער</t>
  </si>
  <si>
    <t>לימוד לר"ח אב</t>
  </si>
  <si>
    <t>תרל"ח</t>
  </si>
  <si>
    <t>לימודי מקוואות</t>
  </si>
  <si>
    <t>ליקוט בעניני אמונה ובטחון</t>
  </si>
  <si>
    <t>ליקוט מענות קודש - 2 כרכים</t>
  </si>
  <si>
    <t>ליקוט מתוך ספר שער המלך</t>
  </si>
  <si>
    <t>מרדכי בן שמואל</t>
  </si>
  <si>
    <t>ליקוטי חתם סופר - 2 כרכים</t>
  </si>
  <si>
    <t>ליקוטי יהודה - מועדים</t>
  </si>
  <si>
    <t>היינה, יהודה אריה ליב - אלטר, יהודה אריה ליב בן אברהם מרדכי</t>
  </si>
  <si>
    <t>ליקוטי מאמרים שבילי פנחס - 6 כרכים</t>
  </si>
  <si>
    <t>פרידמן, פנחס בן יהושע</t>
  </si>
  <si>
    <t>ליקוטי מדרשים - 3 כרכים</t>
  </si>
  <si>
    <t>ליקוטי מוהר"ן &lt;סגולת פלא&gt;</t>
  </si>
  <si>
    <t>נחמן בן שמחה, מברסלב</t>
  </si>
  <si>
    <t>ליקוטי מוהר"ן &lt;מקור חכמה&gt; - ד</t>
  </si>
  <si>
    <t>כרמל, אברהם יצחק הלוי</t>
  </si>
  <si>
    <t>ליקוטי נבונים</t>
  </si>
  <si>
    <t>צדיקי מונקאטש</t>
  </si>
  <si>
    <t>ליקוטי עטרת</t>
  </si>
  <si>
    <t>גולדשמידט, שמואל חיים</t>
  </si>
  <si>
    <t>ליקוטי ערך ש"י - 5 כרכים</t>
  </si>
  <si>
    <t>טאבאק, שלמה יהודה בן פסח צבי</t>
  </si>
  <si>
    <t>ליקוטי פנחס &lt;מהדורה חדשה&gt;</t>
  </si>
  <si>
    <t>[תרפ"ח],</t>
  </si>
  <si>
    <t>ליקוטי צבי - מעשי דוד - אהבת אברהם</t>
  </si>
  <si>
    <t>קובץ חיבורים</t>
  </si>
  <si>
    <t>ליקוטי רבינו החפץ חיים</t>
  </si>
  <si>
    <t>ליקוטי שיחות &lt;תרגום חפשי&gt; - כ</t>
  </si>
  <si>
    <t>תשנ"ד - תשפ"ב</t>
  </si>
  <si>
    <t>ליקוטי שער היחוד</t>
  </si>
  <si>
    <t>ליקוטי תורה תורת שמואל - תרכ"ח (צילום כת"י)</t>
  </si>
  <si>
    <t>שניאורסון, שמואל בן מנחם מנדל</t>
  </si>
  <si>
    <t>ליקוטי תשובות משנת יוסף - 3 כרכים</t>
  </si>
  <si>
    <t>רבינוביץ, גמליאל בן אלחנן הכהן (עורך)</t>
  </si>
  <si>
    <t>ליקוטים מרבנו יונה על מצוות הבטחון</t>
  </si>
  <si>
    <t>לישועתך קיונו</t>
  </si>
  <si>
    <t>ברין, אליהו שאול</t>
  </si>
  <si>
    <t>ללא שם - על הגרב"צ פלמן זצ"ל</t>
  </si>
  <si>
    <t>מכון קול חוצב</t>
  </si>
  <si>
    <t>ללמד בני יהודה קשת</t>
  </si>
  <si>
    <t>לוי, אהרן בן מנחם</t>
  </si>
  <si>
    <t>ללמוד איך להתפלל - ד</t>
  </si>
  <si>
    <t>גופין, שניאור זלמן</t>
  </si>
  <si>
    <t>ללמוד ולקיים - שבת - אדר-אב תש"פ</t>
  </si>
  <si>
    <t>קובץ גליונות</t>
  </si>
  <si>
    <t>ללקוט שושנים</t>
  </si>
  <si>
    <t>לזכרה של שושנה קינד</t>
  </si>
  <si>
    <t>למה דווקא ארץ ישראל</t>
  </si>
  <si>
    <t>מלמד, הדסה</t>
  </si>
  <si>
    <t>למועדה מימים ימימה</t>
  </si>
  <si>
    <t>(סגל) יצחקי, אפרים</t>
  </si>
  <si>
    <t>למחר אעתיר</t>
  </si>
  <si>
    <t>ברסלויער, משה בן מאיר</t>
  </si>
  <si>
    <t>למנות ימינו</t>
  </si>
  <si>
    <t>הרבט, חנן חננאל</t>
  </si>
  <si>
    <t>למנחמי</t>
  </si>
  <si>
    <t>חן, אברהם יהודה בן חיים דוד צבי</t>
  </si>
  <si>
    <t>תרצ"א</t>
  </si>
  <si>
    <t>למעלה מן החושים</t>
  </si>
  <si>
    <t>בזק, יעקב</t>
  </si>
  <si>
    <t>למען השבת</t>
  </si>
  <si>
    <t>מלכה, משה בן יחיאל</t>
  </si>
  <si>
    <t>למען ירושלים</t>
  </si>
  <si>
    <t>קוטניק, אליהו צבי</t>
  </si>
  <si>
    <t>למען עמי</t>
  </si>
  <si>
    <t>למען ציון</t>
  </si>
  <si>
    <t>פרידמן, אריה ליב</t>
  </si>
  <si>
    <t>למען תדע</t>
  </si>
  <si>
    <t>פערל, שלמה</t>
  </si>
  <si>
    <t>למען תזכרו - הלכות עגונות</t>
  </si>
  <si>
    <t>תורג'מן, אוהד</t>
  </si>
  <si>
    <t>למען תספר</t>
  </si>
  <si>
    <t>דרעי, משה</t>
  </si>
  <si>
    <t>למשמעות &lt;אידיש&gt; - בראשית -וירא</t>
  </si>
  <si>
    <t>יעקובזון, חיים יהודה בן אברהם דוד</t>
  </si>
  <si>
    <t>לנתיבות התורה הגואלת</t>
  </si>
  <si>
    <t>שוורץ, חיים אביהוא בן דוד יוסף - קוק, צבי יהודה בן אברהם יצחק</t>
  </si>
  <si>
    <t>לעטר פתורא הלכות שבת ב</t>
  </si>
  <si>
    <t>אשכנזי, חנוך העניך</t>
  </si>
  <si>
    <t>לעיונא - בבא בתרא</t>
  </si>
  <si>
    <t>בני החבורה דישיבת פונוביז</t>
  </si>
  <si>
    <t>לעניין הלכה - שביעית</t>
  </si>
  <si>
    <t>הרסקין, משה יחיאל בן דוד</t>
  </si>
  <si>
    <t>מדיעין עילית</t>
  </si>
  <si>
    <t>לפלגות לעד</t>
  </si>
  <si>
    <t>בענגיס, זליג ראובן - וויטשיק, שמואל צבי הלוי</t>
  </si>
  <si>
    <t>לפלגות ראובן - הגדה של פסח</t>
  </si>
  <si>
    <t>בנגיס, זליג ראובן בן צבי הירש</t>
  </si>
  <si>
    <t>לציון ברנה - 4 כרכים</t>
  </si>
  <si>
    <t>גולדמן, אהרן בן מאיר הכהן</t>
  </si>
  <si>
    <t>לצל יומם - 2 כרכים</t>
  </si>
  <si>
    <t>לקוטי בתר לקוטי - אבות א</t>
  </si>
  <si>
    <t>אלטר, שמואל בן אברהם יהודה</t>
  </si>
  <si>
    <t>תשי"א - תשי"ב</t>
  </si>
  <si>
    <t>לקוטי דיבורים - 4 כרכים</t>
  </si>
  <si>
    <t>שניאורסון, יוסף יצחק בן שלום דוב בר</t>
  </si>
  <si>
    <t>לקוטי הראי"ב</t>
  </si>
  <si>
    <t>בלוך, אהרן יוסף בן יונה לייב</t>
  </si>
  <si>
    <t>לקוטי זכר יצחק</t>
  </si>
  <si>
    <t>רבינוביץ, יצחק יעקב בן שמואל ליב</t>
  </si>
  <si>
    <t>לקוטי מאמרים</t>
  </si>
  <si>
    <t>שניאורסון, יצחק דוב בר בן חיים שניאור זלמן</t>
  </si>
  <si>
    <t>פלטבה,</t>
  </si>
  <si>
    <t>לקח וסברא - בבא בתרא</t>
  </si>
  <si>
    <t>ישיבת גאון יעקב</t>
  </si>
  <si>
    <t>לקח טוב על מגלת איכה</t>
  </si>
  <si>
    <t>טוביה בן אליעזר</t>
  </si>
  <si>
    <t>ברלין,</t>
  </si>
  <si>
    <t>לקח נחמד</t>
  </si>
  <si>
    <t>רבינוביץ, מנחם צבי בן אליהו</t>
  </si>
  <si>
    <t>לקט דינים בכתיבת סת"ם</t>
  </si>
  <si>
    <t>לקט הלכות</t>
  </si>
  <si>
    <t>לקט הלכות קטנים בדיני ממונות</t>
  </si>
  <si>
    <t>כהן,</t>
  </si>
  <si>
    <t>לקט ופרט - 6 כרכים</t>
  </si>
  <si>
    <t>בלוי, טוביה</t>
  </si>
  <si>
    <t>לקט מאמרים עדויות ותמונות במלאות חמישים שנה למאורעות תרפ"ט בחברון</t>
  </si>
  <si>
    <t>לקט מדרשי חז"ל על מעמד הר סיני</t>
  </si>
  <si>
    <t>תומכי תורה - כנסת חזקיהו</t>
  </si>
  <si>
    <t>לקט מדרשי חז"ל על סיפור יציאת מצרים</t>
  </si>
  <si>
    <t>לקט מקורות ופרושים לנביאים ראשונים</t>
  </si>
  <si>
    <t>גויטיין, אליהו מנחם בן צבי</t>
  </si>
  <si>
    <t>לקט סגולות הלכות והנהגות - 2 כרכים</t>
  </si>
  <si>
    <t>לקט שיעורים - בבא בתרא</t>
  </si>
  <si>
    <t>פליגמאן, אברהם</t>
  </si>
  <si>
    <t>לקט תפילות החולה</t>
  </si>
  <si>
    <t>שפרן, יגאל</t>
  </si>
  <si>
    <t>לקיחה תמה</t>
  </si>
  <si>
    <t>אדלר, שמעון בן סיני יצחק</t>
  </si>
  <si>
    <t>אדלר, שמעון בן סיני יצחק הלוי</t>
  </si>
  <si>
    <t>לקרא כלם בשם ה'</t>
  </si>
  <si>
    <t>זייני, חננאל עמי ישראל</t>
  </si>
  <si>
    <t>לקראת מקדש</t>
  </si>
  <si>
    <t>דביר, הראל בן גד</t>
  </si>
  <si>
    <t>נריה</t>
  </si>
  <si>
    <t>לקראת שבת לכו ונלכה</t>
  </si>
  <si>
    <t>לרוץ ארח</t>
  </si>
  <si>
    <t>קסטל, אהרן</t>
  </si>
  <si>
    <t>לשון חכמים</t>
  </si>
  <si>
    <t>לשון למודים - בעניני התפילה</t>
  </si>
  <si>
    <t>לנדא, משה דוד בן קלמן הלוי</t>
  </si>
  <si>
    <t>לשכת הסופר</t>
  </si>
  <si>
    <t>וילנה Vilna-ירושלים</t>
  </si>
  <si>
    <t>תרכ"ט - תשל"ה</t>
  </si>
  <si>
    <t>לשם זבח</t>
  </si>
  <si>
    <t>יעקב יהודה ליב בן חנוך זונדל</t>
  </si>
  <si>
    <t>אלטונה Altona</t>
  </si>
  <si>
    <t>תקכ"ח</t>
  </si>
  <si>
    <t>לתוהה האלמוני</t>
  </si>
  <si>
    <t>ויצמן, י</t>
  </si>
  <si>
    <t xml:space="preserve">תשנ"ז - </t>
  </si>
  <si>
    <t>לתולדות השחיטה האשכנזית</t>
  </si>
  <si>
    <t>פרוש, מנחם מנדל בן גרשון</t>
  </si>
  <si>
    <t>לתולדות התנועה הפראנקית - א -ב</t>
  </si>
  <si>
    <t>באלאבאן, מאיר שמואל בן אלכסנדר זוסמאן</t>
  </si>
  <si>
    <t>תרצ"ד - תרצ"ה</t>
  </si>
  <si>
    <t>לתורה והוראה - ב</t>
  </si>
  <si>
    <t>בית מדרש לתורה והוראה - ניו יורק</t>
  </si>
  <si>
    <t>לתשובה</t>
  </si>
  <si>
    <t>מאבק יהודי פולין על זכויותיהם</t>
  </si>
  <si>
    <t>נצר, שלמה</t>
  </si>
  <si>
    <t xml:space="preserve">תש"מ - </t>
  </si>
  <si>
    <t>מאה ועשרים שנה להכרזת האיסור</t>
  </si>
  <si>
    <t>שומרי צביונו של החינוך הטהור</t>
  </si>
  <si>
    <t>מאוצרות קדומים</t>
  </si>
  <si>
    <t>בן יעקב, יוסף בנימין</t>
  </si>
  <si>
    <t>מאור דגל התורה</t>
  </si>
  <si>
    <t>אלשיך, אברהם בן יוסף</t>
  </si>
  <si>
    <t>מאור החיים - 2 כרכים</t>
  </si>
  <si>
    <t>חמוי, חיים יואל</t>
  </si>
  <si>
    <t>מאור ישראל - 4 כרכים</t>
  </si>
  <si>
    <t>מאור למלך - 2 כרכים</t>
  </si>
  <si>
    <t>מלר, יחזקאל בן אלימלך</t>
  </si>
  <si>
    <t>מאור עינים</t>
  </si>
  <si>
    <t>רוסי, עזריה בן משה די</t>
  </si>
  <si>
    <t>תרנ"ט,</t>
  </si>
  <si>
    <t>מאור עינים &lt;מהדורת מקור&gt;  - 2 כרכים</t>
  </si>
  <si>
    <t>תרכ"ד</t>
  </si>
  <si>
    <t>מאורה של תורה</t>
  </si>
  <si>
    <t>מאורות הסופר - קידוש החמה והתקופה</t>
  </si>
  <si>
    <t>מאורות חיים</t>
  </si>
  <si>
    <t>מאורות תורת המשפט - ג</t>
  </si>
  <si>
    <t>מייטליס, אבישי נתן</t>
  </si>
  <si>
    <t>מאורי בית יצחק</t>
  </si>
  <si>
    <t>אורי יצחק אייזיק בן אבא קדש מבריסק</t>
  </si>
  <si>
    <t>מאורי השבת - הדלקת נרות</t>
  </si>
  <si>
    <t>יאקאב, ישראל יהודה</t>
  </si>
  <si>
    <t>מאורי סוכה</t>
  </si>
  <si>
    <t>כהן, אוהד גד חננאל</t>
  </si>
  <si>
    <t>מאזני הלכה - 2 כרכים</t>
  </si>
  <si>
    <t>אויש, משולם יצחק זישא נפתלי</t>
  </si>
  <si>
    <t>מאזני צדק &lt;מהדורה חדשה&gt;</t>
  </si>
  <si>
    <t>מאיבה לאהבה</t>
  </si>
  <si>
    <t>מאיר עיני - 2 כרכים</t>
  </si>
  <si>
    <t>בן דב, מאיר בן שמואל דב</t>
  </si>
  <si>
    <t>מאיר עיני - שביעית</t>
  </si>
  <si>
    <t>מאיר עיני חכמים - נישואין ויציאת מצרים</t>
  </si>
  <si>
    <t>הולצשטוק, מאיר יחיאל בן אברהם יצחק הלוי</t>
  </si>
  <si>
    <t>מאמר הד הרים</t>
  </si>
  <si>
    <t>מאמר הזכות</t>
  </si>
  <si>
    <t>רפאפורט, חיים יצחק אהרן בן יהודה ליב</t>
  </si>
  <si>
    <t>מאמר יסוד עולם</t>
  </si>
  <si>
    <t>מאמר יציאת מצרים</t>
  </si>
  <si>
    <t>אפשטיין, יצחק אייזיק בן מרדכי הלוי</t>
  </si>
  <si>
    <t>מאמר כי אתה אבינו</t>
  </si>
  <si>
    <t>שניאור זלמן בן ברוך מלאדי</t>
  </si>
  <si>
    <t>מאמר כי מראש צורים אראנו - התשל"ד</t>
  </si>
  <si>
    <t>מאמר מחשוף הלבן</t>
  </si>
  <si>
    <t>לוי, שלמה בן נתן בנימין</t>
  </si>
  <si>
    <t>מאמר מרדכי</t>
  </si>
  <si>
    <t>שווארץ, מרדכי</t>
  </si>
  <si>
    <t>מאמר מרדכי &lt;מכון ירושלים&gt;</t>
  </si>
  <si>
    <t>פונפדר, מרדכי בן יעקב</t>
  </si>
  <si>
    <t>מאמר פי</t>
  </si>
  <si>
    <t>פריעד, מנחם מאיר</t>
  </si>
  <si>
    <t>מאמרי הרב יהודה יעקב ברקאי</t>
  </si>
  <si>
    <t>מאמרי הרבי</t>
  </si>
  <si>
    <t>מאמרי חז"ל</t>
  </si>
  <si>
    <t>שוסטר, מאיר הכהן</t>
  </si>
  <si>
    <t>וואטערבורי קאנג</t>
  </si>
  <si>
    <t>מאמרי חיזוק ודברי אלוקים חיים</t>
  </si>
  <si>
    <t>לופס, שלום אהרן בן יעקב</t>
  </si>
  <si>
    <t>עכו</t>
  </si>
  <si>
    <t>מאמרי חנוכה</t>
  </si>
  <si>
    <t>דייוויד, יונתן דוד</t>
  </si>
  <si>
    <t>מאמרי ים החכמה - 2 כרכים</t>
  </si>
  <si>
    <t>מאמרי מחשבה ומוסר</t>
  </si>
  <si>
    <t>בן חיון, סעדיה</t>
  </si>
  <si>
    <t>ירושלים- ליוורנו</t>
  </si>
  <si>
    <t>מאמרי פחד יצחק - פסח</t>
  </si>
  <si>
    <t>הוטנר, יצחק בן חיים יואל</t>
  </si>
  <si>
    <t>מאמרי פסח</t>
  </si>
  <si>
    <t>מאמרי רמח"ל - 2 כרכים</t>
  </si>
  <si>
    <t>מאמרים - 4 כרכים</t>
  </si>
  <si>
    <t>עמנואל, שמחה בן  יונה</t>
  </si>
  <si>
    <t>מאמרים - רבי עזרא מפאנו חכם מקובל ומנהיג</t>
  </si>
  <si>
    <t>בניהו, מאיר בן יצחק נסים</t>
  </si>
  <si>
    <t>מאן בעי חיי</t>
  </si>
  <si>
    <t>מאסף שמחת תורה - ב</t>
  </si>
  <si>
    <t>קובץ מוסדות פני מנחם</t>
  </si>
  <si>
    <t>מאסף תורני כליל תפארת - 3 כרכים</t>
  </si>
  <si>
    <t>רשת הכוללים דקהל תפארת ירושלים</t>
  </si>
  <si>
    <t>מאריות גברו</t>
  </si>
  <si>
    <t>פוזיילוב, אריה בן רחמים</t>
  </si>
  <si>
    <t>מבארו של זאב</t>
  </si>
  <si>
    <t>ברונר, שמואל זאב</t>
  </si>
  <si>
    <t>מבוא ליהושע</t>
  </si>
  <si>
    <t>שפיצר, ד</t>
  </si>
  <si>
    <t>מבוא למשנה ולתלמוד</t>
  </si>
  <si>
    <t>רובין, יצחק</t>
  </si>
  <si>
    <t>מבוא לשביעית</t>
  </si>
  <si>
    <t>שלנגר, אליקים בן אברהם יצחק</t>
  </si>
  <si>
    <t>מבוא לתרומות ומעשרות - 4 כרכים</t>
  </si>
  <si>
    <t>מבואות הלכה - 4 כרכים</t>
  </si>
  <si>
    <t>חסידה, יהודה בן שמחה</t>
  </si>
  <si>
    <t>מבוע - 9 כרכים</t>
  </si>
  <si>
    <t>קובץ ליצירה דתית</t>
  </si>
  <si>
    <t>מבועי הנחל 14 &lt;ב&gt;</t>
  </si>
  <si>
    <t>מבחר מאמרים - שבת כיבוד הורים מצות התלויות בארץ</t>
  </si>
  <si>
    <t>תלמידי ישיבה תושבי עפולה</t>
  </si>
  <si>
    <t>מבי מדרשא דרבי מאיר</t>
  </si>
  <si>
    <t>מבית ההוראה - 3 כרכים</t>
  </si>
  <si>
    <t>משלחן בית ההוראה בכפר חב"ד</t>
  </si>
  <si>
    <t>מבית לוי - 4 כרכים</t>
  </si>
  <si>
    <t>קובץ מבית מדרשו של בעל שבט הלוי</t>
  </si>
  <si>
    <t>מבית מדרשנו באגדה - ב"ק, סנהדרין</t>
  </si>
  <si>
    <t>ישיבת מרכז הרב</t>
  </si>
  <si>
    <t>מבנים אשר - 2 כרכים</t>
  </si>
  <si>
    <t>רוזנר, שאול אריה לייב בן אלתר יעקב שמשון</t>
  </si>
  <si>
    <t>מבקשי אמונה - ג</t>
  </si>
  <si>
    <t>איחוד אברכים דתולדות אהרן</t>
  </si>
  <si>
    <t>מבשר ואומר</t>
  </si>
  <si>
    <t>רבינוביץ, מנחם מנדל מנכין עמנואל בן אברהם אריה ליפשיץ</t>
  </si>
  <si>
    <t>מבשר טוב</t>
  </si>
  <si>
    <t>בכאש, שלום</t>
  </si>
  <si>
    <t>מבשר טוב - אור אלימלך</t>
  </si>
  <si>
    <t>רבינוביץ, בצלאל שמחה מנחם בן ציון</t>
  </si>
  <si>
    <t>מבשרת ציון</t>
  </si>
  <si>
    <t>מגדיל ישעת מלכו</t>
  </si>
  <si>
    <t>מגדל עוז - 4</t>
  </si>
  <si>
    <t>בטאון המועצה הדתית מגדל העמק</t>
  </si>
  <si>
    <t>מגיד דבריו ליעקב, עה"ת - 05 וישלח</t>
  </si>
  <si>
    <t>סופר, יעקב חיים בן יצחק שלום</t>
  </si>
  <si>
    <t>מגיד רחצה</t>
  </si>
  <si>
    <t>אבידן, דן</t>
  </si>
  <si>
    <t>מגילת איכה &lt;נחמת אבות&gt;</t>
  </si>
  <si>
    <t>לוין, יוסף בן מרדכי הלוי</t>
  </si>
  <si>
    <t>מגילת אסתר &lt;מעשה כהן&gt;</t>
  </si>
  <si>
    <t>מגילת אסתר &lt;ברוך מרדכי&gt;</t>
  </si>
  <si>
    <t>חדד, ברוך רפאל עוזיאל בן דוד שמעון</t>
  </si>
  <si>
    <t>מגילת אסתר &lt;עטרת מאיר&gt;</t>
  </si>
  <si>
    <t>מגילת אסתר &lt;אור צבי&gt;</t>
  </si>
  <si>
    <t>מגילת אסתר &lt;חיי האורה&gt;</t>
  </si>
  <si>
    <t>מגילת יוחסין</t>
  </si>
  <si>
    <t>מיוחס, רפאל מיוחס בן שמואל</t>
  </si>
  <si>
    <t>מגילת סארגוסאנוס</t>
  </si>
  <si>
    <t>מגילת סאראגוסאנוס</t>
  </si>
  <si>
    <t>תרל"ב</t>
  </si>
  <si>
    <t>מגילת ספר</t>
  </si>
  <si>
    <t>אופנהיים, דוד</t>
  </si>
  <si>
    <t>מגילת רות &lt;חוטר ישי&gt;</t>
  </si>
  <si>
    <t>תווינה, שלמה בן עאבד</t>
  </si>
  <si>
    <t>כלכתה</t>
  </si>
  <si>
    <t>תרמ"ט</t>
  </si>
  <si>
    <t>מגילת רות &lt;גזת הצמר&gt;</t>
  </si>
  <si>
    <t>שחר, גדעון</t>
  </si>
  <si>
    <t>מגילת רות &lt;שורש יהודה&gt;</t>
  </si>
  <si>
    <t>מגלה עמוקות על התורה &lt;עם ביאור שושנת העמקים&gt; - 7 כרכים</t>
  </si>
  <si>
    <t>שפירא, נתן נטע בן שלמה</t>
  </si>
  <si>
    <t>מגלת סתרים וס' מסכת פורים</t>
  </si>
  <si>
    <t>לוי בן גרשון (רלב"ג). מיוחס לו</t>
  </si>
  <si>
    <t>וויען,</t>
  </si>
  <si>
    <t>תרל"א</t>
  </si>
  <si>
    <t>מגן אבות זיע"א</t>
  </si>
  <si>
    <t>תפילות לישני חברון ועוד מקומות הקדושים</t>
  </si>
  <si>
    <t>איזמיר</t>
  </si>
  <si>
    <t>מגן שאול</t>
  </si>
  <si>
    <t>מגרוסוורדיין לארץ ישראל</t>
  </si>
  <si>
    <t>שפירא, יעקב (עורך)</t>
  </si>
  <si>
    <t>מדבר שקר תרחק</t>
  </si>
  <si>
    <t>מדברי ראשונים - ד בין אדם לחבירו</t>
  </si>
  <si>
    <t>בכרך, יהושע - ארנד, משה</t>
  </si>
  <si>
    <t>מדובקים ביראתך</t>
  </si>
  <si>
    <t>מדי דברי - תפילה וברכות</t>
  </si>
  <si>
    <t>מהרש"ק, דניאל יוסף בן יחזקאל שלמה חיים</t>
  </si>
  <si>
    <t>מדרגת האדם</t>
  </si>
  <si>
    <t>הורוויץ, יוסף בן שלמה זלמן זיו</t>
  </si>
  <si>
    <t>מדריך בענין בן עיר ובן כרך</t>
  </si>
  <si>
    <t>מדריך בענין מצות ביומו תתן שכרו</t>
  </si>
  <si>
    <t>מדריך הכשרות - 2 כרכים</t>
  </si>
  <si>
    <t>ועד הכשרות של בד"ץ העדה החרדית</t>
  </si>
  <si>
    <t>מדריך לדיני מוקצה</t>
  </si>
  <si>
    <t>הלשטוק, יהודה ליב בן שלמה הלוי</t>
  </si>
  <si>
    <t>מדריך להלכות אכסנאי בחנוכה</t>
  </si>
  <si>
    <t>מדריך לליל הסדר</t>
  </si>
  <si>
    <t>מדריך לסוכות</t>
  </si>
  <si>
    <t>מדריך לשביעי של פסח שחל בערב שבת</t>
  </si>
  <si>
    <t>מדריך לשבת ערב פסח</t>
  </si>
  <si>
    <t>מדריך לשמחת תורה</t>
  </si>
  <si>
    <t>מדריך לתורה שבעל פה - 3 כרכים</t>
  </si>
  <si>
    <t>מדריך לתקיעות</t>
  </si>
  <si>
    <t>מדריך עזר לפרק אלו טריפות</t>
  </si>
  <si>
    <t>מ. בר-יוסף</t>
  </si>
  <si>
    <t>מדרש אליהו &lt;מהדורה חדשה&gt;</t>
  </si>
  <si>
    <t>מדרש דחד יומא - ו</t>
  </si>
  <si>
    <t>הוצאת בית יתיר</t>
  </si>
  <si>
    <t>בית יתיר</t>
  </si>
  <si>
    <t>מדרש הוראה חדרי תורה</t>
  </si>
  <si>
    <t>בתי הוראה מדרש הוראה</t>
  </si>
  <si>
    <t>מדרש משלי &lt;עם כל המפרשים&gt;</t>
  </si>
  <si>
    <t>מדרשי אגדה בהוצאת זכרון אהרן</t>
  </si>
  <si>
    <t>מדרש ציון</t>
  </si>
  <si>
    <t>כולל דורשי ציון</t>
  </si>
  <si>
    <t>מדרש רבה &lt;עם פירוש מדעי&gt;  - 8 כרכים</t>
  </si>
  <si>
    <t>מירקין, משה אריה בן שלמה</t>
  </si>
  <si>
    <t>תשי"ז - תשכ"ז</t>
  </si>
  <si>
    <t>מה אתה מחפש</t>
  </si>
  <si>
    <t>ארגון "שבילים"</t>
  </si>
  <si>
    <t>מה דודך מדוד</t>
  </si>
  <si>
    <t>מהדרין - 4 כרכים</t>
  </si>
  <si>
    <t>מאסף תורני בעניני כשרות</t>
  </si>
  <si>
    <t>מהר"י הלוי - גבורת אנשים - מהר"ם כץ - זרע חיים - אסיפת גאונים - שו"ת ר' העשיל - שאגת אריה</t>
  </si>
  <si>
    <t>מהרש"ם - 2 כרכים</t>
  </si>
  <si>
    <t>מהרש"מ הכהן - שמות</t>
  </si>
  <si>
    <t>הולנדר, שמואל מאיר בן נתן דוד הכהן</t>
  </si>
  <si>
    <t>מודע לבינה,</t>
  </si>
  <si>
    <t>מודע לבינה</t>
  </si>
  <si>
    <t>תרמ"ז</t>
  </si>
  <si>
    <t>מודעה רבה</t>
  </si>
  <si>
    <t>כוללות הספרדים</t>
  </si>
  <si>
    <t>תרכ"ט</t>
  </si>
  <si>
    <t>מול בעיות הדור</t>
  </si>
  <si>
    <t>אביגדור, יעקב בן אברהם יששכר דוב</t>
  </si>
  <si>
    <t>מכסיקו</t>
  </si>
  <si>
    <t>מוליכך בדרך - הלכות פריקה וטעינה והולכי דרכים</t>
  </si>
  <si>
    <t>שטרן, רפאל</t>
  </si>
  <si>
    <t>מוסף שבת קודש - 90 כרכים</t>
  </si>
  <si>
    <t>יתד נאמן</t>
  </si>
  <si>
    <t>מוסר השכל</t>
  </si>
  <si>
    <t>קאמפה, יואכים היינריך</t>
  </si>
  <si>
    <t>Berlin</t>
  </si>
  <si>
    <t>[תרי"ט]</t>
  </si>
  <si>
    <t>ברכץ, יהושע</t>
  </si>
  <si>
    <t>מוסר מלכים - כוס תנחומים - מהדורה חדשה</t>
  </si>
  <si>
    <t>אשכנזי, משה יצחק בן שמואל</t>
  </si>
  <si>
    <t>מוסר מלכים - סליחת תא שמע</t>
  </si>
  <si>
    <t>רומאנין, ישעיה בן יוסף</t>
  </si>
  <si>
    <t>מוסרי השל"ה - 2 כרכים</t>
  </si>
  <si>
    <t>הורוויץ, ישעיה בן אברהם הלוי</t>
  </si>
  <si>
    <t>מוסרי יעקב</t>
  </si>
  <si>
    <t>מועדי ה' - פורים</t>
  </si>
  <si>
    <t>אזולאי, יהודה</t>
  </si>
  <si>
    <t>מועדי הסופר - 3 כרכים</t>
  </si>
  <si>
    <t>מועדי ישראל</t>
  </si>
  <si>
    <t>ביהמ"ד בית מנחם ישיבת מיר</t>
  </si>
  <si>
    <t>מורה אור</t>
  </si>
  <si>
    <t>קפלן, אריה משה אליהו בן שמואל</t>
  </si>
  <si>
    <t>מורה דרך למקומות הקדושים</t>
  </si>
  <si>
    <t>מורה צדק - מהדורה חדשה</t>
  </si>
  <si>
    <t>יעקב בן יהודה משקלוב</t>
  </si>
  <si>
    <t>תקמ"ג</t>
  </si>
  <si>
    <t>מוריד שאול ויעל</t>
  </si>
  <si>
    <t>טייכהולץ, שאול</t>
  </si>
  <si>
    <t>מוריה - תנא-תנג</t>
  </si>
  <si>
    <t>מכון ירושלים - ירחון תורני</t>
  </si>
  <si>
    <t>מורשה - ד</t>
  </si>
  <si>
    <t>מורשה - ב</t>
  </si>
  <si>
    <t>מאסף תורני ליהדות תימן</t>
  </si>
  <si>
    <t>מורשת - תשנ"ה</t>
  </si>
  <si>
    <t>בטאון המועצה הדתית בני ברק</t>
  </si>
  <si>
    <t>מורשת קול אריה</t>
  </si>
  <si>
    <t>מכון קול אריה</t>
  </si>
  <si>
    <t>מושגים בעולם התורה</t>
  </si>
  <si>
    <t>ארנביוב, יהודה דרור</t>
  </si>
  <si>
    <t>מזבח כפרה</t>
  </si>
  <si>
    <t>פארדו, יעקב בן דוד</t>
  </si>
  <si>
    <t>תר"ב</t>
  </si>
  <si>
    <t>מזכרונות איש ירושלים - ב</t>
  </si>
  <si>
    <t>כהן-רייס, אפרים בן אריה ליב</t>
  </si>
  <si>
    <t>תרצ"ג - תרצ"ו</t>
  </si>
  <si>
    <t>מזכרת דוד</t>
  </si>
  <si>
    <t>בלוי, נחמן דוד (לזכרו)</t>
  </si>
  <si>
    <t>מזכרת משה</t>
  </si>
  <si>
    <t>לייבינזון, יששכר</t>
  </si>
  <si>
    <t>מזכרת משמחת שבע ברכות</t>
  </si>
  <si>
    <t>גליק, ראובן (עליו)</t>
  </si>
  <si>
    <t>מזמור ביום השבת - שיר ליום השבת</t>
  </si>
  <si>
    <t>מזמור לאסף - סוכה, ביצה, ראש השנה</t>
  </si>
  <si>
    <t>נאה, אסף בן שמואל</t>
  </si>
  <si>
    <t>מחאת סופרים</t>
  </si>
  <si>
    <t>סאנט לואיס,</t>
  </si>
  <si>
    <t>תרע"ח</t>
  </si>
  <si>
    <t>מחברת הגאון והגדולה</t>
  </si>
  <si>
    <t>הברמן, אברהם מאיר בן אורי פייבל</t>
  </si>
  <si>
    <t>מחברת לעבודה בתלמוד</t>
  </si>
  <si>
    <t>מוריאל, יהודה בן דוד - הולצברג, יוסף דב</t>
  </si>
  <si>
    <t>מחברת שיעורים - בבא מציעא</t>
  </si>
  <si>
    <t>וינברג, יצחק אייזיק</t>
  </si>
  <si>
    <t>מחברת תופת והעדן ומחברת פורים</t>
  </si>
  <si>
    <t>עמנואל בן שלמה הרומי</t>
  </si>
  <si>
    <t>תקל"ה</t>
  </si>
  <si>
    <t>מחודדים בפיך</t>
  </si>
  <si>
    <t>מחזה אליהו - ג</t>
  </si>
  <si>
    <t>פלק, פסח אליהו בן אברהם צבי</t>
  </si>
  <si>
    <t>מחזה עובדיה</t>
  </si>
  <si>
    <t>מחזור לראש השנה</t>
  </si>
  <si>
    <t>המרכז לעניני חינוך</t>
  </si>
  <si>
    <t>מחזור מקראי קודש &lt;אהל צירל נחמה&gt; - יום כיפור, אשכנז</t>
  </si>
  <si>
    <t>מחזור. יום כיפור</t>
  </si>
  <si>
    <t>מחזור ניב שפתים - 2 כרכים</t>
  </si>
  <si>
    <t>מחיה מתים א</t>
  </si>
  <si>
    <t>מחיה מתים ב</t>
  </si>
  <si>
    <t>מחיי הלוי - 6 כרכים</t>
  </si>
  <si>
    <t>מחנה אברהם - מנחות</t>
  </si>
  <si>
    <t>פוגל, אברהם יוסף בן יעקב לייב</t>
  </si>
  <si>
    <t>מחנה יהודה ושכנותיה - השטעטלאך - שערי חסד</t>
  </si>
  <si>
    <t>מחנה לויה</t>
  </si>
  <si>
    <t>הלפרין, לוי יצחק</t>
  </si>
  <si>
    <t>מחפש ליהנות</t>
  </si>
  <si>
    <t>מחפשת ליהנות</t>
  </si>
  <si>
    <t>מחצבת</t>
  </si>
  <si>
    <t>בטאון איגור צאצאי רבינו הזקן</t>
  </si>
  <si>
    <t>מחצתי ואני ארפא</t>
  </si>
  <si>
    <t>ויצמן, יוסף בן יצחק</t>
  </si>
  <si>
    <t>גבעת זאב</t>
  </si>
  <si>
    <t>מחקרי ארץ &lt;שו"ת&gt; - ט</t>
  </si>
  <si>
    <t>שעיו, משה רחמים בן אדמון</t>
  </si>
  <si>
    <t>מחקרי ארץ - 2 כרכים</t>
  </si>
  <si>
    <t>שטרן, מרדכי בן ישראל מאיר</t>
  </si>
  <si>
    <t>מחקרי מערב ומזרח</t>
  </si>
  <si>
    <t>מחקרים בחסידות - 2 כרכים</t>
  </si>
  <si>
    <t>מחשבה של תודה</t>
  </si>
  <si>
    <t>מחשבות והצעות - תפילת י"ח</t>
  </si>
  <si>
    <t>מחשבת אברהם - א</t>
  </si>
  <si>
    <t>אוחיון, אברהם</t>
  </si>
  <si>
    <t>מחשבת הדור - 2 כרכים</t>
  </si>
  <si>
    <t>מחשבת יהודה - ענייני מוקצה</t>
  </si>
  <si>
    <t>טייכטל, יהודה בן עקיבא</t>
  </si>
  <si>
    <t>מחשף הלבן</t>
  </si>
  <si>
    <t>מטבע שטבעו חכמים - 3 כרכים</t>
  </si>
  <si>
    <t>מייזעלס, אברהם</t>
  </si>
  <si>
    <t>מטבע של אש</t>
  </si>
  <si>
    <t>מטה אהרן</t>
  </si>
  <si>
    <t>קליינמן, אהרן ישראל חיים</t>
  </si>
  <si>
    <t>מטה בנימין - 20</t>
  </si>
  <si>
    <t>המועצה הדתית מטה בנימין</t>
  </si>
  <si>
    <t>מטה בנימין</t>
  </si>
  <si>
    <t>מילייקובסקי, בנימין בן אברהם</t>
  </si>
  <si>
    <t>תרפ"ז - תרצ"ג</t>
  </si>
  <si>
    <t>מטה יששכר</t>
  </si>
  <si>
    <t>פרידמן, ישכר דב בן נח יום טוב ליפא</t>
  </si>
  <si>
    <t>מאנסי ניו יורק</t>
  </si>
  <si>
    <t>מטה לוי - 2 כרכים</t>
  </si>
  <si>
    <t>לוי, יהונתן בן יהודה</t>
  </si>
  <si>
    <t>מטה עז - ערכין, זבחים</t>
  </si>
  <si>
    <t>סיניגאליה, יעקב שמשון שבתי בן רפאל יששכר</t>
  </si>
  <si>
    <t>מי אני</t>
  </si>
  <si>
    <t>פרידמן, ר</t>
  </si>
  <si>
    <t>מי באר - 3 כרכים</t>
  </si>
  <si>
    <t>יעקבזון, חיים מנחם בן ישראל</t>
  </si>
  <si>
    <t>מי הבאר - חצי שיעור</t>
  </si>
  <si>
    <t>מיימון, אברהם בן נתן הלוי</t>
  </si>
  <si>
    <t>מי הבאר</t>
  </si>
  <si>
    <t>מי הדעת - ביטול ברוב, טעם כעיקר</t>
  </si>
  <si>
    <t>זינגר, יהודה מאיר בן ראובן הכהן</t>
  </si>
  <si>
    <t>מי השילוח &lt;מקור נפתח&gt; - הל' מקוואות &lt;מהדורת שערי המים-שיעורי דעת&gt;</t>
  </si>
  <si>
    <t>רובינשטיין, שמחה יואל בן ישעיהו הכהן</t>
  </si>
  <si>
    <t>מי זאת עלה מן המדבר</t>
  </si>
  <si>
    <t>מי מנוחות - חולין פ"ז</t>
  </si>
  <si>
    <t>כהנא, נחמן בן יחזקאל שרגא</t>
  </si>
  <si>
    <t>מי נפתוח</t>
  </si>
  <si>
    <t>מיין לעבנעס געשיכטע</t>
  </si>
  <si>
    <t>גולדנשטיין, פסח דב</t>
  </si>
  <si>
    <t>מיין רייזע אין ארץ ישראל</t>
  </si>
  <si>
    <t>בובליק, גדליה</t>
  </si>
  <si>
    <t>מילואים לאפוד - 3 כרכים</t>
  </si>
  <si>
    <t>גרין, אריאל בן יקותיאל זלמן</t>
  </si>
  <si>
    <t>מילון אידיש עברי</t>
  </si>
  <si>
    <t>יברכיהו, ישראל</t>
  </si>
  <si>
    <t>מילון מושגים בקרשים</t>
  </si>
  <si>
    <t>מילי דאגרות - 3 כרכים</t>
  </si>
  <si>
    <t>גיפטר, מרדכי</t>
  </si>
  <si>
    <t>מילי דברכות</t>
  </si>
  <si>
    <t>גבאי, מאיר</t>
  </si>
  <si>
    <t>סגל, ישראל</t>
  </si>
  <si>
    <t>אהלי מנחם - תלמידי ישיבת קיץ "אהלי תורה</t>
  </si>
  <si>
    <t>לייקוווד</t>
  </si>
  <si>
    <t>מילי דזכרון</t>
  </si>
  <si>
    <t>וולף, שמואל (עליו)</t>
  </si>
  <si>
    <t>מילי דמעליותא</t>
  </si>
  <si>
    <t>מילי דעזרא</t>
  </si>
  <si>
    <t>דוויק הכהן, עזרא בן מרדכי</t>
  </si>
  <si>
    <t>מים חיים - ב"ק, ב"ב</t>
  </si>
  <si>
    <t>ועקנין, חיים בן מאיר</t>
  </si>
  <si>
    <t>מים טהורים - שבת</t>
  </si>
  <si>
    <t>שוורץ, אלתר יהודה אריה - וויס דוד</t>
  </si>
  <si>
    <t>מים מדליו - תשנ"ח</t>
  </si>
  <si>
    <t>מכללה למורים על שם רא"מ ליפשיץ</t>
  </si>
  <si>
    <t xml:space="preserve">תשנ"ח - </t>
  </si>
  <si>
    <t>מים מדליו - בבא מציעא</t>
  </si>
  <si>
    <t>לייפניקר, דוד יחיאל</t>
  </si>
  <si>
    <t>מים עמוקים - 6 כרכים</t>
  </si>
  <si>
    <t>שפירא, רפאל בן ישראל איסר</t>
  </si>
  <si>
    <t>מים רבים - 2 כרכים</t>
  </si>
  <si>
    <t>בלויא, יצחק יהודה</t>
  </si>
  <si>
    <t>מימי קדם</t>
  </si>
  <si>
    <t>גוטליב, זאב בן משה יהודה אריה</t>
  </si>
  <si>
    <t>לונדון,</t>
  </si>
  <si>
    <t>מימים ימימה - ימים נוראים</t>
  </si>
  <si>
    <t>עמאר, שלמה משה</t>
  </si>
  <si>
    <t>מכבדי אכבד</t>
  </si>
  <si>
    <t>מכון פועה - 5 כרכים</t>
  </si>
  <si>
    <t>מכונות הגילוח בהלכה</t>
  </si>
  <si>
    <t>מכירת היתר הקרקעות בשמיטה</t>
  </si>
  <si>
    <t>קולר, פנחס</t>
  </si>
  <si>
    <t>מכל מלמדי - א</t>
  </si>
  <si>
    <t>גינצבורג, זאב</t>
  </si>
  <si>
    <t>מכלול - כג-כד</t>
  </si>
  <si>
    <t>מכללה ירושלים לבנות</t>
  </si>
  <si>
    <t>מכלול יעקב</t>
  </si>
  <si>
    <t>צרפתי, יעקב</t>
  </si>
  <si>
    <t xml:space="preserve">תשס"א - </t>
  </si>
  <si>
    <t>מכרה אברהם</t>
  </si>
  <si>
    <t>קסטנליץ, אברהם אביגדור נחום בן צבי אריה</t>
  </si>
  <si>
    <t>מכתב גלוי</t>
  </si>
  <si>
    <t>מוסקוביץ, שלום בן מרדכי יוסף משה</t>
  </si>
  <si>
    <t>מכתב לחזקיה</t>
  </si>
  <si>
    <t>חדד, חזקיה</t>
  </si>
  <si>
    <t>מכתב מהגאון ר"י בעל פאת השולחן</t>
  </si>
  <si>
    <t>עשרת השבטים</t>
  </si>
  <si>
    <t>מכתב מרבי שמואל ב"ר שמשון</t>
  </si>
  <si>
    <t>שמואל בן שמשון</t>
  </si>
  <si>
    <t>בודאפסט</t>
  </si>
  <si>
    <t>[תר"ץ,</t>
  </si>
  <si>
    <t>מכתבי קהלות הקדש</t>
  </si>
  <si>
    <t>מכתבי רבי אברהם אזולאי</t>
  </si>
  <si>
    <t>אזולאי, אברהם בן ישראל</t>
  </si>
  <si>
    <t>מכתם לדוד - קידושין</t>
  </si>
  <si>
    <t>פאללאק, שמואל דוד בן אהרן</t>
  </si>
  <si>
    <t>מנצ'סטר Manchester</t>
  </si>
  <si>
    <t>מלא העומר &lt;מהדורה חדשה&gt; א בראשית שמות - 4 כרכים</t>
  </si>
  <si>
    <t>מלאה קטרת - ציונים לתורה</t>
  </si>
  <si>
    <t>סופר, זוסמאן אליעזר בן מרדכי אפרים פישל</t>
  </si>
  <si>
    <t>מלאך ה' - תולדות רבי ישראל עזירי</t>
  </si>
  <si>
    <t>עוזירי, עמרם בן נסים</t>
  </si>
  <si>
    <t>מלאכת בורר</t>
  </si>
  <si>
    <t>טננבאום, מרדכי בן עקיבא</t>
  </si>
  <si>
    <t>מלאכת חשב - מנחות, הוריות</t>
  </si>
  <si>
    <t>אבן צור, חביב אורי בן שלמה</t>
  </si>
  <si>
    <t>מלאכת חשב על שבע סוגיות</t>
  </si>
  <si>
    <t>מלאכת מחשבת</t>
  </si>
  <si>
    <t>משולם, נתנאל בן יצחק</t>
  </si>
  <si>
    <t>גיסר, יוסף</t>
  </si>
  <si>
    <t>מלאכת עבודה</t>
  </si>
  <si>
    <t>מלבוש לשבת ויום טוב &lt;מהדורה חדשה&gt; - 2 כרכים</t>
  </si>
  <si>
    <t>אייכנשטיין, ישכר בריש בן אלכסנדר סנדר יום טוב ליפא</t>
  </si>
  <si>
    <t>מלבי"ם על מזמורי התפילה של חול ושבת</t>
  </si>
  <si>
    <t>מלביש ערומים</t>
  </si>
  <si>
    <t>מלון הארמית החיה</t>
  </si>
  <si>
    <t>קרוא, ברוך</t>
  </si>
  <si>
    <t>מלחמה לד' בעמלק</t>
  </si>
  <si>
    <t>נוארק,</t>
  </si>
  <si>
    <t>תרנ"ב</t>
  </si>
  <si>
    <t>מלחמת יהושע</t>
  </si>
  <si>
    <t>בעלסקי, יהושע יצחק בן דוד</t>
  </si>
  <si>
    <t>מלין דרבנן</t>
  </si>
  <si>
    <t>מיכלשטטר, ישראל</t>
  </si>
  <si>
    <t>מלכות דוד - 2 כרכים</t>
  </si>
  <si>
    <t>מלכא, דוד בן ישראל מאיר</t>
  </si>
  <si>
    <t>דומב, יצחק דוד בן אשר</t>
  </si>
  <si>
    <t>מלכי צדק - 8 כרכים</t>
  </si>
  <si>
    <t>פרנקל, יואל יחיאל מיכל בן יצחק</t>
  </si>
  <si>
    <t>ממדבר מתנה</t>
  </si>
  <si>
    <t>ממה שנאמר בשמחה - 4 כרכים</t>
  </si>
  <si>
    <t>וינדרבוים, גרשון חנוך בן פנחס הלוי</t>
  </si>
  <si>
    <t>ממזרח שמש - קו התאריך</t>
  </si>
  <si>
    <t>איתן, פנחס אלימלך הלוי</t>
  </si>
  <si>
    <t>ממחרת השבת</t>
  </si>
  <si>
    <t>כולל נצח ישראל לונדון</t>
  </si>
  <si>
    <t>ממעין מחולה - 12</t>
  </si>
  <si>
    <t>קובץ ישיבת ההסדר ישיבת נריה</t>
  </si>
  <si>
    <t>שדמות מחולה</t>
  </si>
  <si>
    <t>ממעיני הישועה</t>
  </si>
  <si>
    <t>מאנן, יהושע הלוי</t>
  </si>
  <si>
    <t>ניו יורק</t>
  </si>
  <si>
    <t>ממשנתן של סופרים - א</t>
  </si>
  <si>
    <t>הקהילה החרדית באשדוד</t>
  </si>
  <si>
    <t>ממשקה ישראל למנחה</t>
  </si>
  <si>
    <t>גוטמן, ישראל נח בן משה דוד</t>
  </si>
  <si>
    <t>מן הבאר</t>
  </si>
  <si>
    <t>קובץ ישיבת באר שלמה</t>
  </si>
  <si>
    <t>מן הגנזים - טו</t>
  </si>
  <si>
    <t>הלל, שלום בן יעקב (עורך)</t>
  </si>
  <si>
    <t>מן המים - ראש השנה</t>
  </si>
  <si>
    <t>אייכנשטיין, משה מרדכי בן יהושע השיל</t>
  </si>
  <si>
    <t>מנהגי בית אבי</t>
  </si>
  <si>
    <t>רוזנבוים, ישכר בר בן איתמר</t>
  </si>
  <si>
    <t>רעננה</t>
  </si>
  <si>
    <t>מנהגי בית הכנסת לבני אשכנז - תשפ"ג</t>
  </si>
  <si>
    <t>מכון מורשת אשכנז</t>
  </si>
  <si>
    <t>מנהגי החלאקה</t>
  </si>
  <si>
    <t>הופמן, אברהם בן שלמה צדוק</t>
  </si>
  <si>
    <t>מנהגי מהרי"צ הלוי - שבת קודש</t>
  </si>
  <si>
    <t>דינר, יוסף צבי הלוי</t>
  </si>
  <si>
    <t>מנהגי מהריי"ו סוליצא &lt;מהדורה חדשה&gt;</t>
  </si>
  <si>
    <t>רובין, יעקב ישראל וישורון</t>
  </si>
  <si>
    <t>מנהגי נשואין</t>
  </si>
  <si>
    <t>מנוחה וקדושה</t>
  </si>
  <si>
    <t>זסלנסקי, אהרן יצחק בן ראובן</t>
  </si>
  <si>
    <t>מנוחה ושמחה - מנוחת שלום</t>
  </si>
  <si>
    <t>מנוחת ארץ</t>
  </si>
  <si>
    <t>רובין, יואל</t>
  </si>
  <si>
    <t>מנוחת הסופר</t>
  </si>
  <si>
    <t>מנורה הטהורה &lt;מהדורה חדשה&gt;  - 2 כרכים</t>
  </si>
  <si>
    <t>מייזלש, עוזיאל בן צבי</t>
  </si>
  <si>
    <t>מנורת זהב</t>
  </si>
  <si>
    <t>אלנקאוה, ישראל בן יוסף</t>
  </si>
  <si>
    <t>מנחה טהורה</t>
  </si>
  <si>
    <t>מנחה לאברהם</t>
  </si>
  <si>
    <t>אלמאליח, אברהם רפאל בן-ציון בן יוסף</t>
  </si>
  <si>
    <t>מנחה ליעקב</t>
  </si>
  <si>
    <t>קובץ חידושי תורה</t>
  </si>
  <si>
    <t>מנחם ציון - ב</t>
  </si>
  <si>
    <t>מנחת אב</t>
  </si>
  <si>
    <t>טובי, זכריה</t>
  </si>
  <si>
    <t>מנחת אדם</t>
  </si>
  <si>
    <t>אליהו, דניאל מרדכי בן מנחם</t>
  </si>
  <si>
    <t>מנחת איל</t>
  </si>
  <si>
    <t>ליזרוביץ, אהרן יצחק בן בן ציון</t>
  </si>
  <si>
    <t>מנחת אליהו - בראשית</t>
  </si>
  <si>
    <t>שורץ, מנחם בן אליהו</t>
  </si>
  <si>
    <t>מנחת אלימלך - נדה א</t>
  </si>
  <si>
    <t>אללעך, אלימלך</t>
  </si>
  <si>
    <t>מנחת אליעזר - ענייני 'לא ילבש'</t>
  </si>
  <si>
    <t>בבור, אליעזר בן דניאל</t>
  </si>
  <si>
    <t>מנחת אפרים - פורים קטן</t>
  </si>
  <si>
    <t>זורגר, אפרים אהרן בן משה זאב</t>
  </si>
  <si>
    <t>מנחת אריה</t>
  </si>
  <si>
    <t>טובולסקי, מנחם אריה בן שמואל משה</t>
  </si>
  <si>
    <t>מנחת ביכורים</t>
  </si>
  <si>
    <t>ישיבת יחל ישראל</t>
  </si>
  <si>
    <t>מנחת בנימין - זרעים - שמיטת כספים</t>
  </si>
  <si>
    <t>גרוסברד, בנימין בן מנחם</t>
  </si>
  <si>
    <t>מנחת דוד - א</t>
  </si>
  <si>
    <t>מועלם, דוד</t>
  </si>
  <si>
    <t>מנחת דוד - בבא בתרא</t>
  </si>
  <si>
    <t>יעקבסון, מנחם דוד</t>
  </si>
  <si>
    <t>מנחת דוד - 2 כרכים</t>
  </si>
  <si>
    <t>חבושה, דוד בן משה</t>
  </si>
  <si>
    <t>מנחת הבאר - גיטין</t>
  </si>
  <si>
    <t>ישיבת באר התורה</t>
  </si>
  <si>
    <t>מנחת הלוי - ברכת המזון</t>
  </si>
  <si>
    <t>ווקסמן, אברהם דוד אליהו הלוי</t>
  </si>
  <si>
    <t>מנחת חיים</t>
  </si>
  <si>
    <t>ינאי, אליהו הלוי</t>
  </si>
  <si>
    <t>מנחת חיים - פסחים</t>
  </si>
  <si>
    <t>רוט, אליעזר בן חיים דוב</t>
  </si>
  <si>
    <t>מנחת חן - שו"ת ג</t>
  </si>
  <si>
    <t>אהלבוים, נח אייזיק</t>
  </si>
  <si>
    <t>מנחת יהודה - א - ב</t>
  </si>
  <si>
    <t>מנחת יהודה</t>
  </si>
  <si>
    <t>ווינה?</t>
  </si>
  <si>
    <t>תר"ג</t>
  </si>
  <si>
    <t>מנחת יוסף</t>
  </si>
  <si>
    <t>שתיאת, יוסף בן דוד חי</t>
  </si>
  <si>
    <t>מנחת יחיאל - סוכה</t>
  </si>
  <si>
    <t>אדלר, יחיאל יהושע</t>
  </si>
  <si>
    <t>מנחת כהן - מכות</t>
  </si>
  <si>
    <t>זילבר, דוד חנוך הכהן</t>
  </si>
  <si>
    <t>מנחת כהן מבוא השמש &lt;תורת המנחה&gt; - 2 כרכים</t>
  </si>
  <si>
    <t>פימינטיל, אברהם הכהן</t>
  </si>
  <si>
    <t>מנחת מיכאל - א</t>
  </si>
  <si>
    <t>מנחת מרדכי - במדבר, דברים</t>
  </si>
  <si>
    <t>מנחת עומר, מנחה חדשה &lt;מכון ממלכת כהנים&gt;</t>
  </si>
  <si>
    <t>מנחת עני</t>
  </si>
  <si>
    <t>כהן, מכלוף</t>
  </si>
  <si>
    <t>מנחת צבי - הלכות סת"ם</t>
  </si>
  <si>
    <t>וידר, מנחם צבי בן שלום</t>
  </si>
  <si>
    <t>מנחת רפאל</t>
  </si>
  <si>
    <t>סויד, רפאל בן יעקב</t>
  </si>
  <si>
    <t>מנחת שאול - 3 כרכים</t>
  </si>
  <si>
    <t>סעיד, שאול דניאל</t>
  </si>
  <si>
    <t>מנחת שלמה &lt;על הש"ס&gt;  - 2 כרכים</t>
  </si>
  <si>
    <t>אוירבאך, שלמה זלמן בן חיים יהודה ליב</t>
  </si>
  <si>
    <t>מנחתי בידי</t>
  </si>
  <si>
    <t>ישורון, ינון יצחק</t>
  </si>
  <si>
    <t>מסורת הדורות  דרשות ואגדות חז"ל</t>
  </si>
  <si>
    <t>מסורת משה - ד</t>
  </si>
  <si>
    <t>פיינשטיין, משה בן דוד</t>
  </si>
  <si>
    <t>מסורת צורת האותיות</t>
  </si>
  <si>
    <t>מסחר ועסקים כהלכה - א</t>
  </si>
  <si>
    <t>שיראזי, אברהם</t>
  </si>
  <si>
    <t>מסילות - ב</t>
  </si>
  <si>
    <t>אסופת מאמרים על דרכי התלמוד והראשונים</t>
  </si>
  <si>
    <t>מסילות חיים - א-סא</t>
  </si>
  <si>
    <t>מסילות חכמה ומוסר - שבועות</t>
  </si>
  <si>
    <t>גינזבורג, אליעזר</t>
  </si>
  <si>
    <t>מסכת אבות &lt;המשנה שלמה&gt;</t>
  </si>
  <si>
    <t>מכון משנה שלמה</t>
  </si>
  <si>
    <t>מסכת אבות &lt;ע"פ כת"י עתיקים&gt;</t>
  </si>
  <si>
    <t>מסכת אבות. קמבריג' תרל"ז</t>
  </si>
  <si>
    <t>קמבריג</t>
  </si>
  <si>
    <t>מסכת אבות &lt;כלי יקר&gt;</t>
  </si>
  <si>
    <t>מסכת אבות עם פירוש חתם סופר</t>
  </si>
  <si>
    <t>מסכת אבות עם פירושי רבינו יונה &lt;מהדורת תושיה&gt;</t>
  </si>
  <si>
    <t>מסכת אבות תפארת שלמה השלם</t>
  </si>
  <si>
    <t>רבינוביץ, שלמה בן דוב צבי הכהן</t>
  </si>
  <si>
    <t>מסכת אצילות &lt;גנזי מרומים&gt;</t>
  </si>
  <si>
    <t>חבר, יצחק איזיק בן יעקב</t>
  </si>
  <si>
    <t>מסכת פורים</t>
  </si>
  <si>
    <t>מסכת פורים. תקע"ד</t>
  </si>
  <si>
    <t>זולצבאך,</t>
  </si>
  <si>
    <t>מסכת קינים עם פירוש מגיש מנחה</t>
  </si>
  <si>
    <t>שנברגר, משה גבריאל</t>
  </si>
  <si>
    <t>מסכת תמורות</t>
  </si>
  <si>
    <t>מסכתות פורים - מסכת פורים</t>
  </si>
  <si>
    <t>הברמן, אברהם מאיר</t>
  </si>
  <si>
    <t>ירושלים - זולצבאך</t>
  </si>
  <si>
    <t>תשל"ג - תנ"ה</t>
  </si>
  <si>
    <t>מסלות ים - בבא קמא מה"ק  ומה"ב</t>
  </si>
  <si>
    <t>אסולין, יחיאל בן מימון</t>
  </si>
  <si>
    <t>מסע בארץ הקדם</t>
  </si>
  <si>
    <t>פרעסבורג</t>
  </si>
  <si>
    <t>מסע בהודו</t>
  </si>
  <si>
    <t>בר-גיורא, נפתלי בן שלמה</t>
  </si>
  <si>
    <t>(Tel-Aviv)</t>
  </si>
  <si>
    <t>מסע בעקבות הגמרא</t>
  </si>
  <si>
    <t>בוצ'קובסקי, יעקב צבי</t>
  </si>
  <si>
    <t>מסעי בני ישראל</t>
  </si>
  <si>
    <t>שטערן, גרשון</t>
  </si>
  <si>
    <t>פאקש</t>
  </si>
  <si>
    <t>תר"ע</t>
  </si>
  <si>
    <t>מספד בירושלם</t>
  </si>
  <si>
    <t>הורוויץ, יהונתן בנימין בן משה יהודה הלוי</t>
  </si>
  <si>
    <t>מספד תמרורים</t>
  </si>
  <si>
    <t>יאפו, יהודה ליב בן אליעזר ליפמאן</t>
  </si>
  <si>
    <t>תרנ"א,</t>
  </si>
  <si>
    <t>מעגלי צדק החדש - ירח האיתנים</t>
  </si>
  <si>
    <t>פאנט, מנחם מנדל בן יחזקאל</t>
  </si>
  <si>
    <t>מעדני אשר - נישואין בהלכה ובאגדה</t>
  </si>
  <si>
    <t>שוורץ, אשר אנשיל</t>
  </si>
  <si>
    <t>מעדני המלך - 4 כרכים</t>
  </si>
  <si>
    <t>מעדני שבת</t>
  </si>
  <si>
    <t>מעדני שולחן או מטבע של אברהם ג</t>
  </si>
  <si>
    <t>ראזינג, אברהם אפרים בן יעקב דוד</t>
  </si>
  <si>
    <t>מעדני שלמה - 2 כרכים</t>
  </si>
  <si>
    <t>שלאמיוק, שלמה בן דוד</t>
  </si>
  <si>
    <t>מעוז ראשי</t>
  </si>
  <si>
    <t>עוזרי, אפרים</t>
  </si>
  <si>
    <t>מעולפת סיפורים</t>
  </si>
  <si>
    <t>טנג'י, מאיה</t>
  </si>
  <si>
    <t>מעט מהרבה - נדה</t>
  </si>
  <si>
    <t>כץ, ברוך בן מאיר</t>
  </si>
  <si>
    <t>מעט צרי - 7 כרכים</t>
  </si>
  <si>
    <t>כץ, אליהו בן חיים הכהן</t>
  </si>
  <si>
    <t>מעט קווים מזעיר על הגרב"צ אבא שאול</t>
  </si>
  <si>
    <t>מעיין הברכה</t>
  </si>
  <si>
    <t>מעיין שבת</t>
  </si>
  <si>
    <t>מעיין שחרב</t>
  </si>
  <si>
    <t>גוטמן, צבי (עליו)</t>
  </si>
  <si>
    <t>מעיינות התלמוד - 2 כרכים</t>
  </si>
  <si>
    <t>רוזנברגר (שושן), שמואל</t>
  </si>
  <si>
    <t>מעיינותיך - 2 כרכים</t>
  </si>
  <si>
    <t>מעייני המשפט</t>
  </si>
  <si>
    <t>עטייה, ניסים יעקב בן ישועה</t>
  </si>
  <si>
    <t>מעייני השלוח - חנוכה</t>
  </si>
  <si>
    <t>מכון תפארת ראדזין</t>
  </si>
  <si>
    <t>מעייני מקרא</t>
  </si>
  <si>
    <t>חמיאל, חיים יצחק</t>
  </si>
  <si>
    <t>מעיל יהודה - מעילה</t>
  </si>
  <si>
    <t>בית מדרש גבוה לייקווד</t>
  </si>
  <si>
    <t>מעיל קודש - 2 כרכים</t>
  </si>
  <si>
    <t>דיין, עידן</t>
  </si>
  <si>
    <t>מעין החסידות - שנה א ספר א</t>
  </si>
  <si>
    <t>גוטמן, מנחם (עורך)</t>
  </si>
  <si>
    <t>מעינות אברהם - ערב פסח שחל בשבת</t>
  </si>
  <si>
    <t>ליינר, מרדכי אליעזר בן אברהם אברהם הלוי</t>
  </si>
  <si>
    <t>מעינות התורה</t>
  </si>
  <si>
    <t>מעיני הישועה</t>
  </si>
  <si>
    <t>קאפלאן, יהושע בן מאיר הכהן</t>
  </si>
  <si>
    <t>מעלות ארץ ישראל בהלכה ובאגדה</t>
  </si>
  <si>
    <t>כהנא, ברוך</t>
  </si>
  <si>
    <t>מעלות המקוה</t>
  </si>
  <si>
    <t>קירש, יונתן בן יעקב זלמן</t>
  </si>
  <si>
    <t>שדרות</t>
  </si>
  <si>
    <t>מעלות התורה</t>
  </si>
  <si>
    <t>אברהם בן שלמה זלמן</t>
  </si>
  <si>
    <t>מעלפת ספירים</t>
  </si>
  <si>
    <t>אלגאזי, נסים שלמה בן אברהם</t>
  </si>
  <si>
    <t>דיהרנפורט,</t>
  </si>
  <si>
    <t>[תקמ"ו,</t>
  </si>
  <si>
    <t>מעמק עכור לפתח תקוה</t>
  </si>
  <si>
    <t>מענבי הכרם - בראשית</t>
  </si>
  <si>
    <t>גרינברג, מרדכי - ריבלין, אברהם</t>
  </si>
  <si>
    <t>קבוצת יבנה</t>
  </si>
  <si>
    <t>מענה לשון - ז</t>
  </si>
  <si>
    <t>מעפר קומי - חנוכה</t>
  </si>
  <si>
    <t>שהרבני, רונן</t>
  </si>
  <si>
    <t>מערכי אד"ם</t>
  </si>
  <si>
    <t>מנוסזאהן, אברהם דוב בן מנוש</t>
  </si>
  <si>
    <t>סעאיני</t>
  </si>
  <si>
    <t>מערכי השלחן - א</t>
  </si>
  <si>
    <t>ירמיהו, נועם</t>
  </si>
  <si>
    <t>מערכי לב - מגילה, מכות, שמעתתא ז</t>
  </si>
  <si>
    <t>מעשה אבות</t>
  </si>
  <si>
    <t>שכטר, יעקב מאיר בן ישראל</t>
  </si>
  <si>
    <t>מעשה די לה אורמיגה</t>
  </si>
  <si>
    <t>מעשה הנמלה</t>
  </si>
  <si>
    <t>מעשה השם - מעשה הצדיקים - כללי דאורייתא</t>
  </si>
  <si>
    <t>מעשה חושב</t>
  </si>
  <si>
    <t>שוורץ, יקותיאל יצחק</t>
  </si>
  <si>
    <t>מעשה שיח</t>
  </si>
  <si>
    <t>מפי כהן הלכות שבת &lt;סימנים שי"ג-שכ"א&gt;</t>
  </si>
  <si>
    <t>כהן, ישעיהו בן אליעזר</t>
  </si>
  <si>
    <t>מפי כהן - 2 כרכים</t>
  </si>
  <si>
    <t>מפלת עיר הצדק</t>
  </si>
  <si>
    <t>דמביצר, יואל בן יקותיאל זלמן</t>
  </si>
  <si>
    <t>ווינא</t>
  </si>
  <si>
    <t>מפנקסו של תלמיד</t>
  </si>
  <si>
    <t>מפסקי משנה ברורה - 6 כרכים</t>
  </si>
  <si>
    <t>שלזינגר, דוד אריה</t>
  </si>
  <si>
    <t>מפרי עץ הגן - 2 כרכים</t>
  </si>
  <si>
    <t>גוטסגנדה, נתן נטע</t>
  </si>
  <si>
    <t>מפתח שערי גאולה</t>
  </si>
  <si>
    <t>מפתח תוכן ענינים למאמרי הרבי מליובאוויטש</t>
  </si>
  <si>
    <t>שניאורסון, מנחם מנדל בן לוי יצחק (מפתח לכתביו)</t>
  </si>
  <si>
    <t>מפתחות הש"ס - 7 כרכים</t>
  </si>
  <si>
    <t>אילני, צבי</t>
  </si>
  <si>
    <t>מצא חן</t>
  </si>
  <si>
    <t>מצא טוב - 2 כרכים</t>
  </si>
  <si>
    <t>ווייס, משה אהרן צבי בן ישכר דב</t>
  </si>
  <si>
    <t>מצבת חיים</t>
  </si>
  <si>
    <t>מצוות הארץ כהלכתן - 2 כרכים</t>
  </si>
  <si>
    <t>מצוות למה ניתנו</t>
  </si>
  <si>
    <t>מצוותיך אמונה - 2 כרכים</t>
  </si>
  <si>
    <t>מצוותיך חפצתי - 4 כרכים</t>
  </si>
  <si>
    <t>מצולה בלב ימים</t>
  </si>
  <si>
    <t>מצות ה' &lt;מהדורה חדשה&gt;</t>
  </si>
  <si>
    <t>קצין, שאול בן יעקב</t>
  </si>
  <si>
    <t>מצות כיבוד הורים</t>
  </si>
  <si>
    <t>מציץ מן החרכים</t>
  </si>
  <si>
    <t>מקדמי ארץ - י (בבא מציעא - ב)</t>
  </si>
  <si>
    <t>ישיבת קדומים</t>
  </si>
  <si>
    <t>מקדש ישראל - 5 כרכים</t>
  </si>
  <si>
    <t>מקום הדלקת נר חנוכה במשנת הדבר יהושע</t>
  </si>
  <si>
    <t>מקומות התורה - 3 כרכים</t>
  </si>
  <si>
    <t>גולדשטיין, יצחק מאיר</t>
  </si>
  <si>
    <t>מקומות קדושים וקברי צדיקים בגליל - 2 כרכים</t>
  </si>
  <si>
    <t>הרצברג, ישראל - גבאי, ישראל מאיר</t>
  </si>
  <si>
    <t>מקור החיים</t>
  </si>
  <si>
    <t>מקור חיים &lt;מהדורה חדשה&gt; - הלכות נדה</t>
  </si>
  <si>
    <t>גונדרשהיים, שניאור זיסקינד בן צבי הירש</t>
  </si>
  <si>
    <t>מקור ישראל</t>
  </si>
  <si>
    <t>זילברשלג, ישראל הלוי</t>
  </si>
  <si>
    <t>מקורות לפסקי הרמב"ם</t>
  </si>
  <si>
    <t>ברומברג, אברהם יצחק בן נתן</t>
  </si>
  <si>
    <t>מקורות לתולדות החנוך בישראל &lt;מהדורה חדשה&gt;  - 6 כרכים</t>
  </si>
  <si>
    <t>גליק, שמואל - אסף, שמחה בן יהודה זאב</t>
  </si>
  <si>
    <t>ניו יורק-ירושלים</t>
  </si>
  <si>
    <t>מקורות רש"י - משלי</t>
  </si>
  <si>
    <t>זהרי, מנחם</t>
  </si>
  <si>
    <t>מקרא העדה - דברים א</t>
  </si>
  <si>
    <t>גרינצייג, אליהו בן חיים</t>
  </si>
  <si>
    <t>מקרא קודש</t>
  </si>
  <si>
    <t>מקראי קודש - 2 כרכים</t>
  </si>
  <si>
    <t>הררי, משה</t>
  </si>
  <si>
    <t>מקראי קודש &lt;מהדורה ישנה&gt;  - 8 כרכים</t>
  </si>
  <si>
    <t>פרנק, צבי פסח</t>
  </si>
  <si>
    <t>מר דרור</t>
  </si>
  <si>
    <t>בהרי"ר, מרדכי</t>
  </si>
  <si>
    <t>מראה אפרים - כלאי הכרם</t>
  </si>
  <si>
    <t>מאיר, גבריאל אפרים בן משה הלוי</t>
  </si>
  <si>
    <t>מראה אש לילה - חולין</t>
  </si>
  <si>
    <t>מראה יחזקאל &lt;המבואר&gt;  - 2 כרכים</t>
  </si>
  <si>
    <t>פאנט, יחזקאל בן יוסף</t>
  </si>
  <si>
    <t>מראה כהן</t>
  </si>
  <si>
    <t>קאהן, חנניה דב הכהן - קאהן, אהרן מרדכי הכהן</t>
  </si>
  <si>
    <t>מראה מקומות - הלכות השכמת הבוקר וציצית</t>
  </si>
  <si>
    <t>כולל רצופות תפארת דוד</t>
  </si>
  <si>
    <t>מראה מקומות - סוכה</t>
  </si>
  <si>
    <t>לב, נועם שרגא פייבל בן מרדכי שמואל</t>
  </si>
  <si>
    <t>מראה עוז - שחיטה, בהמה המקשה</t>
  </si>
  <si>
    <t>רשת הכוללים מגדל עוז</t>
  </si>
  <si>
    <t>מראות הצובאות - 3 כרכים</t>
  </si>
  <si>
    <t>פוגל, צבי מאיר</t>
  </si>
  <si>
    <t>מראי מקומות בדיני מוקצה</t>
  </si>
  <si>
    <t>מראי מקומות ביאורים ועיונים - פאה ביכורים</t>
  </si>
  <si>
    <t>מיטלמן, דוד בן משה יעקב</t>
  </si>
  <si>
    <t>מראי מקומות הלכות ציצית</t>
  </si>
  <si>
    <t>כולל הלכה אהל דוד</t>
  </si>
  <si>
    <t>מראי מקומות הערות וחידושים - 2 כרכים</t>
  </si>
  <si>
    <t>שפרינצלס, עקיבא בן משה</t>
  </si>
  <si>
    <t>מראי מקומות והערות - כתובות</t>
  </si>
  <si>
    <t>מראי מקומות וסיכומי סוגיות בדרך שו"ת - בבא קמא</t>
  </si>
  <si>
    <t>לורבר, בן ציון</t>
  </si>
  <si>
    <t>מראי מקומות על הרמב"ם הלכות איסורי מזבח</t>
  </si>
  <si>
    <t>בית מדרש גבוה לכהנים</t>
  </si>
  <si>
    <t>ביתר</t>
  </si>
  <si>
    <t>מראש צורים</t>
  </si>
  <si>
    <t>ביק, אברהם יהושע בן שאול ישכר</t>
  </si>
  <si>
    <t>(ניו יורק),</t>
  </si>
  <si>
    <t>מרבדים - 3 כרכים</t>
  </si>
  <si>
    <t>דורפמן, יגל מאיר בן משה בנימין לייב</t>
  </si>
  <si>
    <t>מרבה ישיבה</t>
  </si>
  <si>
    <t>שטרן, גרשון בן משה</t>
  </si>
  <si>
    <t>מ.-סיגעט,</t>
  </si>
  <si>
    <t>מרגלית יקרה</t>
  </si>
  <si>
    <t>לזכרה של הרבנית מרגלית עבו</t>
  </si>
  <si>
    <t>מרדכי השלם - 4 כרכים</t>
  </si>
  <si>
    <t>מרדכי בן הלל</t>
  </si>
  <si>
    <t>מרחב - ג</t>
  </si>
  <si>
    <t>מערכת מרחב</t>
  </si>
  <si>
    <t>תל  אביב</t>
  </si>
  <si>
    <t>מרן פאר הדור</t>
  </si>
  <si>
    <t>בן ישראל, אברהם</t>
  </si>
  <si>
    <t>מרפא לנפש</t>
  </si>
  <si>
    <t>רבין, דב בער בן מנחם מנדל</t>
  </si>
  <si>
    <t>קראטשין</t>
  </si>
  <si>
    <t>מרפא לנפש - ג</t>
  </si>
  <si>
    <t>פוטרמן, שמעון אלעזר בן יוסף</t>
  </si>
  <si>
    <t>מרפסן איגרי - 3 כרכים</t>
  </si>
  <si>
    <t>מכון מרפסן איגרי</t>
  </si>
  <si>
    <t>משא דעה - איזהו נשך</t>
  </si>
  <si>
    <t>אטינגר, משה שמואל בן מנחם ישראל</t>
  </si>
  <si>
    <t>משא נחום - לא תעמוד על דם רעך - והשבותו לו</t>
  </si>
  <si>
    <t>שיינין, נחום בן מנחם מנדל</t>
  </si>
  <si>
    <t>משא עובדיה</t>
  </si>
  <si>
    <t>ישראל, יוחאי</t>
  </si>
  <si>
    <t>משא קינה</t>
  </si>
  <si>
    <t>משאלין דלבא"י - ב</t>
  </si>
  <si>
    <t>בורד, יצחק ליב בן אהרן</t>
  </si>
  <si>
    <t>משאת בנימין</t>
  </si>
  <si>
    <t>תנ"ך. תרצ"א. סוסה</t>
  </si>
  <si>
    <t>סוסה,</t>
  </si>
  <si>
    <t>[תרצ"א,</t>
  </si>
  <si>
    <t>משאת המלך &lt;על סדר רמב"ם - מהדורה חדשה&gt; - מדע אהבה זמנים</t>
  </si>
  <si>
    <t>דיסקין, שמעון משה בן יהושע זליג</t>
  </si>
  <si>
    <t>משאת כפי תנינא</t>
  </si>
  <si>
    <t>משאת משה &lt;מהדורה חדשה&gt; - בבא קמא</t>
  </si>
  <si>
    <t>חברוני, אברהם משה</t>
  </si>
  <si>
    <t>משיב דברים - 2 כרכים</t>
  </si>
  <si>
    <t>משיב כהלכה</t>
  </si>
  <si>
    <t>קובץ תשובות</t>
  </si>
  <si>
    <t xml:space="preserve">תשל"ז - </t>
  </si>
  <si>
    <t>משיב כהלכה - 3 כרכים</t>
  </si>
  <si>
    <t>קרביץ, נחום זאב בן יוסף</t>
  </si>
  <si>
    <t>משיב משפט - מנהג בני חו"ל הלומדים בארה"ק</t>
  </si>
  <si>
    <t>קילשטיין, שמחה בונים בן מרדכי אבא</t>
  </si>
  <si>
    <t>משיב נפש - 2 כרכים</t>
  </si>
  <si>
    <t>גינצלר, שמואל בן משה יהודה ליב</t>
  </si>
  <si>
    <t>משך חכמה  עם בינת החכמה - 5 כרכים</t>
  </si>
  <si>
    <t>כהן, מאיר שמחה בן שמשון קלונימוס</t>
  </si>
  <si>
    <t>משכיל דורש</t>
  </si>
  <si>
    <t>קורח, יחיא בן שלום</t>
  </si>
  <si>
    <t>משכיל לדוד - שבת</t>
  </si>
  <si>
    <t>כהן, דוד מרדכי בן אלעזר הערץ יחזקאל</t>
  </si>
  <si>
    <t>משכיל לדוד - ב</t>
  </si>
  <si>
    <t>עידאן, דוד בן משה</t>
  </si>
  <si>
    <t>משכן דוד - קידושין</t>
  </si>
  <si>
    <t>כולל משכן דוד</t>
  </si>
  <si>
    <t>משכן הנפש - 2 כרכים</t>
  </si>
  <si>
    <t>חכם, נתנאל</t>
  </si>
  <si>
    <t>משכנות הרועים - ב</t>
  </si>
  <si>
    <t>רוזנברג, אהרן</t>
  </si>
  <si>
    <t>משכנות יעקב</t>
  </si>
  <si>
    <t>ברוכין, יעקב בן אהרן</t>
  </si>
  <si>
    <t>תקצ"ח</t>
  </si>
  <si>
    <t>משכני</t>
  </si>
  <si>
    <t>רפאל, שאול</t>
  </si>
  <si>
    <t>משלח מנות</t>
  </si>
  <si>
    <t>רייפמאן, יעקב בן צבי הירש</t>
  </si>
  <si>
    <t>פראג,</t>
  </si>
  <si>
    <t>תר"ך,</t>
  </si>
  <si>
    <t>משלי קדם (י - יב)</t>
  </si>
  <si>
    <t>בן שחר, אברהם יצחק בן אפרים מרדכי</t>
  </si>
  <si>
    <t>משמחי לב</t>
  </si>
  <si>
    <t>משמרת אלעזר &lt;מהדורה חדשה&gt;</t>
  </si>
  <si>
    <t>פאשקוס, אהרן אלעזר בן בנימין</t>
  </si>
  <si>
    <t>משמרת הבית - איסורי בשר בחלב</t>
  </si>
  <si>
    <t>משמרת המועדות - 2 כרכים</t>
  </si>
  <si>
    <t>לייפער, משה מאיר בן אהרן יחיאל</t>
  </si>
  <si>
    <t>משמרת המנהגים</t>
  </si>
  <si>
    <t>מוטייב, ישראל חיים</t>
  </si>
  <si>
    <t>משנה ברורה &lt;אור המזרח&gt; - ב (ב)</t>
  </si>
  <si>
    <t>כהן, ישראל מאיר בן אריה זאב - מכון ירושלים</t>
  </si>
  <si>
    <t>משנה ברורה &lt;משנה אחרונה&gt; ו א - 2 כרכים</t>
  </si>
  <si>
    <t>משנה ברורה &lt;שינון הלכה - שערי הלכות&gt; - 2 כרכים</t>
  </si>
  <si>
    <t>חברת אהבת שלום - מערכת אליבא דהלכתא</t>
  </si>
  <si>
    <t>משנה ברורה על אבן העזר - 2 כרכים</t>
  </si>
  <si>
    <t>משנה שלמה - שבת</t>
  </si>
  <si>
    <t>שיפמן, שלמה</t>
  </si>
  <si>
    <t>משניות &lt;מלא כף נחת&gt;  - 3 כרכים</t>
  </si>
  <si>
    <t>שניאור פיבוש בן יעקב</t>
  </si>
  <si>
    <t>תקע"ז - תקצ"ה</t>
  </si>
  <si>
    <t>משניות טוב החיים - 2 כרכים</t>
  </si>
  <si>
    <t>משניות עם ביאורי המשנה - ברכות</t>
  </si>
  <si>
    <t>בקר, חיים שלמה</t>
  </si>
  <si>
    <t>משנת אהרן - 2 כרכים</t>
  </si>
  <si>
    <t>שמאי, אהרן</t>
  </si>
  <si>
    <t>משנת אפרים - 2 כרכים</t>
  </si>
  <si>
    <t>הרשקוביץ, אפרים פישל</t>
  </si>
  <si>
    <t>משנת ברוך - 3 כרכים</t>
  </si>
  <si>
    <t>טולידנו, רפאל ברוך בן אברהם</t>
  </si>
  <si>
    <t>משנת ההזמה</t>
  </si>
  <si>
    <t>אדלר, שאול בן קלמן</t>
  </si>
  <si>
    <t>משנת ההנחלה</t>
  </si>
  <si>
    <t>משנת הכשרות</t>
  </si>
  <si>
    <t>זנדר, משה פנחס בן מאיר נחום</t>
  </si>
  <si>
    <t>משנת המועדים</t>
  </si>
  <si>
    <t>משנת המילה</t>
  </si>
  <si>
    <t>פולטינסקי, משה בן יהודה</t>
  </si>
  <si>
    <t>משנת הסת"ם</t>
  </si>
  <si>
    <t>שילוני, יעקב בן יצחק</t>
  </si>
  <si>
    <t>משנת הפורים</t>
  </si>
  <si>
    <t>פוליטנסקי, משה בן יהודה</t>
  </si>
  <si>
    <t>משנת הקידושין</t>
  </si>
  <si>
    <t>משנת ויכולו</t>
  </si>
  <si>
    <t>מילר, שלמה בן שרגא</t>
  </si>
  <si>
    <t>משנת זבים</t>
  </si>
  <si>
    <t>אייזנשטיין, אהרן זאב</t>
  </si>
  <si>
    <t>משנת זרעים - 2 כרכים</t>
  </si>
  <si>
    <t>מכון משנת רבי אהרן</t>
  </si>
  <si>
    <t>משנת חיים - 3 כרכים</t>
  </si>
  <si>
    <t>שטינברג, חיים מאיר יחיאל הלוי בן שרגא</t>
  </si>
  <si>
    <t>משנת חכמי תימן</t>
  </si>
  <si>
    <t>שאער, אורן בן פנחס</t>
  </si>
  <si>
    <t>משנת יהודה</t>
  </si>
  <si>
    <t>משנת יהושע - חושן משפט</t>
  </si>
  <si>
    <t>משנת יוסף &lt;שו"ת&gt; - טו</t>
  </si>
  <si>
    <t>ליברמן, יוסף</t>
  </si>
  <si>
    <t>משנת יוסף - 5 כרכים</t>
  </si>
  <si>
    <t>משנת כהן - 4 כרכים</t>
  </si>
  <si>
    <t>כהן, אברהם ישעיהו בן שרגא פייוול</t>
  </si>
  <si>
    <t>משנת נזיקין</t>
  </si>
  <si>
    <t>ויספיש, נחום מנשה</t>
  </si>
  <si>
    <t>משנת נחמיה - א</t>
  </si>
  <si>
    <t>גולדברג, זלמן נחמיה בן אברהם</t>
  </si>
  <si>
    <t>משנת נתן - ב</t>
  </si>
  <si>
    <t>מלינובסקי, נתן בן דוד אלכסנדר</t>
  </si>
  <si>
    <t>משנת עזר - 3 כרכים</t>
  </si>
  <si>
    <t>משקוני, יהודה ליאון בן משה</t>
  </si>
  <si>
    <t>משנת צדיקים</t>
  </si>
  <si>
    <t>טירני, מיכאל בן גד</t>
  </si>
  <si>
    <t>טירני, מיכאל</t>
  </si>
  <si>
    <t>משנת שלום - ג</t>
  </si>
  <si>
    <t>פאללאק, שלום</t>
  </si>
  <si>
    <t>משפט הספרים (נספח ב) - ספריית חב"ד</t>
  </si>
  <si>
    <t>תדפיס</t>
  </si>
  <si>
    <t>משפט הצוואה &lt;צוואות וירושות&gt; - ג</t>
  </si>
  <si>
    <t>שוארץ, מתתיהו בן שמעון</t>
  </si>
  <si>
    <t>משפט התלמוד - 2 כרכים</t>
  </si>
  <si>
    <t>צורי, יעקב שמואל</t>
  </si>
  <si>
    <t>ורשה,</t>
  </si>
  <si>
    <t>משפט ערוך - חו"מ  עה - עז</t>
  </si>
  <si>
    <t>משפט צדק - 3 כרכים</t>
  </si>
  <si>
    <t>אש, אילן</t>
  </si>
  <si>
    <t>משפטי המזיק - 2 כרכים</t>
  </si>
  <si>
    <t>חבורת חושן משפט ישיבת מיר</t>
  </si>
  <si>
    <t>מתוך הסנה - 2 כרכים</t>
  </si>
  <si>
    <t>מתוק מדבש - טוב ירושלים</t>
  </si>
  <si>
    <t>פרחי, יצחק בן שלמה</t>
  </si>
  <si>
    <t>תרי"ב</t>
  </si>
  <si>
    <t>מתיבתא דרבי עקיבא</t>
  </si>
  <si>
    <t>מתיקות המועדים - ראש השנה-יום הכיפורים</t>
  </si>
  <si>
    <t>שטיגליץ, זאב אריה בן חיים אפרים</t>
  </si>
  <si>
    <t>מתן תורה &lt;הערות וביאורים&gt;</t>
  </si>
  <si>
    <t>אשלג, יהודה ליב הלוי</t>
  </si>
  <si>
    <t>מתנה במטללתא</t>
  </si>
  <si>
    <t>מתנה טובה - 4 כרכים</t>
  </si>
  <si>
    <t>מתנובת שדי - זבחים</t>
  </si>
  <si>
    <t>לפקוביץ, יוסף שלמה הכהן</t>
  </si>
  <si>
    <t>מתניתא מלכתא</t>
  </si>
  <si>
    <t>שילת, משה</t>
  </si>
  <si>
    <t>מתנת בנימין - או"ח</t>
  </si>
  <si>
    <t>ווייס, יהונתן בנימין</t>
  </si>
  <si>
    <t>מתנת חלקו</t>
  </si>
  <si>
    <t>ג'אן, מתן</t>
  </si>
  <si>
    <t>מתנת חן - תפילת הלל</t>
  </si>
  <si>
    <t>ווייס, צבי אלימלך</t>
  </si>
  <si>
    <t>מתנת יד</t>
  </si>
  <si>
    <t>וינברג, נתן דוד בן מרדכי</t>
  </si>
  <si>
    <t>מתנת יהודה - 3 כרכים</t>
  </si>
  <si>
    <t>מאיר, יוסף בן אריה יהודה</t>
  </si>
  <si>
    <t>מתפילה לגאולה</t>
  </si>
  <si>
    <t>קאגאן, לוי בן יצחק מאיר</t>
  </si>
  <si>
    <t>נאה להודות</t>
  </si>
  <si>
    <t>פור, אפרים בן שילה</t>
  </si>
  <si>
    <t>נאות דשא - כתובות א</t>
  </si>
  <si>
    <t>דירנפלד, אהרן</t>
  </si>
  <si>
    <t>נאות מרדכי - 2 כרכים</t>
  </si>
  <si>
    <t>נבואה שעריך</t>
  </si>
  <si>
    <t>פרידמן, אהרן</t>
  </si>
  <si>
    <t>נבטי דמעות</t>
  </si>
  <si>
    <t>טשזנר, תרצה</t>
  </si>
  <si>
    <t>נגוהות מנבכים</t>
  </si>
  <si>
    <t>רבינוביץ, חיים דב בן שרגא פייטל</t>
  </si>
  <si>
    <t>נדבות פי</t>
  </si>
  <si>
    <t>שריפי, נדב מיכאל</t>
  </si>
  <si>
    <t>נדחי ישראל</t>
  </si>
  <si>
    <t>גולדמאן, שמואל זאב בן ישראל</t>
  </si>
  <si>
    <t>גראסווארדיין,</t>
  </si>
  <si>
    <t>נהורא דשמעתתא - גליונות תשפ"א</t>
  </si>
  <si>
    <t>בית המדרש להוראה - אש התורה</t>
  </si>
  <si>
    <t>נהורא מעליא</t>
  </si>
  <si>
    <t>ישיבת נהורא</t>
  </si>
  <si>
    <t>נהר יעקב - משכון</t>
  </si>
  <si>
    <t>לייזער, דוד שמעון בן יוסף שמואל</t>
  </si>
  <si>
    <t>נהר מעדן - ח</t>
  </si>
  <si>
    <t>מכון שיח אבות קוידינוב</t>
  </si>
  <si>
    <t>נהרות איתן - ז</t>
  </si>
  <si>
    <t>רובין, אברהם ישראל</t>
  </si>
  <si>
    <t>נועם התלמוד - בבא בתרא</t>
  </si>
  <si>
    <t>פריזנד, אשר</t>
  </si>
  <si>
    <t>נועם יצחק</t>
  </si>
  <si>
    <t>טשינגל, יצחק</t>
  </si>
  <si>
    <t>נועם משה - 2 כרכים</t>
  </si>
  <si>
    <t>נעמן, משה</t>
  </si>
  <si>
    <t>נועם שבת</t>
  </si>
  <si>
    <t>נועם שיח - תשפ"א (ויגש)</t>
  </si>
  <si>
    <t>פרידמאן, שלמה זלמן</t>
  </si>
  <si>
    <t>נופת צופים - ש"כ חקירות וספיקות</t>
  </si>
  <si>
    <t>קוק, יהודה בן יצחק משה</t>
  </si>
  <si>
    <t>נוצר הברית</t>
  </si>
  <si>
    <t>נושאי הרי"ח</t>
  </si>
  <si>
    <t>חרוש, יוסף חיים בן יצחק</t>
  </si>
  <si>
    <t>נותן טעם - קידושין</t>
  </si>
  <si>
    <t>שנקר, איתי יצחק בן אברהם</t>
  </si>
  <si>
    <t>נותן לחם</t>
  </si>
  <si>
    <t>נזכר הלכה</t>
  </si>
  <si>
    <t>אוחנא, רפאל בן חיים</t>
  </si>
  <si>
    <t>תרס"ו</t>
  </si>
  <si>
    <t>נזר אברהם - עירובין, שבת, ביצה</t>
  </si>
  <si>
    <t>קריזר, אברהם אהרן בן יצחק אליעזר</t>
  </si>
  <si>
    <t>נזר אברהם - זבחים ב</t>
  </si>
  <si>
    <t>קראהן, אברהם זעליג בן פסח יוסף</t>
  </si>
  <si>
    <t>נזר אריה</t>
  </si>
  <si>
    <t>דוידזון, אריה בן אבינועם</t>
  </si>
  <si>
    <t>נזר הקודש &lt;מהדורה חדשה&gt; - בכורות-ערכין</t>
  </si>
  <si>
    <t>רוזין, משה בן יהודה ליב</t>
  </si>
  <si>
    <t>נזר ים - על הש"ס</t>
  </si>
  <si>
    <t>רושצקי, יצחק מאיר</t>
  </si>
  <si>
    <t>נזר כהן - ג</t>
  </si>
  <si>
    <t>כהן, זמיר</t>
  </si>
  <si>
    <t>נזר משה - פורים</t>
  </si>
  <si>
    <t>בניזרי, משה בן דוד</t>
  </si>
  <si>
    <t>נזר שלמה - נדה</t>
  </si>
  <si>
    <t>כהן, אליהו בן שלמה</t>
  </si>
  <si>
    <t>נזרי חיים - נזיר</t>
  </si>
  <si>
    <t>כשרים, חיים בנימין</t>
  </si>
  <si>
    <t>נחל איתן</t>
  </si>
  <si>
    <t>לוי, אלישע</t>
  </si>
  <si>
    <t>נחל עדניך - ישועת אלעזר</t>
  </si>
  <si>
    <t>חנסוב, דן בן ראובן</t>
  </si>
  <si>
    <t>נחל קדומים - (בראשית-במדבר)</t>
  </si>
  <si>
    <t>נחלי דבש</t>
  </si>
  <si>
    <t>פרידמאן, שמואל בן דוד שלמה</t>
  </si>
  <si>
    <t>לבוב,</t>
  </si>
  <si>
    <t>נחלי מים</t>
  </si>
  <si>
    <t>נחלי צבי &lt;אגדות הש"ס&gt;  - 2 כרכים</t>
  </si>
  <si>
    <t>קאהן, צבי הרשל הכהן</t>
  </si>
  <si>
    <t>נחלת אברהם - 2 כרכים</t>
  </si>
  <si>
    <t>פאלייעס, אליעזר בן אברהם</t>
  </si>
  <si>
    <t>נחלת אפרים</t>
  </si>
  <si>
    <t>נחלת דוד - בבא קמא</t>
  </si>
  <si>
    <t>רובין, דוד טבל בן משה</t>
  </si>
  <si>
    <t>נחלת דן - 5 כרכים</t>
  </si>
  <si>
    <t>נחלת דניאל - 5 כרכים</t>
  </si>
  <si>
    <t>מהרש"ק, דניאל יוסף</t>
  </si>
  <si>
    <t>נחלת החכמה</t>
  </si>
  <si>
    <t>נחלת חיים</t>
  </si>
  <si>
    <t>מאימראן, ראובן חיים</t>
  </si>
  <si>
    <t>נחלת יעקב</t>
  </si>
  <si>
    <t>וויסמן, מנחם זאב</t>
  </si>
  <si>
    <t>נחלת מים - תורה</t>
  </si>
  <si>
    <t>רדנר, יוסף מאיר בן חיים יחיאל</t>
  </si>
  <si>
    <t>נחלת משה דוד - 3 כרכים</t>
  </si>
  <si>
    <t>בער, משה דוד בן אביגדור</t>
  </si>
  <si>
    <t>נחלת נשיא הדור</t>
  </si>
  <si>
    <t>אגודת חסידי חב"ד</t>
  </si>
  <si>
    <t>נחלת פינחס - א</t>
  </si>
  <si>
    <t>מייערס, פינחס אברהם</t>
  </si>
  <si>
    <t>נחלת צבי - אידיש</t>
  </si>
  <si>
    <t>תרגום זוהר</t>
  </si>
  <si>
    <t>טשערנואוויץ</t>
  </si>
  <si>
    <t>תרכ"ג</t>
  </si>
  <si>
    <t>נחלת צבי - נדה</t>
  </si>
  <si>
    <t>ברייזכר, צבי בן שמואל</t>
  </si>
  <si>
    <t>נחלת צבי - ו</t>
  </si>
  <si>
    <t>קליין, אפרים זאב בן צבי אריה</t>
  </si>
  <si>
    <t>נחלת צבי - 2 כרכים</t>
  </si>
  <si>
    <t>קובץ במה למשנת החסידות ותולדותיה</t>
  </si>
  <si>
    <t>נחלתנו - מכות</t>
  </si>
  <si>
    <t>נחמת שלום - 2 כרכים</t>
  </si>
  <si>
    <t>קובלסקי, שלום דב בער</t>
  </si>
  <si>
    <t>נחפה בכסף - 2 כרכים</t>
  </si>
  <si>
    <t>פלבני, מאיר אהרן בן אברהם</t>
  </si>
  <si>
    <t>נטילה כהלכתה</t>
  </si>
  <si>
    <t>סילמן, יהודה בן חיים</t>
  </si>
  <si>
    <t>נטיעות חיי עולם</t>
  </si>
  <si>
    <t>נטעי דוד</t>
  </si>
  <si>
    <t>לייבאוויטש, דוד הכהן</t>
  </si>
  <si>
    <t>ממפיס</t>
  </si>
  <si>
    <t>נטעי משה</t>
  </si>
  <si>
    <t>סלושץ, חיים משה אהרן</t>
  </si>
  <si>
    <t>ניב המורה - 5 כרכים</t>
  </si>
  <si>
    <t>בטאון הסתדרות מורי אגו"י בא"י</t>
  </si>
  <si>
    <t>ניב המורה (קובץ תורני) - 4 כרכים</t>
  </si>
  <si>
    <t>ניב ישראל - 2 כרכים</t>
  </si>
  <si>
    <t>ווייס, ישראל</t>
  </si>
  <si>
    <t>עמנואל</t>
  </si>
  <si>
    <t>ניב שפתים - 3 כרכים</t>
  </si>
  <si>
    <t>סגל, ניב</t>
  </si>
  <si>
    <t>ניבי זהב</t>
  </si>
  <si>
    <t>גולד, זאב בן יעקב מאיר</t>
  </si>
  <si>
    <t>תשי"ז - תשי"ח</t>
  </si>
  <si>
    <t>נימוקי רבינו מנחם מירזבורק - 2 כרכים</t>
  </si>
  <si>
    <t>רבינו מנחם מירזבורק</t>
  </si>
  <si>
    <t>ניצוצות - 2 כרכים</t>
  </si>
  <si>
    <t>בטאון למחשבה יהודית</t>
  </si>
  <si>
    <t>ניצוצות גאוני וצדיקי הדורות - 2 כרכים</t>
  </si>
  <si>
    <t>ניצוצי אור</t>
  </si>
  <si>
    <t>קפשיאן, דוד</t>
  </si>
  <si>
    <t>ניצוצי אור - אור לציון חלק ב</t>
  </si>
  <si>
    <t>כהן, חננאל צמח</t>
  </si>
  <si>
    <t>ניצוצי הש"ס - 5 כרכים</t>
  </si>
  <si>
    <t>ניצני ארץ - 2 כרכים</t>
  </si>
  <si>
    <t>גליקסברג, שלמה</t>
  </si>
  <si>
    <t>נלבבך בלמידה</t>
  </si>
  <si>
    <t>נס ההצלה</t>
  </si>
  <si>
    <t>נער דעה - ברכות</t>
  </si>
  <si>
    <t>נפלא אות</t>
  </si>
  <si>
    <t>בר-עמ"י, בן ציון</t>
  </si>
  <si>
    <t>נפלאות היהודי</t>
  </si>
  <si>
    <t>יעקב יצחק בן אשר מפשיסחה</t>
  </si>
  <si>
    <t>נפלאות חדשות &lt;מהדורה חדשה&gt;</t>
  </si>
  <si>
    <t>ליפשיץ, נח בן אברהם</t>
  </si>
  <si>
    <t>נפלאות תורת ה'</t>
  </si>
  <si>
    <t>נפלאותיך אשיחה</t>
  </si>
  <si>
    <t>אלחדד, עמנואל בן אברהם</t>
  </si>
  <si>
    <t>נפש ברכה - א (בראשית, שמות)</t>
  </si>
  <si>
    <t>בלוי, משה</t>
  </si>
  <si>
    <t>נפש ברכה תדשן</t>
  </si>
  <si>
    <t>נוביק, טוביה בן עזרא הלוי</t>
  </si>
  <si>
    <t>נפש יוסף - חמשה חומשי תורה</t>
  </si>
  <si>
    <t>דוידוויטש, יוסף</t>
  </si>
  <si>
    <t>נפש כל חי</t>
  </si>
  <si>
    <t>בן רחמים, שלמה</t>
  </si>
  <si>
    <t>נפתולי נפתלי - שביעית</t>
  </si>
  <si>
    <t>לרפלד, יצחק נפתלי בן דניאל</t>
  </si>
  <si>
    <t>נצח ישראל</t>
  </si>
  <si>
    <t>ספר זכרון לר' ישראל ראזענבוים</t>
  </si>
  <si>
    <t>נצחון האור על החושך</t>
  </si>
  <si>
    <t>בכאש, שלום יצחק בן רפאל</t>
  </si>
  <si>
    <t>אלג'יר</t>
  </si>
  <si>
    <t>נצחון האמת</t>
  </si>
  <si>
    <t>הכהן, שלמה</t>
  </si>
  <si>
    <t>נצנים</t>
  </si>
  <si>
    <t>שווארצמאן, מאיר בן ישראל משה</t>
  </si>
  <si>
    <t>נצר תאנה</t>
  </si>
  <si>
    <t>ראבי, שמעון בן יוסף</t>
  </si>
  <si>
    <t>קראקא,</t>
  </si>
  <si>
    <t>נקודות אור - 2 כרכים</t>
  </si>
  <si>
    <t>הלוי, שמואל בן אברהם יצחק</t>
  </si>
  <si>
    <t>נקודות במסת תענית ביצה ומגילה</t>
  </si>
  <si>
    <t>נקודות הכסף - 2 כרכים</t>
  </si>
  <si>
    <t>בינג, יחזקאל</t>
  </si>
  <si>
    <t>נקודות הכסף על סידור הרש"ש - תיקון ליל שבועות</t>
  </si>
  <si>
    <t>נקודת השמחה</t>
  </si>
  <si>
    <t>זילבר, ירמיהו בן יחיאל אברהם</t>
  </si>
  <si>
    <t>נקי כפים ובר מצוה</t>
  </si>
  <si>
    <t>רפאפורט, אברהם בן ישראל יחיאל הכהן</t>
  </si>
  <si>
    <t>(פרנקפורט ע"נ מין,</t>
  </si>
  <si>
    <t>נר חוה - דברים</t>
  </si>
  <si>
    <t>ברמן, אוריאל בן שלמה אהרן</t>
  </si>
  <si>
    <t>נר יום טוב - 2 כרכים</t>
  </si>
  <si>
    <t>ישיבת שמחת יום טוב</t>
  </si>
  <si>
    <t>נר יוסף - מוקצה</t>
  </si>
  <si>
    <t>קראוני, נריה</t>
  </si>
  <si>
    <t>נר ישראל - בשר וחלב</t>
  </si>
  <si>
    <t>וינברג, ישראל בן נח</t>
  </si>
  <si>
    <t>נר למאה - חנוכה</t>
  </si>
  <si>
    <t>זלצר, ירחמיאל בן צבי יהודה</t>
  </si>
  <si>
    <t>נר לרגלי דבריך - לימי השובבי"ם</t>
  </si>
  <si>
    <t>נר מערבי - א</t>
  </si>
  <si>
    <t>כולל בית אברהם לוס אנג'לס</t>
  </si>
  <si>
    <t>נר מצוה &lt;מהדורת מכון משנת ר"א&gt; - 2 כרכים</t>
  </si>
  <si>
    <t>סיד, יהודה בן מנוח</t>
  </si>
  <si>
    <t>נר משה</t>
  </si>
  <si>
    <t>זוהר. ליקוטים. תרמ"ב. ירושלים</t>
  </si>
  <si>
    <t>תרמ"ב</t>
  </si>
  <si>
    <t>נר ציון - הלכות פסח</t>
  </si>
  <si>
    <t>בן סניור, נתן</t>
  </si>
  <si>
    <t>נר רפאל - ב</t>
  </si>
  <si>
    <t>רפאל, נסים בן יעקב</t>
  </si>
  <si>
    <t>נר שמעון</t>
  </si>
  <si>
    <t>לזכרו של רבי שמעון כהן פור</t>
  </si>
  <si>
    <t>נראה אור - א-ק</t>
  </si>
  <si>
    <t>תשס"ג - תשפ"ב</t>
  </si>
  <si>
    <t>נרד וכרכום</t>
  </si>
  <si>
    <t>נרות שבת - 2 כרכים</t>
  </si>
  <si>
    <t>בטאון השבת העל מפלגתי</t>
  </si>
  <si>
    <t>תש"ג - תש"ד</t>
  </si>
  <si>
    <t>נרות שבת קדש</t>
  </si>
  <si>
    <t>גינזבורג, יוסף</t>
  </si>
  <si>
    <t>נשים בזכות עצמן</t>
  </si>
  <si>
    <t>סמואל, מרים</t>
  </si>
  <si>
    <t>נשים נסתרות בתנ"ך - 4 כרכים</t>
  </si>
  <si>
    <t>נשיקות פיהו</t>
  </si>
  <si>
    <t>קמרי, יהונתן בן יואל</t>
  </si>
  <si>
    <t>נשמת אברהם &lt;מהדורה חדשה&gt;  - 4 כרכים</t>
  </si>
  <si>
    <t>אברהם סופר, אברהם</t>
  </si>
  <si>
    <t>נשמת שבת - ג-א</t>
  </si>
  <si>
    <t>נתיב בינה - 2 כרכים</t>
  </si>
  <si>
    <t>שרייבר, ישראל בונם בן פנחס</t>
  </si>
  <si>
    <t>נתיב התשובה למהר"ל &lt;נתיבות אור&gt;</t>
  </si>
  <si>
    <t>נתיבה - שנה שישית</t>
  </si>
  <si>
    <t>לעניני הנוער והעובד הדתי לאומי בארץ ובגולה</t>
  </si>
  <si>
    <t>נתיבות בסוגיות - 3 כרכים</t>
  </si>
  <si>
    <t>לינצ'נר, שלמה בן שרגא פייבל</t>
  </si>
  <si>
    <t>נתיבות האיש</t>
  </si>
  <si>
    <t>נתיבות המוקצה</t>
  </si>
  <si>
    <t>ברונר, אלחנן בן עמוס</t>
  </si>
  <si>
    <t>נתיבות השבת - סימנים שטז-שכב</t>
  </si>
  <si>
    <t>גולדמינץ, אברהם יעקב</t>
  </si>
  <si>
    <t>נתיבות חיים</t>
  </si>
  <si>
    <t>מודעין עלית</t>
  </si>
  <si>
    <t>נתיבות לב</t>
  </si>
  <si>
    <t>שטיין, יהודה ליב בן זלמן שמואל</t>
  </si>
  <si>
    <t>נתיבות מאיר - נזיקין</t>
  </si>
  <si>
    <t>בן שושן, מאיר בן יעקב</t>
  </si>
  <si>
    <t>נתיבות מרדכי - 3 כרכים</t>
  </si>
  <si>
    <t>קליבלנד</t>
  </si>
  <si>
    <t>נתיבות משה - 2 כרכים</t>
  </si>
  <si>
    <t>גרוס, ניסן משה</t>
  </si>
  <si>
    <t>נתיבי אור - 10 כרכים</t>
  </si>
  <si>
    <t>יגן, נסים</t>
  </si>
  <si>
    <t>נתיבי אור על התורה - 7 כרכים</t>
  </si>
  <si>
    <t>נתיבי אמונה</t>
  </si>
  <si>
    <t>נתיבי המנהגים - 2 כרכים</t>
  </si>
  <si>
    <t>סבוב הרב ר' פתחיה</t>
  </si>
  <si>
    <t>פתחיה בן יעקב מרגנשבורג</t>
  </si>
  <si>
    <t>סבר נפתלי - א בראשית</t>
  </si>
  <si>
    <t>הכהן, נפתלי יעקב</t>
  </si>
  <si>
    <t>סגולה - 2 כרכים</t>
  </si>
  <si>
    <t>סגולות הסופר</t>
  </si>
  <si>
    <t>סדור שמע ישראל קול מנחם</t>
  </si>
  <si>
    <t>סדר אליהו זוטא &lt;נוסח כת"י רומי&gt; - ג</t>
  </si>
  <si>
    <t>שרייבר, ס (עורך)</t>
  </si>
  <si>
    <t>סדר אליהו רבה &lt;נוסח כת"י רומי&gt;  - 3 כרכים</t>
  </si>
  <si>
    <t>סדר אמירת קרבן פסח</t>
  </si>
  <si>
    <t>סדר אמירת קרבן פסח - 2 כרכים</t>
  </si>
  <si>
    <t>סדר בקיאות - פסחים ובבא בתרא</t>
  </si>
  <si>
    <t>סדר ברכות ותפילות לשעת הדחק</t>
  </si>
  <si>
    <t>נוימן, יהונתן בן דוד נתן</t>
  </si>
  <si>
    <t>סדר ברכות לילדי בית הספר</t>
  </si>
  <si>
    <t>בארסאנו, יצחק יוסף</t>
  </si>
  <si>
    <t>סופייה</t>
  </si>
  <si>
    <t>סדר ברכת הלבנה</t>
  </si>
  <si>
    <t>פוזנר, עקיבא ברוך</t>
  </si>
  <si>
    <t>סדר ברכת המזון וקריאת שמע לילדי ישראל ותשב"ר בחדרים הכשרים</t>
  </si>
  <si>
    <t>סדר הגט בקצרה</t>
  </si>
  <si>
    <t>כהן, אברהם דוב בן ישראל מרדכי</t>
  </si>
  <si>
    <t>סדר הדלקת נר חנוכה כמנהג סאסוב</t>
  </si>
  <si>
    <t>מכון נועם אמרים</t>
  </si>
  <si>
    <t>קרית ישמח משה</t>
  </si>
  <si>
    <t>סדר הושענות &lt;ישועות יעקב&gt;</t>
  </si>
  <si>
    <t>הירשנסון, חיים בן יעקב מרדכי</t>
  </si>
  <si>
    <t>סדר החיים</t>
  </si>
  <si>
    <t>בלוט, חיים בן אברהם אהרן</t>
  </si>
  <si>
    <t>סדר החשבון ותקנות</t>
  </si>
  <si>
    <t>סדר היום בהלכה ובאגדה</t>
  </si>
  <si>
    <t>סדר היחוס של רבי שלמה ברעוודא</t>
  </si>
  <si>
    <t>ברעוודא, חיים חייקל</t>
  </si>
  <si>
    <t>סדר הכתב</t>
  </si>
  <si>
    <t>יונגרייז, עמרם יוסף בן אשר אנשיל</t>
  </si>
  <si>
    <t>סדר הלכות הלל - 2 כרכים</t>
  </si>
  <si>
    <t>שמרלר, ישראל מאיר בן יוסף</t>
  </si>
  <si>
    <t>סדר הסליחות של שובבים ת"ת</t>
  </si>
  <si>
    <t>תפילות. סליחות. שובבי"ם ת"ת. תקנ"ד</t>
  </si>
  <si>
    <t>תקנ"ד</t>
  </si>
  <si>
    <t>סדר הקפות סקולען</t>
  </si>
  <si>
    <t>חסדי אליעזר סקולען</t>
  </si>
  <si>
    <t>סדר הקרבנות של הגאון בעל תבואת שור</t>
  </si>
  <si>
    <t>שור, אלכסנדר סנדר בן אפרים זלמן</t>
  </si>
  <si>
    <t>סדר יום כפור קטן</t>
  </si>
  <si>
    <t>בנדיקט, יוסף צבי &lt;המו"ל&gt;</t>
  </si>
  <si>
    <t>סדר יום כפור קטן הערוך - ישמח יהודה</t>
  </si>
  <si>
    <t>יעקובוביץ, יהודה</t>
  </si>
  <si>
    <t>סדר לג לעומר</t>
  </si>
  <si>
    <t>תיקונים. ל"ג בעומר. תר"ז. שלוניקי</t>
  </si>
  <si>
    <t>שלוניקי</t>
  </si>
  <si>
    <t>תיקונים. ל"ג בעומר. תרמ"ז. שלוניקי</t>
  </si>
  <si>
    <t>סאלוניקו</t>
  </si>
  <si>
    <t>סדר לימוד ל"ג לעומר</t>
  </si>
  <si>
    <t>תיקונים. ל"ג בעומר. תרל"ט. ירושלים</t>
  </si>
  <si>
    <t>סדר נוסח הקרבנות</t>
  </si>
  <si>
    <t>תפילות. הושענות והקפות. תרפ"ז. ברדיוב</t>
  </si>
  <si>
    <t>בארדיאב</t>
  </si>
  <si>
    <t>סדר פסח - ביאור רחב על פיוט אלהי הרוחות</t>
  </si>
  <si>
    <t>אויערבך, חיים לייב בן רפאל דוד</t>
  </si>
  <si>
    <t>סדר קרבנות לימי הפסח</t>
  </si>
  <si>
    <t>רוקח, אלתר אליעזר בן נפתלי</t>
  </si>
  <si>
    <t>סדר שומרים לבקר &lt;שנוהגים להתפלל בק"ק פירארא ביום הושענא רבה&gt;</t>
  </si>
  <si>
    <t>סדר סליחות. הושענה רבה.</t>
  </si>
  <si>
    <t>תק"ץ</t>
  </si>
  <si>
    <t>סדר שנה האחרונה &lt;מהדורה חדשה&gt;</t>
  </si>
  <si>
    <t>אדלר, יצחק</t>
  </si>
  <si>
    <t>סדר תפילות לבית עלמין</t>
  </si>
  <si>
    <t>חברא קדישא דק"ק עדת ישראל לונדון</t>
  </si>
  <si>
    <t>סדר תפלות מכל השנה עם פירוש הרי בשמים - אשכנז עם מנחת אליהו להגר"א</t>
  </si>
  <si>
    <t>מושקאט, חיים אליעזר בן בנימין</t>
  </si>
  <si>
    <t>סדר תפלת המנחה של ערב ראש חודש</t>
  </si>
  <si>
    <t>תפילות. ערב ראש חודש. תקנ"ד. ונציה</t>
  </si>
  <si>
    <t>ויניציאה</t>
  </si>
  <si>
    <t>סדר תפלת ישראל ע"פ אור הישר - מהדורה ראשונה</t>
  </si>
  <si>
    <t>סידור. נוסח קוידינוב</t>
  </si>
  <si>
    <t>סדרי זמנים לפי המסרת</t>
  </si>
  <si>
    <t>עקביא, אברהם אריה ליב בן אהרן זליג</t>
  </si>
  <si>
    <t>תש"ג</t>
  </si>
  <si>
    <t>סוגיות בטוש''ע - בורר לש</t>
  </si>
  <si>
    <t>נפתלי, יהושע</t>
  </si>
  <si>
    <t>סוגיות במסכת יבמות</t>
  </si>
  <si>
    <t>שפירא, אהרן בן אריה</t>
  </si>
  <si>
    <t>סוגיות במסכת נדרים</t>
  </si>
  <si>
    <t>סוגיות בענייני השטר</t>
  </si>
  <si>
    <t>סוגיית מירון במשנתם של רבותינו</t>
  </si>
  <si>
    <t>גולדשטיין, אריה לייב</t>
  </si>
  <si>
    <t>סוד החשמל - תורת הרמז</t>
  </si>
  <si>
    <t>פיש, יקותיאל זלמן זאב בן יעקב יחזקיה</t>
  </si>
  <si>
    <t>סוד הישועה - שמירת הלשון</t>
  </si>
  <si>
    <t>סוד המשנה והמחשבה</t>
  </si>
  <si>
    <t>שטרן, מאיר יוסף בן אלטר דוד חיים</t>
  </si>
  <si>
    <t>סוד הנישואין</t>
  </si>
  <si>
    <t>סוד מדרש התולדות - ח יוסף ויהודה</t>
  </si>
  <si>
    <t>אשכנזי, יהודה ליאון בן דוד</t>
  </si>
  <si>
    <t>סודות פון חדר</t>
  </si>
  <si>
    <t>קרן חיים זאנוויל</t>
  </si>
  <si>
    <t>סוכת בית הכנסת</t>
  </si>
  <si>
    <t>סוכת דוד</t>
  </si>
  <si>
    <t>סוף כל הנסים - חנוכה ופורים</t>
  </si>
  <si>
    <t>סופרי המלך מבית מדרשו של רבינו עקיבא איגר</t>
  </si>
  <si>
    <t>ראקאוו, יום טוב ליפמאן</t>
  </si>
  <si>
    <t>סידור אהלי שם</t>
  </si>
  <si>
    <t>סידור בית יהודה</t>
  </si>
  <si>
    <t>גורדון, יהודה ליב בן מאיר</t>
  </si>
  <si>
    <t>תרע"ב</t>
  </si>
  <si>
    <t>סידור בית מנוחה &lt;מהדורת אהבת שלום&gt;</t>
  </si>
  <si>
    <t>סידור בית עובד &lt;מהדורה חדשה&gt;</t>
  </si>
  <si>
    <t>סידור בית עובד &lt;מהדורת אהבת שלום&gt;</t>
  </si>
  <si>
    <t>סידור הערוך</t>
  </si>
  <si>
    <t>יעקובוביץ, יצחק יהודה</t>
  </si>
  <si>
    <t>סידור קידושין</t>
  </si>
  <si>
    <t>אדלר, בנימין בן משה</t>
  </si>
  <si>
    <t>סידור שער התפילה - א-ב</t>
  </si>
  <si>
    <t>סידר תפלת חנוך ע"פ אור הישר</t>
  </si>
  <si>
    <t>סייעתא ליורה דעה</t>
  </si>
  <si>
    <t>הורביץ, יצחק שמעון</t>
  </si>
  <si>
    <t>סיכום דיני ההנאה ממעשה נסים</t>
  </si>
  <si>
    <t>עמר, חננאל בן אשר</t>
  </si>
  <si>
    <t>סיכום דיני המחוסר חוש הריח</t>
  </si>
  <si>
    <t>סיכום דיני הנפת ברזל ע"ג המזבח</t>
  </si>
  <si>
    <t>סיכום דיני העוסק במצוה פטור מן המצוה</t>
  </si>
  <si>
    <t>סיכום דיני שומע כעונה</t>
  </si>
  <si>
    <t>סיכום דיני תרי קלי לא משתמעי</t>
  </si>
  <si>
    <t>סיכום הלכות - תפילה ונשיאות כפים</t>
  </si>
  <si>
    <t>ברוכיאן, שמואל אהרון</t>
  </si>
  <si>
    <t>סיכום הלכות מזוזה</t>
  </si>
  <si>
    <t>גור, שאול</t>
  </si>
  <si>
    <t>סיכום סוגיית הכל בכתב מיד ה' עלי השכיל</t>
  </si>
  <si>
    <t>סיכומי הלכות מוקצה</t>
  </si>
  <si>
    <t>ויזל, יהודה</t>
  </si>
  <si>
    <t>סיכומי סוגיות והערות זבחים</t>
  </si>
  <si>
    <t>סיכומים וביאורים - 3 כרכים</t>
  </si>
  <si>
    <t>הופמן, שניאור זלמן בן שמואל ברוך</t>
  </si>
  <si>
    <t>סימון בשבת ע"י ניקוב</t>
  </si>
  <si>
    <t>מכון מדעי טכנולוגי לבעיות הלכה</t>
  </si>
  <si>
    <t>סיפור חלומות קץ הפלאות</t>
  </si>
  <si>
    <t>מאורעות צבי. תקצ"ה</t>
  </si>
  <si>
    <t>סיפורי מעשיות</t>
  </si>
  <si>
    <t>אדרעי, משה בן יצחק</t>
  </si>
  <si>
    <t>סיפורי צדיקים - 9 כרכים</t>
  </si>
  <si>
    <t>סיפורים חסידים מלמברג לבוב</t>
  </si>
  <si>
    <t>סכותה לראשי - 2 כרכים</t>
  </si>
  <si>
    <t>ברגמן, יששכר קלמן בן מאיר צבי</t>
  </si>
  <si>
    <t>סליחות ליום ז אדר - 2 כרכים</t>
  </si>
  <si>
    <t>תרנ"ד</t>
  </si>
  <si>
    <t>סליחות לעצירת מגיפה</t>
  </si>
  <si>
    <t>סליחות לפורים</t>
  </si>
  <si>
    <t>ברסלוי</t>
  </si>
  <si>
    <t>תר"ו</t>
  </si>
  <si>
    <t>סמכוני באשישות - חלק ב</t>
  </si>
  <si>
    <t>ארבל, אברהם</t>
  </si>
  <si>
    <t>סעודת שבת עם פ"ש</t>
  </si>
  <si>
    <t>הלוי, יצחק</t>
  </si>
  <si>
    <t>קרני שומרון</t>
  </si>
  <si>
    <t>ספורי החג - פורים</t>
  </si>
  <si>
    <t>מנחם מנדל - נפתלי צבי</t>
  </si>
  <si>
    <t>ספורנו - 4 כרכים</t>
  </si>
  <si>
    <t>ספורנו, עובדיה בן יעקב</t>
  </si>
  <si>
    <t>ספר אבא בגבורות - ב</t>
  </si>
  <si>
    <t>ספר אבא בם - בבא קמא</t>
  </si>
  <si>
    <t>כולל משנת אליעזר</t>
  </si>
  <si>
    <t>ספר אבא בם - מרובה</t>
  </si>
  <si>
    <t>ראבין, אלעזר בן מרדכי</t>
  </si>
  <si>
    <t>ספר אבוא ביתך</t>
  </si>
  <si>
    <t>פינק, יהודה בן דוד</t>
  </si>
  <si>
    <t>ספר ארץ ישראל - לעורר את האהבה הישנה</t>
  </si>
  <si>
    <t>גלאסמאן, אפרים</t>
  </si>
  <si>
    <t>ספר האורה &lt;מהדורת מכון ירושלים&gt;</t>
  </si>
  <si>
    <t>שלמה בן יצחק (רש"י)</t>
  </si>
  <si>
    <t>ספר הגורלות - 2 כרכים</t>
  </si>
  <si>
    <t>אבן-עזרא, אברהם בן מאיר. מיוחס לו</t>
  </si>
  <si>
    <t>(ירושלם),</t>
  </si>
  <si>
    <t>ספר הזהר עם פירוש אמת ליעקב - 6 כרכים</t>
  </si>
  <si>
    <t>מארג'י, יעקב</t>
  </si>
  <si>
    <t>ספר הזכירות</t>
  </si>
  <si>
    <t>ספר הזכירות &lt;קדושת לוי - מרפא לנפש - זכרון מאיר&gt;</t>
  </si>
  <si>
    <t>רפאל בן זכריה מנדל</t>
  </si>
  <si>
    <t>ספר הזכרון</t>
  </si>
  <si>
    <t>פרידנזון, אהרן משה בן מרדכי</t>
  </si>
  <si>
    <t>תרל"ד</t>
  </si>
  <si>
    <t>ספר הזכרון שירת יוסף</t>
  </si>
  <si>
    <t>ביטון, אברהם - איפרגן, ישראל (עורכים)</t>
  </si>
  <si>
    <t>ספר הזכרון שמואל בדורו</t>
  </si>
  <si>
    <t>פייבלזון, שמואל אליהו אביגדור בן רפאל אליעזר</t>
  </si>
  <si>
    <t>ספר הזכרונות</t>
  </si>
  <si>
    <t>גרינוואלד, יקותיאל יהודה בן יעקב</t>
  </si>
  <si>
    <t>ספר החקים ללשכה הראשית סכת שלם א' אשר לאגדת בני ישראל</t>
  </si>
  <si>
    <t>תקנות. חברות.</t>
  </si>
  <si>
    <t>תרנ"ז</t>
  </si>
  <si>
    <t>ספר היובל לישיבת חכמי לובלין</t>
  </si>
  <si>
    <t>ישיבת חכמי לובלין</t>
  </si>
  <si>
    <t>ספר היובל לקורות המושבה "ראשון לציון" - ב</t>
  </si>
  <si>
    <t>פרימאן, אהרן מרדכי בן יוסף צבי</t>
  </si>
  <si>
    <t>ירושלים-יפו,</t>
  </si>
  <si>
    <t>תרס"ז - תרע"ג</t>
  </si>
  <si>
    <t>ספר היובל לרמת ויזניץ חיפה</t>
  </si>
  <si>
    <t>איגוד חסידי ותלמידי סערט ויזניץ</t>
  </si>
  <si>
    <t>ספר היראה</t>
  </si>
  <si>
    <t>ספר הישר - 2 כרכים</t>
  </si>
  <si>
    <t>זרחיה היווני. מיוחס לו</t>
  </si>
  <si>
    <t xml:space="preserve">תקכ"ב - </t>
  </si>
  <si>
    <t>ספר הישר &lt;מהדורת דבליצקי&gt; - חלק החידושים</t>
  </si>
  <si>
    <t>יעקב בן מאיר (רבינו תם)</t>
  </si>
  <si>
    <t>ספר המאור &lt;מלחמת ה' - כתוב שם - נר למאור&gt; - 2 כרכים</t>
  </si>
  <si>
    <t>משה בן נחמן (רמב"ן) - זרחיה בן יצחק הלו גירונדי (רז"ה) - אברהם בן דוד (ראב"ד)</t>
  </si>
  <si>
    <t>ספר המאמרים</t>
  </si>
  <si>
    <t>ספר המו"ד - ג</t>
  </si>
  <si>
    <t>הירש, יעקב בן צבי הלוי</t>
  </si>
  <si>
    <t>תרנ"ב - תר"ס</t>
  </si>
  <si>
    <t>ספר המודיע</t>
  </si>
  <si>
    <t>ספר המוסר &lt;מכון אור הצפון&gt;</t>
  </si>
  <si>
    <t>כאלאץ, יהודה בן שלמה</t>
  </si>
  <si>
    <t>ספר המסעות - 2 כרכים</t>
  </si>
  <si>
    <t>ספר המצות &lt;ביאורים והערות&gt; - שרשי מנין המצות</t>
  </si>
  <si>
    <t>ספר הסגולות</t>
  </si>
  <si>
    <t>ראובן בן אברהם מירושלים</t>
  </si>
  <si>
    <t>ספר הענק</t>
  </si>
  <si>
    <t>אלחריזי, יהודה בן שלמה</t>
  </si>
  <si>
    <t>ספר התכונה</t>
  </si>
  <si>
    <t>וויטאל, חיים בן יוסף</t>
  </si>
  <si>
    <t>ספר התקון לליל שבועות</t>
  </si>
  <si>
    <t>תיקונים. ליל שבועות. תקכ"ז. ונציה</t>
  </si>
  <si>
    <t>תקכ"ז</t>
  </si>
  <si>
    <t>ספר התקנות והסכמות</t>
  </si>
  <si>
    <t>גאגין, חיים אברהם בן משה</t>
  </si>
  <si>
    <t>ספר התקנות חברת אור תורה משמורים</t>
  </si>
  <si>
    <t>ירושלים. מנחם ציון</t>
  </si>
  <si>
    <t>ספר התרומה &lt;מכון ירושלים&gt; - א</t>
  </si>
  <si>
    <t>ברוך בן יצחק מצרפת</t>
  </si>
  <si>
    <t>ספר התרומות עם גדולי תרומה - דרכי תרומה</t>
  </si>
  <si>
    <t>שמואל בן יצחק הסרדי- פיגו, עזריה בן אפרים - פיג'ו, מרדכי בן משה</t>
  </si>
  <si>
    <t>ספר התשובות - 2 כרכים</t>
  </si>
  <si>
    <t>וינד, פנחס בן אליעזר</t>
  </si>
  <si>
    <t>ספר זכרון - לזכרו של מרן הגר"מ פיינשטיין</t>
  </si>
  <si>
    <t>ישיבה סטעטן איילענד</t>
  </si>
  <si>
    <t>ספר זכרון חשבוו ומפעל בית ועד הכללי</t>
  </si>
  <si>
    <t>ועד הכללי כנסת ישראל</t>
  </si>
  <si>
    <t>ספר זכרון מנחת שמואל</t>
  </si>
  <si>
    <t>קרויזר, שמואל מוני בן חיים יוסף</t>
  </si>
  <si>
    <t>ספר זכרון מעלות מיכל</t>
  </si>
  <si>
    <t>לזכר מרת מיכל מור (גבאי)</t>
  </si>
  <si>
    <t>ספר חברון</t>
  </si>
  <si>
    <t>אבישר, עודד</t>
  </si>
  <si>
    <t>ספר חרדים &lt;השלם והמפואר&gt;</t>
  </si>
  <si>
    <t>ספר חשבון חברת בקו"ח משגב לדך - 6 כרכים</t>
  </si>
  <si>
    <t>תרס"א</t>
  </si>
  <si>
    <t>ספר טבריה</t>
  </si>
  <si>
    <t>ספר יובל לזאב וילהלם כהן</t>
  </si>
  <si>
    <t>ספר יובל</t>
  </si>
  <si>
    <t>ספר יונה עם ביאור הגר"א - 2 כרכים</t>
  </si>
  <si>
    <t>ספר לבני מצוה</t>
  </si>
  <si>
    <t>אריגור, יצחק</t>
  </si>
  <si>
    <t>ספר מכבים ב</t>
  </si>
  <si>
    <t>ספר שאלת המטוטלת - ב</t>
  </si>
  <si>
    <t>גרין, אלחנן</t>
  </si>
  <si>
    <t>ספר תהלים &lt;כינורו של דוד קול מנחם</t>
  </si>
  <si>
    <t>ספר תהלים עם ילקוט של"ה</t>
  </si>
  <si>
    <t>[תרכ"ג]</t>
  </si>
  <si>
    <t>ספר תורה לדעת - נר מתתיהו</t>
  </si>
  <si>
    <t>בלום, מתתיהו</t>
  </si>
  <si>
    <t>ספר תקנות חברת ביקור חולים משגב לדך - 5 כרכים</t>
  </si>
  <si>
    <t>ספר תרי"ג מצוות</t>
  </si>
  <si>
    <t>ספרא דצניעותא &lt;ביאור הגר"א המפורש&gt;</t>
  </si>
  <si>
    <t>אליהו בן שלמה זלמן - גודלבלט, מרדכי אברהם בן יעקב</t>
  </si>
  <si>
    <t>ספרי יסוד</t>
  </si>
  <si>
    <t>סטפנסקי, חיים</t>
  </si>
  <si>
    <t>ספרים בRabbi Judah HaNasi, his Life and Times</t>
  </si>
  <si>
    <t>קרלבאך, אלכסנדר</t>
  </si>
  <si>
    <t>ספרים באנגלית - ILRAMBAM</t>
  </si>
  <si>
    <t xml:space="preserve">1985 - </t>
  </si>
  <si>
    <t>ספרים באנגלית - 80 כרכים</t>
  </si>
  <si>
    <t>Isaacs, Jacob</t>
  </si>
  <si>
    <t>ספרים באנגלית Moses Montefiore, his Life and Times</t>
  </si>
  <si>
    <t>חיימסון, א</t>
  </si>
  <si>
    <t>תשכ"כ</t>
  </si>
  <si>
    <t>ספרים באנגלית Sadia Gaon, his Life and Times</t>
  </si>
  <si>
    <t>אברבאך, מ</t>
  </si>
  <si>
    <t>ספרים בספרדית - 3 כרכים</t>
  </si>
  <si>
    <t>מוחפרה, יעקב</t>
  </si>
  <si>
    <t>ספרים בפורטוגזית - Fe e Ciencia</t>
  </si>
  <si>
    <t>ברזיל</t>
  </si>
  <si>
    <t>ספרים ברוסית - 2 כרכים</t>
  </si>
  <si>
    <t>ארגון נפשנו</t>
  </si>
  <si>
    <t>סר לראות - בבא קמא</t>
  </si>
  <si>
    <t>פודור, אברהם בן מיכאל הכהן</t>
  </si>
  <si>
    <t>עבד נאמן - רבי שניאור זלמן פרידמן</t>
  </si>
  <si>
    <t>וולס, דוד</t>
  </si>
  <si>
    <t>עבדא דמלכא - ברכות ד-ו</t>
  </si>
  <si>
    <t>זוננא, עובדיה בן סימון</t>
  </si>
  <si>
    <t>עבודה מעשית - 7 כרכים</t>
  </si>
  <si>
    <t>חזקיה, אלחנן לוי</t>
  </si>
  <si>
    <t>עבודה שבלב - שיחות בעניני תפילה</t>
  </si>
  <si>
    <t>עבודת אהרן</t>
  </si>
  <si>
    <t>פרוינד, יצחק גבריאל בן אהרן דניאל</t>
  </si>
  <si>
    <t>עבודת אליהו - עבודה זרה</t>
  </si>
  <si>
    <t>בן שלמה, אליהו בן חנוך הענדל</t>
  </si>
  <si>
    <t>עבודת בנימין</t>
  </si>
  <si>
    <t>עבודת דוד - 4 כרכים</t>
  </si>
  <si>
    <t>עבודת האהל</t>
  </si>
  <si>
    <t xml:space="preserve">תשמ"ו - </t>
  </si>
  <si>
    <t>עבודת הסופר - חנוכה</t>
  </si>
  <si>
    <t>עבודת הקודש - 4 כרכים</t>
  </si>
  <si>
    <t>רוט, אהרן בן שמואל יעקב - בלום, מרדכי הכהן</t>
  </si>
  <si>
    <t>עבודת חג השבועות</t>
  </si>
  <si>
    <t>עבודת חיים - בראשית</t>
  </si>
  <si>
    <t>גברא, עובדיה</t>
  </si>
  <si>
    <t>עבודת ימי הפורים</t>
  </si>
  <si>
    <t>עבודת ישראל - 2 כרכים</t>
  </si>
  <si>
    <t>פרידמן, שמעון יחיאל</t>
  </si>
  <si>
    <t>תש"ם</t>
  </si>
  <si>
    <t>עברא דדשא - 3 כרכים</t>
  </si>
  <si>
    <t>עברית סמבטיונית</t>
  </si>
  <si>
    <t>סמבטיון, משה בן אהרן</t>
  </si>
  <si>
    <t>עד כי יבוא שילה</t>
  </si>
  <si>
    <t>דייקן, עמוס</t>
  </si>
  <si>
    <t>עדות ביהוסף ויצחק</t>
  </si>
  <si>
    <t>יצחקי, גבריאל מנחם</t>
  </si>
  <si>
    <t>עדות משה - ב</t>
  </si>
  <si>
    <t>עדות נאמנה</t>
  </si>
  <si>
    <t>בית מדרש גבוה לתורה</t>
  </si>
  <si>
    <t xml:space="preserve">תשס"ו - </t>
  </si>
  <si>
    <t>עדות קובץ תורני - יח</t>
  </si>
  <si>
    <t>תשמ"ז - תשנ"ה</t>
  </si>
  <si>
    <t>עדי הגט</t>
  </si>
  <si>
    <t>עדן עולמים</t>
  </si>
  <si>
    <t>זוסניץ, יוסף יהודה ליב בן יחיאל מיכל</t>
  </si>
  <si>
    <t>תרמ"ח,</t>
  </si>
  <si>
    <t>עהרליכקייט און תמימות</t>
  </si>
  <si>
    <t>מנחם מנדל</t>
  </si>
  <si>
    <t>עובדא דאהרן</t>
  </si>
  <si>
    <t>לייפר, שלמה זלמן</t>
  </si>
  <si>
    <t>עובדות דרבי לוי - ג</t>
  </si>
  <si>
    <t>רבינוביץ, יעקב דוד הכהן</t>
  </si>
  <si>
    <t>עול בנעוריו</t>
  </si>
  <si>
    <t>ישיבת הרב עמיאל - הישוב החדש</t>
  </si>
  <si>
    <t>עוללות אפרים</t>
  </si>
  <si>
    <t>לזכרו של הילד אפרים וייספיש</t>
  </si>
  <si>
    <t>עולם התקון</t>
  </si>
  <si>
    <t>עולם חדש</t>
  </si>
  <si>
    <t>עבאדי, אשר</t>
  </si>
  <si>
    <t>עולם קטן &lt;פרישת יצחק אהרן&gt;</t>
  </si>
  <si>
    <t>ריקי, רפאל עמנואל חי בן אברהם</t>
  </si>
  <si>
    <t>עולת כהן - 4 כרכים</t>
  </si>
  <si>
    <t>כהן, חנוך בן יהודה</t>
  </si>
  <si>
    <t>עולת ראיה</t>
  </si>
  <si>
    <t>ווייס, אריה בן משה קאפיל</t>
  </si>
  <si>
    <t>עומק הפשט</t>
  </si>
  <si>
    <t>עונג משפט</t>
  </si>
  <si>
    <t>דנחי, ראובן בן דוד</t>
  </si>
  <si>
    <t>עורה כבודי - 2 כרכים</t>
  </si>
  <si>
    <t>לונדינסקי, שמחה בונים בן ישראל דוד</t>
  </si>
  <si>
    <t>עורה למה תישן</t>
  </si>
  <si>
    <t>עורי דבורה - 9 כרכים</t>
  </si>
  <si>
    <t>עז המלכות וההתקוממות הפלשטינאית</t>
  </si>
  <si>
    <t>מדרשת נצרים</t>
  </si>
  <si>
    <t>עז מלך</t>
  </si>
  <si>
    <t>עזר לשלחן - נדה - ב (קצ-ר)</t>
  </si>
  <si>
    <t>דיקמן, אברהם שלמה</t>
  </si>
  <si>
    <t>עזרת יעקב - הלכות סוכה וד' מינים</t>
  </si>
  <si>
    <t>פפנהיים, יעקב אליעזר בן שלמה</t>
  </si>
  <si>
    <t>עזרת כהנים</t>
  </si>
  <si>
    <t>כהן, עזרא נחום בן פנחס ירמיהו</t>
  </si>
  <si>
    <t>עט סופר החדש</t>
  </si>
  <si>
    <t>לאנדא, צמח בן שמואל הלוי</t>
  </si>
  <si>
    <t>ווילנא והוראדנא,</t>
  </si>
  <si>
    <t>תקצ"ה</t>
  </si>
  <si>
    <t>עטה אור דעת ואמונה &lt;גליונות תשפ"א&gt;</t>
  </si>
  <si>
    <t>טולידאנו, עמנואל בן יוסף</t>
  </si>
  <si>
    <t>עטה אור - שביעית</t>
  </si>
  <si>
    <t>עטורי כהנים - 44 כרכים</t>
  </si>
  <si>
    <t>קובץ ישיבת עטרת כהנים</t>
  </si>
  <si>
    <t xml:space="preserve">תשמ"ד - </t>
  </si>
  <si>
    <t>עטורי שלמה - הלכות תפילין</t>
  </si>
  <si>
    <t>חרז, שלמה בן משה חיים</t>
  </si>
  <si>
    <t>עטרות כהנים</t>
  </si>
  <si>
    <t>הכהן, אליהו בן משה ישעיה</t>
  </si>
  <si>
    <t>עטרת ברוך</t>
  </si>
  <si>
    <t>הלברשטאם, ברוך בן חיים</t>
  </si>
  <si>
    <t>עטרת המועדים - ימים נוראים</t>
  </si>
  <si>
    <t>עטרת המקרא - 3 כרכים</t>
  </si>
  <si>
    <t>עטרת זהב - א</t>
  </si>
  <si>
    <t>תרנ"ז - תרנ"ח</t>
  </si>
  <si>
    <t>עטרת זקנים</t>
  </si>
  <si>
    <t>אייכנשטיין, יחיאל מיכל בן משה</t>
  </si>
  <si>
    <t>תרס"ח,</t>
  </si>
  <si>
    <t>עטרת יחזקאל - א</t>
  </si>
  <si>
    <t>ישיבת בני תורה</t>
  </si>
  <si>
    <t>עטרת פז &lt;מהדורה חדשה&gt;</t>
  </si>
  <si>
    <t>עטרת צבי &lt;מהדורה חדשה&gt;  ג שמות</t>
  </si>
  <si>
    <t>אייכנשטיין, צבי הירש בן יצחק איזיק - אייכנשטיין, פנחס</t>
  </si>
  <si>
    <t>עטרת צבי - 2 כרכים</t>
  </si>
  <si>
    <t>בסמן, גרשון בן נפתלי</t>
  </si>
  <si>
    <t>עטרת שלום - 5 כרכים</t>
  </si>
  <si>
    <t>עלון שבועי שע"י מוסדות קאמרנא</t>
  </si>
  <si>
    <t>עטרת תפארת</t>
  </si>
  <si>
    <t>קורן, זלמן מנחם</t>
  </si>
  <si>
    <t>עטרת תפארת - 2 כרכים</t>
  </si>
  <si>
    <t>בילגורי Bilgoraj</t>
  </si>
  <si>
    <t>עיון במדרשי הזוהר - 2 כרכים</t>
  </si>
  <si>
    <t>קינדרמן, אהרן</t>
  </si>
  <si>
    <t>עיון הברכה</t>
  </si>
  <si>
    <t>גרוס, אברהם חיים ליב בן ישראל</t>
  </si>
  <si>
    <t>עיון ההגדה</t>
  </si>
  <si>
    <t>קובץ עיון הפרשה</t>
  </si>
  <si>
    <t>עיון הסוגיא - 4 כרכים</t>
  </si>
  <si>
    <t>טחן, יצחק בן אליהו</t>
  </si>
  <si>
    <t>עיון הפרשה - פורים ומגילה</t>
  </si>
  <si>
    <t>מפעל עיון הפרשה</t>
  </si>
  <si>
    <t>עיון טבילה</t>
  </si>
  <si>
    <t>קראוס, צבי מאיר בן חיים</t>
  </si>
  <si>
    <t>עיוני שמעתא - בבא קמא בבא מציעא</t>
  </si>
  <si>
    <t>מלאכי, מנחם מתתיהו בן נתנאל</t>
  </si>
  <si>
    <t>עיוני שמעתתא - חולין</t>
  </si>
  <si>
    <t>כולל פוניבז'</t>
  </si>
  <si>
    <t>עיונים במשנה ברורה - יא</t>
  </si>
  <si>
    <t>ווייל, חזקיהו יוסף בן צבי אברהם</t>
  </si>
  <si>
    <t>עיטורי ירושלים - 079</t>
  </si>
  <si>
    <t>ישיבת עטרת ירושלים</t>
  </si>
  <si>
    <t>עיטורי מרדכי - 2 כרכים</t>
  </si>
  <si>
    <t>מאיר, מרדכי יעקב בן שמואל</t>
  </si>
  <si>
    <t>עין יהוסף &lt;מהדורת זכרון אהרן&gt; - 2 כרכים</t>
  </si>
  <si>
    <t>חזן, יוסף בן אליהו</t>
  </si>
  <si>
    <t>עינים למשפט &lt;מכון כנסת&gt; - מכות</t>
  </si>
  <si>
    <t>אריאלי, יצחק בן אביגדור</t>
  </si>
  <si>
    <t>עיר דוד - 2 כרכים</t>
  </si>
  <si>
    <t>תרמ"ו</t>
  </si>
  <si>
    <t>עיר האבות</t>
  </si>
  <si>
    <t>קאפלאן, ישראל</t>
  </si>
  <si>
    <t>עיר מקלט - ב</t>
  </si>
  <si>
    <t>עיר על תילה - 12</t>
  </si>
  <si>
    <t>רבנות בני ברק</t>
  </si>
  <si>
    <t>על גאולת ישראל</t>
  </si>
  <si>
    <t>שלם, רפאל אברהם</t>
  </si>
  <si>
    <t>על היופי</t>
  </si>
  <si>
    <t>פרידמן, מנחם נחום בן אברהם יהושע השיל</t>
  </si>
  <si>
    <t>Chisinau</t>
  </si>
  <si>
    <t>על הכל &lt;מהדורה חדשה&gt; - ברכת ישראל</t>
  </si>
  <si>
    <t>משה בן שניאור מאיברא</t>
  </si>
  <si>
    <t>על הר גבה</t>
  </si>
  <si>
    <t>על התשועות ועל המלחמות</t>
  </si>
  <si>
    <t>קובץ מדרשים וספרים</t>
  </si>
  <si>
    <t>על חומותיך בני ברק</t>
  </si>
  <si>
    <t>מערכת הכשרות</t>
  </si>
  <si>
    <t>על חומותיך ירושלם</t>
  </si>
  <si>
    <t>ירושלים. שלומי אמוני ישראל</t>
  </si>
  <si>
    <t>על ישראל גדולתו - מרן בעל שבט הלוי</t>
  </si>
  <si>
    <t>מכון מעיינות הלוי</t>
  </si>
  <si>
    <t>על ישראל שלום</t>
  </si>
  <si>
    <t>מכון מורשת ישראל</t>
  </si>
  <si>
    <t>על קבר אמי</t>
  </si>
  <si>
    <t>זינגר, ישראל בן יוסף</t>
  </si>
  <si>
    <t>ברלין</t>
  </si>
  <si>
    <t>על קדוש השם</t>
  </si>
  <si>
    <t>רבינוביץ, מיכל יצחק בן יעקב גרשון</t>
  </si>
  <si>
    <t>על שושנים שיר ידידות - 5 כרכים</t>
  </si>
  <si>
    <t>על שם הפור - מגילת אסתר</t>
  </si>
  <si>
    <t>עלה אריה</t>
  </si>
  <si>
    <t>לוויטס, יהודה אריה בן חיים</t>
  </si>
  <si>
    <t>עלון אספקלריה - לב</t>
  </si>
  <si>
    <t>מכון מדעי טכנולוגי להלכה</t>
  </si>
  <si>
    <t>עלונים - 2 כרכים</t>
  </si>
  <si>
    <t>בטאון עזרא</t>
  </si>
  <si>
    <t>עלי הגיון</t>
  </si>
  <si>
    <t>מרצבך, עלי</t>
  </si>
  <si>
    <t>עלי זכרון - 4 כרכים</t>
  </si>
  <si>
    <t>רשומות לתולדות אישים וקהלות אגרות ומסמכים</t>
  </si>
  <si>
    <t>עלי חלד"י - ב</t>
  </si>
  <si>
    <t>בית הכנסת ישראל הצעיר בורו פארק</t>
  </si>
  <si>
    <t>עלי חמדה</t>
  </si>
  <si>
    <t>עלי יוסף - נדרים פ"א ופ"י</t>
  </si>
  <si>
    <t>העס, משה טוביה</t>
  </si>
  <si>
    <t>עלי עשור</t>
  </si>
  <si>
    <t>בית הכנסת קהל עדת ישורון רמות ירושלים</t>
  </si>
  <si>
    <t>עלי ציון - הגדה של פסח</t>
  </si>
  <si>
    <t>גרוס, יהודה בן צבי</t>
  </si>
  <si>
    <t>עלי ראשי</t>
  </si>
  <si>
    <t>עלי שי"ר</t>
  </si>
  <si>
    <t>רוט, שמואל יעקב בן משה שמעון</t>
  </si>
  <si>
    <t>עלילות על רופאים יהודיים באספקלריה של תולדות הרפואה</t>
  </si>
  <si>
    <t>מונטנר, זיסמאן בן יעקב</t>
  </si>
  <si>
    <t>עלית הקודש</t>
  </si>
  <si>
    <t>התלמי, יהושע בן ישראל</t>
  </si>
  <si>
    <t>[תרפ"ז]</t>
  </si>
  <si>
    <t>עם התורה - 2 כרכים</t>
  </si>
  <si>
    <t>עם סגולה</t>
  </si>
  <si>
    <t>עמוד הא"ש</t>
  </si>
  <si>
    <t>ויזל, שלמה אליעזר הלוי (תולדותיו)</t>
  </si>
  <si>
    <t>עמודא דנהורא</t>
  </si>
  <si>
    <t xml:space="preserve">תשס"ג - </t>
  </si>
  <si>
    <t>עמודי אש</t>
  </si>
  <si>
    <t>כליפא, אליאל שלמה בן דוד</t>
  </si>
  <si>
    <t>עמודי הבית</t>
  </si>
  <si>
    <t>שפטיה, דב</t>
  </si>
  <si>
    <t>עמודי הוראה על המשנה ברורה - 3 כרכים</t>
  </si>
  <si>
    <t>דהן, ליאור בצלאל</t>
  </si>
  <si>
    <t>עמודי היהדות</t>
  </si>
  <si>
    <t>פראגר, שמחה משה</t>
  </si>
  <si>
    <t>בנדין</t>
  </si>
  <si>
    <t>עמודי הקבלה - 2 כרכים</t>
  </si>
  <si>
    <t>שם טוב בן אברהם, שם טוב בן שם טוב, דיליאון משה</t>
  </si>
  <si>
    <t>עמודי השלחן - 3 כרכים</t>
  </si>
  <si>
    <t>בן ישי, ישראל בן דוד הכהן</t>
  </si>
  <si>
    <t>עמודים בתולדות הספר העברי - בשערי הדפוס</t>
  </si>
  <si>
    <t>שפיגל, יעקב שמואל</t>
  </si>
  <si>
    <t>עמל פה</t>
  </si>
  <si>
    <t>מועלם, עוז בן גיורא</t>
  </si>
  <si>
    <t>עמלה של תורה - ב</t>
  </si>
  <si>
    <t>עמלה של תורה - 2 כרכים</t>
  </si>
  <si>
    <t>כולל וילנא</t>
  </si>
  <si>
    <t>עמק יהושע</t>
  </si>
  <si>
    <t>ברים, יהושע העשיל</t>
  </si>
  <si>
    <t>עמק שוה - ב (חולין, שו"ע יו"ד)</t>
  </si>
  <si>
    <t>זילבר, משה</t>
  </si>
  <si>
    <t>עמק שווה</t>
  </si>
  <si>
    <t>עמר מן &lt;עט הזמיר, חידושים וביאורים&gt;</t>
  </si>
  <si>
    <t>אביטבול, עמור בן שלמה</t>
  </si>
  <si>
    <t>ענייני חודש תשרי במשנת הדבר יהושע</t>
  </si>
  <si>
    <t>ענייני ליל הסדר</t>
  </si>
  <si>
    <t>ענייני ספירת העומר במשנת הדבר יהושע</t>
  </si>
  <si>
    <t>ענייני קידושין במשנת הדבר יהושע</t>
  </si>
  <si>
    <t>עניני עדות - 3 כרכים</t>
  </si>
  <si>
    <t>ענן אש ודיבור</t>
  </si>
  <si>
    <t>שריר, אברהם ישראל</t>
  </si>
  <si>
    <t>ענף עץ אבות</t>
  </si>
  <si>
    <t>ישיבת אמרי משה</t>
  </si>
  <si>
    <t>ענף עץ אבות - 3 כרכים</t>
  </si>
  <si>
    <t>עפר האילים</t>
  </si>
  <si>
    <t>ספר זכרון לעופר אליהו הכהן</t>
  </si>
  <si>
    <t>עץ אבותינו</t>
  </si>
  <si>
    <t>רבינוביץ - פריינד - בריזל - ליפשיץ - גרובר</t>
  </si>
  <si>
    <t>עץ חיים</t>
  </si>
  <si>
    <t>תרע"ז</t>
  </si>
  <si>
    <t>עץ יוסף - 5 כרכים</t>
  </si>
  <si>
    <t>טריקי, יוסף שלמה</t>
  </si>
  <si>
    <t>עץ שתול</t>
  </si>
  <si>
    <t>לוריא, מרדכי בן משה</t>
  </si>
  <si>
    <t>עצם השמים לטוהר</t>
  </si>
  <si>
    <t>אביחצירא, מאיר שלום (עליו)</t>
  </si>
  <si>
    <t>עקבות יצחק</t>
  </si>
  <si>
    <t>גוטליב, יצחק יעקב</t>
  </si>
  <si>
    <t>ערבים דברי דוד</t>
  </si>
  <si>
    <t>עמאר, שלום בן אברהם</t>
  </si>
  <si>
    <t>ערוגות הבושם - 6 כרכים</t>
  </si>
  <si>
    <t>ערוגת הבשם - הגדה של פסח</t>
  </si>
  <si>
    <t>בן יעקב, מנחם בן צבי יהודה</t>
  </si>
  <si>
    <t>ערוגת צבי - כלאים</t>
  </si>
  <si>
    <t>שטארק, צבי בן דוד חיים</t>
  </si>
  <si>
    <t>ערוך השלחן העתיד - שביעית</t>
  </si>
  <si>
    <t>בן דוד, איל</t>
  </si>
  <si>
    <t>ערוך לנר &lt;מהדורה חדשה ומוערת&gt;  - 5 כרכים</t>
  </si>
  <si>
    <t>אטלינגר, יעקב יוקב בן אהרן</t>
  </si>
  <si>
    <t>עריכת ספירה</t>
  </si>
  <si>
    <t>ערך הקודש - ערכין</t>
  </si>
  <si>
    <t>כהן, מרדכי משולם - אמור, מאיר מרדכי</t>
  </si>
  <si>
    <t>ערך מלין</t>
  </si>
  <si>
    <t>רפאפורט, שלמה יהודה ליב בן אהרן חיים הכ</t>
  </si>
  <si>
    <t>עשה חיל - 3 כרכים</t>
  </si>
  <si>
    <t>עשה לך רב</t>
  </si>
  <si>
    <t>עשות חסד</t>
  </si>
  <si>
    <t>רלב"ג, ירמיהו</t>
  </si>
  <si>
    <t>עשות משפט - 2 כרכים</t>
  </si>
  <si>
    <t>כולל ברכה מציון</t>
  </si>
  <si>
    <t>עשרה למאה</t>
  </si>
  <si>
    <t>צבי הירש בן יהודה ליב מוואידיסלאב</t>
  </si>
  <si>
    <t>קאניגסבערג,</t>
  </si>
  <si>
    <t>תר"ך</t>
  </si>
  <si>
    <t>לאזר, שמעון מנחם בן יהודה ליב הלוי</t>
  </si>
  <si>
    <t>דראהאביטש,</t>
  </si>
  <si>
    <t>עשרת ימי תשובה</t>
  </si>
  <si>
    <t>עת הזמיר</t>
  </si>
  <si>
    <t>ברקוביץ, יעקב דוב בן משה</t>
  </si>
  <si>
    <t>תפילות. פיוטים</t>
  </si>
  <si>
    <t>עת לדרוש</t>
  </si>
  <si>
    <t>פיש, יעקב חזקיהו בן אהרן צבי אביגדור</t>
  </si>
  <si>
    <t>עת לכל חפץ</t>
  </si>
  <si>
    <t>אבן-צור, יעקב בן ראובן (יעב"ץ)</t>
  </si>
  <si>
    <t>אלכסנדריה Alexandri</t>
  </si>
  <si>
    <t>[תרנ"ג</t>
  </si>
  <si>
    <t>עת ספוד</t>
  </si>
  <si>
    <t>קובץ סיפורים מתורגמים לערבית יהודית</t>
  </si>
  <si>
    <t>פאר והדר - הלכות שכר שכיר בזמנו</t>
  </si>
  <si>
    <t>פאר וכבוד</t>
  </si>
  <si>
    <t>ישיבת פאר השלום</t>
  </si>
  <si>
    <t xml:space="preserve">תשס"ב - </t>
  </si>
  <si>
    <t>פאר מקודשים</t>
  </si>
  <si>
    <t>הכט, יוסף</t>
  </si>
  <si>
    <t>פאר משה</t>
  </si>
  <si>
    <t>פאת הקדש - סנהדרין</t>
  </si>
  <si>
    <t>גרנדש, אברהם בן דוב הלוי</t>
  </si>
  <si>
    <t>פון דער פרשה</t>
  </si>
  <si>
    <t>צ'סקלה (טשאסקאלא), נתן בן יוסף</t>
  </si>
  <si>
    <t>פון לעצטן חורבן - 6</t>
  </si>
  <si>
    <t>קפלן, י</t>
  </si>
  <si>
    <t>מינכן</t>
  </si>
  <si>
    <t>פורים בחיפה</t>
  </si>
  <si>
    <t>פותח שערים השלם</t>
  </si>
  <si>
    <t>ליבוביץ, אשר ליאור</t>
  </si>
  <si>
    <t>פזר נתן - הלכות צדקה ומעשר כספים</t>
  </si>
  <si>
    <t>פחד יצחק - 5 כרכים</t>
  </si>
  <si>
    <t>פחד יצחק - 2 כרכים</t>
  </si>
  <si>
    <t>פי כהן - מסילת ישרים</t>
  </si>
  <si>
    <t>פי כהן - 8 כרכים</t>
  </si>
  <si>
    <t>אייכארן, יששכר דוב בן יעקב יצחק הכהן</t>
  </si>
  <si>
    <t>פיוטים לארבע פרשיות עם פירוש רש"י ובית מדרשו</t>
  </si>
  <si>
    <t>פינת יקרת</t>
  </si>
  <si>
    <t>תולדות אהרן</t>
  </si>
  <si>
    <t>פינת יקרת - 3 כרכים</t>
  </si>
  <si>
    <t>כולל דרכי דוד</t>
  </si>
  <si>
    <t>פירוש הטור הארוך על התורה - 2 כרכים</t>
  </si>
  <si>
    <t>יעקב בן אשר (בעל הטורים)</t>
  </si>
  <si>
    <t>פירוש על שיר השירים</t>
  </si>
  <si>
    <t>סעדיה בן יוסף גאון</t>
  </si>
  <si>
    <t>נאווי דיוואקר</t>
  </si>
  <si>
    <t>פירוש רש"י לתורה &lt;דפוס רומי רכ"ט עם חילופי נוסחאות מכת"י ודפו"ר&gt; - ויקרא</t>
  </si>
  <si>
    <t>פירוש רש"י לתורה בעידן הדפוס &lt;פירוש רש"י על התורה רומא&gt;</t>
  </si>
  <si>
    <t>מורגנשטרן, יוסף שמואל</t>
  </si>
  <si>
    <t>פירושי הראשונים על מסכת אבות &lt;מהדורת תושיה&gt;</t>
  </si>
  <si>
    <t>פירושי רש"י ובית מדרשו על תפילת טל וגשם</t>
  </si>
  <si>
    <t>שלמה בן יצחק (רש"י) - קרא,יוסף</t>
  </si>
  <si>
    <t>פירות הבית - שבת</t>
  </si>
  <si>
    <t>פרוכטר, אשר אנשיל בן יעקב צבי</t>
  </si>
  <si>
    <t>פירות הדר - ג</t>
  </si>
  <si>
    <t>פירות עץ חיים</t>
  </si>
  <si>
    <t>פלטיין, מתתיהו בן יחזקאל</t>
  </si>
  <si>
    <t>פיתחא זעירא</t>
  </si>
  <si>
    <t>דויטש, ברוך שמואל בן בנימין זאב הכהן</t>
  </si>
  <si>
    <t>פלא יועץ השלם &lt;הוצאת תושיה&gt; - 2 כרכים</t>
  </si>
  <si>
    <t>פלאות עדותיך - 4 כרכים</t>
  </si>
  <si>
    <t>פדווא, פינחס ליבוש בן יוסף</t>
  </si>
  <si>
    <t>פלאי מלחמת ששת הימים ולקחה</t>
  </si>
  <si>
    <t>מרכז להסברה דתית בישראל</t>
  </si>
  <si>
    <t>פלח הרימון</t>
  </si>
  <si>
    <t>הלוי, הלל</t>
  </si>
  <si>
    <t>פליט ושריד בימי השואה</t>
  </si>
  <si>
    <t>והרפטיג, זרח בן ירוחם</t>
  </si>
  <si>
    <t>פלפול התלמידים - (ישיבת תורת אמת) - ב</t>
  </si>
  <si>
    <t>פלפולא דאורייתא - ב</t>
  </si>
  <si>
    <t>ישיבת תומכי תמימים קרית אתא</t>
  </si>
  <si>
    <t>פני בנימין - 2 כרכים</t>
  </si>
  <si>
    <t>פיין, יהודה בנימין בן שמעון</t>
  </si>
  <si>
    <t>פני המים</t>
  </si>
  <si>
    <t>שווארץ, שמואל בן נפתלי הכהן</t>
  </si>
  <si>
    <t>פני זקן</t>
  </si>
  <si>
    <t>פני יצחק - ביצה</t>
  </si>
  <si>
    <t>הולנדר, אברהם יצחק הכהן</t>
  </si>
  <si>
    <t>פני מלך - 2 כרכים</t>
  </si>
  <si>
    <t>גוטליב, אלימלך פנחס</t>
  </si>
  <si>
    <t>פני משה</t>
  </si>
  <si>
    <t>אסבאג, משה בן שלמה</t>
  </si>
  <si>
    <t>פני שבת נקבלה</t>
  </si>
  <si>
    <t>באדאנסקי, שמואל</t>
  </si>
  <si>
    <t>פניני אור - 4 כרכים</t>
  </si>
  <si>
    <t>פניני אפרים - 4 כרכים</t>
  </si>
  <si>
    <t>פרלמן, אפרים בן גרשון</t>
  </si>
  <si>
    <t>פניני המועדים</t>
  </si>
  <si>
    <t>שיינברגר, פנחס</t>
  </si>
  <si>
    <t>פניני המלבי"ם - 2 כרכים</t>
  </si>
  <si>
    <t>פניני השבוע - 2 כרכים</t>
  </si>
  <si>
    <t>פניני יום טוב והמועד</t>
  </si>
  <si>
    <t>ויינשטוק, מאיר אביגדור - איתמר, מרדכי דוד</t>
  </si>
  <si>
    <t>פניני מיכאל - או''ח, עניינים בסדר מועד</t>
  </si>
  <si>
    <t>חזן, מיכאל בן מאיר</t>
  </si>
  <si>
    <t>פניני משה - 2 כרכים</t>
  </si>
  <si>
    <t>המבורגר, משה בן פנחס נחום</t>
  </si>
  <si>
    <t>פניני פרשת השבוע - ג</t>
  </si>
  <si>
    <t>קובלסקי, אשר</t>
  </si>
  <si>
    <t>פניני שמעון</t>
  </si>
  <si>
    <t>פניני תורה - ג</t>
  </si>
  <si>
    <t>פניני תרגום יונתן - בראשית</t>
  </si>
  <si>
    <t>שפריר, מאיר בן משה</t>
  </si>
  <si>
    <t>פנינים - שמות</t>
  </si>
  <si>
    <t>ברגר, יוסף בן שלום</t>
  </si>
  <si>
    <t>פנקס בית הדין "החורבה" - 2 כרכים</t>
  </si>
  <si>
    <t>מכון הרב פראנק</t>
  </si>
  <si>
    <t>פנקסי הראי"ה - ז מציאות קטן ג</t>
  </si>
  <si>
    <t>פסח כהלכתו</t>
  </si>
  <si>
    <t>בקשט, דב יונה</t>
  </si>
  <si>
    <t>פסח לה'</t>
  </si>
  <si>
    <t>פסח על שום מה</t>
  </si>
  <si>
    <t>פסק בית דין</t>
  </si>
  <si>
    <t>מיכאלוביץ. פסק בית דין</t>
  </si>
  <si>
    <t>(Unghvar)</t>
  </si>
  <si>
    <t>פסק דין</t>
  </si>
  <si>
    <t>גרמון, יהודה בן מאיר</t>
  </si>
  <si>
    <t>[תר"ס],</t>
  </si>
  <si>
    <t>פסקי הלכות מלאכות שבת</t>
  </si>
  <si>
    <t>דגל ירושלים</t>
  </si>
  <si>
    <t>פסקי הלכות נשמת שבת - 3 כרכים</t>
  </si>
  <si>
    <t>פסקי הרב על הלכות מילה</t>
  </si>
  <si>
    <t>טייכטל, שניאור זלמן (עורך)</t>
  </si>
  <si>
    <t>פסקי משפט</t>
  </si>
  <si>
    <t>געלקופף, יהודה אריה לייב בן אברהם דב</t>
  </si>
  <si>
    <t>פצעי אוהב</t>
  </si>
  <si>
    <t>פראכטפולע רעדעס</t>
  </si>
  <si>
    <t>פראקטישע מעטאדע</t>
  </si>
  <si>
    <t>מאלין, שאול שמחה בן יוסף שרגא פייבל</t>
  </si>
  <si>
    <t>ביאליסטוק Bialystok</t>
  </si>
  <si>
    <t>פרד"ס לשולחן שבת - 2 כרכים</t>
  </si>
  <si>
    <t>תשע"ה - תשע"ו</t>
  </si>
  <si>
    <t>פרדס האבות</t>
  </si>
  <si>
    <t>פרדס התורה והחכמה - זכור ליצחק ח"א</t>
  </si>
  <si>
    <t>פרדס יהודה - 2 כרכים</t>
  </si>
  <si>
    <t>רבינוביץ, אברהם יהודה בן אלחנן הכהן</t>
  </si>
  <si>
    <t>פרדס רמונים &lt;מהדורה חדשה&gt; - 2 כרכים</t>
  </si>
  <si>
    <t>קורדובירו, משה בן יעקב</t>
  </si>
  <si>
    <t>פרדס שושנים</t>
  </si>
  <si>
    <t>פינסו, יוסף בן יצחק</t>
  </si>
  <si>
    <t>תל"ג</t>
  </si>
  <si>
    <t>פרוז ומוקף</t>
  </si>
  <si>
    <t>פרות לבי</t>
  </si>
  <si>
    <t>פרחי ארץ הקדושה</t>
  </si>
  <si>
    <t>פראג, מ</t>
  </si>
  <si>
    <t>ניו-יורק?</t>
  </si>
  <si>
    <t>[תרפ" - ,</t>
  </si>
  <si>
    <t>פרחי שמואל - 2 כרכים</t>
  </si>
  <si>
    <t>בראון, שמואל בן משה בצלאל</t>
  </si>
  <si>
    <t>פרי  שמעון</t>
  </si>
  <si>
    <t>פרי אברהם - ב</t>
  </si>
  <si>
    <t>חזקיהו, יהונתן נתנאל</t>
  </si>
  <si>
    <t>פרי אליעזר - ג</t>
  </si>
  <si>
    <t>פולק, אליעזר בן ישראל</t>
  </si>
  <si>
    <t>פרי אפרים</t>
  </si>
  <si>
    <t>לונדנר, אפרים בן יעקב יהודה</t>
  </si>
  <si>
    <t>פרי גני - ליקוטי הלכות ז</t>
  </si>
  <si>
    <t>הניג, אברהם בן אהרן הירש</t>
  </si>
  <si>
    <t>פרי חביב</t>
  </si>
  <si>
    <t>ברינגר, יחזקאל</t>
  </si>
  <si>
    <t>פרי חיים - אגדות הש"ס</t>
  </si>
  <si>
    <t>פלאטו, חיים יונה בן פסח</t>
  </si>
  <si>
    <t>פרי חיים - 2 כרכים</t>
  </si>
  <si>
    <t>שרייבר, יחיאל יעקב</t>
  </si>
  <si>
    <t>פרי יוסף &lt;מכון כנסת&gt; - מכות</t>
  </si>
  <si>
    <t>פאנצר, יוסף בן יהודה יצחק</t>
  </si>
  <si>
    <t>פרי ישע אהרן - א</t>
  </si>
  <si>
    <t>הויזמאן, יהושע אליעזר מנחם בן אהרן חיים</t>
  </si>
  <si>
    <t>פרי מגדים - מעדני שמואל</t>
  </si>
  <si>
    <t>פרי מגדים &lt;באר הפרי - באר מגדים&gt; - עירובי חצירות</t>
  </si>
  <si>
    <t>פרי מחשבה - תורה וגלגולים</t>
  </si>
  <si>
    <t>משה בן יהודה</t>
  </si>
  <si>
    <t>פרי עץ הדר</t>
  </si>
  <si>
    <t>תיקונים. ט"ו בשבט. תרמ"ט. ליוורנו</t>
  </si>
  <si>
    <t>סאלאנט, בנימין ביינוש בן שמואל</t>
  </si>
  <si>
    <t>פרי עץ הדר - ארבעת המינים</t>
  </si>
  <si>
    <t>פרי עץ הדר עם דבר אל הקורא</t>
  </si>
  <si>
    <t>שלומאי, שרגא</t>
  </si>
  <si>
    <t>פרי עץ חיים - ב</t>
  </si>
  <si>
    <t>ישיבת עצי חיים סיגעט</t>
  </si>
  <si>
    <t>פרי צדיק &lt;מהדורה חדשה&gt;  - 5 כרכים</t>
  </si>
  <si>
    <t>רבינוביץ, צדוק בן יעקב הכהן</t>
  </si>
  <si>
    <t>פרי תואר</t>
  </si>
  <si>
    <t>פריסת שלומים - פורס מפה ומקדש</t>
  </si>
  <si>
    <t>לאבל, שלמה</t>
  </si>
  <si>
    <t>פרס ירושלים לספרות תורנית ומחשבת ישראל ע"ש הגראי"ה קוק</t>
  </si>
  <si>
    <t>עיריית ירושלים</t>
  </si>
  <si>
    <t>פרסום ראשון - 14 כרכים</t>
  </si>
  <si>
    <t>פרעמד ווערטער בוך</t>
  </si>
  <si>
    <t>רונזשטיין, א, ב</t>
  </si>
  <si>
    <t>פרפראות בדברי חז''ל - ב</t>
  </si>
  <si>
    <t>פרפראות לחכמה &lt;מהדורה חדשה&gt;</t>
  </si>
  <si>
    <t>פרקי אבות &lt;תרגום לאנגלית ולקט ביאורים ביידיש&gt;</t>
  </si>
  <si>
    <t>קראוויץ, נ</t>
  </si>
  <si>
    <t>שיקגו</t>
  </si>
  <si>
    <t>פרקי אבות &lt;מילי דאבות&gt;</t>
  </si>
  <si>
    <t>הגר, גדליהו אהרן בן יצחק מאיר</t>
  </si>
  <si>
    <t>פרקי אבות &lt;מאירת עינים - שמחת הלב&gt;</t>
  </si>
  <si>
    <t>פרקי אמונה &lt;&lt;מהדורה חדשה&gt;</t>
  </si>
  <si>
    <t>פרקי דרבי אליעזר על הדמשק אליעזר</t>
  </si>
  <si>
    <t>אגוד תלמידי בעל דמשק אליעזר</t>
  </si>
  <si>
    <t>פרקי חינוך - בראשית</t>
  </si>
  <si>
    <t>פרקי משה</t>
  </si>
  <si>
    <t>תרמ"ח</t>
  </si>
  <si>
    <t>פרקי עיון וספרות</t>
  </si>
  <si>
    <t>בית הספר אור החיים</t>
  </si>
  <si>
    <t>פרקי תורה &lt;מהדורה חדשה&gt; - 2 כרכים</t>
  </si>
  <si>
    <t>וויקליף אוהיו</t>
  </si>
  <si>
    <t>תשנ''ג</t>
  </si>
  <si>
    <t>פרקי תורה ומדינה</t>
  </si>
  <si>
    <t>ישראלי, שאול בן בנימין</t>
  </si>
  <si>
    <t>פרקי תלמוד &lt;מקור ופירוש רש"י&gt; - בבא מציעא ב</t>
  </si>
  <si>
    <t>בהט (בכשטיץ), יעקב</t>
  </si>
  <si>
    <t>פרקים בתורת החנוך</t>
  </si>
  <si>
    <t>פרשה סדורה</t>
  </si>
  <si>
    <t>פרשת אלה מסעי</t>
  </si>
  <si>
    <t>חאגיז, משה בן ישראל יעקב</t>
  </si>
  <si>
    <t>פרשת העיבור</t>
  </si>
  <si>
    <t>פרשת פנחס - רבי פנחס מקוריץ</t>
  </si>
  <si>
    <t>פתאום יבוא</t>
  </si>
  <si>
    <t>פתגמי קודש</t>
  </si>
  <si>
    <t>רוט, שלמה</t>
  </si>
  <si>
    <t>פתגמין קדישין - תע"ב</t>
  </si>
  <si>
    <t>גליון התאחדות אברכים דר"י מסאטמאר</t>
  </si>
  <si>
    <t>ירושלים - בית שמש</t>
  </si>
  <si>
    <t>פתח הסוגיא - כתובות, פסחים</t>
  </si>
  <si>
    <t>אפשטיין, אלעזר דוד</t>
  </si>
  <si>
    <t>פתח שערי שמים - 3 כרכים</t>
  </si>
  <si>
    <t>רז, פנחס בן אלעזר זאב</t>
  </si>
  <si>
    <t>פתחו שערים</t>
  </si>
  <si>
    <t>חבורות אברכי תולדות אהרן</t>
  </si>
  <si>
    <t>פתחי אמונה - דמאי, כלאים</t>
  </si>
  <si>
    <t>פתחי דעת - נדה</t>
  </si>
  <si>
    <t>כולל טשערנוביל</t>
  </si>
  <si>
    <t>פתחי דעת</t>
  </si>
  <si>
    <t>פתחי זרעים - 2 כרכים</t>
  </si>
  <si>
    <t>פתחי חדש</t>
  </si>
  <si>
    <t>פתחי טהרה</t>
  </si>
  <si>
    <t>פתחי מועד - חול המועד</t>
  </si>
  <si>
    <t>סקוויץ, מאניס מתניה בן תנחום יוסף</t>
  </si>
  <si>
    <t>פתחי מזוזה</t>
  </si>
  <si>
    <t>פתחי נדה</t>
  </si>
  <si>
    <t>סבג, מאיר</t>
  </si>
  <si>
    <t>פתחי שילוח</t>
  </si>
  <si>
    <t>פתחי שמועות - 2 כרכים</t>
  </si>
  <si>
    <t>איזראעל, יצחק ארון בן משה אליהו</t>
  </si>
  <si>
    <t>פתחי תורה</t>
  </si>
  <si>
    <t>לוינשטיין, יחזקאל הלוי</t>
  </si>
  <si>
    <t>פתילי ברוך - 2 כרכים</t>
  </si>
  <si>
    <t>שפיצר, נפתלי ברוך בן שלום</t>
  </si>
  <si>
    <t>צא ולמד</t>
  </si>
  <si>
    <t>לוי, אליעזר בן אליקים</t>
  </si>
  <si>
    <t>צאצאיה כן פקוד</t>
  </si>
  <si>
    <t>הילפרין, הדסה פעשע (לזכרה)</t>
  </si>
  <si>
    <t>צבא אהרן - שו"ת או"ח</t>
  </si>
  <si>
    <t>וידר, אהרן</t>
  </si>
  <si>
    <t>צבא הלוי - 2 כרכים</t>
  </si>
  <si>
    <t>שטיינברג, צבי אליהו</t>
  </si>
  <si>
    <t>צבי תפארתו - מועדים</t>
  </si>
  <si>
    <t>צביאלי, צבי הלוי</t>
  </si>
  <si>
    <t>צדיקים מודים לה'</t>
  </si>
  <si>
    <t>צדק ושלום</t>
  </si>
  <si>
    <t>מעודה (מעוצה), צאלח יחיא זכריה</t>
  </si>
  <si>
    <t>צדקה - מדריך לנתינה יהודית</t>
  </si>
  <si>
    <t>צעירי חב"ד בישראל</t>
  </si>
  <si>
    <t>צדקה כמשפט</t>
  </si>
  <si>
    <t>ניימאן, אהרן יהושע ליב בן אשר אנשיל</t>
  </si>
  <si>
    <t>צדקתך צדק</t>
  </si>
  <si>
    <t>צוואה יקרה</t>
  </si>
  <si>
    <t>אלכסנדר זיסקינד בן משה מהורודנה</t>
  </si>
  <si>
    <t>[תרכ"ג,</t>
  </si>
  <si>
    <t>צוואת ... ר' יחזקאל</t>
  </si>
  <si>
    <t>קאצנלנבוגן, יחזקאל בן אברהם</t>
  </si>
  <si>
    <t>צוואת דוד</t>
  </si>
  <si>
    <t>אשכנזי, דוד בן אשר הכהן</t>
  </si>
  <si>
    <t>תרע"ד,</t>
  </si>
  <si>
    <t>צוותין בסימא</t>
  </si>
  <si>
    <t>דורלכר, אברהם חיים</t>
  </si>
  <si>
    <t>צוף יהונתן</t>
  </si>
  <si>
    <t>הוניגסברג, יהונתן בן גדליה הלוי</t>
  </si>
  <si>
    <t>צורתא דשמעתתא</t>
  </si>
  <si>
    <t>ענתבי, שמעון בן אברהם ישראל</t>
  </si>
  <si>
    <t>צידה לדרך</t>
  </si>
  <si>
    <t>צרפתי, דן יצחק</t>
  </si>
  <si>
    <t>ציון במר תבכה</t>
  </si>
  <si>
    <t>ציון במשפט תפדה - ב-ג</t>
  </si>
  <si>
    <t>כהן-יהונתן, ציון בן שושן מג'רבה</t>
  </si>
  <si>
    <t>ציון המצוינת</t>
  </si>
  <si>
    <t>גילוי בית הקברות בעיר סלאנים</t>
  </si>
  <si>
    <t>ציוני תוספות</t>
  </si>
  <si>
    <t>פארקאש, משה בן שלום</t>
  </si>
  <si>
    <t>באלקאני,</t>
  </si>
  <si>
    <t>צילום מוח</t>
  </si>
  <si>
    <t>מרגליות, אברהם צבי</t>
  </si>
  <si>
    <t>ציץ הקדש &lt;מהדורה חדשה&gt; - א אורח חיים, זרעים</t>
  </si>
  <si>
    <t>שפירא, יהושע צבי מיכל בן יעקב קופל</t>
  </si>
  <si>
    <t>[תרפ"</t>
  </si>
  <si>
    <t>צלצלי שמע</t>
  </si>
  <si>
    <t>פריינד, מרדכי בן יחזקאל</t>
  </si>
  <si>
    <t>Prag</t>
  </si>
  <si>
    <t>[תרכ"ד].</t>
  </si>
  <si>
    <t>צמאה נפשי - בעניני הפורים</t>
  </si>
  <si>
    <t>ישיבת חורב</t>
  </si>
  <si>
    <t>צמח דוד</t>
  </si>
  <si>
    <t>גאנז, דוד בן שלמה</t>
  </si>
  <si>
    <t>צמח צדק &lt;שו"ת מהדו"ח&gt;  - 2 כרכים</t>
  </si>
  <si>
    <t>צנתרות הזהב - ד</t>
  </si>
  <si>
    <t>צפית זהב - הלכות שבת א</t>
  </si>
  <si>
    <t>פאשקעס, צבי יהודא</t>
  </si>
  <si>
    <t>צפנת ליראיך</t>
  </si>
  <si>
    <t>מלאכי, ינון בן יצחק</t>
  </si>
  <si>
    <t>צפנת פענח על הרמב"ם &lt;מכון ירושלים&gt; - הל' איסורי ביאה</t>
  </si>
  <si>
    <t>רוזין, יוסף בן אפרים פישל</t>
  </si>
  <si>
    <t>צרי היגון</t>
  </si>
  <si>
    <t>אבן-פאלקירה, שם טוב בן יוסף</t>
  </si>
  <si>
    <t>הענא,</t>
  </si>
  <si>
    <t>[תע"ו,</t>
  </si>
  <si>
    <t>צרפת פרצת - נג</t>
  </si>
  <si>
    <t>ברינוא צרפת</t>
  </si>
  <si>
    <t>קב ונקי</t>
  </si>
  <si>
    <t>קובו, רפאל אשר בן יעקב</t>
  </si>
  <si>
    <t>מגנצא</t>
  </si>
  <si>
    <t>קביעת העתים</t>
  </si>
  <si>
    <t>פרקש,יצחק שלמה</t>
  </si>
  <si>
    <t>קבלת התורה מרצון</t>
  </si>
  <si>
    <t>קבלת עול מלכות שמים - דרשה לבר מצוה</t>
  </si>
  <si>
    <t>וינשטוק, דניאל צבי בן ישראל</t>
  </si>
  <si>
    <t>קבלת שבת</t>
  </si>
  <si>
    <t>קבעום בהלל</t>
  </si>
  <si>
    <t>חדד, אוריאל</t>
  </si>
  <si>
    <t>קבץ על יד - לו</t>
  </si>
  <si>
    <t>חברת מקיצי נרדמים</t>
  </si>
  <si>
    <t>קדוש וברוך</t>
  </si>
  <si>
    <t>טולידאנו, רפאל ברוך בן גבריאל</t>
  </si>
  <si>
    <t>קדושת הארץ - 2 כרכים</t>
  </si>
  <si>
    <t>וורטמאן, משה בן חיים</t>
  </si>
  <si>
    <t>[תר"ל,</t>
  </si>
  <si>
    <t>קדושת שמואל</t>
  </si>
  <si>
    <t>טויבענפלד, שמואל ישכר דב</t>
  </si>
  <si>
    <t>קדירה חייתא</t>
  </si>
  <si>
    <t>קדש הלולים - תוספת קדושה</t>
  </si>
  <si>
    <t>כהן-צדק, יוסף בן אהרן</t>
  </si>
  <si>
    <t>אלטונא,</t>
  </si>
  <si>
    <t>קדשו במן</t>
  </si>
  <si>
    <t>ארליך, מאיר בן אליהו</t>
  </si>
  <si>
    <t>קדשי יהושע - 2 כרכים</t>
  </si>
  <si>
    <t>גלדצהלר, אליהו יהושע בן מנחם שלום</t>
  </si>
  <si>
    <t>קהילת איתמר - קהלת</t>
  </si>
  <si>
    <t>עראמה, יצחק בן שמחה</t>
  </si>
  <si>
    <t>קהילת מקור חיים</t>
  </si>
  <si>
    <t>קהלת - סבלו של דור</t>
  </si>
  <si>
    <t>ברושי,</t>
  </si>
  <si>
    <t>קהלת משה &lt;מהדורה חדשה&gt;</t>
  </si>
  <si>
    <t>משה בן אברהם הכהן מצ'ודנוב</t>
  </si>
  <si>
    <t>קהלת שלמה</t>
  </si>
  <si>
    <t>קובץ - יעקב וינרוט, כתבים וקורות חיים</t>
  </si>
  <si>
    <t>וינרוט, יעקב בן משה אהרן</t>
  </si>
  <si>
    <t>קובץ אבקת רוכל - 3 כרכים</t>
  </si>
  <si>
    <t>קובץ אהבת תורה - פסח</t>
  </si>
  <si>
    <t>כולל אהבת תורה</t>
  </si>
  <si>
    <t>קובץ אהל יוסף - 4 כרכים</t>
  </si>
  <si>
    <t>קובץ כולל בית מאיר</t>
  </si>
  <si>
    <t>ניו יורק New York -</t>
  </si>
  <si>
    <t>קובץ אהל יוסף - 5 כרכים</t>
  </si>
  <si>
    <t>קובץ כולל בית מאיר יעקב</t>
  </si>
  <si>
    <t>קובץ אהל משה - מעשרות</t>
  </si>
  <si>
    <t>בית המדרש אהל משה</t>
  </si>
  <si>
    <t>קובץ אהלי יהושע - יא קידושין</t>
  </si>
  <si>
    <t>ישיבת אמרי נעם</t>
  </si>
  <si>
    <t>קובץ אוהלי יהושע - א</t>
  </si>
  <si>
    <t>כולל באהלי שם</t>
  </si>
  <si>
    <t>קובץ אור הכולל - 2 כרכים</t>
  </si>
  <si>
    <t>אברכי כוללי חסידי סקאליע</t>
  </si>
  <si>
    <t>קובץ אור השבת</t>
  </si>
  <si>
    <t>מורשת אור החיים הקדוש</t>
  </si>
  <si>
    <t>קובץ אורייתא</t>
  </si>
  <si>
    <t>קובץ אמרים</t>
  </si>
  <si>
    <t>קובץ באורי הלכה וקצת לקט הלכות שבע ברכות</t>
  </si>
  <si>
    <t>מרגלית, זאב</t>
  </si>
  <si>
    <t>קובץ באר יצחק - א</t>
  </si>
  <si>
    <t>מוסדות בוהוש</t>
  </si>
  <si>
    <t>בנע ברק</t>
  </si>
  <si>
    <t>קובץ בהיכלא דמלכא</t>
  </si>
  <si>
    <t>ישיבת תורה ויראה - סאטמטר</t>
  </si>
  <si>
    <t>קובץ בוגרים - תשנ"ו</t>
  </si>
  <si>
    <t>ת"ת סוכת דוד</t>
  </si>
  <si>
    <t xml:space="preserve">תשנ"ו - </t>
  </si>
  <si>
    <t>קובץ בית יוסף - 47 כרכים</t>
  </si>
  <si>
    <t>המרכז למורשת מרן</t>
  </si>
  <si>
    <t>קובץ בית יוסף להבה</t>
  </si>
  <si>
    <t>ישיבת בית יוסף נובהרדוק</t>
  </si>
  <si>
    <t>קובץ בית ישראל</t>
  </si>
  <si>
    <t>בעלסקי, חיים ישראל הלוי (לזכרו)</t>
  </si>
  <si>
    <t>קובץ בית ישראל - 2 כרכים</t>
  </si>
  <si>
    <t>ישיבת בית ישראל</t>
  </si>
  <si>
    <t>קובץ בנין אב - ברכת כהנים</t>
  </si>
  <si>
    <t>קובץ ברורי הלכה שבע ברכות ולקט הלכות שכיחות</t>
  </si>
  <si>
    <t>קובץ ברכה משולשת - ענייני ברכות</t>
  </si>
  <si>
    <t>ישיבת ביאלא</t>
  </si>
  <si>
    <t>קובץ גליונות - 19 כרכים</t>
  </si>
  <si>
    <t>קובץ גליונות מרי"ח ניחוח - 2 כרכים</t>
  </si>
  <si>
    <t>אביחצירא, רן יוסף חיים מסעוד בן משה</t>
  </si>
  <si>
    <t>קובץ גליונות שער התפילה - תשפ"א תשפ"ב</t>
  </si>
  <si>
    <t>מוסדות סטניסלוב</t>
  </si>
  <si>
    <t>קובץ דברי חיזוק</t>
  </si>
  <si>
    <t>קובץ דברי שלום</t>
  </si>
  <si>
    <t>חסידות סטרפקוב</t>
  </si>
  <si>
    <t>קובץ דרכי תורה - 2 כרכים</t>
  </si>
  <si>
    <t>דרכי הוראה לרבנים</t>
  </si>
  <si>
    <t>קובץ ההיכל - א</t>
  </si>
  <si>
    <t>חו"ר ישיבת היכלי התורה</t>
  </si>
  <si>
    <t>קובץ הליקוטים לפרשיות השבוע והמועדים</t>
  </si>
  <si>
    <t>ישראלזון, שבתי דב בן אברהם צבי</t>
  </si>
  <si>
    <t>קובץ הלכות בין המצרים</t>
  </si>
  <si>
    <t>זעפרני, שלמה</t>
  </si>
  <si>
    <t>קובץ הלכות המועדים</t>
  </si>
  <si>
    <t>קובץ הלכות יום הכפורים</t>
  </si>
  <si>
    <t>קובץ הלכות ימים נוראים</t>
  </si>
  <si>
    <t>קובץ הלכות ישיבה בסוכה</t>
  </si>
  <si>
    <t>קובץ הלכות לימי חנוכה</t>
  </si>
  <si>
    <t>קובץ הלכות פורים</t>
  </si>
  <si>
    <t>קובץ הלכות פסח - 2 כרכים</t>
  </si>
  <si>
    <t>קובץ הלכות קדימה בברכות</t>
  </si>
  <si>
    <t>קובץ הלכות ראש השנה</t>
  </si>
  <si>
    <t>קובץ הלכות שבועות</t>
  </si>
  <si>
    <t>קובץ הלכות תשעה באב שחל בשבת</t>
  </si>
  <si>
    <t>קובץ הלכתא רבתא - הלכות זימון</t>
  </si>
  <si>
    <t>מיללער, חיים עזריאל</t>
  </si>
  <si>
    <t>קובץ הלשכה - בירורי הלכה בעניין סת"ם - ב</t>
  </si>
  <si>
    <t>בית ההוראה לענייני סת"ם</t>
  </si>
  <si>
    <t>קובץ המאה ועשרים - פג (א)</t>
  </si>
  <si>
    <t>קובץ העזר - ד (חופה, קידושין, ועדות)</t>
  </si>
  <si>
    <t>קורקוס, יוסף - סלמני, ניסן</t>
  </si>
  <si>
    <t>קובץ הערות וביאורים - 18 כרכים</t>
  </si>
  <si>
    <t>קובץ דתלמידי אהלי תורה</t>
  </si>
  <si>
    <t>קובץ הערות ומראי מקומות - 2 כרכים</t>
  </si>
  <si>
    <t>שולמן, גדליה</t>
  </si>
  <si>
    <t>קובץ והאר עינינו - 7 כרכים</t>
  </si>
  <si>
    <t>פרידליס, יעקב אליעזר בן מנחם</t>
  </si>
  <si>
    <t>קובץ וח"י בהם - יש נוחלין</t>
  </si>
  <si>
    <t>קובץ ויברכהו יהושע - ב</t>
  </si>
  <si>
    <t>קובץ ועמלו בתורה</t>
  </si>
  <si>
    <t>ישיבת פני מנחם לעמלי תורה</t>
  </si>
  <si>
    <t>קובץ ועתה כתבו לכם</t>
  </si>
  <si>
    <t>קובץ זכרון אברהם - נישואין והלכות שבת</t>
  </si>
  <si>
    <t>כולל זכרון אברהם - סטערטין</t>
  </si>
  <si>
    <t>קובץ זכרון ברכה - 3 כרכים</t>
  </si>
  <si>
    <t>כולל זכרון ברכה</t>
  </si>
  <si>
    <t>קובץ זכרון מאיר</t>
  </si>
  <si>
    <t>וייסמאן, מאיר (לזכרו)</t>
  </si>
  <si>
    <t>קובץ חבורות וחידו"ת</t>
  </si>
  <si>
    <t>קובץ חדושי תורה חכמת שלמה - א</t>
  </si>
  <si>
    <t>בוגרי ישיבת חכמת שלמה</t>
  </si>
  <si>
    <t>קובץ חידושי תורה - א</t>
  </si>
  <si>
    <t>ישיבת היכל אוריה</t>
  </si>
  <si>
    <t>קובץ חידושי תורה - נדרים, מכות</t>
  </si>
  <si>
    <t>קרסטני, נדב</t>
  </si>
  <si>
    <t>בית מדרש וכולל היכל התורה</t>
  </si>
  <si>
    <t>וויליאמסבורג</t>
  </si>
  <si>
    <t>קובץ חידושי תורה - 4 כרכים</t>
  </si>
  <si>
    <t>ישיבת בית אברהם סלונים</t>
  </si>
  <si>
    <t>קובץ חידושי תורה אמרי א"ש - ב</t>
  </si>
  <si>
    <t>כולל תפארת יעקב יוסף</t>
  </si>
  <si>
    <t>קובץ חידושי תורה בעניני איסור יחוד ולא תקרבו</t>
  </si>
  <si>
    <t>שפירא, יהושע בן אשר</t>
  </si>
  <si>
    <t>קובץ חידושי תורה מבית נירה - 4 כרכים</t>
  </si>
  <si>
    <t>כולל אברכים מבית נירה</t>
  </si>
  <si>
    <t>קובץ חידושים ובירורים - מסכת נדרים</t>
  </si>
  <si>
    <t>ישיבת הגאון משטעבין כוכב מיעקב</t>
  </si>
  <si>
    <t>קובץ חידושים מתלמידי ישיבות קטנות - ה</t>
  </si>
  <si>
    <t>קובץ כתר תורה &lt;רמת שלמה&gt; - יא</t>
  </si>
  <si>
    <t>קובץ לחיזוק התקשרות</t>
  </si>
  <si>
    <t>קובץ ליבנו בתורתו - 3 כרכים</t>
  </si>
  <si>
    <t>דהאן, אברהם</t>
  </si>
  <si>
    <t>קובץ לימוד - 3 כרכים</t>
  </si>
  <si>
    <t>קובץ לימוד</t>
  </si>
  <si>
    <t>קובץ לעטר פתורא</t>
  </si>
  <si>
    <t>כולל עולת דוד - זוטשקא</t>
  </si>
  <si>
    <t>קובץ לקט ענינים</t>
  </si>
  <si>
    <t>ישיבת תולדות אהרן</t>
  </si>
  <si>
    <t>קובץ לתורה וחסידות - ימים נוראים</t>
  </si>
  <si>
    <t>בית הכנסת חסידי קרלין סטולין בני ברק</t>
  </si>
  <si>
    <t>קובץ מאור התורה - 4 כרכים</t>
  </si>
  <si>
    <t>כולל אברכים יוצאי סלבודקה</t>
  </si>
  <si>
    <t>קובץ מאז ומקדם</t>
  </si>
  <si>
    <t>קובץ מגדל אור - ט</t>
  </si>
  <si>
    <t>ישיבת אור אלחנן חב"ד</t>
  </si>
  <si>
    <t>לוס אנג'לס</t>
  </si>
  <si>
    <t>קובץ מה טובו אהליך יעקב - 6 כרכים</t>
  </si>
  <si>
    <t>קובץ מילי דשמיא</t>
  </si>
  <si>
    <t>כולל זמרת חיים</t>
  </si>
  <si>
    <t>קובץ מיסודות הש"ס</t>
  </si>
  <si>
    <t>קשש, אברהם ישעיהו</t>
  </si>
  <si>
    <t>קובץ מנורה בדרום - 14 כרכים</t>
  </si>
  <si>
    <t>בני תורה אופקים</t>
  </si>
  <si>
    <t>קובץ מנחת יו"ט</t>
  </si>
  <si>
    <t>שווארץ, יום טוב הלוי</t>
  </si>
  <si>
    <t>קובץ מנחת סופרים - א</t>
  </si>
  <si>
    <t>בני הישיבות בקהילת קצות החושן</t>
  </si>
  <si>
    <t>קובץ מנחת ציבור - מנחת חינוך</t>
  </si>
  <si>
    <t>הערות על מנחת חינוך</t>
  </si>
  <si>
    <t>קובץ מנרתא טבתא</t>
  </si>
  <si>
    <t>קובץ מעיין התורה - 2 כרכים</t>
  </si>
  <si>
    <t>כולל מעיין התורה</t>
  </si>
  <si>
    <t>קובץ מעין חי - 2 כרכים</t>
  </si>
  <si>
    <t>כולל מעין חי</t>
  </si>
  <si>
    <t>קובץ משיב בהלכה - 7 כרכים</t>
  </si>
  <si>
    <t>מכון להוראה</t>
  </si>
  <si>
    <t>קובץ נר למאה</t>
  </si>
  <si>
    <t>ישיבת תומכי תמימים ליובאוויטש ברינוא צרפת</t>
  </si>
  <si>
    <t>קובץ נר מרדכי</t>
  </si>
  <si>
    <t>חו"ר כולל נר מרדכי</t>
  </si>
  <si>
    <t>קובץ סוגיות</t>
  </si>
  <si>
    <t>קורדובה, משה</t>
  </si>
  <si>
    <t>קובץ עומק ההלכה - 2 כרכים</t>
  </si>
  <si>
    <t>קובץ עטרת מנשה</t>
  </si>
  <si>
    <t>כולל עטרת מנשה</t>
  </si>
  <si>
    <t>קובץ עיון הפרשה - 10 כרכים</t>
  </si>
  <si>
    <t>קובץ עיונים תפארת שמשון - ו</t>
  </si>
  <si>
    <t>קובץ עניינים וחידו"ת - 3 כרכים</t>
  </si>
  <si>
    <t>מס, אליהו בן עדיאל</t>
  </si>
  <si>
    <t>קובץ ענינים</t>
  </si>
  <si>
    <t>קובץ ענינים - 2 כרכים</t>
  </si>
  <si>
    <t>קובץ עץ חיים - לו</t>
  </si>
  <si>
    <t>מפעל זכרון אשר צבי</t>
  </si>
  <si>
    <t>קובץ פרדס יהודה - 2 כרכים</t>
  </si>
  <si>
    <t>קובץ פרחי ג"ן - בבא מציעא - פורים - פסח</t>
  </si>
  <si>
    <t>קובץ פרי ביכורים - תקיעת שופר וראש השנה</t>
  </si>
  <si>
    <t>הגר, יצחק מאיר</t>
  </si>
  <si>
    <t>קובץ פרי ישראל</t>
  </si>
  <si>
    <t>רוסט, ישראל דוד (לזכרו)</t>
  </si>
  <si>
    <t>קובץ קדושת יום טוב - א</t>
  </si>
  <si>
    <t>ישיבת קדושת  יום טוב</t>
  </si>
  <si>
    <t>קובץ קול התורה - כתובות</t>
  </si>
  <si>
    <t>ישיבת קול תורה</t>
  </si>
  <si>
    <t>קובץ קנאת סופרים - ה</t>
  </si>
  <si>
    <t>מוסדות תורה ויראה</t>
  </si>
  <si>
    <t>קובץ ראיתי בני עליה - ואהבת לרעך כמוך, לא תשנא</t>
  </si>
  <si>
    <t>ישיבת בין הזמנים בני עליה</t>
  </si>
  <si>
    <t>קובץ ראשונים &lt;רוח ברור&gt; על פרק יציאת השבת</t>
  </si>
  <si>
    <t>רוח, משה בן שלום</t>
  </si>
  <si>
    <t>קובץ שובה ישראל - א</t>
  </si>
  <si>
    <t>ק"ק שובה ישראל</t>
  </si>
  <si>
    <t>קובץ שיחות במשנתם של הגרא"מ שך ורבותינו גדולי הדורות - שיחות הרב צבי שינקר</t>
  </si>
  <si>
    <t>מערכת במשנתם</t>
  </si>
  <si>
    <t>קובץ שיעורים בעניני שבועות בהלכה ובאגדה</t>
  </si>
  <si>
    <t>מן, דוד יצחק בן מרדכי ליב</t>
  </si>
  <si>
    <t>קובץ שמחת דרכי הוראה</t>
  </si>
  <si>
    <t>קובץ שפתי קודש</t>
  </si>
  <si>
    <t>קובץ תורה בציון</t>
  </si>
  <si>
    <t>איגוד אברכי הכוללים בטבריה</t>
  </si>
  <si>
    <t>פרץ, יצחק</t>
  </si>
  <si>
    <t>קובץ תורני - 2 כרכים</t>
  </si>
  <si>
    <t>בית המדרש חניכי ישיבת קול תורה</t>
  </si>
  <si>
    <t>קובץ תורני אור גאון - שבת</t>
  </si>
  <si>
    <t>כולל אור גאון</t>
  </si>
  <si>
    <t>קובץ תורני בית ישראל</t>
  </si>
  <si>
    <t>ישיבת בית ישראל ודמשק אליעזר</t>
  </si>
  <si>
    <t>קובץ תורני ההיכל - א</t>
  </si>
  <si>
    <t>סיאני, שלום מאיר (עורך)</t>
  </si>
  <si>
    <t>קובץ תורני יחוה דעת - 2 כרכים</t>
  </si>
  <si>
    <t>בית המדרש יחוה דעת</t>
  </si>
  <si>
    <t>קובץ תורני מאורות צמח צדק</t>
  </si>
  <si>
    <t>ישיבת צמח צדק ויזניץ ברוקלין</t>
  </si>
  <si>
    <t>קובץ תורני משה ואלעזר - 30</t>
  </si>
  <si>
    <t>ישיבת כסא רחמים</t>
  </si>
  <si>
    <t>קובץ תורת מרובה</t>
  </si>
  <si>
    <t>כולל תורת דבש</t>
  </si>
  <si>
    <t>קובץ תורת ציון - ד</t>
  </si>
  <si>
    <t>אליהו, ישראל (עורך)</t>
  </si>
  <si>
    <t>קובץ תפארת אברהם - איסור והיתר</t>
  </si>
  <si>
    <t>כולל להוראה ירושלים</t>
  </si>
  <si>
    <t>קובץ תפארת הו"ד - א</t>
  </si>
  <si>
    <t>קובץ ישיבת תפארת יעקב גייטסהעד</t>
  </si>
  <si>
    <t>קובץ תפארת הלכה - שבת</t>
  </si>
  <si>
    <t>כולל תפארת יעקב משה - בעלזא</t>
  </si>
  <si>
    <t>קובץ תפארת צבי - שבועות</t>
  </si>
  <si>
    <t>ישיבת תורת משה</t>
  </si>
  <si>
    <t>קובץ תפארת שבתפארת - 2 כרכים</t>
  </si>
  <si>
    <t>ישיבת אמרי יוסף ספינקא</t>
  </si>
  <si>
    <t>קודש וחול בחיינו</t>
  </si>
  <si>
    <t>שילוח, מאיר</t>
  </si>
  <si>
    <t>קול אבירי הרועים</t>
  </si>
  <si>
    <t>פרידלאנד, נתן בן יוסף</t>
  </si>
  <si>
    <t>לעסלא?</t>
  </si>
  <si>
    <t>קול אומרים הודו</t>
  </si>
  <si>
    <t>שלום בן יחיא זכריה - צוקרמן, דניאל משה בן שמואל</t>
  </si>
  <si>
    <t>ירושלים|אשדוד</t>
  </si>
  <si>
    <t>קול אריה &lt;מכון ממלכת כהנים&gt; - 3 כרכים</t>
  </si>
  <si>
    <t>שווארץ, אברהם יהודה אריה ליב בן פינחס ז</t>
  </si>
  <si>
    <t>קול ברמה - 10</t>
  </si>
  <si>
    <t>עלון ישיבת הגולן</t>
  </si>
  <si>
    <t>חספין</t>
  </si>
  <si>
    <t>קול דודי - 3 כרכים</t>
  </si>
  <si>
    <t>פראנד, דוד בן יהודה לייביש הלוי</t>
  </si>
  <si>
    <t>קול המבשר</t>
  </si>
  <si>
    <t>ברקאי, משה בנימין המכונה אלתר בן נח גבריאל</t>
  </si>
  <si>
    <t>[תרפ"ג,</t>
  </si>
  <si>
    <t>קול התור</t>
  </si>
  <si>
    <t>קול התורה - חנוכה</t>
  </si>
  <si>
    <t>רבני ישיבת קול תורה</t>
  </si>
  <si>
    <t>קול התורה - 2 כרכים</t>
  </si>
  <si>
    <t>קול חתן</t>
  </si>
  <si>
    <t>קול יאודה</t>
  </si>
  <si>
    <t>ישראל, חיים יהודה בן משה</t>
  </si>
  <si>
    <t>קול יהודא &lt;מהדורה חדשה&gt;</t>
  </si>
  <si>
    <t>גרינפלד, יהודה בן שמעיה</t>
  </si>
  <si>
    <t>קול ירושלים - שנה ה חוברת ה</t>
  </si>
  <si>
    <t>קול מבשר</t>
  </si>
  <si>
    <t>(Leipzig)</t>
  </si>
  <si>
    <t>קול מנחם &lt;קאליב&gt; - ה</t>
  </si>
  <si>
    <t>קול נהי &lt;ר' נחום טרעביטש&gt;</t>
  </si>
  <si>
    <t>פראג. חברה קדישא גומלי חסדים</t>
  </si>
  <si>
    <t>פרג Prague</t>
  </si>
  <si>
    <t>קול סיני - 60-74</t>
  </si>
  <si>
    <t>אברג'ל, יעקב ישראל</t>
  </si>
  <si>
    <t>תשכ"ז - תשכ"ח</t>
  </si>
  <si>
    <t>קול עגב</t>
  </si>
  <si>
    <t>פיפירנו, אברהם ברוך בן משה רפאל</t>
  </si>
  <si>
    <t>קול קורא</t>
  </si>
  <si>
    <t>ישראל, רפאל יצחק בן דוד</t>
  </si>
  <si>
    <t>[תר"ן,</t>
  </si>
  <si>
    <t>פישר, עמרם בן עקיבא</t>
  </si>
  <si>
    <t>תרס"ה</t>
  </si>
  <si>
    <t>קול קורא לאחינו בני ישראל יושבי ירושלים ת"ו</t>
  </si>
  <si>
    <t>הסתדרות המורים בארץ ישראל</t>
  </si>
  <si>
    <t>קול קורא לאחינו התימנים</t>
  </si>
  <si>
    <t>נדאף, י</t>
  </si>
  <si>
    <t>קול רינה</t>
  </si>
  <si>
    <t>קול רינה - פרק שירה</t>
  </si>
  <si>
    <t>קול תורה - 6 כרכים</t>
  </si>
  <si>
    <t>בתורתו של מרן הגרע"י</t>
  </si>
  <si>
    <t>קום כי זה היום</t>
  </si>
  <si>
    <t>קום לך אל נינוה - ספר יונה</t>
  </si>
  <si>
    <t>קומי אורי - ו</t>
  </si>
  <si>
    <t>תנועת קוממיות</t>
  </si>
  <si>
    <t>קונדריס - 2 כרכים</t>
  </si>
  <si>
    <t>צדוק, דוד בן שלמה</t>
  </si>
  <si>
    <t>קונטרס - 2 כרכים</t>
  </si>
  <si>
    <t>רייטפארט, יצחק בן חיים</t>
  </si>
  <si>
    <t>קונטרס - כללי הברכות</t>
  </si>
  <si>
    <t>יזדי, אברהם בן יוסף</t>
  </si>
  <si>
    <t>קונטרס א"ש תמיד</t>
  </si>
  <si>
    <t>מערכת אש תמיד</t>
  </si>
  <si>
    <t xml:space="preserve">תשמ"ט - </t>
  </si>
  <si>
    <t>קונטרס אב האיתנים</t>
  </si>
  <si>
    <t>קונטרס אבות אבותיך</t>
  </si>
  <si>
    <t>ניישלס, יעקב יוסף</t>
  </si>
  <si>
    <t>קונטרס אבן ישראל - דברי מוסר והתעוררות</t>
  </si>
  <si>
    <t>פישר, ישראל יעקב</t>
  </si>
  <si>
    <t>קונטרס אהל חיה</t>
  </si>
  <si>
    <t>חסאן, רפאל - מילבסקי, פסח</t>
  </si>
  <si>
    <t>קונטרס אהל רחל</t>
  </si>
  <si>
    <t>קונטרס אור הפרשה - 2 כרכים</t>
  </si>
  <si>
    <t>פוזן, אריה אליעזר</t>
  </si>
  <si>
    <t>קונטרס אורח חיים - הלכות חנוכה</t>
  </si>
  <si>
    <t>קונטרס אושרו של יהודי</t>
  </si>
  <si>
    <t>קונטרס איל נזיר</t>
  </si>
  <si>
    <t>קונטרס אילת אהבים</t>
  </si>
  <si>
    <t>מלינובסקי, אילה זהבה</t>
  </si>
  <si>
    <t>קונטרס אין עוד מלבדו</t>
  </si>
  <si>
    <t>קוזקין, שמעון</t>
  </si>
  <si>
    <t>קונטרס אכילת עופות בזמנינו</t>
  </si>
  <si>
    <t>קונטרס אלהא דמאיר ענני</t>
  </si>
  <si>
    <t>קונטרס אלקי אבי בעזרי - 2 כרכים</t>
  </si>
  <si>
    <t>לזכרו של הגראי"ל שטינמן זצ"ל</t>
  </si>
  <si>
    <t>קונטרס אמרי פי - בבא קמא</t>
  </si>
  <si>
    <t>פינטו, יצחק</t>
  </si>
  <si>
    <t>קונטרס ארחות יושר</t>
  </si>
  <si>
    <t>קונטרס באר מרים - חנוכה</t>
  </si>
  <si>
    <t>מכון באר מרים</t>
  </si>
  <si>
    <t>קונטרס בדיני ביעור ווידוי מעשרות</t>
  </si>
  <si>
    <t>קונטרס בואו שעריו בתודה</t>
  </si>
  <si>
    <t>קונטרס בי מדרשא - ג בבא מציעא</t>
  </si>
  <si>
    <t>ישיבת תפארת הגר"א</t>
  </si>
  <si>
    <t>קונטרס ביאורים ובירורים - 6 כרכים</t>
  </si>
  <si>
    <t>קונטרס ביאורים ובירורים בהלכות שבת - 4 כרכים</t>
  </si>
  <si>
    <t>קונטרס ביאורים ובירורים לספר דרך אמונה - 3 כרכים</t>
  </si>
  <si>
    <t>קונטרס ביאת אליהו ומלך המשיח</t>
  </si>
  <si>
    <t>קונטרס ביכורי קיץ</t>
  </si>
  <si>
    <t>קיבוץ ישיבת גאון יעקב</t>
  </si>
  <si>
    <t>קונטרס בית אליהו - 3 כרכים</t>
  </si>
  <si>
    <t>זילבר, אליהו</t>
  </si>
  <si>
    <t>קונטרס בית ברוך</t>
  </si>
  <si>
    <t>קונטרס בכורי קיץ</t>
  </si>
  <si>
    <t>קונטרס בכר זכר - ליקוטי מוהר"ן א</t>
  </si>
  <si>
    <t>כהן, דוד</t>
  </si>
  <si>
    <t>קונטרס במילי דנזיקין לרבינו עקיבא איגר</t>
  </si>
  <si>
    <t>רפפורט, מנחם מנדל בן לוי יצחק</t>
  </si>
  <si>
    <t>קונטרס בנין אריאל</t>
  </si>
  <si>
    <t>לזכר הבחור אריאל חדד</t>
  </si>
  <si>
    <t>קונטרס בסוכות הושבתי</t>
  </si>
  <si>
    <t>ליברמן,  אהרן</t>
  </si>
  <si>
    <t>קונטרס בענייני ריבית</t>
  </si>
  <si>
    <t>קונטרס בענין עבירות שבין אדם לחבירו ותשובה עליהם</t>
  </si>
  <si>
    <t>ויסבקר, ברוך בן משה</t>
  </si>
  <si>
    <t>קונטרס בעניני הפורים</t>
  </si>
  <si>
    <t>נשר, אברהם</t>
  </si>
  <si>
    <t>קונטרס בעניני חנוכה</t>
  </si>
  <si>
    <t>טוקר, מנחם בן אברהם יצחק</t>
  </si>
  <si>
    <t>קונטרס בעניני כבוד ועונג שבת</t>
  </si>
  <si>
    <t>קונטרס בעניני כתמים</t>
  </si>
  <si>
    <t>גלעדי, עדיאל</t>
  </si>
  <si>
    <t>קונטרס בעניני מוקצה</t>
  </si>
  <si>
    <t>פוס, יהודה</t>
  </si>
  <si>
    <t>קונטרס בעניני שביעית</t>
  </si>
  <si>
    <t>קליקשטיין, שמואל</t>
  </si>
  <si>
    <t>קונטרס בעקבות ר' מוט'ל</t>
  </si>
  <si>
    <t>סמסונוביץ, משה</t>
  </si>
  <si>
    <t>קונטרס בפרק איזהו נשך</t>
  </si>
  <si>
    <t>וולך, שלמה משה בן אפרים</t>
  </si>
  <si>
    <t>קונטרס בפרק בנות כותים</t>
  </si>
  <si>
    <t>קונטרס בצל הברכה - ענינים שונים</t>
  </si>
  <si>
    <t>קונטרס ברית ופדיון</t>
  </si>
  <si>
    <t>פרץ, פנחס בן יעקב</t>
  </si>
  <si>
    <t>קונטרס ברית מלכות</t>
  </si>
  <si>
    <t>גראס, אברהם</t>
  </si>
  <si>
    <t>קונטרס ברכות</t>
  </si>
  <si>
    <t>רוזנטל, יואב בן אברהם</t>
  </si>
  <si>
    <t>קונטרס ברכת אבות</t>
  </si>
  <si>
    <t>קונטרס ברכת הפירות</t>
  </si>
  <si>
    <t>ישיבה קטנה תולדות אברהם יצחק</t>
  </si>
  <si>
    <t>קונטרס ברכת התורה</t>
  </si>
  <si>
    <t>קונטרס ברכת לישב בסוכה</t>
  </si>
  <si>
    <t>רובינשטיין, דוד משה</t>
  </si>
  <si>
    <t>קונטרס בשבילי נברא העולם</t>
  </si>
  <si>
    <t>קונטרס גאולה שלמה</t>
  </si>
  <si>
    <t>קונטרס גליונות אשר - תענית</t>
  </si>
  <si>
    <t>וסרמן, אשר בן אברהם בצלאל</t>
  </si>
  <si>
    <t>קונטרס דבר השמיטה</t>
  </si>
  <si>
    <t>כולל מאורות</t>
  </si>
  <si>
    <t>קונטרס דבר יואל - כתובות</t>
  </si>
  <si>
    <t>אהרן, יואל חיים בן מרדכי</t>
  </si>
  <si>
    <t>קונטרס דבר צבי - 2 כרכים</t>
  </si>
  <si>
    <t>קונטרס דבר שלום - שבת</t>
  </si>
  <si>
    <t>כהן, אהרן שלום בן דוד</t>
  </si>
  <si>
    <t>קונטרס דברות קודש - דרשות שלוש סעודות</t>
  </si>
  <si>
    <t>טייטלבוים, יואל</t>
  </si>
  <si>
    <t>קונטרס דברי יהושע</t>
  </si>
  <si>
    <t>פעריל (קרויס), יהושע אריה בן יחזקאל שרגע הלוי</t>
  </si>
  <si>
    <t>קונטרס דברי יוסף - בבא קמא</t>
  </si>
  <si>
    <t>קונטרס דברי מחשבת</t>
  </si>
  <si>
    <t>שנקלובסקי, צבי בנימין</t>
  </si>
  <si>
    <t>קונטרס דברי תורה</t>
  </si>
  <si>
    <t>ואזנר, שמואל בן יוסף צבי הלוי</t>
  </si>
  <si>
    <t>קונטרס דמשק אליעזר</t>
  </si>
  <si>
    <t>ברגמן, שמואל יעקב</t>
  </si>
  <si>
    <t>קונטרס דעת תורה</t>
  </si>
  <si>
    <t>אוסף כרוזים בענין קבלת כספים מהמוסדות הציוניים עובר הישיבות ובתי הת"ת</t>
  </si>
  <si>
    <t xml:space="preserve">תשל"ט - </t>
  </si>
  <si>
    <t>קונטרס דקדוקי מצוות</t>
  </si>
  <si>
    <t>קנייבסקי, שמריהו יוסף חיים בן יעקב ישראל (עליו)</t>
  </si>
  <si>
    <t>קונטרס דרוש וקבל שכר</t>
  </si>
  <si>
    <t>הילדסהיים, דוד אריה בן יעקב</t>
  </si>
  <si>
    <t>קונטרס דרך הלימוד</t>
  </si>
  <si>
    <t>אבראהאם, נחום</t>
  </si>
  <si>
    <t>קונטרס דררא דממונא</t>
  </si>
  <si>
    <t>פאנעט, אברהם שמואל בן צבי אלימלך</t>
  </si>
  <si>
    <t>ירושלים - ניו יורק</t>
  </si>
  <si>
    <t>קונטרס האור מתוך החשך - א</t>
  </si>
  <si>
    <t>קונטרס האמת תורה דרכה</t>
  </si>
  <si>
    <t>קונטרס הבריח התיכון</t>
  </si>
  <si>
    <t>קונטרס ההרוגה עליך</t>
  </si>
  <si>
    <t>ברזובסקי, שלום נח</t>
  </si>
  <si>
    <t>קונטרס הזכרונות ממרן החזו"א</t>
  </si>
  <si>
    <t>קונטרס החבורות - הדלקת נר חנוכה</t>
  </si>
  <si>
    <t>ישיבת אורחות חיים</t>
  </si>
  <si>
    <t>קונטרס הידיעה - 2 כרכים</t>
  </si>
  <si>
    <t>קונטרס הליכות חיים</t>
  </si>
  <si>
    <t>קונטרס הליקוטים - תניינא</t>
  </si>
  <si>
    <t>קונטרס הליקוטים - 2 כרכים</t>
  </si>
  <si>
    <t>קונטרס הלכות אקטואליות</t>
  </si>
  <si>
    <t>קונטרס הלכות בית כנסת, והלכות ספר תורה</t>
  </si>
  <si>
    <t>קונטרס הלכות תולעים בדגים</t>
  </si>
  <si>
    <t>קונטרס המאיר לישראל - נדרים</t>
  </si>
  <si>
    <t>אנקווה, ישראל בן רפאל</t>
  </si>
  <si>
    <t>קונטרס המחדש בטובו</t>
  </si>
  <si>
    <t>קונטרס המתרגם</t>
  </si>
  <si>
    <t>יוסף יעקב קופל בן יקותיאל</t>
  </si>
  <si>
    <t>קונטרס הערות הרבנים לספר הליכות משה</t>
  </si>
  <si>
    <t>דייטש, הלל (עורך)</t>
  </si>
  <si>
    <t>קונטרס הערות וביאורים &lt;על ספר עץ חיים&gt;</t>
  </si>
  <si>
    <t>ברמן, יצחק יהודה</t>
  </si>
  <si>
    <t>קונטרס הערות והארות - 2 כרכים</t>
  </si>
  <si>
    <t>אופק, נתנאל</t>
  </si>
  <si>
    <t>קונטרס הרחיצה</t>
  </si>
  <si>
    <t>לוי, אברהם בן אהרן</t>
  </si>
  <si>
    <t>קונטרס הררים התלויים בשערה</t>
  </si>
  <si>
    <t>מחפוד, איתמר בן אהרן הלוי</t>
  </si>
  <si>
    <t>קונטרס השאלות בהלכות סת"ם</t>
  </si>
  <si>
    <t>משמרת סת"ם</t>
  </si>
  <si>
    <t>קונטרס השביעית</t>
  </si>
  <si>
    <t>עוקשי, ברוך - פלמן, ישראל מאיר (עורכים)</t>
  </si>
  <si>
    <t>קונטרס השיר והשבח</t>
  </si>
  <si>
    <t>קונטרס התראה ראשונה - חודש אלול</t>
  </si>
  <si>
    <t>קונטרס התשובות - 4 כרכים</t>
  </si>
  <si>
    <t>גליק, שמואל</t>
  </si>
  <si>
    <t>ירושלים-רמת גן</t>
  </si>
  <si>
    <t>קונטרס ובנחה יאמר</t>
  </si>
  <si>
    <t>בית מדרש בית שמואל - ראדומישלא</t>
  </si>
  <si>
    <t>קונטרס והראנו בבנינו</t>
  </si>
  <si>
    <t>קונטרס והשתיה כדת</t>
  </si>
  <si>
    <t>ויינבערג, נתן דוד בן מרדכי</t>
  </si>
  <si>
    <t>קונטרס ויבינו במקרא</t>
  </si>
  <si>
    <t>קונטרס וידבר משה</t>
  </si>
  <si>
    <t>יצחקי, משה בן יהודה</t>
  </si>
  <si>
    <t>קונטרס זכות אבות</t>
  </si>
  <si>
    <t>ציכטיגר, משה צבי</t>
  </si>
  <si>
    <t>קונטרס זכות הרבים</t>
  </si>
  <si>
    <t>קונטרס זכות יצחק - פרק המניח</t>
  </si>
  <si>
    <t>עבדיאן, ישראל יעקב בן יצחק</t>
  </si>
  <si>
    <t>קונטרס זכר יצחק</t>
  </si>
  <si>
    <t>שרייבר, י.י.</t>
  </si>
  <si>
    <t>קונטרס זכרון דוד</t>
  </si>
  <si>
    <t>מויאל, דוד</t>
  </si>
  <si>
    <t>שטרן, אלימלך - סולובייצ'יק, משולם דוד הלוי (עליו)</t>
  </si>
  <si>
    <t>קונטרס זכרון מרדכי - בבא קמא</t>
  </si>
  <si>
    <t>ישיבת אור אלחנן לצעירים</t>
  </si>
  <si>
    <t>קונטרס זכרון ניסים - גיטין</t>
  </si>
  <si>
    <t>כולל מאור אברהם</t>
  </si>
  <si>
    <t>קונטרס זכרון שלום - א</t>
  </si>
  <si>
    <t>פינקלשטיין, שלום בן יעקב הכהן (לזכרו)</t>
  </si>
  <si>
    <t>קונטרס חודש האביב</t>
  </si>
  <si>
    <t>מכון אהבת אמת</t>
  </si>
  <si>
    <t>קונטרס חידו"ת - כתובות</t>
  </si>
  <si>
    <t>קונטרס חידושי תורה - דרשות הושענא רבא שנת תשי"א</t>
  </si>
  <si>
    <t>קונטרס חידושי תורה - 2 כרכים</t>
  </si>
  <si>
    <t>קונטרס חידושי תורה מהר"ם ט"ב - פסח, שבועות</t>
  </si>
  <si>
    <t>קונטרס חלון התיבה - פורים</t>
  </si>
  <si>
    <t>חפץ, דוד</t>
  </si>
  <si>
    <t>קונטרס חלקו של ידיד</t>
  </si>
  <si>
    <t>קונטרס חמדת משה - חנוכה</t>
  </si>
  <si>
    <t>דיין, משה שמואל</t>
  </si>
  <si>
    <t>קונטרס טוב יהודה</t>
  </si>
  <si>
    <t>גוטנטג, טוביה</t>
  </si>
  <si>
    <t>קונטרס טובים השניים</t>
  </si>
  <si>
    <t>חבה, ערן בן בנימין</t>
  </si>
  <si>
    <t>קונטרס טללי נוחם</t>
  </si>
  <si>
    <t>קונטרס ידי משה</t>
  </si>
  <si>
    <t>טוויל, משה בן יצחק חיים הכהן</t>
  </si>
  <si>
    <t>קונטרס יום סליחה</t>
  </si>
  <si>
    <t>קונטרס יומא דאילנא</t>
  </si>
  <si>
    <t>צדיקי דעעש</t>
  </si>
  <si>
    <t>קונטרס יומא טבא לרבנן</t>
  </si>
  <si>
    <t>קונטרס יוצר אור</t>
  </si>
  <si>
    <t>בית הכנסת המרכזי רמת בית שמש ג</t>
  </si>
  <si>
    <t>קונטרס יין ישמח</t>
  </si>
  <si>
    <t>סטפנסקי, יוסף בן יחיאל</t>
  </si>
  <si>
    <t>קונטרס יקרה היא מפנינים - מועדים א</t>
  </si>
  <si>
    <t>דבי, נתנאל</t>
  </si>
  <si>
    <t>קריית אתא</t>
  </si>
  <si>
    <t>קונטרס ירח איתנים</t>
  </si>
  <si>
    <t>ישיבת גייטסהעד</t>
  </si>
  <si>
    <t>גייטסהעד,</t>
  </si>
  <si>
    <t>קונטרס כבוד התורה</t>
  </si>
  <si>
    <t>קונטרס כוס ישועות</t>
  </si>
  <si>
    <t>קונטרס כי לא על הלחם לבדו</t>
  </si>
  <si>
    <t>קונטרס כיון שאנו מחכים</t>
  </si>
  <si>
    <t>קונטרס כל הראוי</t>
  </si>
  <si>
    <t>בוים, דוד יהודה ליב</t>
  </si>
  <si>
    <t>קונטרס כפות המנעול</t>
  </si>
  <si>
    <t>קונטרס כתבם על לוח לבך</t>
  </si>
  <si>
    <t>קונטרס לבושי פאר - בבא בתרא</t>
  </si>
  <si>
    <t>פרץ, אלחנן</t>
  </si>
  <si>
    <t>קונטרס לחדשי השנה ולחגים ולמועדים</t>
  </si>
  <si>
    <t>גרצולין, נתן אליהו</t>
  </si>
  <si>
    <t>קונטרס ליל התקדש החג</t>
  </si>
  <si>
    <t xml:space="preserve">תשס"ז - </t>
  </si>
  <si>
    <t>קונטרס ליקוטי שושנים - גיטין</t>
  </si>
  <si>
    <t>ישיבת תורת רפאל</t>
  </si>
  <si>
    <t>קונטרס לכשרות בית המקדש תחת קרקע</t>
  </si>
  <si>
    <t>בן יששכר, מרדכי</t>
  </si>
  <si>
    <t>קונטרס למד העם</t>
  </si>
  <si>
    <t>פלזנטל, לוי משה בן דוד אהרן</t>
  </si>
  <si>
    <t>קונטרס לקח טוב - 2 כרכים</t>
  </si>
  <si>
    <t>ישיבת קרלין סטולין</t>
  </si>
  <si>
    <t>קונטרס לשם מצה</t>
  </si>
  <si>
    <t>הלפרין-כהן, מ מ</t>
  </si>
  <si>
    <t xml:space="preserve">תשי"ח - </t>
  </si>
  <si>
    <t>קונטרס מאי חנוכה</t>
  </si>
  <si>
    <t>קונטרס מבטא שפתים - נדרים</t>
  </si>
  <si>
    <t>קונטרס מבי מדרשא - סנהדרין, כתובות</t>
  </si>
  <si>
    <t>כולל שע"י ישיבת אור יהושע נתיבות התורה</t>
  </si>
  <si>
    <t>קונטרס מגילת סוטה</t>
  </si>
  <si>
    <t>מילר, שמואל בן יצחק</t>
  </si>
  <si>
    <t>קונטרס מזכה את הרבים</t>
  </si>
  <si>
    <t>אברהם יצחק משלם, מסופיה</t>
  </si>
  <si>
    <t>קונטרס מילי דאבות</t>
  </si>
  <si>
    <t>שיינפלד, ישראל אשר</t>
  </si>
  <si>
    <t>קונטרס מילי דשליחות</t>
  </si>
  <si>
    <t>הראל, אוריאל יצחק בן אריה יהודה</t>
  </si>
  <si>
    <t>קונטרס מימיני מיכאל - 2 כרכים</t>
  </si>
  <si>
    <t>בנש, מיכאל בן אליהו</t>
  </si>
  <si>
    <t>קונטרס מלאכת הנאה</t>
  </si>
  <si>
    <t>וגנר, יעקב בן זאב</t>
  </si>
  <si>
    <t>קונטרס מנוחת שבת - א</t>
  </si>
  <si>
    <t>כולל דחסידי בעלזא מנשסטר</t>
  </si>
  <si>
    <t>קונטרס מנחת עזרא - שו"ת, מסכתות</t>
  </si>
  <si>
    <t>שאול, עזרא נחמיה</t>
  </si>
  <si>
    <t>קונטרס מנחת פורים</t>
  </si>
  <si>
    <t>יזדי, נדב בן יוסף</t>
  </si>
  <si>
    <t>קונטרס מסיבות פורים</t>
  </si>
  <si>
    <t>קונטרס מעין החכמה</t>
  </si>
  <si>
    <t>ש.א.ב</t>
  </si>
  <si>
    <t>קונטרס מעלות מצות הפרישה</t>
  </si>
  <si>
    <t>קונטרס מעלות מצות הפרישה (יידיש)</t>
  </si>
  <si>
    <t>קונטרס מענה חיים</t>
  </si>
  <si>
    <t>טיקוצקי, חיים אייזיק</t>
  </si>
  <si>
    <t>קונטרס מציאת יעקב</t>
  </si>
  <si>
    <t>חדד, יעקב בן יצחק</t>
  </si>
  <si>
    <t>קונטרס מציצה</t>
  </si>
  <si>
    <t>שלזינגר, משה ליב יוסף בן מרדכי</t>
  </si>
  <si>
    <t>פרעסבורג,</t>
  </si>
  <si>
    <t>[תר"ס,</t>
  </si>
  <si>
    <t>קונטרס מראה גרמי</t>
  </si>
  <si>
    <t>טריגר, אברהם מאיר בן יששכר דב הכהן</t>
  </si>
  <si>
    <t>קונטרס מראש צורים</t>
  </si>
  <si>
    <t>שוורץ - משפחות ורבר</t>
  </si>
  <si>
    <t>קונטרס משא משה - פרק כל גגות</t>
  </si>
  <si>
    <t>קונטרס משבצות זהב</t>
  </si>
  <si>
    <t>ארגון ושכנתי בתוכם</t>
  </si>
  <si>
    <t>קונטרס משיב נפש</t>
  </si>
  <si>
    <t>רנד, גדליה</t>
  </si>
  <si>
    <t>קונטרס משנה סדורה - 3 כרכים</t>
  </si>
  <si>
    <t>יונגרמן, אברהם ישעיהו בן שלום מאיר</t>
  </si>
  <si>
    <t>קונטרס משתה ושמחה ולא תפלה וזעקה</t>
  </si>
  <si>
    <t>דונט, נפתלי יהושע</t>
  </si>
  <si>
    <t>קונטרס נועם יהודה</t>
  </si>
  <si>
    <t>דינר, שמשון</t>
  </si>
  <si>
    <t>קונטרס נחמת נפתליה</t>
  </si>
  <si>
    <t>קונטרס נעם השבת</t>
  </si>
  <si>
    <t>קונטרס נעשה אדם - ל"ג בעומר חג השבועות</t>
  </si>
  <si>
    <t>קונטרס נר מצוה ותורה אור</t>
  </si>
  <si>
    <t>קולדצקי, יצחק בן שכנא</t>
  </si>
  <si>
    <t>קונטרס נשמת אברהם - אבילות</t>
  </si>
  <si>
    <t>קונטרס סדר השמינית</t>
  </si>
  <si>
    <t>קונטרס סדרת ועדים</t>
  </si>
  <si>
    <t>סדרת ועדים</t>
  </si>
  <si>
    <t>קונטרס סוד הזכירה</t>
  </si>
  <si>
    <t>קונטרס סימנא טבא מילתא</t>
  </si>
  <si>
    <t>דויטש, ישראל זאב</t>
  </si>
  <si>
    <t>קונטרס עבדי הם</t>
  </si>
  <si>
    <t>קונטרס עבודת משא - 3 כרכים</t>
  </si>
  <si>
    <t>קונטרס עבודת מתנה</t>
  </si>
  <si>
    <t>קונטרס עובר לסוחר</t>
  </si>
  <si>
    <t>פוגל,</t>
  </si>
  <si>
    <t>קונטרס עולת יצחק - 2 כרכים</t>
  </si>
  <si>
    <t>לנדא, יצחק בן קלמן</t>
  </si>
  <si>
    <t>קונטרס עזרת אליעזר - חנוכה</t>
  </si>
  <si>
    <t>קרביץ, אליעזר בן נחום זאב</t>
  </si>
  <si>
    <t>קונטרס עיקר כתובה - כתובות</t>
  </si>
  <si>
    <t>קונטרס עירוב כהלכתו</t>
  </si>
  <si>
    <t>לוי, רפאל חיים</t>
  </si>
  <si>
    <t>קונטרס על הלכות צדקה</t>
  </si>
  <si>
    <t>קונטרס על מסכת נדה</t>
  </si>
  <si>
    <t>פופר, צבי</t>
  </si>
  <si>
    <t>קונטרס על נס וחי - מאמר אסתר</t>
  </si>
  <si>
    <t>לוין</t>
  </si>
  <si>
    <t>קונטרס ענייני שחיטה</t>
  </si>
  <si>
    <t>שחר, יוסף בן אורי</t>
  </si>
  <si>
    <t>קונטרס ענייני תערובת</t>
  </si>
  <si>
    <t>קונטרס פארו עלי</t>
  </si>
  <si>
    <t>פרלמוטר, יצחק אייזיק בן חיים אלעזר</t>
  </si>
  <si>
    <t>קונטרס פודה ומציל</t>
  </si>
  <si>
    <t>הלל, יעקב בן משה</t>
  </si>
  <si>
    <t>קונטרס פירותיך מתוקים</t>
  </si>
  <si>
    <t>קונטרס פירותיך מתוקים - גיטין</t>
  </si>
  <si>
    <t>גולדשטוף, יצחק</t>
  </si>
  <si>
    <t>קונטרס פני משה - נדה</t>
  </si>
  <si>
    <t>ברנד, משה בן שמואל</t>
  </si>
  <si>
    <t>קונטרס פסח</t>
  </si>
  <si>
    <t>קונטרס פרדס הלכה - חנוכה</t>
  </si>
  <si>
    <t>רבינוביץ, מנחם מענדיל</t>
  </si>
  <si>
    <t>קונטרס קבורת משה</t>
  </si>
  <si>
    <t>קונטרס קבל וקיים</t>
  </si>
  <si>
    <t>פדלון, חן</t>
  </si>
  <si>
    <t>קונטרס קבלת התורה</t>
  </si>
  <si>
    <t>רוזנבוים, יצחק אייזיק בן איתמר</t>
  </si>
  <si>
    <t>קונטרס קבלת עול תורה בפרשיות ק"ש</t>
  </si>
  <si>
    <t>קונטרס קול רינה - תולדות אהרן - זידיטשוב</t>
  </si>
  <si>
    <t>קונטרס קול שופר</t>
  </si>
  <si>
    <t>מלצר, משה בן גוריון</t>
  </si>
  <si>
    <t>קונטרס קל וחומר - יומא</t>
  </si>
  <si>
    <t>קונטרס קנה לך חבר</t>
  </si>
  <si>
    <t>קונטרס קריאה של חיבה</t>
  </si>
  <si>
    <t>קונטרס ראש חודש</t>
  </si>
  <si>
    <t>דבליצקי, שריה בן בצלאל יעקב</t>
  </si>
  <si>
    <t>קונטרס ראש שמחתי</t>
  </si>
  <si>
    <t>קונטרס רחשי לבב</t>
  </si>
  <si>
    <t>גייטסהד</t>
  </si>
  <si>
    <t>קונטרס רחשי לבב ח"ב</t>
  </si>
  <si>
    <t>קונטרס רשימות בקידושין</t>
  </si>
  <si>
    <t>קונטרס שב שמעתתא</t>
  </si>
  <si>
    <t>קונטרס שבועת הדיינים</t>
  </si>
  <si>
    <t>קונטרס שבות עילם</t>
  </si>
  <si>
    <t>קונטרס שביבי משא - בראשית</t>
  </si>
  <si>
    <t>אדלשטיין, מרדכי שמואל</t>
  </si>
  <si>
    <t>קונטרס שבראנו לכבודו - 2 כרכים</t>
  </si>
  <si>
    <t>קונטרס שיעורים על מסכת בבא קמא</t>
  </si>
  <si>
    <t>ברוידא, מרדכי</t>
  </si>
  <si>
    <t>ישמח משה</t>
  </si>
  <si>
    <t>קונטרס שיר ומליצה ודברי התעוררות</t>
  </si>
  <si>
    <t>וויינברגר, אליהו בן שבתי</t>
  </si>
  <si>
    <t>קונטרס שירה על הים</t>
  </si>
  <si>
    <t>קונטרס שירת דוד</t>
  </si>
  <si>
    <t>פרלמוטר, דוד (עליו)</t>
  </si>
  <si>
    <t>קונטרס שירת הים</t>
  </si>
  <si>
    <t>ליברמן, יהודה משה בן צבי</t>
  </si>
  <si>
    <t>קונטרס שלהבת י"ה</t>
  </si>
  <si>
    <t>קונטרס שמח נפש</t>
  </si>
  <si>
    <t>קונטרס שמירת הברית</t>
  </si>
  <si>
    <t>נחמן בן שמחה מברסלב (מלוקטי מכתביו)</t>
  </si>
  <si>
    <t>קונטרס שמעתתא דחזקה</t>
  </si>
  <si>
    <t>קונטרס שמעתתא דחנוכה</t>
  </si>
  <si>
    <t>קונטרס שמעתתא דמוחזק</t>
  </si>
  <si>
    <t>קונטרס שנת השבע</t>
  </si>
  <si>
    <t>יפה, רפאל תנחום</t>
  </si>
  <si>
    <t>קונטרס שערי אורה קובץ ועדים</t>
  </si>
  <si>
    <t>מילר, אביגדור</t>
  </si>
  <si>
    <t>קונטרס שערי יוסף - 13 כרכים</t>
  </si>
  <si>
    <t>קונטרס שערי יסודות</t>
  </si>
  <si>
    <t>בוחבוט, יהודה בן דוד</t>
  </si>
  <si>
    <t>קונטרס שערי מועד - פסח</t>
  </si>
  <si>
    <t>קונטרס שש אנכי</t>
  </si>
  <si>
    <t>היימן, יוסף</t>
  </si>
  <si>
    <t>קונטרס תהילה לדוד</t>
  </si>
  <si>
    <t>קונטרס תורת הלשון - ב</t>
  </si>
  <si>
    <t>קובץ מבני הישיבות</t>
  </si>
  <si>
    <t>קונטרס תורת יחזקאל - 2 כרכים</t>
  </si>
  <si>
    <t>ישיבת אור יחזקאל</t>
  </si>
  <si>
    <t>קונטרס תיקון נשמה</t>
  </si>
  <si>
    <t>פלדמן, אלחנן דוד</t>
  </si>
  <si>
    <t>קונטרס תל ירמות</t>
  </si>
  <si>
    <t>לינצ'נר, שלמה</t>
  </si>
  <si>
    <t>קונטרס תפארת בנים</t>
  </si>
  <si>
    <t>אוירבאך, שלמה זלמן בן חיים יהודה ליב - בורודיאנסקי, אפרים</t>
  </si>
  <si>
    <t>קונטרס תפלות ותחנונים בענין התורה הק' מליקוטי תפ</t>
  </si>
  <si>
    <t>שטרנהארץ, נתן בן נפתלי הירץ</t>
  </si>
  <si>
    <t>קורות היהודים בספרד המוסלמית - ב</t>
  </si>
  <si>
    <t>אשתור, אליהו בן אברהם ליב</t>
  </si>
  <si>
    <t>תש"כ</t>
  </si>
  <si>
    <t>קורות עם עולם - א</t>
  </si>
  <si>
    <t>גוטקובסקי, יעקב בן אליהו</t>
  </si>
  <si>
    <t>לודז' Lodz</t>
  </si>
  <si>
    <t>קושיות אבי עזרי</t>
  </si>
  <si>
    <t>שך, אלעזר מנחם מן בן עזריאל</t>
  </si>
  <si>
    <t>קטלוג ברנד - 8 כרכים</t>
  </si>
  <si>
    <t>מכירות פומביות</t>
  </si>
  <si>
    <t>קטלוג גנזים - 3 כרכים</t>
  </si>
  <si>
    <t>קטלוג יודאיקה</t>
  </si>
  <si>
    <t>קטלוג קדם - 4 כרכים</t>
  </si>
  <si>
    <t>קדם בית מכירות פומביות</t>
  </si>
  <si>
    <t>קטלוג רפאלי - 6 כרכים</t>
  </si>
  <si>
    <t>קטלוג תאג' ארט - 3 כרכים</t>
  </si>
  <si>
    <t>קיבוץ ביכורים</t>
  </si>
  <si>
    <t>קידוש השם</t>
  </si>
  <si>
    <t>קיימו וקבלו</t>
  </si>
  <si>
    <t>קינה לדוד</t>
  </si>
  <si>
    <t>הלר, יחיאל בן אהרן</t>
  </si>
  <si>
    <t>קעניגסבערג</t>
  </si>
  <si>
    <t>תקט"ז</t>
  </si>
  <si>
    <t>קינות הלכות וסדר התפלה לתשעה באב</t>
  </si>
  <si>
    <t>קינות</t>
  </si>
  <si>
    <t>קינות כמנהג אשכנז &lt;מבוארות ומוערות&gt;</t>
  </si>
  <si>
    <t>שוסטר, שמעון</t>
  </si>
  <si>
    <t>קיצור דיני ומנהגי ליל הסדר</t>
  </si>
  <si>
    <t>כהן, חיים עוזר, בן אהרן</t>
  </si>
  <si>
    <t>קיצור דיני שביעית</t>
  </si>
  <si>
    <t>חלופסקי, יעקב בן יצחק נתן</t>
  </si>
  <si>
    <t>קיצור דיני שמיטת קרקעות</t>
  </si>
  <si>
    <t>נויבירט, יהושע ישעיה בן אהרן</t>
  </si>
  <si>
    <t>קיצור דינים דשבת</t>
  </si>
  <si>
    <t>שמש, יעקב</t>
  </si>
  <si>
    <t>קיצור הלכות - נדה ויחוד</t>
  </si>
  <si>
    <t>כ"ץ, חיים דוד - דאכנער, חיים שלמה (עורך)</t>
  </si>
  <si>
    <t>קיצור הלכות - חינוך הבנים, תפילין</t>
  </si>
  <si>
    <t>ישראלזון, יוסף ישראל</t>
  </si>
  <si>
    <t>קיצור הלכות ד' מינים</t>
  </si>
  <si>
    <t>אדלר, יהושע העשיל בן אהרן</t>
  </si>
  <si>
    <t>קיצור הלכות חלה</t>
  </si>
  <si>
    <t>קיצור הלכות יום טוב</t>
  </si>
  <si>
    <t>קיצור הלכות מועדים - 2 כרכים</t>
  </si>
  <si>
    <t>קיצור הקדמת הרמב"ם לפירוש המשניות</t>
  </si>
  <si>
    <t>קיצור מטה אפרים</t>
  </si>
  <si>
    <t>קיצור סדר היום לנשים</t>
  </si>
  <si>
    <t>קיצור ספרי בדיקת המזון כהלכה</t>
  </si>
  <si>
    <t>קיצור שו"ע ע"פ חזון עובדיה - 4 כרכים</t>
  </si>
  <si>
    <t>קיצור שו"ע ע"פ חזון עובדיה (בצרפתית) - 4 כרכים</t>
  </si>
  <si>
    <t>קיצור שלחן ערוך עם פסקי אדמו"ר הזקן</t>
  </si>
  <si>
    <t>גאנצפריד, שלמה בן יוסף</t>
  </si>
  <si>
    <t>קיצור תולדות היהודים בהונגריה מהימים הקדומים ועל לאחר השואה</t>
  </si>
  <si>
    <t>פרי (פרידמן), יצחק בן אפרים</t>
  </si>
  <si>
    <t>קירוב הגאולה</t>
  </si>
  <si>
    <t>תאומים, אברהם (אולי הוא אברהם משה חן תמים?)</t>
  </si>
  <si>
    <t>קמה אלמתי - א</t>
  </si>
  <si>
    <t>קנאת ציון - ב</t>
  </si>
  <si>
    <t>קנאת ציון</t>
  </si>
  <si>
    <t>אמשטרדם Amsterdam</t>
  </si>
  <si>
    <t>תר"ו !</t>
  </si>
  <si>
    <t>קנין דעה - 2 כרכים</t>
  </si>
  <si>
    <t>שרייבר, יששכר דב</t>
  </si>
  <si>
    <t>קסת הסופר &lt;לשכת הסופר&gt; - א (מהדורה חדשה)</t>
  </si>
  <si>
    <t>קערת כסף - פסח</t>
  </si>
  <si>
    <t>קצור הלכות נדה - 2 כרכים</t>
  </si>
  <si>
    <t>קצות החושן &lt;שמועות רבותינו&gt; - 2 כרכים</t>
  </si>
  <si>
    <t>קציר ראובן</t>
  </si>
  <si>
    <t>קליין, דניאל ראובן</t>
  </si>
  <si>
    <t>קצירת האומר - סנהדרין</t>
  </si>
  <si>
    <t>קרבן אברהם</t>
  </si>
  <si>
    <t>שנברגר, אברהם</t>
  </si>
  <si>
    <t>קרבן אהרן - מהדורה חדשה</t>
  </si>
  <si>
    <t>מועטי, אהרן בן אברהם</t>
  </si>
  <si>
    <t>תקל"ג</t>
  </si>
  <si>
    <t>קרבן איל</t>
  </si>
  <si>
    <t>קרבן אליהו</t>
  </si>
  <si>
    <t>קרואי מועד - יום טוב וראש חודש</t>
  </si>
  <si>
    <t>קריאה נאמנה</t>
  </si>
  <si>
    <t>תונס,</t>
  </si>
  <si>
    <t>קריאת הקודש</t>
  </si>
  <si>
    <t>קריאת שמע וברכותיה</t>
  </si>
  <si>
    <t>אביחצירא, יעקב בן מסעוד</t>
  </si>
  <si>
    <t>קרית מלך</t>
  </si>
  <si>
    <t>חסידי סאדיגורא</t>
  </si>
  <si>
    <t>קרית מלך - יא</t>
  </si>
  <si>
    <t>בטאון צעירי סאדיגורה</t>
  </si>
  <si>
    <t>קרן לדוד - החדש</t>
  </si>
  <si>
    <t>גרינוואלד, אליעזר דוד בן עמרם</t>
  </si>
  <si>
    <t>קרני אור - א</t>
  </si>
  <si>
    <t>ישיבת אור המאיר</t>
  </si>
  <si>
    <t>קרני ראם - מדע אהבה</t>
  </si>
  <si>
    <t>טויבש, אהרן משה בן יעקב</t>
  </si>
  <si>
    <t>קשר איתן בטאון ויזניץ - צב</t>
  </si>
  <si>
    <t>ר' אריה היה אומר</t>
  </si>
  <si>
    <t>לוין, אריה בן בנימין בינוש</t>
  </si>
  <si>
    <t>ר' דב מעיני</t>
  </si>
  <si>
    <t>מעיני, חזקיהו בצלאל</t>
  </si>
  <si>
    <t>ר' זעליג'ל קעלמער</t>
  </si>
  <si>
    <t>מינצר, ישראל</t>
  </si>
  <si>
    <t>ר' יצחק בדאהב מפעל חייו ושכונתו</t>
  </si>
  <si>
    <t>לוי, יוסף</t>
  </si>
  <si>
    <t>ראי"ה עשירית</t>
  </si>
  <si>
    <t>שולמן, שמואל ברוך בן מנחם ישראל</t>
  </si>
  <si>
    <t>ראש דבריך</t>
  </si>
  <si>
    <t>ראש דברך - מועדים</t>
  </si>
  <si>
    <t>מילר, אלכסנדר שאול</t>
  </si>
  <si>
    <t>ראש הישיבה - מרן הגאון רבי שמואל רוזובסקי זצ"ל</t>
  </si>
  <si>
    <t>רוזובסקי, מנחם חיים בן מיכל דוד</t>
  </si>
  <si>
    <t>ראש המלמדים - במדבר</t>
  </si>
  <si>
    <t>ראש חודש, ברכת החמה, ברכת הלבנה, בהלכה ובאגדה</t>
  </si>
  <si>
    <t>ראש יוסף - 2 כרכים</t>
  </si>
  <si>
    <t>כולל אברכים ראש  יוסף</t>
  </si>
  <si>
    <t>ראש שמחתי - שהחיינו</t>
  </si>
  <si>
    <t>ראשית דרכו - 3 כרכים</t>
  </si>
  <si>
    <t>רוזנפלד, אבי שלמה הכהן</t>
  </si>
  <si>
    <t>ראשית הציונות המדינית המודרנית</t>
  </si>
  <si>
    <t>פרנקל, דוב</t>
  </si>
  <si>
    <t>(חיפה,</t>
  </si>
  <si>
    <t>ראשית כל פרי - ביכורים</t>
  </si>
  <si>
    <t>פערסקי, יצחק יוסף בן אברהם</t>
  </si>
  <si>
    <t>ראשית עריסותכם - חלה</t>
  </si>
  <si>
    <t>שרייבר, דוד בן יוסף</t>
  </si>
  <si>
    <t>חמד</t>
  </si>
  <si>
    <t>רב בישראל</t>
  </si>
  <si>
    <t>בוקיעט, אברהם שמואל</t>
  </si>
  <si>
    <t>רב ברכות - ט</t>
  </si>
  <si>
    <t>רבה אמונתך</t>
  </si>
  <si>
    <t>רבינוביץ, יעקב עקיבא בן גמליאל הכהן</t>
  </si>
  <si>
    <t>רבי יעקב ן' נעים ויחסו לקבלה ולשבתאות - תדפיס</t>
  </si>
  <si>
    <t>שפיגל, יעקב שמואל בן יהודה</t>
  </si>
  <si>
    <t>רבי ישראל בעל שם טוב</t>
  </si>
  <si>
    <t>תש"ך,</t>
  </si>
  <si>
    <t>רבי מרדכי פגרמנסקי</t>
  </si>
  <si>
    <t>ביטון, מיכאל יעקב</t>
  </si>
  <si>
    <t>רבי נחום מטשרנוביל</t>
  </si>
  <si>
    <t>גוטמאן, מתתיהו יחזקאל בן שלום</t>
  </si>
  <si>
    <t>לודז,</t>
  </si>
  <si>
    <t>רבי עקיבא</t>
  </si>
  <si>
    <t>אפרתי, משה צבי בן אברהם מאיר</t>
  </si>
  <si>
    <t>רבי ראובן כ"ץ רבה של אם המושבות</t>
  </si>
  <si>
    <t>הרצברג, ישראל</t>
  </si>
  <si>
    <t>רבי שלום רדאעי וחיבוריו, תאניה ואניה, האסיף, מערכי לב</t>
  </si>
  <si>
    <t>רדאעי, שלום</t>
  </si>
  <si>
    <t>רבי שמואל אבו - חצירא,</t>
  </si>
  <si>
    <t>ריבלין, אליעזר בן בנימין</t>
  </si>
  <si>
    <t>רביד הזהב - 2 כרכים</t>
  </si>
  <si>
    <t>ברדא, דוד בן ישראל</t>
  </si>
  <si>
    <t>רבינו יוסף רוזין</t>
  </si>
  <si>
    <t>מכון תורה שלימה</t>
  </si>
  <si>
    <t>רבינו יחיא אלשיך</t>
  </si>
  <si>
    <t>אלשיך, יחיא בן נתנאל (עליו) - אלנדאף, ישראל מאיר בן דוד</t>
  </si>
  <si>
    <t>רואה בשמחתה</t>
  </si>
  <si>
    <t>רואי השמש - ילקוט לברכת החמה מגנזי מאורי אשכנז</t>
  </si>
  <si>
    <t>הורוויץ, יהודה אהרן בן ברוך הלוי</t>
  </si>
  <si>
    <t>רואין את הנשמע - 2 כרכים</t>
  </si>
  <si>
    <t>כהן, דוד (הנזיר)</t>
  </si>
  <si>
    <t>רוב דגן &lt;מהדורה חדשה&gt; - א</t>
  </si>
  <si>
    <t>עטיה, יצחק בן ישעיה</t>
  </si>
  <si>
    <t>רווחא שמעתא - 2 כרכים</t>
  </si>
  <si>
    <t>סולובייצ'יק, יצחק בן יוסף דובער הלוי</t>
  </si>
  <si>
    <t>רוח אליהו</t>
  </si>
  <si>
    <t>רוח חיים</t>
  </si>
  <si>
    <t>הופלאנד, כריסטוף ווילהלם</t>
  </si>
  <si>
    <t>רוח חיים &lt;מהדורת תושיה&gt;</t>
  </si>
  <si>
    <t>חיים בן יצחק מוולוז'ין</t>
  </si>
  <si>
    <t>רוח עצה וגבורה</t>
  </si>
  <si>
    <t>רופא חולים א</t>
  </si>
  <si>
    <t>רופא חולים ב</t>
  </si>
  <si>
    <t>רופא חולים ג</t>
  </si>
  <si>
    <t>רזא דמהימנותא &lt;רזא דארמונ"י&gt; א</t>
  </si>
  <si>
    <t>מנחם מנדל בן ברוך בנדט משקלוב</t>
  </si>
  <si>
    <t>רזא דשבתא</t>
  </si>
  <si>
    <t>ברדה, רז</t>
  </si>
  <si>
    <t>רזיאל המלאך - סודי רזיא - סוד קדושים</t>
  </si>
  <si>
    <t>אלעזר בן יהודה מגרמיזא - קורח, שלמה בן יחיה</t>
  </si>
  <si>
    <t>רחמים לחיים - אלול</t>
  </si>
  <si>
    <t>רחשי יוסף - נישואין ב</t>
  </si>
  <si>
    <t>דייטש, יוסף ישעיה בן חיים יהודה הלוי</t>
  </si>
  <si>
    <t>ריבית בגוי</t>
  </si>
  <si>
    <t>טורק, מרדכי יצחק בן דוב</t>
  </si>
  <si>
    <t>ריבית מפורשת - אגר נטר</t>
  </si>
  <si>
    <t>גוטשטיין, יוחנן בן לייב הכהן</t>
  </si>
  <si>
    <t>ריהטא דשמעתתא - קידושין, נזיר</t>
  </si>
  <si>
    <t>סטפנסקי, יעקב דוד בן רפאל</t>
  </si>
  <si>
    <t>ריח פנחס</t>
  </si>
  <si>
    <t>בן הרוש, פנחס</t>
  </si>
  <si>
    <t>רינת אברהם - איזהו נשך</t>
  </si>
  <si>
    <t>במברגר, אברהם בן משה אריה</t>
  </si>
  <si>
    <t>רינת אהרן - 4 כרכים</t>
  </si>
  <si>
    <t>גבאי, אהרן בן אליהו מנשה</t>
  </si>
  <si>
    <t>ריצבש"י - חתם סופר</t>
  </si>
  <si>
    <t>ברנפלד, יצחק צבי</t>
  </si>
  <si>
    <t>רמ"ח יסודות מצוות עשה - 2 כרכים</t>
  </si>
  <si>
    <t>מרציאנו, דוד בן משה</t>
  </si>
  <si>
    <t>רמות גלעד - ד</t>
  </si>
  <si>
    <t>ויספיש, אליעזר בן אברהם דוב</t>
  </si>
  <si>
    <t>רעיא מהימנא - 3 כרכים</t>
  </si>
  <si>
    <t>אליהו בן שלמה זלמן (הגר"א)  - מכון אלף המגן - לוי, אברהם (עורך)</t>
  </si>
  <si>
    <t>רעים אהובים</t>
  </si>
  <si>
    <t>סאוויצקי, מרדכי</t>
  </si>
  <si>
    <t>רפאני ה'</t>
  </si>
  <si>
    <t>רז, ישראל מאיר</t>
  </si>
  <si>
    <t>רפואה למכה &lt;מהדורה חדשה&gt;</t>
  </si>
  <si>
    <t>באקי, שמשון</t>
  </si>
  <si>
    <t>רפואות וסגולות</t>
  </si>
  <si>
    <t>רצון אליהו - ביאור הגר"א הלכות בדיקת חמץ</t>
  </si>
  <si>
    <t>גרינשפן, צבי אלימלך בן יצחק אייזיק</t>
  </si>
  <si>
    <t>רצון ישראל - שבת, מילה, תפילין</t>
  </si>
  <si>
    <t>ברגר, ישראל בן יצחק שמחה</t>
  </si>
  <si>
    <t>רצונך חפצתי</t>
  </si>
  <si>
    <t>רצח הקדוש ר' פנחס סגלוב</t>
  </si>
  <si>
    <t>סגלוב, פנחס (עליו)</t>
  </si>
  <si>
    <t>רק חזק ואמץ</t>
  </si>
  <si>
    <t>שטרנברג, מרדכי</t>
  </si>
  <si>
    <t>רש"י</t>
  </si>
  <si>
    <t>ספיבאק, יצחק בן אשר</t>
  </si>
  <si>
    <t>רשב"י ממתיבתא קדישא - 2 כרכים</t>
  </si>
  <si>
    <t>רשימות על מסכת בבא קמא</t>
  </si>
  <si>
    <t>רשפי אש - תורה ומועדים</t>
  </si>
  <si>
    <t>שאגת אריה &lt;מכון כנסת&gt; - מכות</t>
  </si>
  <si>
    <t>אריה ליב בן ברוך בנדיט</t>
  </si>
  <si>
    <t>שאגת אריה החדשות &lt;מכון משנת רבי אהרן&gt;</t>
  </si>
  <si>
    <t>שאגת כהן</t>
  </si>
  <si>
    <t>כץ, אריה בן מרדכי</t>
  </si>
  <si>
    <t>שאו מרום עיניכם</t>
  </si>
  <si>
    <t>כשר, מנחם מנדל</t>
  </si>
  <si>
    <t>שאול בחיר ה'</t>
  </si>
  <si>
    <t>שאי עטרה</t>
  </si>
  <si>
    <t>ישיבת עטרת שלמה - אור אליעזר</t>
  </si>
  <si>
    <t>שאילת משה - 3 כרכים</t>
  </si>
  <si>
    <t>שאל יעקב - ב</t>
  </si>
  <si>
    <t>נסיר, יעקב בן משה חיים</t>
  </si>
  <si>
    <t>שאלה בשם אומרו</t>
  </si>
  <si>
    <t>שאלו שלום ירושלים - 2 כרכים</t>
  </si>
  <si>
    <t>כהנוב, משה נחמיה בן משולם פייבוש</t>
  </si>
  <si>
    <t>שאלות ותשובות - מסכת סוטה</t>
  </si>
  <si>
    <t>בריגה, רון</t>
  </si>
  <si>
    <t>שאלות ותשובות - 7 כרכים</t>
  </si>
  <si>
    <t>צביון, יהושע בן יהודה</t>
  </si>
  <si>
    <t>שאלות ותשובות בסוד שיח - א</t>
  </si>
  <si>
    <t>יגל, שבתי בן גרשון</t>
  </si>
  <si>
    <t>שאלות ותשובות דבר חיים - א</t>
  </si>
  <si>
    <t>דייטש, חיים זאב ישראל</t>
  </si>
  <si>
    <t>שאלות ותשובות הגאונים</t>
  </si>
  <si>
    <t>תשובות הגאונים (של"ה)</t>
  </si>
  <si>
    <t>שאלות ותשובות הר"י לבית הלוי &lt;מהדורת זכרון אהרן&gt;</t>
  </si>
  <si>
    <t>יעקב בן ישראל הלוי</t>
  </si>
  <si>
    <t>שאלות ותשובות חידושי ופירושי רבי דוד בן שושן</t>
  </si>
  <si>
    <t>בן שושן, דוד</t>
  </si>
  <si>
    <t>שאלות ותשובות רבינו יוסף אבן ציאח</t>
  </si>
  <si>
    <t>ציאח, יוסף בן אברהם</t>
  </si>
  <si>
    <t>שאלות ותשובת בחושן משפט - ב</t>
  </si>
  <si>
    <t>בוארון, יוסף בן חי ברוך</t>
  </si>
  <si>
    <t>שאלת המטוטלת - ב</t>
  </si>
  <si>
    <t>גרין, אלחנן בן יצחק</t>
  </si>
  <si>
    <t>שאלת יעקב</t>
  </si>
  <si>
    <t>שוקרון, יעקב</t>
  </si>
  <si>
    <t>שאלתי מעמו - מועדים</t>
  </si>
  <si>
    <t>הירשוביץ, שאול</t>
  </si>
  <si>
    <t>שארית יוסף - א, ימי יוסף ב</t>
  </si>
  <si>
    <t>ידיד, יוסף בן מרדכי הלוי</t>
  </si>
  <si>
    <t>שארית יוסף וישראל</t>
  </si>
  <si>
    <t>זולדאן, ישראל יוסף</t>
  </si>
  <si>
    <t>שארית יעקב</t>
  </si>
  <si>
    <t>בלומטאל, יעקב מרדכי</t>
  </si>
  <si>
    <t>שארית לחיים</t>
  </si>
  <si>
    <t>שטראך, חיים דב בעריש בן שמואל ראובן</t>
  </si>
  <si>
    <t>שארית מנחם - 2 כרכים</t>
  </si>
  <si>
    <t>הגר, מנחם מנדל מויזניצא</t>
  </si>
  <si>
    <t>כתב יד</t>
  </si>
  <si>
    <t>שב שמעתתא - שמועות רבותינו</t>
  </si>
  <si>
    <t>שבועות</t>
  </si>
  <si>
    <t>(ירושלים</t>
  </si>
  <si>
    <t>שבות יעקב &lt;מהדורת זכרון אהרן&gt; - 3 כרכים</t>
  </si>
  <si>
    <t>ריישר, יעקב בן יוסף</t>
  </si>
  <si>
    <t>שבחה של ירושלים</t>
  </si>
  <si>
    <t>הדרי, חיים ישעיהו</t>
  </si>
  <si>
    <t>שבחו הדורים</t>
  </si>
  <si>
    <t>הרשקוביץ, חיים יעקב</t>
  </si>
  <si>
    <t>שבחי ארץ החיים</t>
  </si>
  <si>
    <t>שבחי ארץ הקדושה</t>
  </si>
  <si>
    <t>שבחי האר"י</t>
  </si>
  <si>
    <t>שבחי האר"י. תרכ"ד</t>
  </si>
  <si>
    <t>שבחי הבעש"ט</t>
  </si>
  <si>
    <t>שבחי הבעש"ט. תקע"ה</t>
  </si>
  <si>
    <t>קארעץ</t>
  </si>
  <si>
    <t>תקע"ו</t>
  </si>
  <si>
    <t>שבחי ירושלים &lt;דפוס ראשון&gt;</t>
  </si>
  <si>
    <t>ברוך, יעקב בן משה חיים</t>
  </si>
  <si>
    <t>תקמ"ה</t>
  </si>
  <si>
    <t>שבחי ירושלים</t>
  </si>
  <si>
    <t>ברוך, יעקב בן משה חיים הכהן</t>
  </si>
  <si>
    <t>זיטומיר</t>
  </si>
  <si>
    <t>ווארשא</t>
  </si>
  <si>
    <t>תקנ"ט</t>
  </si>
  <si>
    <t>שבחי כהן כתר תורה - מהדורה חדשה</t>
  </si>
  <si>
    <t>רבינוביץ, שלמה חנוך בן יחזקאל הכהן</t>
  </si>
  <si>
    <t>שבחי קול הנבואה</t>
  </si>
  <si>
    <t>על ספר קול הנבואה</t>
  </si>
  <si>
    <t>שבט מוסר</t>
  </si>
  <si>
    <t>לובלין</t>
  </si>
  <si>
    <t>שביב אור - בראשית</t>
  </si>
  <si>
    <t>שביבים מחיי הרבי והרבנית בצרפת</t>
  </si>
  <si>
    <t>מלול, יוסף יצחק</t>
  </si>
  <si>
    <t>שביל הלכה - 3 כרכים</t>
  </si>
  <si>
    <t>לניאדו, שאול בן יצחק</t>
  </si>
  <si>
    <t>מקסיקו סיטי</t>
  </si>
  <si>
    <t>שבילי דרקיע</t>
  </si>
  <si>
    <t>ליפשיץ, ישראל בן גדליה</t>
  </si>
  <si>
    <t>שבילין - 2 כרכים</t>
  </si>
  <si>
    <t>ישיבת נהר דעה</t>
  </si>
  <si>
    <t>נהריה</t>
  </si>
  <si>
    <t>שביעין חביבין</t>
  </si>
  <si>
    <t>שביעית ושמינית למעשה</t>
  </si>
  <si>
    <t>לבקוביץ, אריה</t>
  </si>
  <si>
    <t>שביתת יום טוב</t>
  </si>
  <si>
    <t>שבע ברכות למעשה</t>
  </si>
  <si>
    <t>נקי, יעקב ישראל בן שמואל</t>
  </si>
  <si>
    <t>שבע יפול צדיק וקם</t>
  </si>
  <si>
    <t>שבראנו לכבודו - אתה מחסי</t>
  </si>
  <si>
    <t>ננקנסקי, יהושע</t>
  </si>
  <si>
    <t>שבת אחים - אחי עזר</t>
  </si>
  <si>
    <t>שבת בראשית</t>
  </si>
  <si>
    <t>שבת הממלכה</t>
  </si>
  <si>
    <t>שבת ומועדים - ו</t>
  </si>
  <si>
    <t>פריינד, זאב</t>
  </si>
  <si>
    <t>שבת לה'</t>
  </si>
  <si>
    <t>שבתא טבא - הוצאה</t>
  </si>
  <si>
    <t>כולל שבראשות רבי אליעזר סטפן</t>
  </si>
  <si>
    <t>שדה יעקב</t>
  </si>
  <si>
    <t>עמינוח, נחמיה בן נח</t>
  </si>
  <si>
    <t>שדה צופים - 6 כרכים</t>
  </si>
  <si>
    <t>פרידמן, שמואל דוד בן יום טוב ליפא הכהן</t>
  </si>
  <si>
    <t>שהשמחה במעונו</t>
  </si>
  <si>
    <t>שו"ת אילן חיים - 2 כרכים</t>
  </si>
  <si>
    <t>גרינוולד, אילן בן משה - קנייבסקי, שמריהו יוסף חיים בן יעקב ישראל</t>
  </si>
  <si>
    <t>שו"ת אינתיפאדה</t>
  </si>
  <si>
    <t>אבינר שלמה</t>
  </si>
  <si>
    <t>שו"ת ברכת שמואל - א</t>
  </si>
  <si>
    <t>חיות, שמואל חיים בן משה דוד</t>
  </si>
  <si>
    <t>שו"ת דור רביעי - ב</t>
  </si>
  <si>
    <t>גלזנר, משה שמואל בן אברהם - קליין, שמואל מנחם</t>
  </si>
  <si>
    <t>שו"ת יביע אומר - 12 כרכים</t>
  </si>
  <si>
    <t>שו"ת יחוה דעת - 8 כרכים</t>
  </si>
  <si>
    <t>שו"ת יפתח ה' - 3 כרכים</t>
  </si>
  <si>
    <t>יפתח, שי</t>
  </si>
  <si>
    <t>שו"ת מהריל לא אבוש</t>
  </si>
  <si>
    <t>אורנשטיין, יהודה ליביש</t>
  </si>
  <si>
    <t>שו"ת מעין אומר - 2 כרכים</t>
  </si>
  <si>
    <t>נקי, יהודה</t>
  </si>
  <si>
    <t>שו"ת מעשה חושב - י</t>
  </si>
  <si>
    <t>שו"ת על מסכת חגיגה</t>
  </si>
  <si>
    <t>מכון חזרת הש"ס</t>
  </si>
  <si>
    <t>שו"ת על מסכת מועד קטן</t>
  </si>
  <si>
    <t>שו"ת פסקי הלכות בד' חלקי שו"ע - 2 כרכים</t>
  </si>
  <si>
    <t>בית דין צדק - מעלה אדומים</t>
  </si>
  <si>
    <t>שואל ומשיב - יג</t>
  </si>
  <si>
    <t>שואל ומשיב &lt;מהדורה חדשה&gt; - תליתאה א</t>
  </si>
  <si>
    <t>נתנזון, יוסף שאול בן אריה ליבוש הלוי</t>
  </si>
  <si>
    <t>שואלין ודורשין - חג הפסח</t>
  </si>
  <si>
    <t>קהל מחזיקי הדת טורנטו</t>
  </si>
  <si>
    <t>שובה ישראל</t>
  </si>
  <si>
    <t>ירוחם, אהרן</t>
  </si>
  <si>
    <t>שובו אלי</t>
  </si>
  <si>
    <t>שויתי ה'</t>
  </si>
  <si>
    <t>שולחן השבת</t>
  </si>
  <si>
    <t>המועצה הציבורית למען השבת</t>
  </si>
  <si>
    <t>שולחן ערוך הרב &lt;במשנת הרב&gt; - רבית א</t>
  </si>
  <si>
    <t>שיינברגר, יעקב שלמה</t>
  </si>
  <si>
    <t>שולי הגליון - 2 כרכים</t>
  </si>
  <si>
    <t>שומר ישראל</t>
  </si>
  <si>
    <t>ווידר, חיים מאיר</t>
  </si>
  <si>
    <t>סאטמר</t>
  </si>
  <si>
    <t>שופריה דיוסף &lt;מהדורה חדשה&gt;</t>
  </si>
  <si>
    <t>כהן, יוסף</t>
  </si>
  <si>
    <t>שושילתא קדישא</t>
  </si>
  <si>
    <t>שושני יעקב</t>
  </si>
  <si>
    <t>שושנת אברהם</t>
  </si>
  <si>
    <t>ליטש-רוזנבוים, אברהם בן יהודה הלוי</t>
  </si>
  <si>
    <t>שושנת העמקים - ימים נוראים ב</t>
  </si>
  <si>
    <t>הלברשטט, יצחק</t>
  </si>
  <si>
    <t>שושנת יעקב - פסחים א</t>
  </si>
  <si>
    <t>גרנדש, יעקב בן דוב הלוי</t>
  </si>
  <si>
    <t>שושנת יעקב צהלה ושמחה</t>
  </si>
  <si>
    <t>פינטו, שלמה אוריאל</t>
  </si>
  <si>
    <t>שחיטה ברורה</t>
  </si>
  <si>
    <t>חורוז'ינסקי, שמואל בן חיים בצלאל</t>
  </si>
  <si>
    <t>שחיטה וטריפות</t>
  </si>
  <si>
    <t>שחיטות ובדיקות</t>
  </si>
  <si>
    <t>ווייל, יעקב בן יהודה</t>
  </si>
  <si>
    <t>תק"ה</t>
  </si>
  <si>
    <t>שחיטות ובדיקות מהר"י ווייל עם ל"ז פירושים - שחיטות</t>
  </si>
  <si>
    <t>שחיטת הפסח</t>
  </si>
  <si>
    <t>שחיטת חולין - חולין, שחיטה</t>
  </si>
  <si>
    <t>שחר אורו - הרב משה צבי נריה זצ"ל</t>
  </si>
  <si>
    <t>בר-אלי, צלה</t>
  </si>
  <si>
    <t>שי למורא</t>
  </si>
  <si>
    <t>שי למורא - ג</t>
  </si>
  <si>
    <t>ברזלי, שמעון ישעיהו בן שמריהו</t>
  </si>
  <si>
    <t>שי למורא - תענית</t>
  </si>
  <si>
    <t>גריינימן, ישראל בן יצחק דוד</t>
  </si>
  <si>
    <t>שי למורה</t>
  </si>
  <si>
    <t>ביכלר, שמעון בן פינחס</t>
  </si>
  <si>
    <t>Budapest</t>
  </si>
  <si>
    <t>שי למלך - עד</t>
  </si>
  <si>
    <t>שיורי טהרה</t>
  </si>
  <si>
    <t>נסיר, יהודה</t>
  </si>
  <si>
    <t>שיח היחוד</t>
  </si>
  <si>
    <t>שכטר, יצחק בן שמואל אליהו</t>
  </si>
  <si>
    <t>שיח הסיום</t>
  </si>
  <si>
    <t>קנייבסקי, שמריהו יוסף חיים בן יעקב ישראל - דינין, משה בן אברהם</t>
  </si>
  <si>
    <t>שיח יהודה - 2 כרכים</t>
  </si>
  <si>
    <t>רפפורט, יהודה אריה בן יצחק הכהן</t>
  </si>
  <si>
    <t>שיח יוסף - ביאורי תפילה</t>
  </si>
  <si>
    <t>וויסבארד, יוסף בן שמואל</t>
  </si>
  <si>
    <t>שיח יעקב</t>
  </si>
  <si>
    <t>עדס, יעקב</t>
  </si>
  <si>
    <t>שיח יעקב - חשן משפט</t>
  </si>
  <si>
    <t>קצין, יעקב שאול</t>
  </si>
  <si>
    <t>שיח יצחק - שביעית</t>
  </si>
  <si>
    <t>שיח יצחק &lt;מהדורה חדשה&gt; - 3 כרכים</t>
  </si>
  <si>
    <t>שיח יצחק &lt;מכון כנסת&gt; - מכות</t>
  </si>
  <si>
    <t>חיות, יצחק בן אברהם</t>
  </si>
  <si>
    <t>שיח מישרים - 9</t>
  </si>
  <si>
    <t>שיח משה - סוכות</t>
  </si>
  <si>
    <t>לעווי, יעקב משה</t>
  </si>
  <si>
    <t>שיח משפט - ב</t>
  </si>
  <si>
    <t>שורצברט, יעקב בן שמחה יוסף הכהן</t>
  </si>
  <si>
    <t>שיח רב</t>
  </si>
  <si>
    <t>צוקרמן, אברהם</t>
  </si>
  <si>
    <t>כפר הרא"ה</t>
  </si>
  <si>
    <t>שיח שני</t>
  </si>
  <si>
    <t>קרליץ, שמריהו יוסף ניסים בן נחום מאיר - חלאווה, משה</t>
  </si>
  <si>
    <t>שיחו בכל נפלאותיו</t>
  </si>
  <si>
    <t>שיחות הרב צבי יהודה &lt;סדרה ישנה&gt;- 16 כלל ישראל - א (בראשית)</t>
  </si>
  <si>
    <t>שיחות חיזוק ערב ראש חודש נובהרדוק</t>
  </si>
  <si>
    <t>שיחות מוסר</t>
  </si>
  <si>
    <t>שיחות לימי הפורים ומגילת אסתר</t>
  </si>
  <si>
    <t>ישיבת בית אל</t>
  </si>
  <si>
    <t>שיחות לימים הנוראים</t>
  </si>
  <si>
    <t>שיחות נובהרדוק - ב</t>
  </si>
  <si>
    <t>שיחות נובהרדוק</t>
  </si>
  <si>
    <t>שיחות רבי יעקב</t>
  </si>
  <si>
    <t>ביסטריץ, יעקב בן נחמן</t>
  </si>
  <si>
    <t>שיחת הנפש</t>
  </si>
  <si>
    <t>שיחת צבי - 2 כרכים</t>
  </si>
  <si>
    <t>כהנא, צבי בן יצחק הכהן</t>
  </si>
  <si>
    <t>שיטה מקובצת על תלמוד ירושלמי - בבא קמא</t>
  </si>
  <si>
    <t>שיינין, אברהם - שיינין, שמעון</t>
  </si>
  <si>
    <t>שיטת הסימנים - בבא מציעא</t>
  </si>
  <si>
    <t>שמידט, יהושע מרדכי</t>
  </si>
  <si>
    <t>שבי שומרון</t>
  </si>
  <si>
    <t>שיירי מנחה</t>
  </si>
  <si>
    <t>וינברג, יוסף</t>
  </si>
  <si>
    <t>שילהי האיתנים</t>
  </si>
  <si>
    <t>שימה בפיהם - ארבע אבות</t>
  </si>
  <si>
    <t>רוטבוים, אהרן</t>
  </si>
  <si>
    <t>שימני כחותם</t>
  </si>
  <si>
    <t>שינון כהלכה - הלכות מזוזה-מעקה-שילוח הקן</t>
  </si>
  <si>
    <t>שיעורי בנין אב</t>
  </si>
  <si>
    <t>שולמן, אליהו ברוך בן ניסן אלחנן הלוי</t>
  </si>
  <si>
    <t>שיעורי בקיאות - קידושין</t>
  </si>
  <si>
    <t>כץ, יהודה אריה</t>
  </si>
  <si>
    <t>שיעורי דרך התורה - קידושין</t>
  </si>
  <si>
    <t>גרוס, מיכאל צבי</t>
  </si>
  <si>
    <t>שיעורי הגר"ח קמיל - יבמות, סנהדרין</t>
  </si>
  <si>
    <t>קמיל, חיים הכהן</t>
  </si>
  <si>
    <t>שיעורי הגר"מ - 2 כרכים</t>
  </si>
  <si>
    <t>פרידמן, משה</t>
  </si>
  <si>
    <t>שיעורי הגרב"ד פוברסקי - 8 כרכים</t>
  </si>
  <si>
    <t>שיעורי הוצאה</t>
  </si>
  <si>
    <t>שיעורי הוראה</t>
  </si>
  <si>
    <t>משולמי, משולם</t>
  </si>
  <si>
    <t>שיעורי הכולל - הגעלת כלים</t>
  </si>
  <si>
    <t>רוטנברג, ישראל</t>
  </si>
  <si>
    <t>שיעורי הלכה - הכנה לפסח וליל הסדר</t>
  </si>
  <si>
    <t>שרייבר, דוד בן פנחס</t>
  </si>
  <si>
    <t>שיעורי הלכה - ספירת העומר, חג השבועות</t>
  </si>
  <si>
    <t>שיעורי הלכה למשה - א</t>
  </si>
  <si>
    <t>נקש, אברהם משה בן פדהאל</t>
  </si>
  <si>
    <t>שיעורי הרא"מ פייבלזון - 2 כרכים</t>
  </si>
  <si>
    <t>פייבלזון, אליהו מאיר בן שמואל אביגדור - תלמידי הרב</t>
  </si>
  <si>
    <t>שיעורי חומש - אורי וישעי לזכר מרן הגרא"מ שך</t>
  </si>
  <si>
    <t>קלאר, ישעיה הכהן</t>
  </si>
  <si>
    <t>שיעורי מורינו הגאון רבי פנחס זליבנסקי - יבמות</t>
  </si>
  <si>
    <t>ישיבת קנין דעת</t>
  </si>
  <si>
    <t>שיעורי מורנו רבי שמעון אהרן ברזילי - בבא בתרא (השותפין)</t>
  </si>
  <si>
    <t>חזן, שלמה יהודה (עורך)</t>
  </si>
  <si>
    <t>שיעורי מסכת סנהדרין</t>
  </si>
  <si>
    <t>ברוידא, שמחה זיסל</t>
  </si>
  <si>
    <t xml:space="preserve">תשמ"ז - </t>
  </si>
  <si>
    <t>שיעורי מקומות - בבא קמא</t>
  </si>
  <si>
    <t>ישיבת היכל שמואל</t>
  </si>
  <si>
    <t>שיעורי מרנן ראשי הישיבה - כתובות</t>
  </si>
  <si>
    <t>פוברסקי, דוד - רוזובסקי, שמואל</t>
  </si>
  <si>
    <t>שיעורי משה - ברכות שבת</t>
  </si>
  <si>
    <t>אקוקה, משה</t>
  </si>
  <si>
    <t>שיעורי נתיבות אשר - 7 כרכים</t>
  </si>
  <si>
    <t>דומב, אשר</t>
  </si>
  <si>
    <t>שיעורי עיון התלמוד - ג קידושין, קדשים</t>
  </si>
  <si>
    <t>ברמן, אבא</t>
  </si>
  <si>
    <t>שיעורי פסח</t>
  </si>
  <si>
    <t>שיעורי רבי אליהו ברוך - 2 כרכים</t>
  </si>
  <si>
    <t>פינקל, אליהו ברוך בן משה</t>
  </si>
  <si>
    <t>שיעורי רבי אשר - גיטין</t>
  </si>
  <si>
    <t>וסרמן, אשר זעליג</t>
  </si>
  <si>
    <t>שיעורי רבי יעקב משה ליבוביץ - קידושין</t>
  </si>
  <si>
    <t>קורדובה, משה - ליבוביץ, יעקב משה</t>
  </si>
  <si>
    <t>שיעורי רבי ישראל - בבא קמא</t>
  </si>
  <si>
    <t>אדלשטיין, ישראל</t>
  </si>
  <si>
    <t>שיעורי רבינו הגאון הרב פסח שטיין שליט"א - חולין</t>
  </si>
  <si>
    <t>שטיין, פסח יצחק בן אהרון שמואל</t>
  </si>
  <si>
    <t>שיעורי תורה לרופאים - ו</t>
  </si>
  <si>
    <t>שיעורים - 2 כרכים</t>
  </si>
  <si>
    <t>רוזן, יגאל בן דב</t>
  </si>
  <si>
    <t>שיעורים בהלכות פורים</t>
  </si>
  <si>
    <t>שיעורים בהמשך המאמרים בשעה שהקדימו תער"ב - 4 כרכים</t>
  </si>
  <si>
    <t>מכון דעת</t>
  </si>
  <si>
    <t>שיעורים במסכת בבא בתרא</t>
  </si>
  <si>
    <t>ישיבת היכל יצחק</t>
  </si>
  <si>
    <t>שיעורים במסכת כתובות</t>
  </si>
  <si>
    <t>פרידמן, משה בן אהרן נחמן הלוי</t>
  </si>
  <si>
    <t>שיעורים במסכת קידושין - 2 כרכים</t>
  </si>
  <si>
    <t>גפני, מאיר</t>
  </si>
  <si>
    <t>שיעורים במסכת שבועות</t>
  </si>
  <si>
    <t>שיעורים במשנה - ר"ה, תענית, מגילה</t>
  </si>
  <si>
    <t>היינמאן, יוסף בן יעקב</t>
  </si>
  <si>
    <t>שיעורים בעניני מוקצה</t>
  </si>
  <si>
    <t>שיעורים וכתבים - אורח חיים ויורה דעה</t>
  </si>
  <si>
    <t>גריינימן, הראי"ש בן הגרח"ש</t>
  </si>
  <si>
    <t>שיעורים וכתבים, זרעים - 2 כרכים</t>
  </si>
  <si>
    <t>שיעורים וכתבים, נזיקין - בבא בתרא</t>
  </si>
  <si>
    <t>שיעורים וכתבים, נשים - גיטין</t>
  </si>
  <si>
    <t>שיעורים כללים - 3 כרכים</t>
  </si>
  <si>
    <t>כהן, גרשון</t>
  </si>
  <si>
    <t>שיעורים עפ"י הגרי"ג - 2 כרכים</t>
  </si>
  <si>
    <t>אטינגר, משה שמואל</t>
  </si>
  <si>
    <t>שיר בר יוחאי עם באור ומקורות</t>
  </si>
  <si>
    <t>גוטפרב, מנחם בן ציון בן יצחק דוד</t>
  </si>
  <si>
    <t>שיר השירים &lt;צרור המור&gt;</t>
  </si>
  <si>
    <t>שיר השירים עם דברי שיר</t>
  </si>
  <si>
    <t>שיר השירים עם פרישת יצחק אהרן</t>
  </si>
  <si>
    <t>יצחק בן מאיר אהרן מלובלין</t>
  </si>
  <si>
    <t>שיר השירים תרגום ארמי - תרגום עברי תפסיר בלשון יהודי פרס</t>
  </si>
  <si>
    <t>שיר השירים. תפסיר.</t>
  </si>
  <si>
    <t>שיר ושבחה הלל וזמרה</t>
  </si>
  <si>
    <t>חברת מגן דוד</t>
  </si>
  <si>
    <t>שירי זמרה</t>
  </si>
  <si>
    <t>עבוד, חיים שאול בן אברהם</t>
  </si>
  <si>
    <t>שירת אליעזר</t>
  </si>
  <si>
    <t>שירת בנייך</t>
  </si>
  <si>
    <t>משפחת רבי קלמן לנדא</t>
  </si>
  <si>
    <t>שירת הים - פירות האילן</t>
  </si>
  <si>
    <t>אונגר, שלום גרשון</t>
  </si>
  <si>
    <t>שירת הים - 2 כרכים</t>
  </si>
  <si>
    <t>מרצבך, הלל יעקב</t>
  </si>
  <si>
    <t>שירת המועדים - פורים</t>
  </si>
  <si>
    <t>קרויזר, משה פישל בן מרדכי יהושע</t>
  </si>
  <si>
    <t>שירת הקדש בדרום מזרח אירופה</t>
  </si>
  <si>
    <t>וינברגר, יהודה ליב</t>
  </si>
  <si>
    <t>סיניסטי</t>
  </si>
  <si>
    <t>שירת השבת</t>
  </si>
  <si>
    <t>שירת התורה - בדיני ריבית</t>
  </si>
  <si>
    <t>שירת חיים</t>
  </si>
  <si>
    <t>שירת יהודה - בראשית</t>
  </si>
  <si>
    <t>מאיר, אפרים שמואל בן משה דוד</t>
  </si>
  <si>
    <t>שירת משה</t>
  </si>
  <si>
    <t>רודמן, משה צבי בן מנחם</t>
  </si>
  <si>
    <t>שירת משה - חולין</t>
  </si>
  <si>
    <t>כולל שירת משה - אור אלחנן</t>
  </si>
  <si>
    <t>שירת נתן - 14 כרכים</t>
  </si>
  <si>
    <t>מאי, אשר דוד בן נתן</t>
  </si>
  <si>
    <t>שכירות בית בהלכה</t>
  </si>
  <si>
    <t>רוזין, אברהם בן קלונימוס קלמן</t>
  </si>
  <si>
    <t>שלהבת - 120 כרכים</t>
  </si>
  <si>
    <t>ירחון לנוער ע"י מפעל תורה ודעת</t>
  </si>
  <si>
    <t>שלוח הלשון</t>
  </si>
  <si>
    <t>תרע"ה,</t>
  </si>
  <si>
    <t>שלוחות - 8 כרכים</t>
  </si>
  <si>
    <t>ירחון לנוער הדתי</t>
  </si>
  <si>
    <t>תש"כ - תשכ"ב</t>
  </si>
  <si>
    <t>שלום ירושלים</t>
  </si>
  <si>
    <t>אופן,</t>
  </si>
  <si>
    <t>[ת"ר,</t>
  </si>
  <si>
    <t>שלום שלום ואין שלום</t>
  </si>
  <si>
    <t>שלומים לריב ציון</t>
  </si>
  <si>
    <t>שלוש הרצאות על התרגום</t>
  </si>
  <si>
    <t>מירסקי, אהרן</t>
  </si>
  <si>
    <t>שלושים יום קודם החג - 2 כרכים</t>
  </si>
  <si>
    <t>שלושים שנה לקונטרס 'בית רבינו שבבבל'</t>
  </si>
  <si>
    <t>שלחן דרבנן - חולין, איסור והיתר</t>
  </si>
  <si>
    <t>שלחן הטהור - מאמר אמונה ופרנסה</t>
  </si>
  <si>
    <t>שלחן העזר - 2 כרכים</t>
  </si>
  <si>
    <t>אבוטבול, יוסף חיים בן ציון</t>
  </si>
  <si>
    <t>שלחן מבואר</t>
  </si>
  <si>
    <t>שיזדה, משה בן סיני</t>
  </si>
  <si>
    <t>שלחן מלכים ביאור על עץ חיים - ב</t>
  </si>
  <si>
    <t>חזן, שלמה בן אלעזר</t>
  </si>
  <si>
    <t>שלחן מסודר - 2 כרכים</t>
  </si>
  <si>
    <t>שוורץ, יעקב ישראל בן צבי הכהן</t>
  </si>
  <si>
    <t>שלחן ערוך - או"ח קנה קנו</t>
  </si>
  <si>
    <t>שלחן ערוך אבן שתיה</t>
  </si>
  <si>
    <t>[תרכ"ב,</t>
  </si>
  <si>
    <t>שלחן ערוך הרב סימנים קנה-קנו &lt;מהדורה מתוקנת ומבוארת עם הוספות מכתב יד&gt;</t>
  </si>
  <si>
    <t>שלחן ערוך הרב עם ביאור דברי שלום - הלכות שבת ב</t>
  </si>
  <si>
    <t>לוין, שלום דובער</t>
  </si>
  <si>
    <t>שלחן ערוך השל"ה - 2 כרכים</t>
  </si>
  <si>
    <t>אייזנשטיין, יוסף שאול</t>
  </si>
  <si>
    <t>שלחן ערוך השלם &lt;מהדורת פריעדמאן&gt; - לג אה"ע ד* (סדר השמות)</t>
  </si>
  <si>
    <t>קארו, יוסף בן אפרים</t>
  </si>
  <si>
    <t>שלחן ערוך מטור אורח חיים - ב</t>
  </si>
  <si>
    <t>שלחן ערוך עם תורת חכמי אר"ץ</t>
  </si>
  <si>
    <t>כהן, מרדכי בן ראובן (עורך)</t>
  </si>
  <si>
    <t>שלחן קטן</t>
  </si>
  <si>
    <t>שלמי דעה - בשר בחלב</t>
  </si>
  <si>
    <t>פרידלנדר, דוד לייב</t>
  </si>
  <si>
    <t>שלמי חושן - 4 כרכים</t>
  </si>
  <si>
    <t>יורוביץ, שלום נח</t>
  </si>
  <si>
    <t>שלמי חיים - שהיה חזרה הטמנה ומוקצה</t>
  </si>
  <si>
    <t>פרחים, יוסף ברוך הלוי</t>
  </si>
  <si>
    <t>שלמי טוהר</t>
  </si>
  <si>
    <t>פרידלנדר, דוד ליב בן שלמה</t>
  </si>
  <si>
    <t>שלמי יהונתן - 2 כרכים</t>
  </si>
  <si>
    <t>שלמי יוסף - ב</t>
  </si>
  <si>
    <t>וייסמן, אהרן שלמה בן זיידא יוסף</t>
  </si>
  <si>
    <t>שלמי יוסף - שביעית</t>
  </si>
  <si>
    <t>אברכי כולל פוניבז'</t>
  </si>
  <si>
    <t>שלמי כהן - פסחים</t>
  </si>
  <si>
    <t>כהנוב, שלמה</t>
  </si>
  <si>
    <t>חשע"ו</t>
  </si>
  <si>
    <t>שלמי מנחם - 5 כרכים</t>
  </si>
  <si>
    <t>הוכברגר, מנחם בן יעקב</t>
  </si>
  <si>
    <t>שלמי משה - הלכות סוכה</t>
  </si>
  <si>
    <t>שבות, משה בן אברהם</t>
  </si>
  <si>
    <t>שלמי שבת</t>
  </si>
  <si>
    <t>שלמי שמחה - קדשים</t>
  </si>
  <si>
    <t>במברגר, שמחה בן משה אריה הלוי</t>
  </si>
  <si>
    <t>שלמי שמחה - יבמות, שמיטה</t>
  </si>
  <si>
    <t>שלמי שמחה - 4 כרכים</t>
  </si>
  <si>
    <t>שלמי שמחה</t>
  </si>
  <si>
    <t>שלמי תודה - כתובות</t>
  </si>
  <si>
    <t>ביטאן, שלום בן אליהו</t>
  </si>
  <si>
    <t>שלמת אליהו - יו"ד (קו-קח)</t>
  </si>
  <si>
    <t>אליהו בן שלמה זלמן (הגר"א)  - לוונטהל, שלמה מתתיהו בן אברהם</t>
  </si>
  <si>
    <t>שלמת יעקב - ג</t>
  </si>
  <si>
    <t>שלמת יעקב</t>
  </si>
  <si>
    <t>אריאלי, שלמה בן יעקב</t>
  </si>
  <si>
    <t>שלשה אחים - 3 כרכים</t>
  </si>
  <si>
    <t>מורגנשטרן, יעקב</t>
  </si>
  <si>
    <t>שלשה חלקי כפרה &lt;מהדורה חדשה&gt;</t>
  </si>
  <si>
    <t>שלשה מאמרים נפתחים - לך לך</t>
  </si>
  <si>
    <t>גמסון, משה אפרים</t>
  </si>
  <si>
    <t>נורית</t>
  </si>
  <si>
    <t>שלשה ספרים נפתחים</t>
  </si>
  <si>
    <t>קאצבורג, דוד צבי בן משולם זלמן הכהן</t>
  </si>
  <si>
    <t>בודאפעסט,</t>
  </si>
  <si>
    <t>תש"ב</t>
  </si>
  <si>
    <t>שלשלת היחס לצאצאי רבי חיים יוסף גוטליב</t>
  </si>
  <si>
    <t>ישיבת רבינו חיים יוסף</t>
  </si>
  <si>
    <t>שם אבי - תורת יצחק</t>
  </si>
  <si>
    <t>אריאל, שלום מרדכי בן יצחק - אריאל, יצחק בן משה</t>
  </si>
  <si>
    <t>שם הבדלח - על התורה</t>
  </si>
  <si>
    <t>קריסטל, משה אהרן</t>
  </si>
  <si>
    <t>שם ושארית ישראל &lt;מהדורה חדשה&gt; - 2 כרכים</t>
  </si>
  <si>
    <t>פרטיגול, ישראל אברהם</t>
  </si>
  <si>
    <t>שם טוב</t>
  </si>
  <si>
    <t>ספר זכרון לר' מאיר ושושנה פריזרוביץ</t>
  </si>
  <si>
    <t>שם יוסף &lt;מהדורה חדשה&gt; - 2 כרכים</t>
  </si>
  <si>
    <t>מועטי, יוסף</t>
  </si>
  <si>
    <t>[תרל"ט],</t>
  </si>
  <si>
    <t>שם משמואל &lt;מהדורה חדשה&gt;</t>
  </si>
  <si>
    <t>ענגיל, שמואל בן זאב</t>
  </si>
  <si>
    <t>שם משמעון - הלכות שבת</t>
  </si>
  <si>
    <t>שמועה טובה</t>
  </si>
  <si>
    <t>ישיבה לצעירים כנסת חזקיהו</t>
  </si>
  <si>
    <t>שמועסן מיט קינדער - 2 כרכים</t>
  </si>
  <si>
    <t>שמועת חיים - מילה וגרות</t>
  </si>
  <si>
    <t>יוז'וק, חיים בן שמעון אריה</t>
  </si>
  <si>
    <t>שמות 50.000 עולי תימן בעליה הגדולה</t>
  </si>
  <si>
    <t>גברא, משה</t>
  </si>
  <si>
    <t>שמחה לאיש - 4 כרכים</t>
  </si>
  <si>
    <t>אבא שאול, יצחק אפרים בן אליהו</t>
  </si>
  <si>
    <t>שמחה לנפש קול מנחם - 2 כרכים</t>
  </si>
  <si>
    <t>שמחת אבי</t>
  </si>
  <si>
    <t>קולנגי, יונתן בן אליעזר</t>
  </si>
  <si>
    <t>שמחת אשר - כתמים, וסתות</t>
  </si>
  <si>
    <t>לבין, אשר צבי בן אברהם שמחה</t>
  </si>
  <si>
    <t>שמחת הרגל - מהדורה חדשה</t>
  </si>
  <si>
    <t>שמחת חיים - יום טוב, חול המועד</t>
  </si>
  <si>
    <t>ווייס, חיים אלעזר</t>
  </si>
  <si>
    <t>שמחת יהודה - 3 כרכים</t>
  </si>
  <si>
    <t>לנג, יהודה יהושע</t>
  </si>
  <si>
    <t>שמיטה כמצותה - 2 כרכים</t>
  </si>
  <si>
    <t>קיסרר, יצחק שמואל</t>
  </si>
  <si>
    <t>שמיטת הסופר</t>
  </si>
  <si>
    <t>שמירת הלשון &lt;ארחות חיים&gt;</t>
  </si>
  <si>
    <t>שמירת המועד כהלכתו</t>
  </si>
  <si>
    <t>ליברמן, משה אפרים בן אשר חיים</t>
  </si>
  <si>
    <t>שמירת הסופר</t>
  </si>
  <si>
    <t>שמן הטוב</t>
  </si>
  <si>
    <t>ויינברגר, דוב זאב בן יהושע</t>
  </si>
  <si>
    <t>שמן המשחה</t>
  </si>
  <si>
    <t>דוידוביץ, מנשה שמחה בן ישראל יעקב</t>
  </si>
  <si>
    <t>רמת השרון</t>
  </si>
  <si>
    <t>שמן טוב</t>
  </si>
  <si>
    <t>שמן ראש - 4 כרכים</t>
  </si>
  <si>
    <t>כץ, אשר אנשיל בן יהושע</t>
  </si>
  <si>
    <t>שמן ראש - בבא קמא, בבא בתרא</t>
  </si>
  <si>
    <t>ראנד, אברהם שמואל</t>
  </si>
  <si>
    <t>שמן ראש &lt;הוצאה ישנה&gt; חלק חמישי - 7 כרכים</t>
  </si>
  <si>
    <t>שמע אבי</t>
  </si>
  <si>
    <t>דגו, אפרים</t>
  </si>
  <si>
    <t>שמע אפרים - בראשית</t>
  </si>
  <si>
    <t>שמע מרדכי</t>
  </si>
  <si>
    <t>וינברג, מרדכי זיידל בן אברהם יהושע העשיל</t>
  </si>
  <si>
    <t>שמעתא עמיקתא - 2 כרכים</t>
  </si>
  <si>
    <t>בורגר, יוחנן דניאל</t>
  </si>
  <si>
    <t>שנה לאסון מירון</t>
  </si>
  <si>
    <t>שנות דור ודור - ו</t>
  </si>
  <si>
    <t>דסלר, ראובן דוב בן נחום זאב</t>
  </si>
  <si>
    <t>שנות יהושע</t>
  </si>
  <si>
    <t>בעק, יהושע בן יעקב נטע</t>
  </si>
  <si>
    <t>ציריך Zurich</t>
  </si>
  <si>
    <t>שני לוחות הברית - דרך חיים ותוכחות מוסר</t>
  </si>
  <si>
    <t>שעורי חולין - ע"ז</t>
  </si>
  <si>
    <t>כולל תורת משה</t>
  </si>
  <si>
    <t>שעורי מורינו ראש הישיבה - כתובות קידושין</t>
  </si>
  <si>
    <t>ווייס, ישראל מאיר</t>
  </si>
  <si>
    <t>שעורי מורנו הגר"ש רוזובסקי - כתובות</t>
  </si>
  <si>
    <t>רוזובסקי, שמואל בן מיכל דוד</t>
  </si>
  <si>
    <t>שעורי משה - ברכות-שבת</t>
  </si>
  <si>
    <t>שעורי עז - חולין</t>
  </si>
  <si>
    <t>שעורי רבותינו - 2 כרכים</t>
  </si>
  <si>
    <t>ראשי ישיבת טלז</t>
  </si>
  <si>
    <t>קליוולנד</t>
  </si>
  <si>
    <t>שעורי רבנו משולם דוד הלוי מנחות &lt;מהדורת הרב שפיגל&gt; ג</t>
  </si>
  <si>
    <t>סולובייצ'יק, משולם דוד הלוי</t>
  </si>
  <si>
    <t>שעורים בהלכות שבת - 2 כרכים</t>
  </si>
  <si>
    <t>שער בין החומתיים בדין ספק מוקפין</t>
  </si>
  <si>
    <t>שער הבטחון</t>
  </si>
  <si>
    <t>קאהן, משה הכהן</t>
  </si>
  <si>
    <t>שער זאת חנוכה</t>
  </si>
  <si>
    <t>שער יששכר &lt;מהדורה חדשה&gt;  - 3 כרכים</t>
  </si>
  <si>
    <t>שפירא, חיים אלעזר בן צבי הירש</t>
  </si>
  <si>
    <t>שערי אורה - מלאכת שבת</t>
  </si>
  <si>
    <t>שטרנבוך, ישראל מאיר</t>
  </si>
  <si>
    <t>שערי אפרים &lt;פתחי שערים- שערי רחמים- שערי חיים&gt;</t>
  </si>
  <si>
    <t>ארשיווא,</t>
  </si>
  <si>
    <t>שערי אריה</t>
  </si>
  <si>
    <t>אידנסון, אריה</t>
  </si>
  <si>
    <t>שערי בר מצוה ומצות תפילין</t>
  </si>
  <si>
    <t>שערי ברכות</t>
  </si>
  <si>
    <t>שערי דבר - 2 כרכים</t>
  </si>
  <si>
    <t>הלל, דוד</t>
  </si>
  <si>
    <t>שערי דוד</t>
  </si>
  <si>
    <t>שרעבי, דוד שלום בן בנימין</t>
  </si>
  <si>
    <t>שערי דורא &lt;מהדורת דבליצקי&gt; - א</t>
  </si>
  <si>
    <t>יצחק בן מאיר הלוי מדורא</t>
  </si>
  <si>
    <t>שערי דורא &lt;מהדורת דבליצקי&gt; - ב</t>
  </si>
  <si>
    <t>שערי דמעה &lt;דפוס ראשון&gt;</t>
  </si>
  <si>
    <t>שמואל בן יהושע זליג מדולהינוב</t>
  </si>
  <si>
    <t>[תר"ט,</t>
  </si>
  <si>
    <t>שערי דמעה</t>
  </si>
  <si>
    <t>שערי דמעה - ב</t>
  </si>
  <si>
    <t>שערי דמעה וישועה</t>
  </si>
  <si>
    <t>שערי הלכה - תולעים ומאכלי גוים</t>
  </si>
  <si>
    <t>גבריאל, יניב</t>
  </si>
  <si>
    <t>שערי המועדים</t>
  </si>
  <si>
    <t>שערי המצוות - 7 כרכים</t>
  </si>
  <si>
    <t>שערי חן - 3 כרכים</t>
  </si>
  <si>
    <t>שערי טוביה - שער הסוגיות</t>
  </si>
  <si>
    <t>וויס, יצחק טוביה</t>
  </si>
  <si>
    <t>שערי יוסף - 2 כרכים</t>
  </si>
  <si>
    <t>שערי ירושלים &lt;דפוס ראשון&gt;</t>
  </si>
  <si>
    <t>נוסבוים, משה בן מנחם מנדל</t>
  </si>
  <si>
    <t>שערי ירושלים</t>
  </si>
  <si>
    <t>שערי ישועה כתבי סגולה מהבעש"ט</t>
  </si>
  <si>
    <t>ישראל בן אליעזר (בעש"ט)</t>
  </si>
  <si>
    <t>סקואני ברוקלין</t>
  </si>
  <si>
    <t>שערי ישר &lt;משפט השער&gt; - 2 כרכים</t>
  </si>
  <si>
    <t>שקופ, שמעון יהודה בן יצחק שמואל הכהן</t>
  </si>
  <si>
    <t>שערי כלולתנו</t>
  </si>
  <si>
    <t>שערי כללותנו</t>
  </si>
  <si>
    <t>שערי מוקצה</t>
  </si>
  <si>
    <t>שרים, אליהו בן מתתיה</t>
  </si>
  <si>
    <t>שערי מוריה - 2 כרכים</t>
  </si>
  <si>
    <t>שערי מזוזות</t>
  </si>
  <si>
    <t>אדלר, יקותיאל</t>
  </si>
  <si>
    <t>שערי צדק</t>
  </si>
  <si>
    <t>שהרבאני, מנשה בן סלמאן</t>
  </si>
  <si>
    <t>אביעזר בן יצחק מטיקטין</t>
  </si>
  <si>
    <t>שערי ציון - ד</t>
  </si>
  <si>
    <t>רבינוביץ, שמואל בן ציון בן חיים יהודה</t>
  </si>
  <si>
    <t>שערי ציון - א</t>
  </si>
  <si>
    <t>כולל אברכים כתר תורה</t>
  </si>
  <si>
    <t>שערי שבת - 2 כרכים</t>
  </si>
  <si>
    <t>שערי שלום</t>
  </si>
  <si>
    <t>פרידמן, שלום בן בנימין</t>
  </si>
  <si>
    <t>שערי שמואל</t>
  </si>
  <si>
    <t>ספר זכרון לשמואל קלוגהפט</t>
  </si>
  <si>
    <t>שערי תורה - קידושין</t>
  </si>
  <si>
    <t>ישיבת  מיר ביהמ"ד וינברג</t>
  </si>
  <si>
    <t>שערי תפילה</t>
  </si>
  <si>
    <t>שולמן, שמואל בן יהודה</t>
  </si>
  <si>
    <t>שערי תשובה &lt;מאור השער&gt;</t>
  </si>
  <si>
    <t>גירונדי, יונה בן אברהם - ארלנגר, אברהם בן שמשון רפאל</t>
  </si>
  <si>
    <t>שערי תשובה &lt;אור חדש&gt;</t>
  </si>
  <si>
    <t>שערים - 48 כרכים</t>
  </si>
  <si>
    <t>עיתון יומי של תנועת פועלי אגודת ישראל</t>
  </si>
  <si>
    <t>תש"ח - תש"ט</t>
  </si>
  <si>
    <t>שערים - 5 כרכים</t>
  </si>
  <si>
    <t>שבועון פועלי אגודת ישראל</t>
  </si>
  <si>
    <t>שערים בהלכה - הלכות חלה</t>
  </si>
  <si>
    <t>שערים בתלמוד</t>
  </si>
  <si>
    <t>כולל שער התלמוד</t>
  </si>
  <si>
    <t>שערים ונקודות - 2 כרכים</t>
  </si>
  <si>
    <t>הורביץ, שמואל בן אברהם יצחק הלוי</t>
  </si>
  <si>
    <t>שערים לסוכות</t>
  </si>
  <si>
    <t>מרגלית, ערן משה</t>
  </si>
  <si>
    <t>שערים מצויינים בהלכה (על הקצש"ע) - 4 כרכים</t>
  </si>
  <si>
    <t>ברוין, שלמה זלמן</t>
  </si>
  <si>
    <t>ניו יורק -ירושלים</t>
  </si>
  <si>
    <t>שעשועי לוי - ליקוטים</t>
  </si>
  <si>
    <t>קרופני, לוי</t>
  </si>
  <si>
    <t>שעשועי שמואל</t>
  </si>
  <si>
    <t>צוקר, שמואל יצחק</t>
  </si>
  <si>
    <t>שעשועי תורה</t>
  </si>
  <si>
    <t>שורצמן, יוסף מרדכי בן שמואל עוזיאל</t>
  </si>
  <si>
    <t>שף ויתיב - 2 כרכים</t>
  </si>
  <si>
    <t>טחן, שי בן חיים</t>
  </si>
  <si>
    <t>שפה לנאמנים - 2 כרכים</t>
  </si>
  <si>
    <t>לעדערער, מנחם</t>
  </si>
  <si>
    <t>שפע חיים - 4 כרכים</t>
  </si>
  <si>
    <t>שפת אמת</t>
  </si>
  <si>
    <t>מלכא, יוסף בכור</t>
  </si>
  <si>
    <t>שפתותיו שושנים - בבא בתרא השותפין</t>
  </si>
  <si>
    <t>קטן, ששון בן גבריאל</t>
  </si>
  <si>
    <t>שפתי חיים &lt;על התורה&gt; - ג ד ויקרא במדבר</t>
  </si>
  <si>
    <t>פרידלנדר, חיים בן משה</t>
  </si>
  <si>
    <t>שפתי יהודה</t>
  </si>
  <si>
    <t>מכון קול יהודה</t>
  </si>
  <si>
    <t>גרנט, יהודה אריה ליב בן יוסף זרח</t>
  </si>
  <si>
    <t>שפתי יצחק - הגדה של פסח</t>
  </si>
  <si>
    <t>שפתי מהרש"א - 3 כרכים</t>
  </si>
  <si>
    <t>שמואל אליעזר בן יהודה הלוי (מהרש"א)</t>
  </si>
  <si>
    <t>שפתי מלך - ב</t>
  </si>
  <si>
    <t>קנר, משה יעקב בן ישראל הלוי</t>
  </si>
  <si>
    <t>טורונטו</t>
  </si>
  <si>
    <t>שקדו חכמים - 3 כרכים</t>
  </si>
  <si>
    <t>שרי אלפים</t>
  </si>
  <si>
    <t>טברסקי, אפרים אהרן בן יחיאל מיכל</t>
  </si>
  <si>
    <t>שרי התורה</t>
  </si>
  <si>
    <t>שריגי הגפן - גיטין פרק השולח</t>
  </si>
  <si>
    <t>שטרן, ישראל יוסף בן גבריאל שמואל</t>
  </si>
  <si>
    <t>שרידים מספרות הגאונים בערבית היהודית קווים לדמותה ולמחקרה של סוגת 'ספרי הדרכה לרבנים'</t>
  </si>
  <si>
    <t>אריאל, נרי ישעיהו</t>
  </si>
  <si>
    <t>שריון קשקשים</t>
  </si>
  <si>
    <t>פולמוס דג השטירל</t>
  </si>
  <si>
    <t>שרשי הים</t>
  </si>
  <si>
    <t>כלפון, יעקב בן משה</t>
  </si>
  <si>
    <t>שרשי קדש - בפרדס החינוך</t>
  </si>
  <si>
    <t>שרשים - 23</t>
  </si>
  <si>
    <t>בטאון התאחדות הספרדים שומרי תורה</t>
  </si>
  <si>
    <t>שרתי במדינות - כיצד מברכין</t>
  </si>
  <si>
    <t>חפץ, אברהם</t>
  </si>
  <si>
    <t>שש מאות זהב</t>
  </si>
  <si>
    <t>ששון ויקר</t>
  </si>
  <si>
    <t>שתי אחיות</t>
  </si>
  <si>
    <t>שתי הלחם</t>
  </si>
  <si>
    <t>שתי מגילות ונתיבים לתהלים - שלוש מגילות עם תרגום יב"ע ותפסיר רס"ג (כת"י)</t>
  </si>
  <si>
    <t>גמליאל, שלום בן סעדיה</t>
  </si>
  <si>
    <t>שתי שיחות</t>
  </si>
  <si>
    <t>שתילי זתים השלם &lt;זית רענן - סביב לשלחנך&gt; - 2 כרכים</t>
  </si>
  <si>
    <t>משרקי, דוד בן שלמה - בן משה, אברהם</t>
  </si>
  <si>
    <t>תבואות הארץ &lt;מהדורה חדשה&gt;</t>
  </si>
  <si>
    <t>תבואות שור - תורה ומועדים</t>
  </si>
  <si>
    <t>תבואת יצחק</t>
  </si>
  <si>
    <t>וייצהנדלר, חיים יצחק בן שלמה יהודה</t>
  </si>
  <si>
    <t>תבואת ישראל - תרומות, ערלה</t>
  </si>
  <si>
    <t>קרויזר, ישראל שלמה</t>
  </si>
  <si>
    <t>תבונות כפיו - תהלים ג</t>
  </si>
  <si>
    <t>שרייבר, אשר זאב בן צבי</t>
  </si>
  <si>
    <t>תבענה שפתי תהלה</t>
  </si>
  <si>
    <t>מאמו, ראובן</t>
  </si>
  <si>
    <t>תדפיס מתוך ספר באור פני מלך חיים</t>
  </si>
  <si>
    <t>תהילים &lt;פלגי מים&gt;</t>
  </si>
  <si>
    <t>אמאיקין, איתי בן אפרים</t>
  </si>
  <si>
    <t>תהלה לדוד &lt;ציונים והערות&gt; - שיג-שכד</t>
  </si>
  <si>
    <t>אורטנברג, דוד בן ישראל צבי</t>
  </si>
  <si>
    <t>תהלה לדוד - 2 כרכים</t>
  </si>
  <si>
    <t>תהלות לאומרם ע"י כותל המערבי המשוחררת</t>
  </si>
  <si>
    <t>תהלות. כותל המערבי</t>
  </si>
  <si>
    <t>תהלים &lt;ילקוט קדושת לוי&gt;</t>
  </si>
  <si>
    <t>תהלים &lt;שלמי אהבה&gt;</t>
  </si>
  <si>
    <t>בסקין, אבשלום</t>
  </si>
  <si>
    <t>תהלים &lt;פלגי מים&gt;</t>
  </si>
  <si>
    <t>אמאיקין, איתי</t>
  </si>
  <si>
    <t>תהלים עם דברי העם &lt;מהדורה חדשה&gt;</t>
  </si>
  <si>
    <t>טורנהיים, עקיבא מאיר בן יששכר דוב הכהן</t>
  </si>
  <si>
    <t>תרפ"ג,</t>
  </si>
  <si>
    <t>תהלים עם תרי"ג מצות - 2 כרכים</t>
  </si>
  <si>
    <t>סנדר בן אריה ליב</t>
  </si>
  <si>
    <t>תודיעיני אורח חיים - הלכות תשובה</t>
  </si>
  <si>
    <t>תוכחת מגולה</t>
  </si>
  <si>
    <t>רבינוביץ, צבי הירש בן יצחק אלחנן</t>
  </si>
  <si>
    <t>Mainz</t>
  </si>
  <si>
    <t>[תרל"ו,</t>
  </si>
  <si>
    <t>תוכן קצר ליקוטי תורה ותורה אור</t>
  </si>
  <si>
    <t>תולדות אברהם יוסף</t>
  </si>
  <si>
    <t>איגרא, אברהם יוסף בן אריה יהודה לייבוש</t>
  </si>
  <si>
    <t>תולדות אהרן &lt;מהדורה חדשה&gt;</t>
  </si>
  <si>
    <t>אהרן מזיטומיר</t>
  </si>
  <si>
    <t>תולדות ברית כהונת עולם</t>
  </si>
  <si>
    <t>כ"ץ, ברוך</t>
  </si>
  <si>
    <t>תולדות האדם</t>
  </si>
  <si>
    <t>שם טוב, מנחם</t>
  </si>
  <si>
    <t>תולדות האתרוג בארץ ישראל</t>
  </si>
  <si>
    <t>גור, אסף</t>
  </si>
  <si>
    <t>תולדות ההשטתחות</t>
  </si>
  <si>
    <t>הורוויץ, אברהם מרדכי בן יהודה נחום הלוי אנגל</t>
  </si>
  <si>
    <t>תולדות היהודים בטראנסילבניה בימי הבינים המאוחרים</t>
  </si>
  <si>
    <t>תולדות התפתחות הדקדוק העברי</t>
  </si>
  <si>
    <t>ילין, דוד בן יהושע</t>
  </si>
  <si>
    <t>תולדות חב"ד במרוקו</t>
  </si>
  <si>
    <t>משפחת מטוסוב</t>
  </si>
  <si>
    <t>תולדות חן</t>
  </si>
  <si>
    <t>קייזר, אלתר נח בן אריה מאיר הכהן</t>
  </si>
  <si>
    <t>תולדות יעקב יוסף &lt;מהדורת נגאל&gt;  - 2 כרכים</t>
  </si>
  <si>
    <t>יעקב יוסף בן צבי הירש הכהן מפולנאה</t>
  </si>
  <si>
    <t>תולדות יצחק</t>
  </si>
  <si>
    <t>אביחצירא, יצחק בן יעקב</t>
  </si>
  <si>
    <t>רבינוביץ, דוד יצחק אייזיק בן ברוך פינחס</t>
  </si>
  <si>
    <t>New York ניו יורק</t>
  </si>
  <si>
    <t>תולדות כף החיים</t>
  </si>
  <si>
    <t>סופר, אברהם אליעזר בן יעקב חיים</t>
  </si>
  <si>
    <t>תולדות רבינו בעל ארץ צבי</t>
  </si>
  <si>
    <t>מנדלבוים, דוד אברהם</t>
  </si>
  <si>
    <t>תולדות רש"י</t>
  </si>
  <si>
    <t>צונץ, יום טוב ליפמאן בן מנחם</t>
  </si>
  <si>
    <t>תולדות שמואל</t>
  </si>
  <si>
    <t>פרידמן, שמואל העשיל</t>
  </si>
  <si>
    <t>תולדות שמשון &lt;מהדורה חדשה&gt;</t>
  </si>
  <si>
    <t>נחמני, שמשון חיים בן נחמן מיכאל</t>
  </si>
  <si>
    <t>תולעת יעקב &lt;פותח שערים&gt;</t>
  </si>
  <si>
    <t>תולעת יעקב</t>
  </si>
  <si>
    <t>תומך כבוד</t>
  </si>
  <si>
    <t>אלכסנדרסון, יהונתן בן אלכסנדר הלוי</t>
  </si>
  <si>
    <t>פראנקפורט א. מ.,</t>
  </si>
  <si>
    <t>תר"ה</t>
  </si>
  <si>
    <t>תומר דבורה &lt;עם גאון ישראל&gt;</t>
  </si>
  <si>
    <t>קניגסברג</t>
  </si>
  <si>
    <t>תומר דבורה מבואר ומפורש</t>
  </si>
  <si>
    <t>קורדובירו, משה בן יעקב - טשינגל, יחזקאל</t>
  </si>
  <si>
    <t>תוספות כתובה</t>
  </si>
  <si>
    <t>גודמן, אברהם ברוך - פיזרני, דוד</t>
  </si>
  <si>
    <t>תוספת אורה - 2 כרכים</t>
  </si>
  <si>
    <t>מילר, יוסף בן שרגא</t>
  </si>
  <si>
    <t>תוספת כתובה</t>
  </si>
  <si>
    <t>פזריני, דוד</t>
  </si>
  <si>
    <t>תוצאות החטיטות והחקירות</t>
  </si>
  <si>
    <t>תוצאות חיים &lt;מהדורה חדשה&gt;</t>
  </si>
  <si>
    <t>זעמבא, מנחם בן אלעזר</t>
  </si>
  <si>
    <t>תורה אור - פסחים</t>
  </si>
  <si>
    <t>ישיבת תורה אור</t>
  </si>
  <si>
    <t>תורה ומדע</t>
  </si>
  <si>
    <t>דרבארמדקר, לוי יצחק בן משה יהושע</t>
  </si>
  <si>
    <t>תורה ומדע - 14 כרכים</t>
  </si>
  <si>
    <t>תורה ומורשה</t>
  </si>
  <si>
    <t>לקט מדברי רבותינו</t>
  </si>
  <si>
    <t>תורה מן השמים</t>
  </si>
  <si>
    <t>תורה מציון</t>
  </si>
  <si>
    <t>תורן - 12</t>
  </si>
  <si>
    <t>דו שבועון לילדים ולנוער</t>
  </si>
  <si>
    <t>תורת אהבת שלום</t>
  </si>
  <si>
    <t>שטרן, דוד זכריה בן שלמה יוסף חיים</t>
  </si>
  <si>
    <t>תורת אלימלך</t>
  </si>
  <si>
    <t>רוטנברג, אלימלך</t>
  </si>
  <si>
    <t>תורת בית הוראה</t>
  </si>
  <si>
    <t>תורת דוד - 2 כרכים</t>
  </si>
  <si>
    <t>חדד, דוד</t>
  </si>
  <si>
    <t>תורת האבידה</t>
  </si>
  <si>
    <t>צברי, אריאל</t>
  </si>
  <si>
    <t>תורת האגרת - כתיבת מגילת אסתר</t>
  </si>
  <si>
    <t>מרגולין, ידידיה בן שמעון</t>
  </si>
  <si>
    <t>תורת הארץ</t>
  </si>
  <si>
    <t>גורן, שלמה בן אברהם</t>
  </si>
  <si>
    <t>תורת הבית &lt;מראה הבית - עמודי הבית&gt; - 4 כרכים</t>
  </si>
  <si>
    <t>בן אדרת, שלמה בן אברהם (רשב"א)</t>
  </si>
  <si>
    <t>תורת הברכה</t>
  </si>
  <si>
    <t>מיתא, אברהם</t>
  </si>
  <si>
    <t>תורת הגלגולים</t>
  </si>
  <si>
    <t>תורת החסידים הראשונים - 2 כרכים</t>
  </si>
  <si>
    <t>ויז'ניצר, מנחם מנדל (עורך)</t>
  </si>
  <si>
    <t>תורת הישיבה</t>
  </si>
  <si>
    <t>פנחסי, מאיר בן שמואל</t>
  </si>
  <si>
    <t>תורת הכבוד</t>
  </si>
  <si>
    <t>תורת הלוי - כתובות</t>
  </si>
  <si>
    <t>תורת המלאכות</t>
  </si>
  <si>
    <t>תורת המלך - 2 כרכים</t>
  </si>
  <si>
    <t>שפירא, יצחק - אליצור, יוסף</t>
  </si>
  <si>
    <t>יצהר</t>
  </si>
  <si>
    <t>תורת המשבי"ר</t>
  </si>
  <si>
    <t>בירדוגו, משה בן אברהם</t>
  </si>
  <si>
    <t>תורת הנאום והדרשה</t>
  </si>
  <si>
    <t>תורת הנשמות</t>
  </si>
  <si>
    <t>תורת הספירות</t>
  </si>
  <si>
    <t>תורת העבודה - מכתבים והדרכות</t>
  </si>
  <si>
    <t>תורת העבודה והתשובה - 4 כרכים</t>
  </si>
  <si>
    <t>תורת העמק - יד</t>
  </si>
  <si>
    <t>תורת הצדקה - הלכות צדקה ומעשר כספים</t>
  </si>
  <si>
    <t>תורת הקנה</t>
  </si>
  <si>
    <t>תורת השבת</t>
  </si>
  <si>
    <t>תורת השלחן</t>
  </si>
  <si>
    <t>תורת השמחות - ברית מילה, פדיון הבן, תספורת, בר מצוה, נישואין, חנוכת הבית</t>
  </si>
  <si>
    <t>תורת התפלה</t>
  </si>
  <si>
    <t>תורת זאב - 9 כרכים</t>
  </si>
  <si>
    <t>תורת חיים</t>
  </si>
  <si>
    <t>קובץ מרכזי לתורה והלכה לרבני ותלמידי ויז'ניץ</t>
  </si>
  <si>
    <t>תורת חסד &lt;מכון ירושלים&gt; - ג</t>
  </si>
  <si>
    <t>פראדקין, שניאור זלמן בן שלמה</t>
  </si>
  <si>
    <t>תורת יהונתן</t>
  </si>
  <si>
    <t>אבלמאן, יהונתן בן אברהם אבא יצחק</t>
  </si>
  <si>
    <t>תורת יוסף</t>
  </si>
  <si>
    <t>מזרחי, יוסף חיים בן מאיר</t>
  </si>
  <si>
    <t>תורת יעקב - א</t>
  </si>
  <si>
    <t>פינצוק, יעקב</t>
  </si>
  <si>
    <t>בילגורייא</t>
  </si>
  <si>
    <t>תורת כהנים &lt;מהדורת אופק&gt; - ז</t>
  </si>
  <si>
    <t>תורת כהנים</t>
  </si>
  <si>
    <t>תורת כתובות</t>
  </si>
  <si>
    <t>רפאלוביץ, יהודה אריה - כולל תורת דבש</t>
  </si>
  <si>
    <t>תורת מהרי"ם - ה דברים</t>
  </si>
  <si>
    <t>דושינסקי, ישראל משה בן יוסף צבי</t>
  </si>
  <si>
    <t>תורת מנחם - 12 כרכים</t>
  </si>
  <si>
    <t>תורת מראכש - 2 כרכים</t>
  </si>
  <si>
    <t>חכמי מראכש</t>
  </si>
  <si>
    <t>תורת משה</t>
  </si>
  <si>
    <t>מוזס, יצחק צבי משה בן אביגדור</t>
  </si>
  <si>
    <t>תורת נדה</t>
  </si>
  <si>
    <t>תורת נתנאל - כלים</t>
  </si>
  <si>
    <t>כולל טהרות תורת נתנאל</t>
  </si>
  <si>
    <t>תורת עונג השבת</t>
  </si>
  <si>
    <t>תורת פסח</t>
  </si>
  <si>
    <t>קארב, פסח</t>
  </si>
  <si>
    <t>תורת רבי יהונתן - 2 כרכים</t>
  </si>
  <si>
    <t>אייבשיץ, יהונתן בן נתן נטע</t>
  </si>
  <si>
    <t>תורת רפאל - תשפ"א</t>
  </si>
  <si>
    <t>תורת שביעית</t>
  </si>
  <si>
    <t>גרבוז, שלמה בן בנימין</t>
  </si>
  <si>
    <t>תורת שלמה - בראשית</t>
  </si>
  <si>
    <t>תורת שמואל - 3 כרכים</t>
  </si>
  <si>
    <t>וולף, שמואל</t>
  </si>
  <si>
    <t>תורת תיקוני עירובין - 3 כרכים</t>
  </si>
  <si>
    <t>דירקטור, ישעיהו טוביה הלוי</t>
  </si>
  <si>
    <t>ניו יורק NewYork</t>
  </si>
  <si>
    <t>תורתו ואומנותו</t>
  </si>
  <si>
    <t>תורתך בתוך מעי - ברורי הלכה לבעלי סטומה</t>
  </si>
  <si>
    <t>פרנקל, מרדכי בן יהודה</t>
  </si>
  <si>
    <t>תורתך שעשועי</t>
  </si>
  <si>
    <t>פרנק, זאב</t>
  </si>
  <si>
    <t>ברויער, אברהם בן דב</t>
  </si>
  <si>
    <t>תורתך שעשועי - חנוכה</t>
  </si>
  <si>
    <t>רוטמן, נתן</t>
  </si>
  <si>
    <t>תורתך שעשעי</t>
  </si>
  <si>
    <t>ליקוטים מרבי נחמן מברסלב</t>
  </si>
  <si>
    <t>תחנה ארץ ישראל</t>
  </si>
  <si>
    <t>דבורה אשת הרב נפתלי</t>
  </si>
  <si>
    <t>תר"ט</t>
  </si>
  <si>
    <t>תיקון היסוד</t>
  </si>
  <si>
    <t>מוסדות בית אל</t>
  </si>
  <si>
    <t>תיקון העיר בני ברק לשיטת הבית יוסף</t>
  </si>
  <si>
    <t>תיקון חצות - תנאים טובים - דיני תפילת הדרך</t>
  </si>
  <si>
    <t>תיקון חצות המבואר</t>
  </si>
  <si>
    <t>תיקון שובבים</t>
  </si>
  <si>
    <t>תיקונים. שובבי"ם ת"ת. תע"ו. ונציה</t>
  </si>
  <si>
    <t>ויניציאה,</t>
  </si>
  <si>
    <t>תיקונים. שובבי"ם ת"ת. תע"ט. ונציה</t>
  </si>
  <si>
    <t>[תע"ט,</t>
  </si>
  <si>
    <t>תיקונים. שובבי"ם ת"ת. תר"ה. בלגרד</t>
  </si>
  <si>
    <t>בילוגראדו,</t>
  </si>
  <si>
    <t>תיקונים. שובבי"ם ת"ת. תס"ח. ונציה</t>
  </si>
  <si>
    <t>תס"ח</t>
  </si>
  <si>
    <t>תיקונים גדולים</t>
  </si>
  <si>
    <t>תכא דמלכא - 5 כרכים</t>
  </si>
  <si>
    <t>תכון תפלתי</t>
  </si>
  <si>
    <t>תכלית החיים</t>
  </si>
  <si>
    <t>תלמוד בבלי &lt;ווין הרביעי&gt;  - 4 כרכים</t>
  </si>
  <si>
    <t>תלמוד בבלי. ווין. מהדורה רביעית</t>
  </si>
  <si>
    <t>ת"ר - תר"ט</t>
  </si>
  <si>
    <t>תלמוד בבלי מפוסק - 20 כרכים</t>
  </si>
  <si>
    <t>תלמוד בבלי מפוסק - ציוני, משה בן ניסן בן ציון (עורך)</t>
  </si>
  <si>
    <t>תלמוד ינקאי</t>
  </si>
  <si>
    <t>רוזנצווייג, גרשון בן זלמן ליב</t>
  </si>
  <si>
    <t>תלמוד ירושלמי &lt;השלם&gt; שביעית - ב</t>
  </si>
  <si>
    <t>שמדרה, אהרן בן מנחם בנימין, (עורך)</t>
  </si>
  <si>
    <t>תלמוד ירושלמי ע"פ ארץ הצבי - 2 כרכים</t>
  </si>
  <si>
    <t>פולק, דב צבי</t>
  </si>
  <si>
    <t>תלמוד מפורש - פרק  המפקיד</t>
  </si>
  <si>
    <t>בספרוינד, צבי בן יעקב</t>
  </si>
  <si>
    <t>תלמודו בידו - 12 כרכים</t>
  </si>
  <si>
    <t>מכון תלמודו בידו</t>
  </si>
  <si>
    <t>תלמידיו של אברהם אבינו</t>
  </si>
  <si>
    <t>גולדבאום, מנחם צבי</t>
  </si>
  <si>
    <t>תמורת איל - מכות</t>
  </si>
  <si>
    <t>פעסין, אברהם יהודה ליב</t>
  </si>
  <si>
    <t>תמצא חכמה</t>
  </si>
  <si>
    <t>תמצית מסקנות הדף - 11 כרכים</t>
  </si>
  <si>
    <t>מתלון, יעקב מאיר בן כדורי</t>
  </si>
  <si>
    <t>תנובות שדה - 22 כרכים</t>
  </si>
  <si>
    <t>המכון למצוות התלויות בארץ</t>
  </si>
  <si>
    <t>תנובת יהודה</t>
  </si>
  <si>
    <t>פינק, ראובן בן יצחק</t>
  </si>
  <si>
    <t>קראקא</t>
  </si>
  <si>
    <t>תנועה ואידיאה</t>
  </si>
  <si>
    <t>תנופת אהרן - חמדת משה</t>
  </si>
  <si>
    <t>גולונבק, משה אהרן בן חיים ראובן</t>
  </si>
  <si>
    <t>תערוכה לתולדות משפחת אלישר</t>
  </si>
  <si>
    <t>קטלוג</t>
  </si>
  <si>
    <t>תערוכת החסידות</t>
  </si>
  <si>
    <t>תפארת בחורים</t>
  </si>
  <si>
    <t>זילברבלאט, משה בן אריה צבי</t>
  </si>
  <si>
    <t>תרע"ג,</t>
  </si>
  <si>
    <t>תפארת בנים</t>
  </si>
  <si>
    <t>תפארת הבית</t>
  </si>
  <si>
    <t>בית המדרש שבת אחים</t>
  </si>
  <si>
    <t>תפארת ההלכה - 2 כרכים</t>
  </si>
  <si>
    <t>יצחקי, עקיבא בן מרדכי</t>
  </si>
  <si>
    <t>מושב פורת</t>
  </si>
  <si>
    <t>תפארת השבת</t>
  </si>
  <si>
    <t>רוזנוולד, דוד יהושע</t>
  </si>
  <si>
    <t>תפארת ישראל - 2 כרכים</t>
  </si>
  <si>
    <t>תפארת ציון - תקפו כהן</t>
  </si>
  <si>
    <t>תפארת רפאל - א</t>
  </si>
  <si>
    <t>כהן, רפאל בן יצחק</t>
  </si>
  <si>
    <t>תפארת שבמלכות &lt;מהדורה מחודשת&gt;  - 2 כרכים</t>
  </si>
  <si>
    <t>תפארת שלמה &lt;יודעי בינה&gt; מועדים, חנוכה - 3 כרכים</t>
  </si>
  <si>
    <t>תפארת שמעון - ימים נוראים</t>
  </si>
  <si>
    <t>גבאי, שמעון</t>
  </si>
  <si>
    <t>תפילה</t>
  </si>
  <si>
    <t>מרגולין, הדר יהודה</t>
  </si>
  <si>
    <t>תפילין</t>
  </si>
  <si>
    <t>תפילת הסופר - 2 כרכים</t>
  </si>
  <si>
    <t>תפילת הצדיקים</t>
  </si>
  <si>
    <t>תפילת נחם במשנת הדבר יהושע</t>
  </si>
  <si>
    <t>תפיסת כהן - ב"מ, שבועות</t>
  </si>
  <si>
    <t>תפלה אצל כותל המערבי</t>
  </si>
  <si>
    <t>תפלת אבי</t>
  </si>
  <si>
    <t>חורי, שושן בן ינון - חורי, ינון בן חיים</t>
  </si>
  <si>
    <t>תקון חצות &lt;אשר הנהיג לומר בין המצרים אחר חצות היום החכם... משה זכות&gt;</t>
  </si>
  <si>
    <t>תיקונים. חצות. תקפ"ב</t>
  </si>
  <si>
    <t>ריגייו</t>
  </si>
  <si>
    <t>תקנ"ז</t>
  </si>
  <si>
    <t>תקון חצות</t>
  </si>
  <si>
    <t>תיקונים. חצות. תרכ"ה</t>
  </si>
  <si>
    <t>תקון חצות השלם</t>
  </si>
  <si>
    <t>תיקונים. חצות. תרנ"א</t>
  </si>
  <si>
    <t>ב'יינה</t>
  </si>
  <si>
    <t>תקון לליל ל"ג לעומר</t>
  </si>
  <si>
    <t>תיקונים. ל"ג בעומר. תקי"ד. איזמיר</t>
  </si>
  <si>
    <t>איזמיר,</t>
  </si>
  <si>
    <t>תקי"ד</t>
  </si>
  <si>
    <t>תיקונים. ל"ג בעומר. תק"ץ. שלוניקי</t>
  </si>
  <si>
    <t>שאלוניקי</t>
  </si>
  <si>
    <t>תקון שבועות על הנהר</t>
  </si>
  <si>
    <t>תקון שובבי"ם</t>
  </si>
  <si>
    <t>זכות, משה בן מרדכי</t>
  </si>
  <si>
    <t>מנטובה,</t>
  </si>
  <si>
    <t xml:space="preserve">תקמ"ב - </t>
  </si>
  <si>
    <t>תקון שובבים</t>
  </si>
  <si>
    <t>תיקונים. שובבי"ם ת"ת. תצ"ט. ונציה</t>
  </si>
  <si>
    <t>תצ"ט</t>
  </si>
  <si>
    <t>תקוני שטרות</t>
  </si>
  <si>
    <t>תיקוני שטרות. תקל"ג</t>
  </si>
  <si>
    <t>Hamburg und Buetzow</t>
  </si>
  <si>
    <t>תקופת החמה וברכתה</t>
  </si>
  <si>
    <t>טוקאצינסקי, יחיאל מיכל בן אהרן</t>
  </si>
  <si>
    <t>תקות ציון</t>
  </si>
  <si>
    <t>לוויזון, אלכסנדר</t>
  </si>
  <si>
    <t>תקנות החברה לגמילת חסדים אחיעזר</t>
  </si>
  <si>
    <t>חברת אחיעזר</t>
  </si>
  <si>
    <t>תקנות ופעולות</t>
  </si>
  <si>
    <t>ירושלים. חברת "שומר מצוה ומלביש ערומים"</t>
  </si>
  <si>
    <t>תקנות כולל עס' אונגארן</t>
  </si>
  <si>
    <t>כולל אונגארן</t>
  </si>
  <si>
    <t>תקנת השבים</t>
  </si>
  <si>
    <t xml:space="preserve">תר"נ - </t>
  </si>
  <si>
    <t>תקפו של יוסף</t>
  </si>
  <si>
    <t>פרחי, יוסף שבתי</t>
  </si>
  <si>
    <t>ליוורנו Livorno</t>
  </si>
  <si>
    <t>תרכ"ז</t>
  </si>
  <si>
    <t>תרגום איכה</t>
  </si>
  <si>
    <t>תרגום יונתן על התורה &lt;נער יונתן&gt;  - 2 כרכים</t>
  </si>
  <si>
    <t>וגנר, אברהם ישעיהו אליעזר</t>
  </si>
  <si>
    <t>תרגום מגילת אסתר לאידיש</t>
  </si>
  <si>
    <t>תרגום עשרת הדברות</t>
  </si>
  <si>
    <t>עשרת הדיברות. תרע"ב. ארם צובה</t>
  </si>
  <si>
    <t>ארם צובה,</t>
  </si>
  <si>
    <t>תרגומים עברים מספרות אנגלית - יהודית</t>
  </si>
  <si>
    <t>Philadelphia</t>
  </si>
  <si>
    <t>תרומות ומעשרות - בענין עישור מוצרים שבהשגחה מעולה</t>
  </si>
  <si>
    <t>ברוורמן, אליהו</t>
  </si>
  <si>
    <t>תרון נפשי - מגילת קהלת</t>
  </si>
  <si>
    <t>גלעדי, ששון בן דוד</t>
  </si>
  <si>
    <t>תרועת מלך, לפני ה' תטהרו - ראש השנה, יום הכיפורים</t>
  </si>
  <si>
    <t>ליקוטים יקרים</t>
  </si>
  <si>
    <t>תריג מצות</t>
  </si>
  <si>
    <t>[תקכ"ה,</t>
  </si>
  <si>
    <t>תרשיש שהם וישפה</t>
  </si>
  <si>
    <t>שץ, משה</t>
  </si>
  <si>
    <t>תשובה מאהבה</t>
  </si>
  <si>
    <t>כהן,ישראל</t>
  </si>
  <si>
    <t>תשובה שניה</t>
  </si>
  <si>
    <t>ליבוביץ, נחמיה שמואל בן יצחק</t>
  </si>
  <si>
    <t>תשובות והנהגות - ז</t>
  </si>
  <si>
    <t>תשובות ישראל - ו</t>
  </si>
  <si>
    <t>טויב, ישראל בן יחזקאל צבי</t>
  </si>
  <si>
    <t>תשובת המטולטלת</t>
  </si>
  <si>
    <t>הול, אליעזר</t>
  </si>
  <si>
    <t>תשובת השנה - קונטרס המעלות</t>
  </si>
  <si>
    <t>תשורה - תשע"ט (מלול) תולדות הרב מנחם מענדל</t>
  </si>
  <si>
    <t>קונטרסי שמחה משמחות חסידות חב"ד</t>
  </si>
  <si>
    <t>תשורה - 47 כרכים</t>
  </si>
  <si>
    <t>תשעה באב שנדחה</t>
  </si>
  <si>
    <t>פאק, יוסף מרדכי</t>
  </si>
  <si>
    <t>תשרי ביאת משיח</t>
  </si>
  <si>
    <t>ישיבת תומכי תמימים</t>
  </si>
  <si>
    <t>תתן אמת ליעקב</t>
  </si>
  <si>
    <t>בנעט, יעקב בן מאיר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</si>
</sst>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25"/>
  <sheetViews>
    <sheetView rightToLeft="1" tabSelected="1" workbookViewId="0"/>
  </sheetViews>
  <sheetFormatPr defaultRowHeight="15" x14ac:dyDescent="0.25"/>
  <cols>
    <col min="2" max="2" width="77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>
        <v>652748</v>
      </c>
      <c r="B2" t="s">
        <v>8</v>
      </c>
      <c r="C2" t="s">
        <v>9</v>
      </c>
      <c r="D2" t="s">
        <v>10</v>
      </c>
      <c r="E2" t="s">
        <v>11</v>
      </c>
      <c r="G2" t="str">
        <f>HYPERLINK(_xlfn.CONCAT("https://tablet.otzar.org/",CHAR(35),"/book/652748/p/-1/t/1/fs/0/start/0/end/0/c"),"אבות על בנים")</f>
        <v>אבות על בנים</v>
      </c>
      <c r="H2" t="str">
        <f>_xlfn.CONCAT("https://tablet.otzar.org/",CHAR(35),"/book/652748/p/-1/t/1/fs/0/start/0/end/0/c")</f>
        <v>https://tablet.otzar.org/#/book/652748/p/-1/t/1/fs/0/start/0/end/0/c</v>
      </c>
    </row>
    <row r="3" spans="1:8" x14ac:dyDescent="0.25">
      <c r="A3">
        <v>649569</v>
      </c>
      <c r="B3" t="s">
        <v>12</v>
      </c>
      <c r="C3" t="s">
        <v>13</v>
      </c>
      <c r="D3" t="s">
        <v>14</v>
      </c>
      <c r="E3" t="s">
        <v>15</v>
      </c>
      <c r="G3" t="str">
        <f>HYPERLINK(_xlfn.CONCAT("https://tablet.otzar.org/",CHAR(35),"/book/649569/p/-1/t/1/fs/0/start/0/end/0/c"),"אבטליון")</f>
        <v>אבטליון</v>
      </c>
      <c r="H3" t="str">
        <f>_xlfn.CONCAT("https://tablet.otzar.org/",CHAR(35),"/book/649569/p/-1/t/1/fs/0/start/0/end/0/c")</f>
        <v>https://tablet.otzar.org/#/book/649569/p/-1/t/1/fs/0/start/0/end/0/c</v>
      </c>
    </row>
    <row r="4" spans="1:8" x14ac:dyDescent="0.25">
      <c r="A4">
        <v>648508</v>
      </c>
      <c r="B4" t="s">
        <v>16</v>
      </c>
      <c r="C4" t="s">
        <v>17</v>
      </c>
      <c r="D4" t="s">
        <v>18</v>
      </c>
      <c r="E4" t="s">
        <v>19</v>
      </c>
      <c r="G4" t="str">
        <f>HYPERLINK(_xlfn.CONCAT("https://tablet.otzar.org/",CHAR(35),"/book/648508/p/-1/t/1/fs/0/start/0/end/0/c"),"אבי בעזרי")</f>
        <v>אבי בעזרי</v>
      </c>
      <c r="H4" t="str">
        <f>_xlfn.CONCAT("https://tablet.otzar.org/",CHAR(35),"/book/648508/p/-1/t/1/fs/0/start/0/end/0/c")</f>
        <v>https://tablet.otzar.org/#/book/648508/p/-1/t/1/fs/0/start/0/end/0/c</v>
      </c>
    </row>
    <row r="5" spans="1:8" x14ac:dyDescent="0.25">
      <c r="A5">
        <v>651718</v>
      </c>
      <c r="B5" t="s">
        <v>20</v>
      </c>
      <c r="C5" t="s">
        <v>21</v>
      </c>
      <c r="D5" t="s">
        <v>10</v>
      </c>
      <c r="E5" t="s">
        <v>22</v>
      </c>
      <c r="G5" t="str">
        <f>HYPERLINK(_xlfn.CONCAT("https://tablet.otzar.org/",CHAR(35),"/exKotar/651718"),"אבי נתן - 3 כרכים")</f>
        <v>אבי נתן - 3 כרכים</v>
      </c>
      <c r="H5" t="str">
        <f>_xlfn.CONCAT("https://tablet.otzar.org/",CHAR(35),"/exKotar/651718")</f>
        <v>https://tablet.otzar.org/#/exKotar/651718</v>
      </c>
    </row>
    <row r="6" spans="1:8" x14ac:dyDescent="0.25">
      <c r="A6">
        <v>649086</v>
      </c>
      <c r="B6" t="s">
        <v>23</v>
      </c>
      <c r="C6" t="s">
        <v>24</v>
      </c>
      <c r="D6" t="s">
        <v>10</v>
      </c>
      <c r="E6" t="s">
        <v>25</v>
      </c>
      <c r="G6" t="str">
        <f>HYPERLINK(_xlfn.CONCAT("https://tablet.otzar.org/",CHAR(35),"/exKotar/649086"),"אבי שר שלום - 2 כרכים")</f>
        <v>אבי שר שלום - 2 כרכים</v>
      </c>
      <c r="H6" t="str">
        <f>_xlfn.CONCAT("https://tablet.otzar.org/",CHAR(35),"/exKotar/649086")</f>
        <v>https://tablet.otzar.org/#/exKotar/649086</v>
      </c>
    </row>
    <row r="7" spans="1:8" x14ac:dyDescent="0.25">
      <c r="A7">
        <v>654790</v>
      </c>
      <c r="B7" t="s">
        <v>26</v>
      </c>
      <c r="C7" t="s">
        <v>27</v>
      </c>
      <c r="D7" t="s">
        <v>28</v>
      </c>
      <c r="E7" t="s">
        <v>29</v>
      </c>
      <c r="G7" t="str">
        <f>HYPERLINK(_xlfn.CONCAT("https://tablet.otzar.org/",CHAR(35),"/book/654790/p/-1/t/1/fs/0/start/0/end/0/c"),"אבידה מתבקשת")</f>
        <v>אבידה מתבקשת</v>
      </c>
      <c r="H7" t="str">
        <f>_xlfn.CONCAT("https://tablet.otzar.org/",CHAR(35),"/book/654790/p/-1/t/1/fs/0/start/0/end/0/c")</f>
        <v>https://tablet.otzar.org/#/book/654790/p/-1/t/1/fs/0/start/0/end/0/c</v>
      </c>
    </row>
    <row r="8" spans="1:8" x14ac:dyDescent="0.25">
      <c r="A8">
        <v>650747</v>
      </c>
      <c r="B8" t="s">
        <v>30</v>
      </c>
      <c r="C8" t="s">
        <v>31</v>
      </c>
      <c r="D8" t="s">
        <v>10</v>
      </c>
      <c r="E8" t="s">
        <v>11</v>
      </c>
      <c r="G8" t="str">
        <f>HYPERLINK(_xlfn.CONCAT("https://tablet.otzar.org/",CHAR(35),"/book/650747/p/-1/t/1/fs/0/start/0/end/0/c"),"אביעה - יג")</f>
        <v>אביעה - יג</v>
      </c>
      <c r="H8" t="str">
        <f>_xlfn.CONCAT("https://tablet.otzar.org/",CHAR(35),"/book/650747/p/-1/t/1/fs/0/start/0/end/0/c")</f>
        <v>https://tablet.otzar.org/#/book/650747/p/-1/t/1/fs/0/start/0/end/0/c</v>
      </c>
    </row>
    <row r="9" spans="1:8" x14ac:dyDescent="0.25">
      <c r="A9">
        <v>655845</v>
      </c>
      <c r="B9" t="s">
        <v>32</v>
      </c>
      <c r="C9" t="s">
        <v>33</v>
      </c>
      <c r="D9" t="s">
        <v>34</v>
      </c>
      <c r="E9" t="s">
        <v>35</v>
      </c>
      <c r="G9" t="str">
        <f>HYPERLINK(_xlfn.CONCAT("https://tablet.otzar.org/",CHAR(35),"/book/655845/p/-1/t/1/fs/0/start/0/end/0/c"),"אביעזר")</f>
        <v>אביעזר</v>
      </c>
      <c r="H9" t="str">
        <f>_xlfn.CONCAT("https://tablet.otzar.org/",CHAR(35),"/book/655845/p/-1/t/1/fs/0/start/0/end/0/c")</f>
        <v>https://tablet.otzar.org/#/book/655845/p/-1/t/1/fs/0/start/0/end/0/c</v>
      </c>
    </row>
    <row r="10" spans="1:8" x14ac:dyDescent="0.25">
      <c r="A10">
        <v>655709</v>
      </c>
      <c r="B10" t="s">
        <v>36</v>
      </c>
      <c r="C10" t="s">
        <v>37</v>
      </c>
      <c r="D10" t="s">
        <v>10</v>
      </c>
      <c r="E10" t="s">
        <v>11</v>
      </c>
      <c r="G10" t="str">
        <f>HYPERLINK(_xlfn.CONCAT("https://tablet.otzar.org/",CHAR(35),"/book/655709/p/-1/t/1/fs/0/start/0/end/0/c"),"אביר יעקב &lt;מהדורה חדשה&gt;")</f>
        <v>אביר יעקב &lt;מהדורה חדשה&gt;</v>
      </c>
      <c r="H10" t="str">
        <f>_xlfn.CONCAT("https://tablet.otzar.org/",CHAR(35),"/book/655709/p/-1/t/1/fs/0/start/0/end/0/c")</f>
        <v>https://tablet.otzar.org/#/book/655709/p/-1/t/1/fs/0/start/0/end/0/c</v>
      </c>
    </row>
    <row r="11" spans="1:8" x14ac:dyDescent="0.25">
      <c r="A11">
        <v>648274</v>
      </c>
      <c r="B11" t="s">
        <v>38</v>
      </c>
      <c r="C11" t="s">
        <v>38</v>
      </c>
      <c r="D11" t="s">
        <v>39</v>
      </c>
      <c r="E11" t="s">
        <v>40</v>
      </c>
      <c r="G11" t="str">
        <f>HYPERLINK(_xlfn.CONCAT("https://tablet.otzar.org/",CHAR(35),"/book/648274/p/-1/t/1/fs/0/start/0/end/0/c"),"אבל ונחמה")</f>
        <v>אבל ונחמה</v>
      </c>
      <c r="H11" t="str">
        <f>_xlfn.CONCAT("https://tablet.otzar.org/",CHAR(35),"/book/648274/p/-1/t/1/fs/0/start/0/end/0/c")</f>
        <v>https://tablet.otzar.org/#/book/648274/p/-1/t/1/fs/0/start/0/end/0/c</v>
      </c>
    </row>
    <row r="12" spans="1:8" x14ac:dyDescent="0.25">
      <c r="A12">
        <v>655942</v>
      </c>
      <c r="B12" t="s">
        <v>41</v>
      </c>
      <c r="C12" t="s">
        <v>42</v>
      </c>
      <c r="D12" t="s">
        <v>10</v>
      </c>
      <c r="E12" t="s">
        <v>11</v>
      </c>
      <c r="G12" t="str">
        <f>HYPERLINK(_xlfn.CONCAT("https://tablet.otzar.org/",CHAR(35),"/book/655942/p/-1/t/1/fs/0/start/0/end/0/c"),"אבן השוהם")</f>
        <v>אבן השוהם</v>
      </c>
      <c r="H12" t="str">
        <f>_xlfn.CONCAT("https://tablet.otzar.org/",CHAR(35),"/book/655942/p/-1/t/1/fs/0/start/0/end/0/c")</f>
        <v>https://tablet.otzar.org/#/book/655942/p/-1/t/1/fs/0/start/0/end/0/c</v>
      </c>
    </row>
    <row r="13" spans="1:8" x14ac:dyDescent="0.25">
      <c r="A13">
        <v>654893</v>
      </c>
      <c r="B13" t="s">
        <v>43</v>
      </c>
      <c r="C13" t="s">
        <v>44</v>
      </c>
      <c r="D13" t="s">
        <v>10</v>
      </c>
      <c r="E13" t="s">
        <v>45</v>
      </c>
      <c r="G13" t="str">
        <f>HYPERLINK(_xlfn.CONCAT("https://tablet.otzar.org/",CHAR(35),"/book/654893/p/-1/t/1/fs/0/start/0/end/0/c"),"אבן חן, מקואות - חלה")</f>
        <v>אבן חן, מקואות - חלה</v>
      </c>
      <c r="H13" t="str">
        <f>_xlfn.CONCAT("https://tablet.otzar.org/",CHAR(35),"/book/654893/p/-1/t/1/fs/0/start/0/end/0/c")</f>
        <v>https://tablet.otzar.org/#/book/654893/p/-1/t/1/fs/0/start/0/end/0/c</v>
      </c>
    </row>
    <row r="14" spans="1:8" x14ac:dyDescent="0.25">
      <c r="A14">
        <v>650136</v>
      </c>
      <c r="B14" t="s">
        <v>46</v>
      </c>
      <c r="C14" t="s">
        <v>47</v>
      </c>
      <c r="D14" t="s">
        <v>48</v>
      </c>
      <c r="E14" t="s">
        <v>49</v>
      </c>
      <c r="G14" t="str">
        <f>HYPERLINK(_xlfn.CONCAT("https://tablet.otzar.org/",CHAR(35),"/book/650136/p/-1/t/1/fs/0/start/0/end/0/c"),"אבן יקרה - ד")</f>
        <v>אבן יקרה - ד</v>
      </c>
      <c r="H14" t="str">
        <f>_xlfn.CONCAT("https://tablet.otzar.org/",CHAR(35),"/book/650136/p/-1/t/1/fs/0/start/0/end/0/c")</f>
        <v>https://tablet.otzar.org/#/book/650136/p/-1/t/1/fs/0/start/0/end/0/c</v>
      </c>
    </row>
    <row r="15" spans="1:8" x14ac:dyDescent="0.25">
      <c r="A15">
        <v>655943</v>
      </c>
      <c r="B15" t="s">
        <v>50</v>
      </c>
      <c r="C15" t="s">
        <v>51</v>
      </c>
      <c r="D15" t="s">
        <v>52</v>
      </c>
      <c r="E15" t="s">
        <v>35</v>
      </c>
      <c r="G15" t="str">
        <f>HYPERLINK(_xlfn.CONCAT("https://tablet.otzar.org/",CHAR(35),"/book/655943/p/-1/t/1/fs/0/start/0/end/0/c"),"אבן ישראל - גיטין, בבא מציעא,")</f>
        <v>אבן ישראל - גיטין, בבא מציעא,</v>
      </c>
      <c r="H15" t="str">
        <f>_xlfn.CONCAT("https://tablet.otzar.org/",CHAR(35),"/book/655943/p/-1/t/1/fs/0/start/0/end/0/c")</f>
        <v>https://tablet.otzar.org/#/book/655943/p/-1/t/1/fs/0/start/0/end/0/c</v>
      </c>
    </row>
    <row r="16" spans="1:8" x14ac:dyDescent="0.25">
      <c r="A16">
        <v>649782</v>
      </c>
      <c r="B16" t="s">
        <v>53</v>
      </c>
      <c r="C16" t="s">
        <v>54</v>
      </c>
      <c r="D16" t="s">
        <v>10</v>
      </c>
      <c r="E16" t="s">
        <v>55</v>
      </c>
      <c r="G16" t="str">
        <f>HYPERLINK(_xlfn.CONCAT("https://tablet.otzar.org/",CHAR(35),"/book/649782/p/-1/t/1/fs/0/start/0/end/0/c"),"אבן ישראל. תפארת ישראל. גדולים מעשה צדיקים.")</f>
        <v>אבן ישראל. תפארת ישראל. גדולים מעשה צדיקים.</v>
      </c>
      <c r="H16" t="str">
        <f>_xlfn.CONCAT("https://tablet.otzar.org/",CHAR(35),"/book/649782/p/-1/t/1/fs/0/start/0/end/0/c")</f>
        <v>https://tablet.otzar.org/#/book/649782/p/-1/t/1/fs/0/start/0/end/0/c</v>
      </c>
    </row>
    <row r="17" spans="1:8" x14ac:dyDescent="0.25">
      <c r="A17">
        <v>649267</v>
      </c>
      <c r="B17" t="s">
        <v>56</v>
      </c>
      <c r="C17" t="s">
        <v>57</v>
      </c>
      <c r="D17" t="s">
        <v>58</v>
      </c>
      <c r="E17" t="s">
        <v>59</v>
      </c>
      <c r="G17" t="str">
        <f>HYPERLINK(_xlfn.CONCAT("https://tablet.otzar.org/",CHAR(35),"/book/649267/p/-1/t/1/fs/0/start/0/end/0/c"),"אבן שתיה")</f>
        <v>אבן שתיה</v>
      </c>
      <c r="H17" t="str">
        <f>_xlfn.CONCAT("https://tablet.otzar.org/",CHAR(35),"/book/649267/p/-1/t/1/fs/0/start/0/end/0/c")</f>
        <v>https://tablet.otzar.org/#/book/649267/p/-1/t/1/fs/0/start/0/end/0/c</v>
      </c>
    </row>
    <row r="18" spans="1:8" x14ac:dyDescent="0.25">
      <c r="A18">
        <v>653727</v>
      </c>
      <c r="B18" t="s">
        <v>60</v>
      </c>
      <c r="C18" t="s">
        <v>61</v>
      </c>
      <c r="E18" t="s">
        <v>62</v>
      </c>
      <c r="G18" t="str">
        <f>HYPERLINK(_xlfn.CONCAT("https://tablet.otzar.org/",CHAR(35),"/book/653727/p/-1/t/1/fs/0/start/0/end/0/c"),"אבני אש - אבות")</f>
        <v>אבני אש - אבות</v>
      </c>
      <c r="H18" t="str">
        <f>_xlfn.CONCAT("https://tablet.otzar.org/",CHAR(35),"/book/653727/p/-1/t/1/fs/0/start/0/end/0/c")</f>
        <v>https://tablet.otzar.org/#/book/653727/p/-1/t/1/fs/0/start/0/end/0/c</v>
      </c>
    </row>
    <row r="19" spans="1:8" x14ac:dyDescent="0.25">
      <c r="A19">
        <v>648745</v>
      </c>
      <c r="B19" t="s">
        <v>63</v>
      </c>
      <c r="C19" t="s">
        <v>64</v>
      </c>
      <c r="D19" t="s">
        <v>10</v>
      </c>
      <c r="E19" t="s">
        <v>11</v>
      </c>
      <c r="G19" t="str">
        <f>HYPERLINK(_xlfn.CONCAT("https://tablet.otzar.org/",CHAR(35),"/book/648745/p/-1/t/1/fs/0/start/0/end/0/c"),"אבני דרך - יז")</f>
        <v>אבני דרך - יז</v>
      </c>
      <c r="H19" t="str">
        <f>_xlfn.CONCAT("https://tablet.otzar.org/",CHAR(35),"/book/648745/p/-1/t/1/fs/0/start/0/end/0/c")</f>
        <v>https://tablet.otzar.org/#/book/648745/p/-1/t/1/fs/0/start/0/end/0/c</v>
      </c>
    </row>
    <row r="20" spans="1:8" x14ac:dyDescent="0.25">
      <c r="A20">
        <v>654285</v>
      </c>
      <c r="B20" t="s">
        <v>65</v>
      </c>
      <c r="C20" t="s">
        <v>66</v>
      </c>
      <c r="D20" t="s">
        <v>67</v>
      </c>
      <c r="E20" t="s">
        <v>11</v>
      </c>
      <c r="G20" t="str">
        <f>HYPERLINK(_xlfn.CONCAT("https://tablet.otzar.org/",CHAR(35),"/exKotar/654285"),"אבני העזר - 2 כרכים")</f>
        <v>אבני העזר - 2 כרכים</v>
      </c>
      <c r="H20" t="str">
        <f>_xlfn.CONCAT("https://tablet.otzar.org/",CHAR(35),"/exKotar/654285")</f>
        <v>https://tablet.otzar.org/#/exKotar/654285</v>
      </c>
    </row>
    <row r="21" spans="1:8" x14ac:dyDescent="0.25">
      <c r="A21">
        <v>649192</v>
      </c>
      <c r="B21" t="s">
        <v>68</v>
      </c>
      <c r="C21" t="s">
        <v>69</v>
      </c>
      <c r="D21" t="s">
        <v>34</v>
      </c>
      <c r="E21" t="s">
        <v>70</v>
      </c>
      <c r="G21" t="str">
        <f>HYPERLINK(_xlfn.CONCAT("https://tablet.otzar.org/",CHAR(35),"/book/649192/p/-1/t/1/fs/0/start/0/end/0/c"),"אבני זכרון")</f>
        <v>אבני זכרון</v>
      </c>
      <c r="H21" t="str">
        <f>_xlfn.CONCAT("https://tablet.otzar.org/",CHAR(35),"/book/649192/p/-1/t/1/fs/0/start/0/end/0/c")</f>
        <v>https://tablet.otzar.org/#/book/649192/p/-1/t/1/fs/0/start/0/end/0/c</v>
      </c>
    </row>
    <row r="22" spans="1:8" x14ac:dyDescent="0.25">
      <c r="A22">
        <v>650159</v>
      </c>
      <c r="B22" t="s">
        <v>71</v>
      </c>
      <c r="C22" t="s">
        <v>72</v>
      </c>
      <c r="D22" t="s">
        <v>10</v>
      </c>
      <c r="E22" t="s">
        <v>73</v>
      </c>
      <c r="G22" t="str">
        <f>HYPERLINK(_xlfn.CONCAT("https://tablet.otzar.org/",CHAR(35),"/book/650159/p/-1/t/1/fs/0/start/0/end/0/c"),"אבני זכרון - ב")</f>
        <v>אבני זכרון - ב</v>
      </c>
      <c r="H22" t="str">
        <f>_xlfn.CONCAT("https://tablet.otzar.org/",CHAR(35),"/book/650159/p/-1/t/1/fs/0/start/0/end/0/c")</f>
        <v>https://tablet.otzar.org/#/book/650159/p/-1/t/1/fs/0/start/0/end/0/c</v>
      </c>
    </row>
    <row r="23" spans="1:8" x14ac:dyDescent="0.25">
      <c r="A23">
        <v>632479</v>
      </c>
      <c r="B23" t="s">
        <v>74</v>
      </c>
      <c r="C23" t="s">
        <v>75</v>
      </c>
      <c r="D23" t="s">
        <v>76</v>
      </c>
      <c r="E23" t="s">
        <v>77</v>
      </c>
      <c r="G23" t="str">
        <f>HYPERLINK(_xlfn.CONCAT("https://tablet.otzar.org/",CHAR(35),"/book/632479/p/-1/t/1/fs/0/start/0/end/0/c"),"אבני חן")</f>
        <v>אבני חן</v>
      </c>
      <c r="H23" t="str">
        <f>_xlfn.CONCAT("https://tablet.otzar.org/",CHAR(35),"/book/632479/p/-1/t/1/fs/0/start/0/end/0/c")</f>
        <v>https://tablet.otzar.org/#/book/632479/p/-1/t/1/fs/0/start/0/end/0/c</v>
      </c>
    </row>
    <row r="24" spans="1:8" x14ac:dyDescent="0.25">
      <c r="A24">
        <v>648177</v>
      </c>
      <c r="B24" t="s">
        <v>78</v>
      </c>
      <c r="C24" t="s">
        <v>79</v>
      </c>
      <c r="D24" t="s">
        <v>80</v>
      </c>
      <c r="E24" t="s">
        <v>81</v>
      </c>
      <c r="G24" t="str">
        <f>HYPERLINK(_xlfn.CONCAT("https://tablet.otzar.org/",CHAR(35),"/book/648177/p/-1/t/1/fs/0/start/0/end/0/c"),"אבני מלואים")</f>
        <v>אבני מלואים</v>
      </c>
      <c r="H24" t="str">
        <f>_xlfn.CONCAT("https://tablet.otzar.org/",CHAR(35),"/book/648177/p/-1/t/1/fs/0/start/0/end/0/c")</f>
        <v>https://tablet.otzar.org/#/book/648177/p/-1/t/1/fs/0/start/0/end/0/c</v>
      </c>
    </row>
    <row r="25" spans="1:8" x14ac:dyDescent="0.25">
      <c r="A25">
        <v>655945</v>
      </c>
      <c r="B25" t="s">
        <v>82</v>
      </c>
      <c r="C25" t="s">
        <v>83</v>
      </c>
      <c r="D25" t="s">
        <v>10</v>
      </c>
      <c r="E25" t="s">
        <v>84</v>
      </c>
      <c r="G25" t="str">
        <f>HYPERLINK(_xlfn.CONCAT("https://tablet.otzar.org/",CHAR(35),"/exKotar/655945"),"אבני מקום - 2 כרכים")</f>
        <v>אבני מקום - 2 כרכים</v>
      </c>
      <c r="H25" t="str">
        <f>_xlfn.CONCAT("https://tablet.otzar.org/",CHAR(35),"/exKotar/655945")</f>
        <v>https://tablet.otzar.org/#/exKotar/655945</v>
      </c>
    </row>
    <row r="26" spans="1:8" x14ac:dyDescent="0.25">
      <c r="A26">
        <v>654287</v>
      </c>
      <c r="B26" t="s">
        <v>85</v>
      </c>
      <c r="C26" t="s">
        <v>66</v>
      </c>
      <c r="D26" t="s">
        <v>67</v>
      </c>
      <c r="E26" t="s">
        <v>11</v>
      </c>
      <c r="G26" t="str">
        <f>HYPERLINK(_xlfn.CONCAT("https://tablet.otzar.org/",CHAR(35),"/book/654287/p/-1/t/1/fs/0/start/0/end/0/c"),"אבני משפט - א")</f>
        <v>אבני משפט - א</v>
      </c>
      <c r="H26" t="str">
        <f>_xlfn.CONCAT("https://tablet.otzar.org/",CHAR(35),"/book/654287/p/-1/t/1/fs/0/start/0/end/0/c")</f>
        <v>https://tablet.otzar.org/#/book/654287/p/-1/t/1/fs/0/start/0/end/0/c</v>
      </c>
    </row>
    <row r="27" spans="1:8" x14ac:dyDescent="0.25">
      <c r="A27">
        <v>653720</v>
      </c>
      <c r="B27" t="s">
        <v>86</v>
      </c>
      <c r="C27" t="s">
        <v>87</v>
      </c>
      <c r="D27" t="s">
        <v>88</v>
      </c>
      <c r="E27" t="s">
        <v>89</v>
      </c>
      <c r="G27" t="str">
        <f>HYPERLINK(_xlfn.CONCAT("https://tablet.otzar.org/",CHAR(35),"/exKotar/653720"),"אבני נועם - 3 כרכים")</f>
        <v>אבני נועם - 3 כרכים</v>
      </c>
      <c r="H27" t="str">
        <f>_xlfn.CONCAT("https://tablet.otzar.org/",CHAR(35),"/exKotar/653720")</f>
        <v>https://tablet.otzar.org/#/exKotar/653720</v>
      </c>
    </row>
    <row r="28" spans="1:8" x14ac:dyDescent="0.25">
      <c r="A28">
        <v>649904</v>
      </c>
      <c r="B28" t="s">
        <v>90</v>
      </c>
      <c r="C28" t="s">
        <v>91</v>
      </c>
      <c r="D28" t="s">
        <v>34</v>
      </c>
      <c r="E28" t="s">
        <v>70</v>
      </c>
      <c r="G28" t="str">
        <f>HYPERLINK(_xlfn.CONCAT("https://tablet.otzar.org/",CHAR(35),"/book/649904/p/-1/t/1/fs/0/start/0/end/0/c"),"אבני סוגיות - קידושין, יבמות")</f>
        <v>אבני סוגיות - קידושין, יבמות</v>
      </c>
      <c r="H28" t="str">
        <f>_xlfn.CONCAT("https://tablet.otzar.org/",CHAR(35),"/book/649904/p/-1/t/1/fs/0/start/0/end/0/c")</f>
        <v>https://tablet.otzar.org/#/book/649904/p/-1/t/1/fs/0/start/0/end/0/c</v>
      </c>
    </row>
    <row r="29" spans="1:8" x14ac:dyDescent="0.25">
      <c r="A29">
        <v>653610</v>
      </c>
      <c r="B29" t="s">
        <v>92</v>
      </c>
      <c r="C29" t="s">
        <v>93</v>
      </c>
      <c r="D29" t="s">
        <v>52</v>
      </c>
      <c r="E29" t="s">
        <v>11</v>
      </c>
      <c r="G29" t="str">
        <f>HYPERLINK(_xlfn.CONCAT("https://tablet.otzar.org/",CHAR(35),"/book/653610/p/-1/t/1/fs/0/start/0/end/0/c"),"אבני צדק - כתובות")</f>
        <v>אבני צדק - כתובות</v>
      </c>
      <c r="H29" t="str">
        <f>_xlfn.CONCAT("https://tablet.otzar.org/",CHAR(35),"/book/653610/p/-1/t/1/fs/0/start/0/end/0/c")</f>
        <v>https://tablet.otzar.org/#/book/653610/p/-1/t/1/fs/0/start/0/end/0/c</v>
      </c>
    </row>
    <row r="30" spans="1:8" x14ac:dyDescent="0.25">
      <c r="A30">
        <v>647479</v>
      </c>
      <c r="B30" t="s">
        <v>94</v>
      </c>
      <c r="C30" t="s">
        <v>95</v>
      </c>
      <c r="D30" t="s">
        <v>39</v>
      </c>
      <c r="E30" t="s">
        <v>96</v>
      </c>
      <c r="G30" t="str">
        <f>HYPERLINK(_xlfn.CONCAT("https://tablet.otzar.org/",CHAR(35),"/book/647479/p/-1/t/1/fs/0/start/0/end/0/c"),"אבני קודש")</f>
        <v>אבני קודש</v>
      </c>
      <c r="H30" t="str">
        <f>_xlfn.CONCAT("https://tablet.otzar.org/",CHAR(35),"/book/647479/p/-1/t/1/fs/0/start/0/end/0/c")</f>
        <v>https://tablet.otzar.org/#/book/647479/p/-1/t/1/fs/0/start/0/end/0/c</v>
      </c>
    </row>
    <row r="31" spans="1:8" x14ac:dyDescent="0.25">
      <c r="A31">
        <v>650775</v>
      </c>
      <c r="B31" t="s">
        <v>97</v>
      </c>
      <c r="C31" t="s">
        <v>98</v>
      </c>
      <c r="D31" t="s">
        <v>99</v>
      </c>
      <c r="E31" t="s">
        <v>19</v>
      </c>
      <c r="G31" t="str">
        <f>HYPERLINK(_xlfn.CONCAT("https://tablet.otzar.org/",CHAR(35),"/exKotar/650775"),"אבני שהם - 2 כרכים")</f>
        <v>אבני שהם - 2 כרכים</v>
      </c>
      <c r="H31" t="str">
        <f>_xlfn.CONCAT("https://tablet.otzar.org/",CHAR(35),"/exKotar/650775")</f>
        <v>https://tablet.otzar.org/#/exKotar/650775</v>
      </c>
    </row>
    <row r="32" spans="1:8" x14ac:dyDescent="0.25">
      <c r="A32">
        <v>650149</v>
      </c>
      <c r="B32" t="s">
        <v>100</v>
      </c>
      <c r="C32" t="s">
        <v>101</v>
      </c>
      <c r="D32" t="s">
        <v>52</v>
      </c>
      <c r="E32" t="s">
        <v>77</v>
      </c>
      <c r="G32" t="str">
        <f>HYPERLINK(_xlfn.CONCAT("https://tablet.otzar.org/",CHAR(35),"/book/650149/p/-1/t/1/fs/0/start/0/end/0/c"),"אבני שמחה - תניינא")</f>
        <v>אבני שמחה - תניינא</v>
      </c>
      <c r="H32" t="str">
        <f>_xlfn.CONCAT("https://tablet.otzar.org/",CHAR(35),"/book/650149/p/-1/t/1/fs/0/start/0/end/0/c")</f>
        <v>https://tablet.otzar.org/#/book/650149/p/-1/t/1/fs/0/start/0/end/0/c</v>
      </c>
    </row>
    <row r="33" spans="1:8" x14ac:dyDescent="0.25">
      <c r="A33">
        <v>655946</v>
      </c>
      <c r="B33" t="s">
        <v>102</v>
      </c>
      <c r="C33" t="s">
        <v>103</v>
      </c>
      <c r="D33" t="s">
        <v>34</v>
      </c>
      <c r="E33" t="s">
        <v>29</v>
      </c>
      <c r="G33" t="str">
        <f>HYPERLINK(_xlfn.CONCAT("https://tablet.otzar.org/",CHAR(35),"/book/655946/p/-1/t/1/fs/0/start/0/end/0/c"),"אבני שש - הלכות בשר וחלב ותערובת")</f>
        <v>אבני שש - הלכות בשר וחלב ותערובת</v>
      </c>
      <c r="H33" t="str">
        <f>_xlfn.CONCAT("https://tablet.otzar.org/",CHAR(35),"/book/655946/p/-1/t/1/fs/0/start/0/end/0/c")</f>
        <v>https://tablet.otzar.org/#/book/655946/p/-1/t/1/fs/0/start/0/end/0/c</v>
      </c>
    </row>
    <row r="34" spans="1:8" x14ac:dyDescent="0.25">
      <c r="A34">
        <v>651217</v>
      </c>
      <c r="B34" t="s">
        <v>104</v>
      </c>
      <c r="C34" t="s">
        <v>105</v>
      </c>
      <c r="D34" t="s">
        <v>10</v>
      </c>
      <c r="E34" t="s">
        <v>106</v>
      </c>
      <c r="G34" t="str">
        <f>HYPERLINK(_xlfn.CONCAT("https://tablet.otzar.org/",CHAR(35),"/book/651217/p/-1/t/1/fs/0/start/0/end/0/c"),"אבנר")</f>
        <v>אבנר</v>
      </c>
      <c r="H34" t="str">
        <f>_xlfn.CONCAT("https://tablet.otzar.org/",CHAR(35),"/book/651217/p/-1/t/1/fs/0/start/0/end/0/c")</f>
        <v>https://tablet.otzar.org/#/book/651217/p/-1/t/1/fs/0/start/0/end/0/c</v>
      </c>
    </row>
    <row r="35" spans="1:8" x14ac:dyDescent="0.25">
      <c r="A35">
        <v>650636</v>
      </c>
      <c r="B35" t="s">
        <v>107</v>
      </c>
      <c r="C35" t="s">
        <v>108</v>
      </c>
      <c r="D35" t="s">
        <v>10</v>
      </c>
      <c r="E35" t="s">
        <v>11</v>
      </c>
      <c r="G35" t="str">
        <f>HYPERLINK(_xlfn.CONCAT("https://tablet.otzar.org/",CHAR(35),"/book/650636/p/-1/t/1/fs/0/start/0/end/0/c"),"אבנתא דליבא - יבמות")</f>
        <v>אבנתא דליבא - יבמות</v>
      </c>
      <c r="H35" t="str">
        <f>_xlfn.CONCAT("https://tablet.otzar.org/",CHAR(35),"/book/650636/p/-1/t/1/fs/0/start/0/end/0/c")</f>
        <v>https://tablet.otzar.org/#/book/650636/p/-1/t/1/fs/0/start/0/end/0/c</v>
      </c>
    </row>
    <row r="36" spans="1:8" x14ac:dyDescent="0.25">
      <c r="A36">
        <v>647465</v>
      </c>
      <c r="B36" t="s">
        <v>109</v>
      </c>
      <c r="C36" t="s">
        <v>110</v>
      </c>
      <c r="D36" t="s">
        <v>10</v>
      </c>
      <c r="E36" t="s">
        <v>111</v>
      </c>
      <c r="G36" t="str">
        <f>HYPERLINK(_xlfn.CONCAT("https://tablet.otzar.org/",CHAR(35),"/book/647465/p/-1/t/1/fs/0/start/0/end/0/c"),"אבקן - 9")</f>
        <v>אבקן - 9</v>
      </c>
      <c r="H36" t="str">
        <f>_xlfn.CONCAT("https://tablet.otzar.org/",CHAR(35),"/book/647465/p/-1/t/1/fs/0/start/0/end/0/c")</f>
        <v>https://tablet.otzar.org/#/book/647465/p/-1/t/1/fs/0/start/0/end/0/c</v>
      </c>
    </row>
    <row r="37" spans="1:8" x14ac:dyDescent="0.25">
      <c r="A37">
        <v>647048</v>
      </c>
      <c r="B37" t="s">
        <v>112</v>
      </c>
      <c r="C37" t="s">
        <v>113</v>
      </c>
      <c r="E37" t="s">
        <v>114</v>
      </c>
      <c r="G37" t="str">
        <f>HYPERLINK(_xlfn.CONCAT("https://tablet.otzar.org/",CHAR(35),"/book/647048/p/-1/t/1/fs/0/start/0/end/0/c"),"אברהם אבינו'ס לעבן און שאפונג")</f>
        <v>אברהם אבינו'ס לעבן און שאפונג</v>
      </c>
      <c r="H37" t="str">
        <f>_xlfn.CONCAT("https://tablet.otzar.org/",CHAR(35),"/book/647048/p/-1/t/1/fs/0/start/0/end/0/c")</f>
        <v>https://tablet.otzar.org/#/book/647048/p/-1/t/1/fs/0/start/0/end/0/c</v>
      </c>
    </row>
    <row r="38" spans="1:8" x14ac:dyDescent="0.25">
      <c r="A38">
        <v>652964</v>
      </c>
      <c r="B38" t="s">
        <v>115</v>
      </c>
      <c r="C38" t="s">
        <v>116</v>
      </c>
      <c r="D38" t="s">
        <v>52</v>
      </c>
      <c r="E38" t="s">
        <v>117</v>
      </c>
      <c r="G38" t="str">
        <f>HYPERLINK(_xlfn.CONCAT("https://tablet.otzar.org/",CHAR(35),"/book/652964/p/-1/t/1/fs/0/start/0/end/0/c"),"אברהם בעודנו חי")</f>
        <v>אברהם בעודנו חי</v>
      </c>
      <c r="H38" t="str">
        <f>_xlfn.CONCAT("https://tablet.otzar.org/",CHAR(35),"/book/652964/p/-1/t/1/fs/0/start/0/end/0/c")</f>
        <v>https://tablet.otzar.org/#/book/652964/p/-1/t/1/fs/0/start/0/end/0/c</v>
      </c>
    </row>
    <row r="39" spans="1:8" x14ac:dyDescent="0.25">
      <c r="A39">
        <v>647541</v>
      </c>
      <c r="B39" t="s">
        <v>118</v>
      </c>
      <c r="C39" t="s">
        <v>119</v>
      </c>
      <c r="D39" t="s">
        <v>88</v>
      </c>
      <c r="E39" t="s">
        <v>84</v>
      </c>
      <c r="G39" t="str">
        <f>HYPERLINK(_xlfn.CONCAT("https://tablet.otzar.org/",CHAR(35),"/exKotar/647541"),"אברהם יגל - 2 כרכים")</f>
        <v>אברהם יגל - 2 כרכים</v>
      </c>
      <c r="H39" t="str">
        <f>_xlfn.CONCAT("https://tablet.otzar.org/",CHAR(35),"/exKotar/647541")</f>
        <v>https://tablet.otzar.org/#/exKotar/647541</v>
      </c>
    </row>
    <row r="40" spans="1:8" x14ac:dyDescent="0.25">
      <c r="A40">
        <v>653422</v>
      </c>
      <c r="B40" t="s">
        <v>120</v>
      </c>
      <c r="C40" t="s">
        <v>121</v>
      </c>
      <c r="D40" t="s">
        <v>10</v>
      </c>
      <c r="E40" t="s">
        <v>77</v>
      </c>
      <c r="G40" t="str">
        <f>HYPERLINK(_xlfn.CONCAT("https://tablet.otzar.org/",CHAR(35),"/book/653422/p/-1/t/1/fs/0/start/0/end/0/c"),"אברהם מאיר - וישב מקץ")</f>
        <v>אברהם מאיר - וישב מקץ</v>
      </c>
      <c r="H40" t="str">
        <f>_xlfn.CONCAT("https://tablet.otzar.org/",CHAR(35),"/book/653422/p/-1/t/1/fs/0/start/0/end/0/c")</f>
        <v>https://tablet.otzar.org/#/book/653422/p/-1/t/1/fs/0/start/0/end/0/c</v>
      </c>
    </row>
    <row r="41" spans="1:8" x14ac:dyDescent="0.25">
      <c r="A41">
        <v>650649</v>
      </c>
      <c r="B41" t="s">
        <v>122</v>
      </c>
      <c r="C41" t="s">
        <v>123</v>
      </c>
      <c r="D41" t="s">
        <v>10</v>
      </c>
      <c r="E41">
        <v>1988</v>
      </c>
      <c r="G41" t="str">
        <f>HYPERLINK(_xlfn.CONCAT("https://tablet.otzar.org/",CHAR(35),"/exKotar/650649"),"אגדות ארץ ישראל - 2 כרכים")</f>
        <v>אגדות ארץ ישראל - 2 כרכים</v>
      </c>
      <c r="H41" t="str">
        <f>_xlfn.CONCAT("https://tablet.otzar.org/",CHAR(35),"/exKotar/650649")</f>
        <v>https://tablet.otzar.org/#/exKotar/650649</v>
      </c>
    </row>
    <row r="42" spans="1:8" x14ac:dyDescent="0.25">
      <c r="A42">
        <v>653264</v>
      </c>
      <c r="B42" t="s">
        <v>124</v>
      </c>
      <c r="C42" t="s">
        <v>125</v>
      </c>
      <c r="D42" t="s">
        <v>10</v>
      </c>
      <c r="E42" t="s">
        <v>126</v>
      </c>
      <c r="G42" t="str">
        <f>HYPERLINK(_xlfn.CONCAT("https://tablet.otzar.org/",CHAR(35),"/book/653264/p/-1/t/1/fs/0/start/0/end/0/c"),"אגדות ים התלמוד - שבת")</f>
        <v>אגדות ים התלמוד - שבת</v>
      </c>
      <c r="H42" t="str">
        <f>_xlfn.CONCAT("https://tablet.otzar.org/",CHAR(35),"/book/653264/p/-1/t/1/fs/0/start/0/end/0/c")</f>
        <v>https://tablet.otzar.org/#/book/653264/p/-1/t/1/fs/0/start/0/end/0/c</v>
      </c>
    </row>
    <row r="43" spans="1:8" x14ac:dyDescent="0.25">
      <c r="A43">
        <v>641660</v>
      </c>
      <c r="B43" t="s">
        <v>127</v>
      </c>
      <c r="C43" t="s">
        <v>128</v>
      </c>
      <c r="D43" t="s">
        <v>129</v>
      </c>
      <c r="E43" t="s">
        <v>130</v>
      </c>
      <c r="G43" t="str">
        <f>HYPERLINK(_xlfn.CONCAT("https://tablet.otzar.org/",CHAR(35),"/book/641660/p/-1/t/1/fs/0/start/0/end/0/c"),"אגדות לספורי התנ""""ך וספורים שונים")</f>
        <v>אגדות לספורי התנ""ך וספורים שונים</v>
      </c>
      <c r="H43" t="str">
        <f>_xlfn.CONCAT("https://tablet.otzar.org/",CHAR(35),"/book/641660/p/-1/t/1/fs/0/start/0/end/0/c")</f>
        <v>https://tablet.otzar.org/#/book/641660/p/-1/t/1/fs/0/start/0/end/0/c</v>
      </c>
    </row>
    <row r="44" spans="1:8" x14ac:dyDescent="0.25">
      <c r="A44">
        <v>654431</v>
      </c>
      <c r="B44" t="s">
        <v>131</v>
      </c>
      <c r="C44" t="s">
        <v>132</v>
      </c>
      <c r="D44" t="s">
        <v>133</v>
      </c>
      <c r="E44" t="s">
        <v>11</v>
      </c>
      <c r="G44" t="str">
        <f>HYPERLINK(_xlfn.CONCAT("https://tablet.otzar.org/",CHAR(35),"/book/654431/p/-1/t/1/fs/0/start/0/end/0/c"),"אגדתא")</f>
        <v>אגדתא</v>
      </c>
      <c r="H44" t="str">
        <f>_xlfn.CONCAT("https://tablet.otzar.org/",CHAR(35),"/book/654431/p/-1/t/1/fs/0/start/0/end/0/c")</f>
        <v>https://tablet.otzar.org/#/book/654431/p/-1/t/1/fs/0/start/0/end/0/c</v>
      </c>
    </row>
    <row r="45" spans="1:8" x14ac:dyDescent="0.25">
      <c r="A45">
        <v>647892</v>
      </c>
      <c r="B45" t="s">
        <v>134</v>
      </c>
      <c r="C45" t="s">
        <v>135</v>
      </c>
      <c r="D45" t="s">
        <v>10</v>
      </c>
      <c r="E45" t="s">
        <v>136</v>
      </c>
      <c r="G45" t="str">
        <f>HYPERLINK(_xlfn.CONCAT("https://tablet.otzar.org/",CHAR(35),"/book/647892/p/-1/t/1/fs/0/start/0/end/0/c"),"אגודת אגדות")</f>
        <v>אגודת אגדות</v>
      </c>
      <c r="H45" t="str">
        <f>_xlfn.CONCAT("https://tablet.otzar.org/",CHAR(35),"/book/647892/p/-1/t/1/fs/0/start/0/end/0/c")</f>
        <v>https://tablet.otzar.org/#/book/647892/p/-1/t/1/fs/0/start/0/end/0/c</v>
      </c>
    </row>
    <row r="46" spans="1:8" x14ac:dyDescent="0.25">
      <c r="A46">
        <v>654489</v>
      </c>
      <c r="B46" t="s">
        <v>137</v>
      </c>
      <c r="C46" t="s">
        <v>138</v>
      </c>
      <c r="D46" t="s">
        <v>139</v>
      </c>
      <c r="E46" t="s">
        <v>11</v>
      </c>
      <c r="G46" t="str">
        <f>HYPERLINK(_xlfn.CONCAT("https://tablet.otzar.org/",CHAR(35),"/exKotar/654489"),"אגלאי מילתא - 2 כרכים")</f>
        <v>אגלאי מילתא - 2 כרכים</v>
      </c>
      <c r="H46" t="str">
        <f>_xlfn.CONCAT("https://tablet.otzar.org/",CHAR(35),"/exKotar/654489")</f>
        <v>https://tablet.otzar.org/#/exKotar/654489</v>
      </c>
    </row>
    <row r="47" spans="1:8" x14ac:dyDescent="0.25">
      <c r="A47">
        <v>654807</v>
      </c>
      <c r="B47" t="s">
        <v>140</v>
      </c>
      <c r="C47" t="s">
        <v>141</v>
      </c>
      <c r="D47" t="s">
        <v>10</v>
      </c>
      <c r="E47" t="s">
        <v>11</v>
      </c>
      <c r="G47" t="str">
        <f>HYPERLINK(_xlfn.CONCAT("https://tablet.otzar.org/",CHAR(35),"/book/654807/p/-1/t/1/fs/0/start/0/end/0/c"),"אגן הסהר")</f>
        <v>אגן הסהר</v>
      </c>
      <c r="H47" t="str">
        <f>_xlfn.CONCAT("https://tablet.otzar.org/",CHAR(35),"/book/654807/p/-1/t/1/fs/0/start/0/end/0/c")</f>
        <v>https://tablet.otzar.org/#/book/654807/p/-1/t/1/fs/0/start/0/end/0/c</v>
      </c>
    </row>
    <row r="48" spans="1:8" x14ac:dyDescent="0.25">
      <c r="A48">
        <v>655660</v>
      </c>
      <c r="B48" t="s">
        <v>142</v>
      </c>
      <c r="C48" t="s">
        <v>143</v>
      </c>
      <c r="D48" t="s">
        <v>52</v>
      </c>
      <c r="E48" t="s">
        <v>84</v>
      </c>
      <c r="G48" t="str">
        <f>HYPERLINK(_xlfn.CONCAT("https://tablet.otzar.org/",CHAR(35),"/book/655660/p/-1/t/1/fs/0/start/0/end/0/c"),"אגרא דפרקא &lt;הגהות הצבי והצדק&gt;")</f>
        <v>אגרא דפרקא &lt;הגהות הצבי והצדק&gt;</v>
      </c>
      <c r="H48" t="str">
        <f>_xlfn.CONCAT("https://tablet.otzar.org/",CHAR(35),"/book/655660/p/-1/t/1/fs/0/start/0/end/0/c")</f>
        <v>https://tablet.otzar.org/#/book/655660/p/-1/t/1/fs/0/start/0/end/0/c</v>
      </c>
    </row>
    <row r="49" spans="1:8" x14ac:dyDescent="0.25">
      <c r="A49">
        <v>613396</v>
      </c>
      <c r="B49" t="s">
        <v>144</v>
      </c>
      <c r="C49" t="s">
        <v>145</v>
      </c>
      <c r="D49" t="s">
        <v>10</v>
      </c>
      <c r="E49" t="s">
        <v>146</v>
      </c>
      <c r="G49" t="str">
        <f>HYPERLINK(_xlfn.CONCAT("https://tablet.otzar.org/",CHAR(35),"/book/613396/p/-1/t/1/fs/0/start/0/end/0/c"),"אגרות מרן רי""""ז הלוי")</f>
        <v>אגרות מרן רי""ז הלוי</v>
      </c>
      <c r="H49" t="str">
        <f>_xlfn.CONCAT("https://tablet.otzar.org/",CHAR(35),"/book/613396/p/-1/t/1/fs/0/start/0/end/0/c")</f>
        <v>https://tablet.otzar.org/#/book/613396/p/-1/t/1/fs/0/start/0/end/0/c</v>
      </c>
    </row>
    <row r="50" spans="1:8" x14ac:dyDescent="0.25">
      <c r="A50">
        <v>655509</v>
      </c>
      <c r="B50" t="s">
        <v>147</v>
      </c>
      <c r="C50" t="s">
        <v>148</v>
      </c>
      <c r="D50" t="s">
        <v>52</v>
      </c>
      <c r="E50" t="s">
        <v>149</v>
      </c>
      <c r="G50" t="str">
        <f>HYPERLINK(_xlfn.CONCAT("https://tablet.otzar.org/",CHAR(35),"/book/655509/p/-1/t/1/fs/0/start/0/end/0/c"),"אגרות צפונית")</f>
        <v>אגרות צפונית</v>
      </c>
      <c r="H50" t="str">
        <f>_xlfn.CONCAT("https://tablet.otzar.org/",CHAR(35),"/book/655509/p/-1/t/1/fs/0/start/0/end/0/c")</f>
        <v>https://tablet.otzar.org/#/book/655509/p/-1/t/1/fs/0/start/0/end/0/c</v>
      </c>
    </row>
    <row r="51" spans="1:8" x14ac:dyDescent="0.25">
      <c r="A51">
        <v>650257</v>
      </c>
      <c r="B51" t="s">
        <v>150</v>
      </c>
      <c r="C51" t="s">
        <v>151</v>
      </c>
      <c r="E51" t="s">
        <v>35</v>
      </c>
      <c r="G51" t="str">
        <f>HYPERLINK(_xlfn.CONCAT("https://tablet.otzar.org/",CHAR(35),"/book/650257/p/-1/t/1/fs/0/start/0/end/0/c"),"אגרות קודש - לג (תשל""""ח)")</f>
        <v>אגרות קודש - לג (תשל""ח)</v>
      </c>
      <c r="H51" t="str">
        <f>_xlfn.CONCAT("https://tablet.otzar.org/",CHAR(35),"/book/650257/p/-1/t/1/fs/0/start/0/end/0/c")</f>
        <v>https://tablet.otzar.org/#/book/650257/p/-1/t/1/fs/0/start/0/end/0/c</v>
      </c>
    </row>
    <row r="52" spans="1:8" x14ac:dyDescent="0.25">
      <c r="A52">
        <v>650601</v>
      </c>
      <c r="B52" t="s">
        <v>152</v>
      </c>
      <c r="C52" t="s">
        <v>153</v>
      </c>
      <c r="D52" t="s">
        <v>39</v>
      </c>
      <c r="E52" t="s">
        <v>154</v>
      </c>
      <c r="G52" t="str">
        <f>HYPERLINK(_xlfn.CONCAT("https://tablet.otzar.org/",CHAR(35),"/book/650601/p/-1/t/1/fs/0/start/0/end/0/c"),"אגרות שומרי אמונים")</f>
        <v>אגרות שומרי אמונים</v>
      </c>
      <c r="H52" t="str">
        <f>_xlfn.CONCAT("https://tablet.otzar.org/",CHAR(35),"/book/650601/p/-1/t/1/fs/0/start/0/end/0/c")</f>
        <v>https://tablet.otzar.org/#/book/650601/p/-1/t/1/fs/0/start/0/end/0/c</v>
      </c>
    </row>
    <row r="53" spans="1:8" x14ac:dyDescent="0.25">
      <c r="A53">
        <v>649535</v>
      </c>
      <c r="B53" t="s">
        <v>155</v>
      </c>
      <c r="C53" t="s">
        <v>156</v>
      </c>
      <c r="D53" t="s">
        <v>58</v>
      </c>
      <c r="E53" t="s">
        <v>70</v>
      </c>
      <c r="G53" t="str">
        <f>HYPERLINK(_xlfn.CONCAT("https://tablet.otzar.org/",CHAR(35),"/book/649535/p/-1/t/1/fs/0/start/0/end/0/c"),"אגרות שלום")</f>
        <v>אגרות שלום</v>
      </c>
      <c r="H53" t="str">
        <f>_xlfn.CONCAT("https://tablet.otzar.org/",CHAR(35),"/book/649535/p/-1/t/1/fs/0/start/0/end/0/c")</f>
        <v>https://tablet.otzar.org/#/book/649535/p/-1/t/1/fs/0/start/0/end/0/c</v>
      </c>
    </row>
    <row r="54" spans="1:8" x14ac:dyDescent="0.25">
      <c r="A54">
        <v>656790</v>
      </c>
      <c r="B54" t="s">
        <v>157</v>
      </c>
      <c r="C54" t="s">
        <v>158</v>
      </c>
      <c r="E54" t="s">
        <v>84</v>
      </c>
      <c r="G54" t="str">
        <f>HYPERLINK(_xlfn.CONCAT("https://tablet.otzar.org/",CHAR(35),"/book/656790/p/-1/t/1/fs/0/start/0/end/0/c"),"אגרות שפירין &lt;השלם&gt; - רבי צבי הירש שפירא בעל דרכי תשובה")</f>
        <v>אגרות שפירין &lt;השלם&gt; - רבי צבי הירש שפירא בעל דרכי תשובה</v>
      </c>
      <c r="H54" t="str">
        <f>_xlfn.CONCAT("https://tablet.otzar.org/",CHAR(35),"/book/656790/p/-1/t/1/fs/0/start/0/end/0/c")</f>
        <v>https://tablet.otzar.org/#/book/656790/p/-1/t/1/fs/0/start/0/end/0/c</v>
      </c>
    </row>
    <row r="55" spans="1:8" x14ac:dyDescent="0.25">
      <c r="A55">
        <v>649331</v>
      </c>
      <c r="B55" t="s">
        <v>159</v>
      </c>
      <c r="C55" t="s">
        <v>160</v>
      </c>
      <c r="D55" t="s">
        <v>10</v>
      </c>
      <c r="E55" t="s">
        <v>161</v>
      </c>
      <c r="G55" t="str">
        <f>HYPERLINK(_xlfn.CONCAT("https://tablet.otzar.org/",CHAR(35),"/book/649331/p/-1/t/1/fs/0/start/0/end/0/c"),"אגרת המוסר &lt;מוגה מכת""""י&gt;")</f>
        <v>אגרת המוסר &lt;מוגה מכת""י&gt;</v>
      </c>
      <c r="H55" t="str">
        <f>_xlfn.CONCAT("https://tablet.otzar.org/",CHAR(35),"/book/649331/p/-1/t/1/fs/0/start/0/end/0/c")</f>
        <v>https://tablet.otzar.org/#/book/649331/p/-1/t/1/fs/0/start/0/end/0/c</v>
      </c>
    </row>
    <row r="56" spans="1:8" x14ac:dyDescent="0.25">
      <c r="A56">
        <v>650102</v>
      </c>
      <c r="B56" t="s">
        <v>162</v>
      </c>
      <c r="C56" t="s">
        <v>163</v>
      </c>
      <c r="E56" t="s">
        <v>45</v>
      </c>
      <c r="G56" t="str">
        <f>HYPERLINK(_xlfn.CONCAT("https://tablet.otzar.org/",CHAR(35),"/book/650102/p/-1/t/1/fs/0/start/0/end/0/c"),"אגרת הקדוש &lt;עם ביאור ארי במסתרים&gt;")</f>
        <v>אגרת הקדוש &lt;עם ביאור ארי במסתרים&gt;</v>
      </c>
      <c r="H56" t="str">
        <f>_xlfn.CONCAT("https://tablet.otzar.org/",CHAR(35),"/book/650102/p/-1/t/1/fs/0/start/0/end/0/c")</f>
        <v>https://tablet.otzar.org/#/book/650102/p/-1/t/1/fs/0/start/0/end/0/c</v>
      </c>
    </row>
    <row r="57" spans="1:8" x14ac:dyDescent="0.25">
      <c r="A57">
        <v>649272</v>
      </c>
      <c r="B57" t="s">
        <v>164</v>
      </c>
      <c r="C57" t="s">
        <v>165</v>
      </c>
      <c r="D57" t="s">
        <v>166</v>
      </c>
      <c r="E57" t="s">
        <v>167</v>
      </c>
      <c r="G57" t="str">
        <f>HYPERLINK(_xlfn.CONCAT("https://tablet.otzar.org/",CHAR(35),"/book/649272/p/-1/t/1/fs/0/start/0/end/0/c"),"אגרת הקודש")</f>
        <v>אגרת הקודש</v>
      </c>
      <c r="H57" t="str">
        <f>_xlfn.CONCAT("https://tablet.otzar.org/",CHAR(35),"/book/649272/p/-1/t/1/fs/0/start/0/end/0/c")</f>
        <v>https://tablet.otzar.org/#/book/649272/p/-1/t/1/fs/0/start/0/end/0/c</v>
      </c>
    </row>
    <row r="58" spans="1:8" x14ac:dyDescent="0.25">
      <c r="A58">
        <v>651616</v>
      </c>
      <c r="B58" t="s">
        <v>168</v>
      </c>
      <c r="C58" t="s">
        <v>169</v>
      </c>
      <c r="D58" t="s">
        <v>10</v>
      </c>
      <c r="E58" t="s">
        <v>11</v>
      </c>
      <c r="G58" t="str">
        <f>HYPERLINK(_xlfn.CONCAT("https://tablet.otzar.org/",CHAR(35),"/book/651616/p/-1/t/1/fs/0/start/0/end/0/c"),"אגרת הרמב""""ן עם ביאור ועיונים")</f>
        <v>אגרת הרמב""ן עם ביאור ועיונים</v>
      </c>
      <c r="H58" t="str">
        <f>_xlfn.CONCAT("https://tablet.otzar.org/",CHAR(35),"/book/651616/p/-1/t/1/fs/0/start/0/end/0/c")</f>
        <v>https://tablet.otzar.org/#/book/651616/p/-1/t/1/fs/0/start/0/end/0/c</v>
      </c>
    </row>
    <row r="59" spans="1:8" x14ac:dyDescent="0.25">
      <c r="A59">
        <v>647928</v>
      </c>
      <c r="B59" t="s">
        <v>170</v>
      </c>
      <c r="C59" t="s">
        <v>171</v>
      </c>
      <c r="D59" t="s">
        <v>10</v>
      </c>
      <c r="E59" t="s">
        <v>172</v>
      </c>
      <c r="G59" t="str">
        <f>HYPERLINK(_xlfn.CONCAT("https://tablet.otzar.org/",CHAR(35),"/book/647928/p/-1/t/1/fs/0/start/0/end/0/c"),"אגרת קריאה")</f>
        <v>אגרת קריאה</v>
      </c>
      <c r="H59" t="str">
        <f>_xlfn.CONCAT("https://tablet.otzar.org/",CHAR(35),"/book/647928/p/-1/t/1/fs/0/start/0/end/0/c")</f>
        <v>https://tablet.otzar.org/#/book/647928/p/-1/t/1/fs/0/start/0/end/0/c</v>
      </c>
    </row>
    <row r="60" spans="1:8" x14ac:dyDescent="0.25">
      <c r="A60">
        <v>650451</v>
      </c>
      <c r="B60" t="s">
        <v>173</v>
      </c>
      <c r="C60" t="s">
        <v>174</v>
      </c>
      <c r="D60" t="s">
        <v>175</v>
      </c>
      <c r="E60" t="s">
        <v>176</v>
      </c>
      <c r="G60" t="str">
        <f>HYPERLINK(_xlfn.CONCAT("https://tablet.otzar.org/",CHAR(35),"/book/650451/p/-1/t/1/fs/0/start/0/end/0/c"),"אגרת רבי ישראל משקלוב לבני עשרת השבטים")</f>
        <v>אגרת רבי ישראל משקלוב לבני עשרת השבטים</v>
      </c>
      <c r="H60" t="str">
        <f>_xlfn.CONCAT("https://tablet.otzar.org/",CHAR(35),"/book/650451/p/-1/t/1/fs/0/start/0/end/0/c")</f>
        <v>https://tablet.otzar.org/#/book/650451/p/-1/t/1/fs/0/start/0/end/0/c</v>
      </c>
    </row>
    <row r="61" spans="1:8" x14ac:dyDescent="0.25">
      <c r="A61">
        <v>648541</v>
      </c>
      <c r="B61" t="s">
        <v>177</v>
      </c>
      <c r="C61" t="s">
        <v>178</v>
      </c>
      <c r="E61" t="s">
        <v>70</v>
      </c>
      <c r="G61" t="str">
        <f>HYPERLINK(_xlfn.CONCAT("https://tablet.otzar.org/",CHAR(35),"/book/648541/p/-1/t/1/fs/0/start/0/end/0/c"),"אגרת תימן &lt;אין אידישער שפראך&gt;")</f>
        <v>אגרת תימן &lt;אין אידישער שפראך&gt;</v>
      </c>
      <c r="H61" t="str">
        <f>_xlfn.CONCAT("https://tablet.otzar.org/",CHAR(35),"/book/648541/p/-1/t/1/fs/0/start/0/end/0/c")</f>
        <v>https://tablet.otzar.org/#/book/648541/p/-1/t/1/fs/0/start/0/end/0/c</v>
      </c>
    </row>
    <row r="62" spans="1:8" x14ac:dyDescent="0.25">
      <c r="A62">
        <v>650387</v>
      </c>
      <c r="B62" t="s">
        <v>179</v>
      </c>
      <c r="C62" t="s">
        <v>180</v>
      </c>
      <c r="D62" t="s">
        <v>181</v>
      </c>
      <c r="E62" t="s">
        <v>11</v>
      </c>
      <c r="G62" t="str">
        <f>HYPERLINK(_xlfn.CONCAT("https://tablet.otzar.org/",CHAR(35),"/book/650387/p/-1/t/1/fs/0/start/0/end/0/c"),"אגרתא דחדוותא - מח")</f>
        <v>אגרתא דחדוותא - מח</v>
      </c>
      <c r="H62" t="str">
        <f>_xlfn.CONCAT("https://tablet.otzar.org/",CHAR(35),"/book/650387/p/-1/t/1/fs/0/start/0/end/0/c")</f>
        <v>https://tablet.otzar.org/#/book/650387/p/-1/t/1/fs/0/start/0/end/0/c</v>
      </c>
    </row>
    <row r="63" spans="1:8" x14ac:dyDescent="0.25">
      <c r="A63">
        <v>650063</v>
      </c>
      <c r="B63" t="s">
        <v>182</v>
      </c>
      <c r="C63" t="s">
        <v>183</v>
      </c>
      <c r="D63" t="s">
        <v>10</v>
      </c>
      <c r="E63" t="s">
        <v>184</v>
      </c>
      <c r="G63" t="str">
        <f>HYPERLINK(_xlfn.CONCAT("https://tablet.otzar.org/",CHAR(35),"/book/650063/p/-1/t/1/fs/0/start/0/end/0/c"),"אדברה ואעידה - שאנדריף")</f>
        <v>אדברה ואעידה - שאנדריף</v>
      </c>
      <c r="H63" t="str">
        <f>_xlfn.CONCAT("https://tablet.otzar.org/",CHAR(35),"/book/650063/p/-1/t/1/fs/0/start/0/end/0/c")</f>
        <v>https://tablet.otzar.org/#/book/650063/p/-1/t/1/fs/0/start/0/end/0/c</v>
      </c>
    </row>
    <row r="64" spans="1:8" x14ac:dyDescent="0.25">
      <c r="A64">
        <v>652941</v>
      </c>
      <c r="B64" t="s">
        <v>185</v>
      </c>
      <c r="C64" t="s">
        <v>186</v>
      </c>
      <c r="E64" t="s">
        <v>70</v>
      </c>
      <c r="G64" t="str">
        <f>HYPERLINK(_xlfn.CONCAT("https://tablet.otzar.org/",CHAR(35),"/book/652941/p/-1/t/1/fs/0/start/0/end/0/c"),"אדום וישמעאל המאבק על הר הבית")</f>
        <v>אדום וישמעאל המאבק על הר הבית</v>
      </c>
      <c r="H64" t="str">
        <f>_xlfn.CONCAT("https://tablet.otzar.org/",CHAR(35),"/book/652941/p/-1/t/1/fs/0/start/0/end/0/c")</f>
        <v>https://tablet.otzar.org/#/book/652941/p/-1/t/1/fs/0/start/0/end/0/c</v>
      </c>
    </row>
    <row r="65" spans="1:8" x14ac:dyDescent="0.25">
      <c r="A65">
        <v>651346</v>
      </c>
      <c r="B65" t="s">
        <v>187</v>
      </c>
      <c r="C65" t="s">
        <v>188</v>
      </c>
      <c r="D65" t="s">
        <v>34</v>
      </c>
      <c r="E65" t="s">
        <v>70</v>
      </c>
      <c r="G65" t="str">
        <f>HYPERLINK(_xlfn.CONCAT("https://tablet.otzar.org/",CHAR(35),"/book/651346/p/-1/t/1/fs/0/start/0/end/0/c"),"אדינים דשבת")</f>
        <v>אדינים דשבת</v>
      </c>
      <c r="H65" t="str">
        <f>_xlfn.CONCAT("https://tablet.otzar.org/",CHAR(35),"/book/651346/p/-1/t/1/fs/0/start/0/end/0/c")</f>
        <v>https://tablet.otzar.org/#/book/651346/p/-1/t/1/fs/0/start/0/end/0/c</v>
      </c>
    </row>
    <row r="66" spans="1:8" x14ac:dyDescent="0.25">
      <c r="A66">
        <v>656137</v>
      </c>
      <c r="B66" t="s">
        <v>189</v>
      </c>
      <c r="C66" t="s">
        <v>190</v>
      </c>
      <c r="D66" t="s">
        <v>139</v>
      </c>
      <c r="E66" t="s">
        <v>191</v>
      </c>
      <c r="G66" t="str">
        <f>HYPERLINK(_xlfn.CONCAT("https://tablet.otzar.org/",CHAR(35),"/book/656137/p/-1/t/1/fs/0/start/0/end/0/c"),"אדני פתח האהל")</f>
        <v>אדני פתח האהל</v>
      </c>
      <c r="H66" t="str">
        <f>_xlfn.CONCAT("https://tablet.otzar.org/",CHAR(35),"/book/656137/p/-1/t/1/fs/0/start/0/end/0/c")</f>
        <v>https://tablet.otzar.org/#/book/656137/p/-1/t/1/fs/0/start/0/end/0/c</v>
      </c>
    </row>
    <row r="67" spans="1:8" x14ac:dyDescent="0.25">
      <c r="A67">
        <v>656099</v>
      </c>
      <c r="B67" t="s">
        <v>192</v>
      </c>
      <c r="C67" t="s">
        <v>190</v>
      </c>
      <c r="D67" t="s">
        <v>193</v>
      </c>
      <c r="E67" t="s">
        <v>29</v>
      </c>
      <c r="G67" t="str">
        <f>HYPERLINK(_xlfn.CONCAT("https://tablet.otzar.org/",CHAR(35),"/book/656099/p/-1/t/1/fs/0/start/0/end/0/c"),"אדנים לעמודים")</f>
        <v>אדנים לעמודים</v>
      </c>
      <c r="H67" t="str">
        <f>_xlfn.CONCAT("https://tablet.otzar.org/",CHAR(35),"/book/656099/p/-1/t/1/fs/0/start/0/end/0/c")</f>
        <v>https://tablet.otzar.org/#/book/656099/p/-1/t/1/fs/0/start/0/end/0/c</v>
      </c>
    </row>
    <row r="68" spans="1:8" x14ac:dyDescent="0.25">
      <c r="A68">
        <v>637342</v>
      </c>
      <c r="B68" t="s">
        <v>194</v>
      </c>
      <c r="C68" t="s">
        <v>195</v>
      </c>
      <c r="D68" t="s">
        <v>196</v>
      </c>
      <c r="E68" t="s">
        <v>197</v>
      </c>
      <c r="G68" t="str">
        <f>HYPERLINK(_xlfn.CONCAT("https://tablet.otzar.org/",CHAR(35),"/book/637342/p/-1/t/1/fs/0/start/0/end/0/c"),"אדרת אליהו - אדני מציעא")</f>
        <v>אדרת אליהו - אדני מציעא</v>
      </c>
      <c r="H68" t="str">
        <f>_xlfn.CONCAT("https://tablet.otzar.org/",CHAR(35),"/book/637342/p/-1/t/1/fs/0/start/0/end/0/c")</f>
        <v>https://tablet.otzar.org/#/book/637342/p/-1/t/1/fs/0/start/0/end/0/c</v>
      </c>
    </row>
    <row r="69" spans="1:8" x14ac:dyDescent="0.25">
      <c r="A69">
        <v>651963</v>
      </c>
      <c r="B69" t="s">
        <v>198</v>
      </c>
      <c r="C69" t="s">
        <v>199</v>
      </c>
      <c r="E69" t="s">
        <v>200</v>
      </c>
      <c r="G69" t="str">
        <f>HYPERLINK(_xlfn.CONCAT("https://tablet.otzar.org/",CHAR(35),"/exKotar/651963"),"אדרת אליהו &lt;חלק הנגלה&gt;  - 2 כרכים")</f>
        <v>אדרת אליהו &lt;חלק הנגלה&gt;  - 2 כרכים</v>
      </c>
      <c r="H69" t="str">
        <f>_xlfn.CONCAT("https://tablet.otzar.org/",CHAR(35),"/exKotar/651963")</f>
        <v>https://tablet.otzar.org/#/exKotar/651963</v>
      </c>
    </row>
    <row r="70" spans="1:8" x14ac:dyDescent="0.25">
      <c r="A70">
        <v>649790</v>
      </c>
      <c r="B70" t="s">
        <v>201</v>
      </c>
      <c r="C70" t="s">
        <v>202</v>
      </c>
      <c r="E70" t="s">
        <v>84</v>
      </c>
      <c r="G70" t="str">
        <f>HYPERLINK(_xlfn.CONCAT("https://tablet.otzar.org/",CHAR(35),"/exKotar/649790"),"אדרת יוסף - 3 כרכים")</f>
        <v>אדרת יוסף - 3 כרכים</v>
      </c>
      <c r="H70" t="str">
        <f>_xlfn.CONCAT("https://tablet.otzar.org/",CHAR(35),"/exKotar/649790")</f>
        <v>https://tablet.otzar.org/#/exKotar/649790</v>
      </c>
    </row>
    <row r="71" spans="1:8" x14ac:dyDescent="0.25">
      <c r="A71">
        <v>647620</v>
      </c>
      <c r="B71" t="s">
        <v>203</v>
      </c>
      <c r="C71" t="s">
        <v>204</v>
      </c>
      <c r="D71" t="s">
        <v>52</v>
      </c>
      <c r="E71" t="s">
        <v>205</v>
      </c>
      <c r="G71" t="str">
        <f>HYPERLINK(_xlfn.CONCAT("https://tablet.otzar.org/",CHAR(35),"/book/647620/p/-1/t/1/fs/0/start/0/end/0/c"),"אדרת כהן - בראשית")</f>
        <v>אדרת כהן - בראשית</v>
      </c>
      <c r="H71" t="str">
        <f>_xlfn.CONCAT("https://tablet.otzar.org/",CHAR(35),"/book/647620/p/-1/t/1/fs/0/start/0/end/0/c")</f>
        <v>https://tablet.otzar.org/#/book/647620/p/-1/t/1/fs/0/start/0/end/0/c</v>
      </c>
    </row>
    <row r="72" spans="1:8" x14ac:dyDescent="0.25">
      <c r="A72">
        <v>654448</v>
      </c>
      <c r="B72" t="s">
        <v>206</v>
      </c>
      <c r="C72" t="s">
        <v>207</v>
      </c>
      <c r="D72" t="s">
        <v>34</v>
      </c>
      <c r="E72" t="s">
        <v>35</v>
      </c>
      <c r="G72" t="str">
        <f>HYPERLINK(_xlfn.CONCAT("https://tablet.otzar.org/",CHAR(35),"/book/654448/p/-1/t/1/fs/0/start/0/end/0/c"),"אהב מוסר")</f>
        <v>אהב מוסר</v>
      </c>
      <c r="H72" t="str">
        <f>_xlfn.CONCAT("https://tablet.otzar.org/",CHAR(35),"/book/654448/p/-1/t/1/fs/0/start/0/end/0/c")</f>
        <v>https://tablet.otzar.org/#/book/654448/p/-1/t/1/fs/0/start/0/end/0/c</v>
      </c>
    </row>
    <row r="73" spans="1:8" x14ac:dyDescent="0.25">
      <c r="A73">
        <v>650007</v>
      </c>
      <c r="B73" t="s">
        <v>208</v>
      </c>
      <c r="C73" t="s">
        <v>209</v>
      </c>
      <c r="D73" t="s">
        <v>52</v>
      </c>
      <c r="E73" t="s">
        <v>35</v>
      </c>
      <c r="G73" t="str">
        <f>HYPERLINK(_xlfn.CONCAT("https://tablet.otzar.org/",CHAR(35),"/book/650007/p/-1/t/1/fs/0/start/0/end/0/c"),"אהבה בתענוגים")</f>
        <v>אהבה בתענוגים</v>
      </c>
      <c r="H73" t="str">
        <f>_xlfn.CONCAT("https://tablet.otzar.org/",CHAR(35),"/book/650007/p/-1/t/1/fs/0/start/0/end/0/c")</f>
        <v>https://tablet.otzar.org/#/book/650007/p/-1/t/1/fs/0/start/0/end/0/c</v>
      </c>
    </row>
    <row r="74" spans="1:8" x14ac:dyDescent="0.25">
      <c r="A74">
        <v>645204</v>
      </c>
      <c r="B74" t="s">
        <v>210</v>
      </c>
      <c r="C74" t="s">
        <v>211</v>
      </c>
      <c r="D74" t="s">
        <v>212</v>
      </c>
      <c r="E74" t="s">
        <v>213</v>
      </c>
      <c r="G74" t="str">
        <f>HYPERLINK(_xlfn.CONCAT("https://tablet.otzar.org/",CHAR(35),"/book/645204/p/-1/t/1/fs/0/start/0/end/0/c"),"אהבה רבה - במעגל השנה")</f>
        <v>אהבה רבה - במעגל השנה</v>
      </c>
      <c r="H74" t="str">
        <f>_xlfn.CONCAT("https://tablet.otzar.org/",CHAR(35),"/book/645204/p/-1/t/1/fs/0/start/0/end/0/c")</f>
        <v>https://tablet.otzar.org/#/book/645204/p/-1/t/1/fs/0/start/0/end/0/c</v>
      </c>
    </row>
    <row r="75" spans="1:8" x14ac:dyDescent="0.25">
      <c r="A75">
        <v>654161</v>
      </c>
      <c r="B75" t="s">
        <v>214</v>
      </c>
      <c r="C75" t="s">
        <v>215</v>
      </c>
      <c r="D75" t="s">
        <v>52</v>
      </c>
      <c r="E75" t="s">
        <v>11</v>
      </c>
      <c r="G75" t="str">
        <f>HYPERLINK(_xlfn.CONCAT("https://tablet.otzar.org/",CHAR(35),"/book/654161/p/-1/t/1/fs/0/start/0/end/0/c"),"אהבה רבה")</f>
        <v>אהבה רבה</v>
      </c>
      <c r="H75" t="str">
        <f>_xlfn.CONCAT("https://tablet.otzar.org/",CHAR(35),"/book/654161/p/-1/t/1/fs/0/start/0/end/0/c")</f>
        <v>https://tablet.otzar.org/#/book/654161/p/-1/t/1/fs/0/start/0/end/0/c</v>
      </c>
    </row>
    <row r="76" spans="1:8" x14ac:dyDescent="0.25">
      <c r="A76">
        <v>651490</v>
      </c>
      <c r="B76" t="s">
        <v>216</v>
      </c>
      <c r="C76" t="s">
        <v>217</v>
      </c>
      <c r="D76" t="s">
        <v>10</v>
      </c>
      <c r="E76" t="s">
        <v>117</v>
      </c>
      <c r="G76" t="str">
        <f>HYPERLINK(_xlfn.CONCAT("https://tablet.otzar.org/",CHAR(35),"/book/651490/p/-1/t/1/fs/0/start/0/end/0/c"),"אהבת איתן")</f>
        <v>אהבת איתן</v>
      </c>
      <c r="H76" t="str">
        <f>_xlfn.CONCAT("https://tablet.otzar.org/",CHAR(35),"/book/651490/p/-1/t/1/fs/0/start/0/end/0/c")</f>
        <v>https://tablet.otzar.org/#/book/651490/p/-1/t/1/fs/0/start/0/end/0/c</v>
      </c>
    </row>
    <row r="77" spans="1:8" x14ac:dyDescent="0.25">
      <c r="A77">
        <v>654651</v>
      </c>
      <c r="B77" t="s">
        <v>218</v>
      </c>
      <c r="C77" t="s">
        <v>219</v>
      </c>
      <c r="D77" t="s">
        <v>10</v>
      </c>
      <c r="E77" t="s">
        <v>11</v>
      </c>
      <c r="G77" t="str">
        <f>HYPERLINK(_xlfn.CONCAT("https://tablet.otzar.org/",CHAR(35),"/book/654651/p/-1/t/1/fs/0/start/0/end/0/c"),"אהבת איתן - פרשת לך לך")</f>
        <v>אהבת איתן - פרשת לך לך</v>
      </c>
      <c r="H77" t="str">
        <f>_xlfn.CONCAT("https://tablet.otzar.org/",CHAR(35),"/book/654651/p/-1/t/1/fs/0/start/0/end/0/c")</f>
        <v>https://tablet.otzar.org/#/book/654651/p/-1/t/1/fs/0/start/0/end/0/c</v>
      </c>
    </row>
    <row r="78" spans="1:8" x14ac:dyDescent="0.25">
      <c r="A78">
        <v>651728</v>
      </c>
      <c r="B78" t="s">
        <v>216</v>
      </c>
      <c r="C78" t="s">
        <v>220</v>
      </c>
      <c r="D78" t="s">
        <v>221</v>
      </c>
      <c r="E78" t="s">
        <v>11</v>
      </c>
      <c r="G78" t="str">
        <f>HYPERLINK(_xlfn.CONCAT("https://tablet.otzar.org/",CHAR(35),"/book/651728/p/-1/t/1/fs/0/start/0/end/0/c"),"אהבת איתן")</f>
        <v>אהבת איתן</v>
      </c>
      <c r="H78" t="str">
        <f>_xlfn.CONCAT("https://tablet.otzar.org/",CHAR(35),"/book/651728/p/-1/t/1/fs/0/start/0/end/0/c")</f>
        <v>https://tablet.otzar.org/#/book/651728/p/-1/t/1/fs/0/start/0/end/0/c</v>
      </c>
    </row>
    <row r="79" spans="1:8" x14ac:dyDescent="0.25">
      <c r="A79">
        <v>161726</v>
      </c>
      <c r="B79" t="s">
        <v>222</v>
      </c>
      <c r="C79" t="s">
        <v>223</v>
      </c>
      <c r="D79" t="s">
        <v>52</v>
      </c>
      <c r="E79" t="s">
        <v>224</v>
      </c>
      <c r="G79" t="str">
        <f>HYPERLINK(_xlfn.CONCAT("https://tablet.otzar.org/",CHAR(35),"/book/161726/p/-1/t/1/fs/0/start/0/end/0/c"),"אהבת חיים &lt;מהדורה חדשה&gt;")</f>
        <v>אהבת חיים &lt;מהדורה חדשה&gt;</v>
      </c>
      <c r="H79" t="str">
        <f>_xlfn.CONCAT("https://tablet.otzar.org/",CHAR(35),"/book/161726/p/-1/t/1/fs/0/start/0/end/0/c")</f>
        <v>https://tablet.otzar.org/#/book/161726/p/-1/t/1/fs/0/start/0/end/0/c</v>
      </c>
    </row>
    <row r="80" spans="1:8" x14ac:dyDescent="0.25">
      <c r="A80">
        <v>649033</v>
      </c>
      <c r="B80" t="s">
        <v>225</v>
      </c>
      <c r="C80" t="s">
        <v>226</v>
      </c>
      <c r="D80" t="s">
        <v>28</v>
      </c>
      <c r="E80" t="s">
        <v>213</v>
      </c>
      <c r="G80" t="str">
        <f>HYPERLINK(_xlfn.CONCAT("https://tablet.otzar.org/",CHAR(35),"/book/649033/p/-1/t/1/fs/0/start/0/end/0/c"),"אהבת חסד &lt;ארחות חסד&gt;")</f>
        <v>אהבת חסד &lt;ארחות חסד&gt;</v>
      </c>
      <c r="H80" t="str">
        <f>_xlfn.CONCAT("https://tablet.otzar.org/",CHAR(35),"/book/649033/p/-1/t/1/fs/0/start/0/end/0/c")</f>
        <v>https://tablet.otzar.org/#/book/649033/p/-1/t/1/fs/0/start/0/end/0/c</v>
      </c>
    </row>
    <row r="81" spans="1:8" x14ac:dyDescent="0.25">
      <c r="A81">
        <v>650558</v>
      </c>
      <c r="B81" t="s">
        <v>227</v>
      </c>
      <c r="C81" t="s">
        <v>228</v>
      </c>
      <c r="D81" t="s">
        <v>52</v>
      </c>
      <c r="E81" t="s">
        <v>11</v>
      </c>
      <c r="G81" t="str">
        <f>HYPERLINK(_xlfn.CONCAT("https://tablet.otzar.org/",CHAR(35),"/exKotar/650558"),"אהבת עולם - 5 כרכים")</f>
        <v>אהבת עולם - 5 כרכים</v>
      </c>
      <c r="H81" t="str">
        <f>_xlfn.CONCAT("https://tablet.otzar.org/",CHAR(35),"/exKotar/650558")</f>
        <v>https://tablet.otzar.org/#/exKotar/650558</v>
      </c>
    </row>
    <row r="82" spans="1:8" x14ac:dyDescent="0.25">
      <c r="A82">
        <v>650496</v>
      </c>
      <c r="B82" t="s">
        <v>229</v>
      </c>
      <c r="C82" t="s">
        <v>230</v>
      </c>
      <c r="D82" t="s">
        <v>10</v>
      </c>
      <c r="E82" t="s">
        <v>70</v>
      </c>
      <c r="G82" t="str">
        <f>HYPERLINK(_xlfn.CONCAT("https://tablet.otzar.org/",CHAR(35),"/book/650496/p/-1/t/1/fs/0/start/0/end/0/c"),"אהבת ציון")</f>
        <v>אהבת ציון</v>
      </c>
      <c r="H82" t="str">
        <f>_xlfn.CONCAT("https://tablet.otzar.org/",CHAR(35),"/book/650496/p/-1/t/1/fs/0/start/0/end/0/c")</f>
        <v>https://tablet.otzar.org/#/book/650496/p/-1/t/1/fs/0/start/0/end/0/c</v>
      </c>
    </row>
    <row r="83" spans="1:8" x14ac:dyDescent="0.25">
      <c r="A83">
        <v>654566</v>
      </c>
      <c r="B83" t="s">
        <v>231</v>
      </c>
      <c r="C83" t="s">
        <v>232</v>
      </c>
      <c r="D83" t="s">
        <v>233</v>
      </c>
      <c r="E83" t="s">
        <v>234</v>
      </c>
      <c r="G83" t="str">
        <f>HYPERLINK(_xlfn.CONCAT("https://tablet.otzar.org/",CHAR(35),"/book/654566/p/-1/t/1/fs/0/start/0/end/0/c"),"אהבת שלום &lt;מהדורה תנינא&gt;")</f>
        <v>אהבת שלום &lt;מהדורה תנינא&gt;</v>
      </c>
      <c r="H83" t="str">
        <f>_xlfn.CONCAT("https://tablet.otzar.org/",CHAR(35),"/book/654566/p/-1/t/1/fs/0/start/0/end/0/c")</f>
        <v>https://tablet.otzar.org/#/book/654566/p/-1/t/1/fs/0/start/0/end/0/c</v>
      </c>
    </row>
    <row r="84" spans="1:8" x14ac:dyDescent="0.25">
      <c r="A84">
        <v>651215</v>
      </c>
      <c r="B84" t="s">
        <v>235</v>
      </c>
      <c r="C84" t="s">
        <v>236</v>
      </c>
      <c r="D84" t="s">
        <v>10</v>
      </c>
      <c r="E84" t="s">
        <v>237</v>
      </c>
      <c r="G84" t="str">
        <f>HYPERLINK(_xlfn.CONCAT("https://tablet.otzar.org/",CHAR(35),"/book/651215/p/-1/t/1/fs/0/start/0/end/0/c"),"אהל אליהו")</f>
        <v>אהל אליהו</v>
      </c>
      <c r="H84" t="str">
        <f>_xlfn.CONCAT("https://tablet.otzar.org/",CHAR(35),"/book/651215/p/-1/t/1/fs/0/start/0/end/0/c")</f>
        <v>https://tablet.otzar.org/#/book/651215/p/-1/t/1/fs/0/start/0/end/0/c</v>
      </c>
    </row>
    <row r="85" spans="1:8" x14ac:dyDescent="0.25">
      <c r="A85">
        <v>655966</v>
      </c>
      <c r="B85" t="s">
        <v>238</v>
      </c>
      <c r="C85" t="s">
        <v>239</v>
      </c>
      <c r="D85" t="s">
        <v>52</v>
      </c>
      <c r="E85" t="s">
        <v>35</v>
      </c>
      <c r="G85" t="str">
        <f>HYPERLINK(_xlfn.CONCAT("https://tablet.otzar.org/",CHAR(35),"/book/655966/p/-1/t/1/fs/0/start/0/end/0/c"),"אהל המשפט - שו''ת מתוך הקובץ")</f>
        <v>אהל המשפט - שו''ת מתוך הקובץ</v>
      </c>
      <c r="H85" t="str">
        <f>_xlfn.CONCAT("https://tablet.otzar.org/",CHAR(35),"/book/655966/p/-1/t/1/fs/0/start/0/end/0/c")</f>
        <v>https://tablet.otzar.org/#/book/655966/p/-1/t/1/fs/0/start/0/end/0/c</v>
      </c>
    </row>
    <row r="86" spans="1:8" x14ac:dyDescent="0.25">
      <c r="A86">
        <v>651874</v>
      </c>
      <c r="B86" t="s">
        <v>240</v>
      </c>
      <c r="C86" t="s">
        <v>241</v>
      </c>
      <c r="D86" t="s">
        <v>52</v>
      </c>
      <c r="E86" t="s">
        <v>117</v>
      </c>
      <c r="G86" t="str">
        <f>HYPERLINK(_xlfn.CONCAT("https://tablet.otzar.org/",CHAR(35),"/book/651874/p/-1/t/1/fs/0/start/0/end/0/c"),"אהל העדות - מלאכת בורר")</f>
        <v>אהל העדות - מלאכת בורר</v>
      </c>
      <c r="H86" t="str">
        <f>_xlfn.CONCAT("https://tablet.otzar.org/",CHAR(35),"/book/651874/p/-1/t/1/fs/0/start/0/end/0/c")</f>
        <v>https://tablet.otzar.org/#/book/651874/p/-1/t/1/fs/0/start/0/end/0/c</v>
      </c>
    </row>
    <row r="87" spans="1:8" x14ac:dyDescent="0.25">
      <c r="A87">
        <v>647992</v>
      </c>
      <c r="B87" t="s">
        <v>242</v>
      </c>
      <c r="C87" t="s">
        <v>243</v>
      </c>
      <c r="D87" t="s">
        <v>34</v>
      </c>
      <c r="E87" t="s">
        <v>35</v>
      </c>
      <c r="G87" t="str">
        <f>HYPERLINK(_xlfn.CONCAT("https://tablet.otzar.org/",CHAR(35),"/book/647992/p/-1/t/1/fs/0/start/0/end/0/c"),"אהל טהרה - הלכות נדה")</f>
        <v>אהל טהרה - הלכות נדה</v>
      </c>
      <c r="H87" t="str">
        <f>_xlfn.CONCAT("https://tablet.otzar.org/",CHAR(35),"/book/647992/p/-1/t/1/fs/0/start/0/end/0/c")</f>
        <v>https://tablet.otzar.org/#/book/647992/p/-1/t/1/fs/0/start/0/end/0/c</v>
      </c>
    </row>
    <row r="88" spans="1:8" x14ac:dyDescent="0.25">
      <c r="A88">
        <v>647146</v>
      </c>
      <c r="B88" t="s">
        <v>244</v>
      </c>
      <c r="C88" t="s">
        <v>245</v>
      </c>
      <c r="D88" t="s">
        <v>10</v>
      </c>
      <c r="E88" t="s">
        <v>246</v>
      </c>
      <c r="G88" t="str">
        <f>HYPERLINK(_xlfn.CONCAT("https://tablet.otzar.org/",CHAR(35),"/book/647146/p/-1/t/1/fs/0/start/0/end/0/c"),"אהל יונתן - ג")</f>
        <v>אהל יונתן - ג</v>
      </c>
      <c r="H88" t="str">
        <f>_xlfn.CONCAT("https://tablet.otzar.org/",CHAR(35),"/book/647146/p/-1/t/1/fs/0/start/0/end/0/c")</f>
        <v>https://tablet.otzar.org/#/book/647146/p/-1/t/1/fs/0/start/0/end/0/c</v>
      </c>
    </row>
    <row r="89" spans="1:8" x14ac:dyDescent="0.25">
      <c r="A89">
        <v>650030</v>
      </c>
      <c r="B89" t="s">
        <v>247</v>
      </c>
      <c r="C89" t="s">
        <v>248</v>
      </c>
      <c r="D89" t="s">
        <v>10</v>
      </c>
      <c r="E89" t="s">
        <v>11</v>
      </c>
      <c r="G89" t="str">
        <f>HYPERLINK(_xlfn.CONCAT("https://tablet.otzar.org/",CHAR(35),"/book/650030/p/-1/t/1/fs/0/start/0/end/0/c"),"אהל יוסף - אהלות")</f>
        <v>אהל יוסף - אהלות</v>
      </c>
      <c r="H89" t="str">
        <f>_xlfn.CONCAT("https://tablet.otzar.org/",CHAR(35),"/book/650030/p/-1/t/1/fs/0/start/0/end/0/c")</f>
        <v>https://tablet.otzar.org/#/book/650030/p/-1/t/1/fs/0/start/0/end/0/c</v>
      </c>
    </row>
    <row r="90" spans="1:8" x14ac:dyDescent="0.25">
      <c r="A90">
        <v>657248</v>
      </c>
      <c r="B90" t="s">
        <v>249</v>
      </c>
      <c r="C90" t="s">
        <v>250</v>
      </c>
      <c r="D90" t="s">
        <v>10</v>
      </c>
      <c r="E90" t="s">
        <v>19</v>
      </c>
      <c r="G90" t="str">
        <f>HYPERLINK(_xlfn.CONCAT("https://tablet.otzar.org/",CHAR(35),"/exKotar/657248"),"אהל יוסף - 2 כרכים")</f>
        <v>אהל יוסף - 2 כרכים</v>
      </c>
      <c r="H90" t="str">
        <f>_xlfn.CONCAT("https://tablet.otzar.org/",CHAR(35),"/exKotar/657248")</f>
        <v>https://tablet.otzar.org/#/exKotar/657248</v>
      </c>
    </row>
    <row r="91" spans="1:8" x14ac:dyDescent="0.25">
      <c r="A91">
        <v>650656</v>
      </c>
      <c r="B91" t="s">
        <v>251</v>
      </c>
      <c r="C91" t="s">
        <v>243</v>
      </c>
      <c r="D91" t="s">
        <v>34</v>
      </c>
      <c r="E91" t="s">
        <v>11</v>
      </c>
      <c r="G91" t="str">
        <f>HYPERLINK(_xlfn.CONCAT("https://tablet.otzar.org/",CHAR(35),"/book/650656/p/-1/t/1/fs/0/start/0/end/0/c"),"אהל יחוד")</f>
        <v>אהל יחוד</v>
      </c>
      <c r="H91" t="str">
        <f>_xlfn.CONCAT("https://tablet.otzar.org/",CHAR(35),"/book/650656/p/-1/t/1/fs/0/start/0/end/0/c")</f>
        <v>https://tablet.otzar.org/#/book/650656/p/-1/t/1/fs/0/start/0/end/0/c</v>
      </c>
    </row>
    <row r="92" spans="1:8" x14ac:dyDescent="0.25">
      <c r="A92">
        <v>651698</v>
      </c>
      <c r="B92" t="s">
        <v>252</v>
      </c>
      <c r="C92" t="s">
        <v>253</v>
      </c>
      <c r="D92" t="s">
        <v>10</v>
      </c>
      <c r="E92" t="s">
        <v>11</v>
      </c>
      <c r="G92" t="str">
        <f>HYPERLINK(_xlfn.CONCAT("https://tablet.otzar.org/",CHAR(35),"/book/651698/p/-1/t/1/fs/0/start/0/end/0/c"),"אהל יעקב - תערובות חמץ")</f>
        <v>אהל יעקב - תערובות חמץ</v>
      </c>
      <c r="H92" t="str">
        <f>_xlfn.CONCAT("https://tablet.otzar.org/",CHAR(35),"/book/651698/p/-1/t/1/fs/0/start/0/end/0/c")</f>
        <v>https://tablet.otzar.org/#/book/651698/p/-1/t/1/fs/0/start/0/end/0/c</v>
      </c>
    </row>
    <row r="93" spans="1:8" x14ac:dyDescent="0.25">
      <c r="A93">
        <v>652596</v>
      </c>
      <c r="B93" t="s">
        <v>254</v>
      </c>
      <c r="C93" t="s">
        <v>255</v>
      </c>
      <c r="D93" t="s">
        <v>256</v>
      </c>
      <c r="E93" t="s">
        <v>257</v>
      </c>
      <c r="G93" t="str">
        <f>HYPERLINK(_xlfn.CONCAT("https://tablet.otzar.org/",CHAR(35),"/book/652596/p/-1/t/1/fs/0/start/0/end/0/c"),"אהל יצחק")</f>
        <v>אהל יצחק</v>
      </c>
      <c r="H93" t="str">
        <f>_xlfn.CONCAT("https://tablet.otzar.org/",CHAR(35),"/book/652596/p/-1/t/1/fs/0/start/0/end/0/c")</f>
        <v>https://tablet.otzar.org/#/book/652596/p/-1/t/1/fs/0/start/0/end/0/c</v>
      </c>
    </row>
    <row r="94" spans="1:8" x14ac:dyDescent="0.25">
      <c r="A94">
        <v>647501</v>
      </c>
      <c r="B94" t="s">
        <v>258</v>
      </c>
      <c r="C94" t="s">
        <v>259</v>
      </c>
      <c r="D94" t="s">
        <v>260</v>
      </c>
      <c r="E94" t="s">
        <v>261</v>
      </c>
      <c r="G94" t="str">
        <f>HYPERLINK(_xlfn.CONCAT("https://tablet.otzar.org/",CHAR(35),"/book/647501/p/-1/t/1/fs/0/start/0/end/0/c"),"אהל יצחק - שנה יא  - אב, אלול")</f>
        <v>אהל יצחק - שנה יא  - אב, אלול</v>
      </c>
      <c r="H94" t="str">
        <f>_xlfn.CONCAT("https://tablet.otzar.org/",CHAR(35),"/book/647501/p/-1/t/1/fs/0/start/0/end/0/c")</f>
        <v>https://tablet.otzar.org/#/book/647501/p/-1/t/1/fs/0/start/0/end/0/c</v>
      </c>
    </row>
    <row r="95" spans="1:8" x14ac:dyDescent="0.25">
      <c r="A95">
        <v>640187</v>
      </c>
      <c r="B95" t="s">
        <v>254</v>
      </c>
      <c r="C95" t="s">
        <v>262</v>
      </c>
      <c r="D95" t="s">
        <v>263</v>
      </c>
      <c r="E95" t="s">
        <v>136</v>
      </c>
      <c r="G95" t="str">
        <f>HYPERLINK(_xlfn.CONCAT("https://tablet.otzar.org/",CHAR(35),"/book/640187/p/-1/t/1/fs/0/start/0/end/0/c"),"אהל יצחק")</f>
        <v>אהל יצחק</v>
      </c>
      <c r="H95" t="str">
        <f>_xlfn.CONCAT("https://tablet.otzar.org/",CHAR(35),"/book/640187/p/-1/t/1/fs/0/start/0/end/0/c")</f>
        <v>https://tablet.otzar.org/#/book/640187/p/-1/t/1/fs/0/start/0/end/0/c</v>
      </c>
    </row>
    <row r="96" spans="1:8" x14ac:dyDescent="0.25">
      <c r="A96">
        <v>655475</v>
      </c>
      <c r="B96" t="s">
        <v>264</v>
      </c>
      <c r="C96" t="s">
        <v>265</v>
      </c>
      <c r="D96" t="s">
        <v>10</v>
      </c>
      <c r="E96" t="s">
        <v>11</v>
      </c>
      <c r="G96" t="str">
        <f>HYPERLINK(_xlfn.CONCAT("https://tablet.otzar.org/",CHAR(35),"/book/655475/p/-1/t/1/fs/0/start/0/end/0/c"),"אהל לאה - ד")</f>
        <v>אהל לאה - ד</v>
      </c>
      <c r="H96" t="str">
        <f>_xlfn.CONCAT("https://tablet.otzar.org/",CHAR(35),"/book/655475/p/-1/t/1/fs/0/start/0/end/0/c")</f>
        <v>https://tablet.otzar.org/#/book/655475/p/-1/t/1/fs/0/start/0/end/0/c</v>
      </c>
    </row>
    <row r="97" spans="1:8" x14ac:dyDescent="0.25">
      <c r="A97">
        <v>647991</v>
      </c>
      <c r="B97" t="s">
        <v>266</v>
      </c>
      <c r="C97" t="s">
        <v>243</v>
      </c>
      <c r="D97" t="s">
        <v>34</v>
      </c>
      <c r="E97" t="s">
        <v>70</v>
      </c>
      <c r="G97" t="str">
        <f>HYPERLINK(_xlfn.CONCAT("https://tablet.otzar.org/",CHAR(35),"/exKotar/647991"),"אהל מועד - 2 כרכים")</f>
        <v>אהל מועד - 2 כרכים</v>
      </c>
      <c r="H97" t="str">
        <f>_xlfn.CONCAT("https://tablet.otzar.org/",CHAR(35),"/exKotar/647991")</f>
        <v>https://tablet.otzar.org/#/exKotar/647991</v>
      </c>
    </row>
    <row r="98" spans="1:8" x14ac:dyDescent="0.25">
      <c r="A98">
        <v>655947</v>
      </c>
      <c r="B98" t="s">
        <v>266</v>
      </c>
      <c r="C98" t="s">
        <v>267</v>
      </c>
      <c r="D98" t="s">
        <v>34</v>
      </c>
      <c r="E98" t="s">
        <v>11</v>
      </c>
      <c r="G98" t="str">
        <f>HYPERLINK(_xlfn.CONCAT("https://tablet.otzar.org/",CHAR(35),"/exKotar/655947"),"אהל מועד - 2 כרכים")</f>
        <v>אהל מועד - 2 כרכים</v>
      </c>
      <c r="H98" t="str">
        <f>_xlfn.CONCAT("https://tablet.otzar.org/",CHAR(35),"/exKotar/655947")</f>
        <v>https://tablet.otzar.org/#/exKotar/655947</v>
      </c>
    </row>
    <row r="99" spans="1:8" x14ac:dyDescent="0.25">
      <c r="A99">
        <v>648917</v>
      </c>
      <c r="B99" t="s">
        <v>268</v>
      </c>
      <c r="C99" t="s">
        <v>269</v>
      </c>
      <c r="D99" t="s">
        <v>181</v>
      </c>
      <c r="E99" t="s">
        <v>270</v>
      </c>
      <c r="G99" t="str">
        <f>HYPERLINK(_xlfn.CONCAT("https://tablet.otzar.org/",CHAR(35),"/book/648917/p/-1/t/1/fs/0/start/0/end/0/c"),"אהל תורה")</f>
        <v>אהל תורה</v>
      </c>
      <c r="H99" t="str">
        <f>_xlfn.CONCAT("https://tablet.otzar.org/",CHAR(35),"/book/648917/p/-1/t/1/fs/0/start/0/end/0/c")</f>
        <v>https://tablet.otzar.org/#/book/648917/p/-1/t/1/fs/0/start/0/end/0/c</v>
      </c>
    </row>
    <row r="100" spans="1:8" x14ac:dyDescent="0.25">
      <c r="A100">
        <v>651987</v>
      </c>
      <c r="B100" t="s">
        <v>271</v>
      </c>
      <c r="C100" t="s">
        <v>272</v>
      </c>
      <c r="D100" t="s">
        <v>273</v>
      </c>
      <c r="E100" t="s">
        <v>35</v>
      </c>
      <c r="G100" t="str">
        <f>HYPERLINK(_xlfn.CONCAT("https://tablet.otzar.org/",CHAR(35),"/book/651987/p/-1/t/1/fs/0/start/0/end/0/c"),"אהלי ליובאוויטש - ה")</f>
        <v>אהלי ליובאוויטש - ה</v>
      </c>
      <c r="H100" t="str">
        <f>_xlfn.CONCAT("https://tablet.otzar.org/",CHAR(35),"/book/651987/p/-1/t/1/fs/0/start/0/end/0/c")</f>
        <v>https://tablet.otzar.org/#/book/651987/p/-1/t/1/fs/0/start/0/end/0/c</v>
      </c>
    </row>
    <row r="101" spans="1:8" x14ac:dyDescent="0.25">
      <c r="A101">
        <v>643457</v>
      </c>
      <c r="B101" t="s">
        <v>274</v>
      </c>
      <c r="C101" t="s">
        <v>275</v>
      </c>
      <c r="E101" t="s">
        <v>184</v>
      </c>
      <c r="G101" t="str">
        <f>HYPERLINK(_xlfn.CONCAT("https://tablet.otzar.org/",CHAR(35),"/exKotar/643457"),"אהלי שם - 12 כרכים")</f>
        <v>אהלי שם - 12 כרכים</v>
      </c>
      <c r="H101" t="str">
        <f>_xlfn.CONCAT("https://tablet.otzar.org/",CHAR(35),"/exKotar/643457")</f>
        <v>https://tablet.otzar.org/#/exKotar/643457</v>
      </c>
    </row>
    <row r="102" spans="1:8" x14ac:dyDescent="0.25">
      <c r="A102">
        <v>649713</v>
      </c>
      <c r="B102" t="s">
        <v>276</v>
      </c>
      <c r="C102" t="s">
        <v>275</v>
      </c>
      <c r="D102" t="s">
        <v>277</v>
      </c>
      <c r="E102" t="s">
        <v>70</v>
      </c>
      <c r="G102" t="str">
        <f>HYPERLINK(_xlfn.CONCAT("https://tablet.otzar.org/",CHAR(35),"/book/649713/p/-1/t/1/fs/0/start/0/end/0/c"),"אהלי שם &lt;שו""""ע&gt; - אה""""ע ג")</f>
        <v>אהלי שם &lt;שו""ע&gt; - אה""ע ג</v>
      </c>
      <c r="H102" t="str">
        <f>_xlfn.CONCAT("https://tablet.otzar.org/",CHAR(35),"/book/649713/p/-1/t/1/fs/0/start/0/end/0/c")</f>
        <v>https://tablet.otzar.org/#/book/649713/p/-1/t/1/fs/0/start/0/end/0/c</v>
      </c>
    </row>
    <row r="103" spans="1:8" x14ac:dyDescent="0.25">
      <c r="A103">
        <v>649717</v>
      </c>
      <c r="B103" t="s">
        <v>278</v>
      </c>
      <c r="C103" t="s">
        <v>275</v>
      </c>
      <c r="D103" t="s">
        <v>277</v>
      </c>
      <c r="E103" t="s">
        <v>70</v>
      </c>
      <c r="G103" t="str">
        <f>HYPERLINK(_xlfn.CONCAT("https://tablet.otzar.org/",CHAR(35),"/exKotar/649717"),"אהלי שם &lt;עין יעקב&gt;  - 2 כרכים")</f>
        <v>אהלי שם &lt;עין יעקב&gt;  - 2 כרכים</v>
      </c>
      <c r="H103" t="str">
        <f>_xlfn.CONCAT("https://tablet.otzar.org/",CHAR(35),"/exKotar/649717")</f>
        <v>https://tablet.otzar.org/#/exKotar/649717</v>
      </c>
    </row>
    <row r="104" spans="1:8" x14ac:dyDescent="0.25">
      <c r="A104">
        <v>637775</v>
      </c>
      <c r="B104" t="s">
        <v>279</v>
      </c>
      <c r="C104" t="s">
        <v>280</v>
      </c>
      <c r="D104" t="s">
        <v>34</v>
      </c>
      <c r="E104" t="s">
        <v>70</v>
      </c>
      <c r="G104" t="str">
        <f>HYPERLINK(_xlfn.CONCAT("https://tablet.otzar.org/",CHAR(35),"/exKotar/637775"),"אהלי שם - 4 כרכים")</f>
        <v>אהלי שם - 4 כרכים</v>
      </c>
      <c r="H104" t="str">
        <f>_xlfn.CONCAT("https://tablet.otzar.org/",CHAR(35),"/exKotar/637775")</f>
        <v>https://tablet.otzar.org/#/exKotar/637775</v>
      </c>
    </row>
    <row r="105" spans="1:8" x14ac:dyDescent="0.25">
      <c r="A105">
        <v>650773</v>
      </c>
      <c r="B105" t="s">
        <v>281</v>
      </c>
      <c r="C105" t="s">
        <v>282</v>
      </c>
      <c r="E105" t="s">
        <v>237</v>
      </c>
      <c r="G105" t="str">
        <f>HYPERLINK(_xlfn.CONCAT("https://tablet.otzar.org/",CHAR(35),"/book/650773/p/-1/t/1/fs/0/start/0/end/0/c"),"אהלי תורה - לו")</f>
        <v>אהלי תורה - לו</v>
      </c>
      <c r="H105" t="str">
        <f>_xlfn.CONCAT("https://tablet.otzar.org/",CHAR(35),"/book/650773/p/-1/t/1/fs/0/start/0/end/0/c")</f>
        <v>https://tablet.otzar.org/#/book/650773/p/-1/t/1/fs/0/start/0/end/0/c</v>
      </c>
    </row>
    <row r="106" spans="1:8" x14ac:dyDescent="0.25">
      <c r="A106">
        <v>654787</v>
      </c>
      <c r="B106" t="s">
        <v>283</v>
      </c>
      <c r="C106" t="s">
        <v>284</v>
      </c>
      <c r="D106" t="s">
        <v>10</v>
      </c>
      <c r="E106" t="s">
        <v>184</v>
      </c>
      <c r="G106" t="str">
        <f>HYPERLINK(_xlfn.CONCAT("https://tablet.otzar.org/",CHAR(35),"/book/654787/p/-1/t/1/fs/0/start/0/end/0/c"),"אהלים - פסחים, הלכות פסח")</f>
        <v>אהלים - פסחים, הלכות פסח</v>
      </c>
      <c r="H106" t="str">
        <f>_xlfn.CONCAT("https://tablet.otzar.org/",CHAR(35),"/book/654787/p/-1/t/1/fs/0/start/0/end/0/c")</f>
        <v>https://tablet.otzar.org/#/book/654787/p/-1/t/1/fs/0/start/0/end/0/c</v>
      </c>
    </row>
    <row r="107" spans="1:8" x14ac:dyDescent="0.25">
      <c r="A107">
        <v>649746</v>
      </c>
      <c r="B107" t="s">
        <v>285</v>
      </c>
      <c r="C107" t="s">
        <v>286</v>
      </c>
      <c r="D107" t="s">
        <v>287</v>
      </c>
      <c r="E107" t="s">
        <v>11</v>
      </c>
      <c r="G107" t="str">
        <f>HYPERLINK(_xlfn.CONCAT("https://tablet.otzar.org/",CHAR(35),"/book/649746/p/-1/t/1/fs/0/start/0/end/0/c"),"אהללה ה' בחי""""י")</f>
        <v>אהללה ה' בחי""י</v>
      </c>
      <c r="H107" t="str">
        <f>_xlfn.CONCAT("https://tablet.otzar.org/",CHAR(35),"/book/649746/p/-1/t/1/fs/0/start/0/end/0/c")</f>
        <v>https://tablet.otzar.org/#/book/649746/p/-1/t/1/fs/0/start/0/end/0/c</v>
      </c>
    </row>
    <row r="108" spans="1:8" x14ac:dyDescent="0.25">
      <c r="A108">
        <v>641313</v>
      </c>
      <c r="B108" t="s">
        <v>288</v>
      </c>
      <c r="C108" t="s">
        <v>289</v>
      </c>
      <c r="E108" t="s">
        <v>35</v>
      </c>
      <c r="G108" t="str">
        <f>HYPERLINK(_xlfn.CONCAT("https://tablet.otzar.org/",CHAR(35),"/book/641313/p/-1/t/1/fs/0/start/0/end/0/c"),"אהרן בכהניו - תולדות הגאון רבי אהרן וואלקין מפינסק בעל בית אהרן")</f>
        <v>אהרן בכהניו - תולדות הגאון רבי אהרן וואלקין מפינסק בעל בית אהרן</v>
      </c>
      <c r="H108" t="str">
        <f>_xlfn.CONCAT("https://tablet.otzar.org/",CHAR(35),"/book/641313/p/-1/t/1/fs/0/start/0/end/0/c")</f>
        <v>https://tablet.otzar.org/#/book/641313/p/-1/t/1/fs/0/start/0/end/0/c</v>
      </c>
    </row>
    <row r="109" spans="1:8" x14ac:dyDescent="0.25">
      <c r="A109">
        <v>647148</v>
      </c>
      <c r="B109" t="s">
        <v>290</v>
      </c>
      <c r="C109" t="s">
        <v>291</v>
      </c>
      <c r="D109" t="s">
        <v>292</v>
      </c>
      <c r="E109" t="s">
        <v>293</v>
      </c>
      <c r="G109" t="str">
        <f>HYPERLINK(_xlfn.CONCAT("https://tablet.otzar.org/",CHAR(35),"/book/647148/p/-1/t/1/fs/0/start/0/end/0/c"),"אודים - 13")</f>
        <v>אודים - 13</v>
      </c>
      <c r="H109" t="str">
        <f>_xlfn.CONCAT("https://tablet.otzar.org/",CHAR(35),"/book/647148/p/-1/t/1/fs/0/start/0/end/0/c")</f>
        <v>https://tablet.otzar.org/#/book/647148/p/-1/t/1/fs/0/start/0/end/0/c</v>
      </c>
    </row>
    <row r="110" spans="1:8" x14ac:dyDescent="0.25">
      <c r="A110">
        <v>647270</v>
      </c>
      <c r="B110" t="s">
        <v>294</v>
      </c>
      <c r="C110" t="s">
        <v>295</v>
      </c>
      <c r="D110" t="s">
        <v>10</v>
      </c>
      <c r="E110" t="s">
        <v>111</v>
      </c>
      <c r="G110" t="str">
        <f>HYPERLINK(_xlfn.CONCAT("https://tablet.otzar.org/",CHAR(35),"/book/647270/p/-1/t/1/fs/0/start/0/end/0/c"),"אוהב את הבריות ומקרבן לתורה")</f>
        <v>אוהב את הבריות ומקרבן לתורה</v>
      </c>
      <c r="H110" t="str">
        <f>_xlfn.CONCAT("https://tablet.otzar.org/",CHAR(35),"/book/647270/p/-1/t/1/fs/0/start/0/end/0/c")</f>
        <v>https://tablet.otzar.org/#/book/647270/p/-1/t/1/fs/0/start/0/end/0/c</v>
      </c>
    </row>
    <row r="111" spans="1:8" x14ac:dyDescent="0.25">
      <c r="A111">
        <v>647581</v>
      </c>
      <c r="B111" t="s">
        <v>296</v>
      </c>
      <c r="C111" t="s">
        <v>297</v>
      </c>
      <c r="D111" t="s">
        <v>10</v>
      </c>
      <c r="E111" t="s">
        <v>200</v>
      </c>
      <c r="G111" t="str">
        <f>HYPERLINK(_xlfn.CONCAT("https://tablet.otzar.org/",CHAR(35),"/book/647581/p/-1/t/1/fs/0/start/0/end/0/c"),"אוהל יונתן")</f>
        <v>אוהל יונתן</v>
      </c>
      <c r="H111" t="str">
        <f>_xlfn.CONCAT("https://tablet.otzar.org/",CHAR(35),"/book/647581/p/-1/t/1/fs/0/start/0/end/0/c")</f>
        <v>https://tablet.otzar.org/#/book/647581/p/-1/t/1/fs/0/start/0/end/0/c</v>
      </c>
    </row>
    <row r="112" spans="1:8" x14ac:dyDescent="0.25">
      <c r="A112">
        <v>648839</v>
      </c>
      <c r="B112" t="s">
        <v>298</v>
      </c>
      <c r="C112" t="s">
        <v>299</v>
      </c>
      <c r="E112" t="s">
        <v>55</v>
      </c>
      <c r="G112" t="str">
        <f>HYPERLINK(_xlfn.CONCAT("https://tablet.otzar.org/",CHAR(35),"/book/648839/p/-1/t/1/fs/0/start/0/end/0/c"),"אויף פרעמדער ערד {אידיש}")</f>
        <v>אויף פרעמדער ערד {אידיש}</v>
      </c>
      <c r="H112" t="str">
        <f>_xlfn.CONCAT("https://tablet.otzar.org/",CHAR(35),"/book/648839/p/-1/t/1/fs/0/start/0/end/0/c")</f>
        <v>https://tablet.otzar.org/#/book/648839/p/-1/t/1/fs/0/start/0/end/0/c</v>
      </c>
    </row>
    <row r="113" spans="1:8" x14ac:dyDescent="0.25">
      <c r="A113">
        <v>654301</v>
      </c>
      <c r="B113" t="s">
        <v>300</v>
      </c>
      <c r="C113" t="s">
        <v>301</v>
      </c>
      <c r="E113" t="s">
        <v>35</v>
      </c>
      <c r="G113" t="str">
        <f>HYPERLINK(_xlfn.CONCAT("https://tablet.otzar.org/",CHAR(35),"/book/654301/p/-1/t/1/fs/0/start/0/end/0/c"),"אוכל נפש")</f>
        <v>אוכל נפש</v>
      </c>
      <c r="H113" t="str">
        <f>_xlfn.CONCAT("https://tablet.otzar.org/",CHAR(35),"/book/654301/p/-1/t/1/fs/0/start/0/end/0/c")</f>
        <v>https://tablet.otzar.org/#/book/654301/p/-1/t/1/fs/0/start/0/end/0/c</v>
      </c>
    </row>
    <row r="114" spans="1:8" x14ac:dyDescent="0.25">
      <c r="A114">
        <v>651072</v>
      </c>
      <c r="B114" t="s">
        <v>302</v>
      </c>
      <c r="C114" t="s">
        <v>303</v>
      </c>
      <c r="D114" t="s">
        <v>34</v>
      </c>
      <c r="E114" t="s">
        <v>35</v>
      </c>
      <c r="G114" t="str">
        <f>HYPERLINK(_xlfn.CONCAT("https://tablet.otzar.org/",CHAR(35),"/book/651072/p/-1/t/1/fs/0/start/0/end/0/c"),"אומר יביע")</f>
        <v>אומר יביע</v>
      </c>
      <c r="H114" t="str">
        <f>_xlfn.CONCAT("https://tablet.otzar.org/",CHAR(35),"/book/651072/p/-1/t/1/fs/0/start/0/end/0/c")</f>
        <v>https://tablet.otzar.org/#/book/651072/p/-1/t/1/fs/0/start/0/end/0/c</v>
      </c>
    </row>
    <row r="115" spans="1:8" x14ac:dyDescent="0.25">
      <c r="A115">
        <v>654907</v>
      </c>
      <c r="B115" t="s">
        <v>304</v>
      </c>
      <c r="C115" t="s">
        <v>305</v>
      </c>
      <c r="D115" t="s">
        <v>10</v>
      </c>
      <c r="E115" t="s">
        <v>306</v>
      </c>
      <c r="G115" t="str">
        <f>HYPERLINK(_xlfn.CONCAT("https://tablet.otzar.org/",CHAR(35),"/exKotar/654907"),"אוסף אמרים - 7 כרכים")</f>
        <v>אוסף אמרים - 7 כרכים</v>
      </c>
      <c r="H115" t="str">
        <f>_xlfn.CONCAT("https://tablet.otzar.org/",CHAR(35),"/exKotar/654907")</f>
        <v>https://tablet.otzar.org/#/exKotar/654907</v>
      </c>
    </row>
    <row r="116" spans="1:8" x14ac:dyDescent="0.25">
      <c r="A116">
        <v>654537</v>
      </c>
      <c r="B116" t="s">
        <v>307</v>
      </c>
      <c r="C116" t="s">
        <v>308</v>
      </c>
      <c r="E116" t="s">
        <v>11</v>
      </c>
      <c r="G116" t="str">
        <f>HYPERLINK(_xlfn.CONCAT("https://tablet.otzar.org/",CHAR(35),"/exKotar/654537"),"אוסף גליונות באר התורה - 8 כרכים")</f>
        <v>אוסף גליונות באר התורה - 8 כרכים</v>
      </c>
      <c r="H116" t="str">
        <f>_xlfn.CONCAT("https://tablet.otzar.org/",CHAR(35),"/exKotar/654537")</f>
        <v>https://tablet.otzar.org/#/exKotar/654537</v>
      </c>
    </row>
    <row r="117" spans="1:8" x14ac:dyDescent="0.25">
      <c r="A117">
        <v>654548</v>
      </c>
      <c r="B117" t="s">
        <v>309</v>
      </c>
      <c r="C117" t="s">
        <v>310</v>
      </c>
      <c r="D117" t="s">
        <v>52</v>
      </c>
      <c r="E117" t="s">
        <v>11</v>
      </c>
      <c r="G117" t="str">
        <f>HYPERLINK(_xlfn.CONCAT("https://tablet.otzar.org/",CHAR(35),"/book/654548/p/-1/t/1/fs/0/start/0/end/0/c"),"אוסף גליונות בדרכו אמונה - 1-148")</f>
        <v>אוסף גליונות בדרכו אמונה - 1-148</v>
      </c>
      <c r="H117" t="str">
        <f>_xlfn.CONCAT("https://tablet.otzar.org/",CHAR(35),"/book/654548/p/-1/t/1/fs/0/start/0/end/0/c")</f>
        <v>https://tablet.otzar.org/#/book/654548/p/-1/t/1/fs/0/start/0/end/0/c</v>
      </c>
    </row>
    <row r="118" spans="1:8" x14ac:dyDescent="0.25">
      <c r="A118">
        <v>654914</v>
      </c>
      <c r="B118" t="s">
        <v>311</v>
      </c>
      <c r="C118" t="s">
        <v>305</v>
      </c>
      <c r="D118" t="s">
        <v>10</v>
      </c>
      <c r="E118" t="s">
        <v>312</v>
      </c>
      <c r="G118" t="str">
        <f>HYPERLINK(_xlfn.CONCAT("https://tablet.otzar.org/",CHAR(35),"/exKotar/654914"),"אוסף מכתבים - 4 כרכים")</f>
        <v>אוסף מכתבים - 4 כרכים</v>
      </c>
      <c r="H118" t="str">
        <f>_xlfn.CONCAT("https://tablet.otzar.org/",CHAR(35),"/exKotar/654914")</f>
        <v>https://tablet.otzar.org/#/exKotar/654914</v>
      </c>
    </row>
    <row r="119" spans="1:8" x14ac:dyDescent="0.25">
      <c r="A119">
        <v>651945</v>
      </c>
      <c r="B119" t="s">
        <v>313</v>
      </c>
      <c r="C119" t="s">
        <v>314</v>
      </c>
      <c r="E119" t="s">
        <v>35</v>
      </c>
      <c r="G119" t="str">
        <f>HYPERLINK(_xlfn.CONCAT("https://tablet.otzar.org/",CHAR(35),"/book/651945/p/-1/t/1/fs/0/start/0/end/0/c"),"אוסף מקורות בנושא צדיק ורע לו")</f>
        <v>אוסף מקורות בנושא צדיק ורע לו</v>
      </c>
      <c r="H119" t="str">
        <f>_xlfn.CONCAT("https://tablet.otzar.org/",CHAR(35),"/book/651945/p/-1/t/1/fs/0/start/0/end/0/c")</f>
        <v>https://tablet.otzar.org/#/book/651945/p/-1/t/1/fs/0/start/0/end/0/c</v>
      </c>
    </row>
    <row r="120" spans="1:8" x14ac:dyDescent="0.25">
      <c r="A120">
        <v>647184</v>
      </c>
      <c r="B120" t="s">
        <v>315</v>
      </c>
      <c r="C120" t="s">
        <v>316</v>
      </c>
      <c r="D120" t="s">
        <v>10</v>
      </c>
      <c r="E120" t="s">
        <v>70</v>
      </c>
      <c r="G120" t="str">
        <f>HYPERLINK(_xlfn.CONCAT("https://tablet.otzar.org/",CHAR(35),"/book/647184/p/-1/t/1/fs/0/start/0/end/0/c"),"אוצר אגדות החסידים - כז")</f>
        <v>אוצר אגדות החסידים - כז</v>
      </c>
      <c r="H120" t="str">
        <f>_xlfn.CONCAT("https://tablet.otzar.org/",CHAR(35),"/book/647184/p/-1/t/1/fs/0/start/0/end/0/c")</f>
        <v>https://tablet.otzar.org/#/book/647184/p/-1/t/1/fs/0/start/0/end/0/c</v>
      </c>
    </row>
    <row r="121" spans="1:8" x14ac:dyDescent="0.25">
      <c r="A121">
        <v>655988</v>
      </c>
      <c r="B121" t="s">
        <v>317</v>
      </c>
      <c r="C121" t="s">
        <v>318</v>
      </c>
      <c r="D121" t="s">
        <v>319</v>
      </c>
      <c r="E121" t="s">
        <v>320</v>
      </c>
      <c r="G121" t="str">
        <f>HYPERLINK(_xlfn.CONCAT("https://tablet.otzar.org/",CHAR(35),"/exKotar/655988"),"אוצר בין אדם לחבירו - 3 כרכים")</f>
        <v>אוצר בין אדם לחבירו - 3 כרכים</v>
      </c>
      <c r="H121" t="str">
        <f>_xlfn.CONCAT("https://tablet.otzar.org/",CHAR(35),"/exKotar/655988")</f>
        <v>https://tablet.otzar.org/#/exKotar/655988</v>
      </c>
    </row>
    <row r="122" spans="1:8" x14ac:dyDescent="0.25">
      <c r="A122">
        <v>651242</v>
      </c>
      <c r="B122" t="s">
        <v>321</v>
      </c>
      <c r="C122" t="s">
        <v>322</v>
      </c>
      <c r="D122" t="s">
        <v>10</v>
      </c>
      <c r="E122" t="s">
        <v>35</v>
      </c>
      <c r="G122" t="str">
        <f>HYPERLINK(_xlfn.CONCAT("https://tablet.otzar.org/",CHAR(35),"/book/651242/p/-1/t/1/fs/0/start/0/end/0/c"),"אוצר דרשות ומאמרים - ד")</f>
        <v>אוצר דרשות ומאמרים - ד</v>
      </c>
      <c r="H122" t="str">
        <f>_xlfn.CONCAT("https://tablet.otzar.org/",CHAR(35),"/book/651242/p/-1/t/1/fs/0/start/0/end/0/c")</f>
        <v>https://tablet.otzar.org/#/book/651242/p/-1/t/1/fs/0/start/0/end/0/c</v>
      </c>
    </row>
    <row r="123" spans="1:8" x14ac:dyDescent="0.25">
      <c r="A123">
        <v>643467</v>
      </c>
      <c r="B123" t="s">
        <v>323</v>
      </c>
      <c r="C123" t="s">
        <v>275</v>
      </c>
      <c r="D123" t="s">
        <v>10</v>
      </c>
      <c r="E123" t="s">
        <v>184</v>
      </c>
      <c r="G123" t="str">
        <f>HYPERLINK(_xlfn.CONCAT("https://tablet.otzar.org/",CHAR(35),"/book/643467/p/-1/t/1/fs/0/start/0/end/0/c"),"אוצר הברית והדרוש")</f>
        <v>אוצר הברית והדרוש</v>
      </c>
      <c r="H123" t="str">
        <f>_xlfn.CONCAT("https://tablet.otzar.org/",CHAR(35),"/book/643467/p/-1/t/1/fs/0/start/0/end/0/c")</f>
        <v>https://tablet.otzar.org/#/book/643467/p/-1/t/1/fs/0/start/0/end/0/c</v>
      </c>
    </row>
    <row r="124" spans="1:8" x14ac:dyDescent="0.25">
      <c r="A124">
        <v>654400</v>
      </c>
      <c r="B124" t="s">
        <v>324</v>
      </c>
      <c r="C124" t="s">
        <v>325</v>
      </c>
      <c r="D124" t="s">
        <v>10</v>
      </c>
      <c r="E124" t="s">
        <v>11</v>
      </c>
      <c r="G124" t="str">
        <f>HYPERLINK(_xlfn.CONCAT("https://tablet.otzar.org/",CHAR(35),"/book/654400/p/-1/t/1/fs/0/start/0/end/0/c"),"אוצר הברכה")</f>
        <v>אוצר הברכה</v>
      </c>
      <c r="H124" t="str">
        <f>_xlfn.CONCAT("https://tablet.otzar.org/",CHAR(35),"/book/654400/p/-1/t/1/fs/0/start/0/end/0/c")</f>
        <v>https://tablet.otzar.org/#/book/654400/p/-1/t/1/fs/0/start/0/end/0/c</v>
      </c>
    </row>
    <row r="125" spans="1:8" x14ac:dyDescent="0.25">
      <c r="A125">
        <v>637779</v>
      </c>
      <c r="B125" t="s">
        <v>326</v>
      </c>
      <c r="C125" t="s">
        <v>327</v>
      </c>
      <c r="D125" t="s">
        <v>328</v>
      </c>
      <c r="E125" t="s">
        <v>45</v>
      </c>
      <c r="G125" t="str">
        <f>HYPERLINK(_xlfn.CONCAT("https://tablet.otzar.org/",CHAR(35),"/book/637779/p/-1/t/1/fs/0/start/0/end/0/c"),"אוצר הברכות")</f>
        <v>אוצר הברכות</v>
      </c>
      <c r="H125" t="str">
        <f>_xlfn.CONCAT("https://tablet.otzar.org/",CHAR(35),"/book/637779/p/-1/t/1/fs/0/start/0/end/0/c")</f>
        <v>https://tablet.otzar.org/#/book/637779/p/-1/t/1/fs/0/start/0/end/0/c</v>
      </c>
    </row>
    <row r="126" spans="1:8" x14ac:dyDescent="0.25">
      <c r="A126">
        <v>650550</v>
      </c>
      <c r="B126" t="s">
        <v>329</v>
      </c>
      <c r="C126" t="s">
        <v>330</v>
      </c>
      <c r="D126" t="s">
        <v>10</v>
      </c>
      <c r="E126" t="s">
        <v>35</v>
      </c>
      <c r="G126" t="str">
        <f>HYPERLINK(_xlfn.CONCAT("https://tablet.otzar.org/",CHAR(35),"/exKotar/650550"),"אוצר הדרשות הקצרות - 2 כרכים")</f>
        <v>אוצר הדרשות הקצרות - 2 כרכים</v>
      </c>
      <c r="H126" t="str">
        <f>_xlfn.CONCAT("https://tablet.otzar.org/",CHAR(35),"/exKotar/650550")</f>
        <v>https://tablet.otzar.org/#/exKotar/650550</v>
      </c>
    </row>
    <row r="127" spans="1:8" x14ac:dyDescent="0.25">
      <c r="A127">
        <v>651527</v>
      </c>
      <c r="B127" t="s">
        <v>331</v>
      </c>
      <c r="C127" t="s">
        <v>332</v>
      </c>
      <c r="E127" t="s">
        <v>11</v>
      </c>
      <c r="G127" t="str">
        <f>HYPERLINK(_xlfn.CONCAT("https://tablet.otzar.org/",CHAR(35),"/exKotar/651527"),"אוצר הזמנים - 2 כרכים")</f>
        <v>אוצר הזמנים - 2 כרכים</v>
      </c>
      <c r="H127" t="str">
        <f>_xlfn.CONCAT("https://tablet.otzar.org/",CHAR(35),"/exKotar/651527")</f>
        <v>https://tablet.otzar.org/#/exKotar/651527</v>
      </c>
    </row>
    <row r="128" spans="1:8" x14ac:dyDescent="0.25">
      <c r="A128">
        <v>653231</v>
      </c>
      <c r="B128" t="s">
        <v>333</v>
      </c>
      <c r="C128" t="s">
        <v>334</v>
      </c>
      <c r="E128" t="s">
        <v>11</v>
      </c>
      <c r="G128" t="str">
        <f>HYPERLINK(_xlfn.CONCAT("https://tablet.otzar.org/",CHAR(35),"/exKotar/653231"),"אוצר הלכות - 2 כרכים")</f>
        <v>אוצר הלכות - 2 כרכים</v>
      </c>
      <c r="H128" t="str">
        <f>_xlfn.CONCAT("https://tablet.otzar.org/",CHAR(35),"/exKotar/653231")</f>
        <v>https://tablet.otzar.org/#/exKotar/653231</v>
      </c>
    </row>
    <row r="129" spans="1:8" x14ac:dyDescent="0.25">
      <c r="A129">
        <v>647375</v>
      </c>
      <c r="B129" t="s">
        <v>335</v>
      </c>
      <c r="C129" t="s">
        <v>336</v>
      </c>
      <c r="E129" t="s">
        <v>337</v>
      </c>
      <c r="G129" t="str">
        <f>HYPERLINK(_xlfn.CONCAT("https://tablet.otzar.org/",CHAR(35),"/book/647375/p/-1/t/1/fs/0/start/0/end/0/c"),"אוצר הלכות קיץ")</f>
        <v>אוצר הלכות קיץ</v>
      </c>
      <c r="H129" t="str">
        <f>_xlfn.CONCAT("https://tablet.otzar.org/",CHAR(35),"/book/647375/p/-1/t/1/fs/0/start/0/end/0/c")</f>
        <v>https://tablet.otzar.org/#/book/647375/p/-1/t/1/fs/0/start/0/end/0/c</v>
      </c>
    </row>
    <row r="130" spans="1:8" x14ac:dyDescent="0.25">
      <c r="A130">
        <v>651229</v>
      </c>
      <c r="B130" t="s">
        <v>338</v>
      </c>
      <c r="C130" t="s">
        <v>339</v>
      </c>
      <c r="D130" t="s">
        <v>340</v>
      </c>
      <c r="E130" t="s">
        <v>11</v>
      </c>
      <c r="G130" t="str">
        <f>HYPERLINK(_xlfn.CONCAT("https://tablet.otzar.org/",CHAR(35),"/book/651229/p/-1/t/1/fs/0/start/0/end/0/c"),"אוצר העיון - נדה")</f>
        <v>אוצר העיון - נדה</v>
      </c>
      <c r="H130" t="str">
        <f>_xlfn.CONCAT("https://tablet.otzar.org/",CHAR(35),"/book/651229/p/-1/t/1/fs/0/start/0/end/0/c")</f>
        <v>https://tablet.otzar.org/#/book/651229/p/-1/t/1/fs/0/start/0/end/0/c</v>
      </c>
    </row>
    <row r="131" spans="1:8" x14ac:dyDescent="0.25">
      <c r="A131">
        <v>655959</v>
      </c>
      <c r="B131" t="s">
        <v>341</v>
      </c>
      <c r="C131" t="s">
        <v>342</v>
      </c>
      <c r="D131" t="s">
        <v>10</v>
      </c>
      <c r="E131" t="s">
        <v>35</v>
      </c>
      <c r="G131" t="str">
        <f>HYPERLINK(_xlfn.CONCAT("https://tablet.otzar.org/",CHAR(35),"/book/655959/p/-1/t/1/fs/0/start/0/end/0/c"),"אוצר הפרשה - לך לך")</f>
        <v>אוצר הפרשה - לך לך</v>
      </c>
      <c r="H131" t="str">
        <f>_xlfn.CONCAT("https://tablet.otzar.org/",CHAR(35),"/book/655959/p/-1/t/1/fs/0/start/0/end/0/c")</f>
        <v>https://tablet.otzar.org/#/book/655959/p/-1/t/1/fs/0/start/0/end/0/c</v>
      </c>
    </row>
    <row r="132" spans="1:8" x14ac:dyDescent="0.25">
      <c r="A132">
        <v>654318</v>
      </c>
      <c r="B132" t="s">
        <v>343</v>
      </c>
      <c r="C132" t="s">
        <v>344</v>
      </c>
      <c r="D132" t="s">
        <v>10</v>
      </c>
      <c r="E132" t="s">
        <v>35</v>
      </c>
      <c r="G132" t="str">
        <f>HYPERLINK(_xlfn.CONCAT("https://tablet.otzar.org/",CHAR(35),"/book/654318/p/-1/t/1/fs/0/start/0/end/0/c"),"אוצר השיחות")</f>
        <v>אוצר השיחות</v>
      </c>
      <c r="H132" t="str">
        <f>_xlfn.CONCAT("https://tablet.otzar.org/",CHAR(35),"/book/654318/p/-1/t/1/fs/0/start/0/end/0/c")</f>
        <v>https://tablet.otzar.org/#/book/654318/p/-1/t/1/fs/0/start/0/end/0/c</v>
      </c>
    </row>
    <row r="133" spans="1:8" x14ac:dyDescent="0.25">
      <c r="A133">
        <v>649201</v>
      </c>
      <c r="B133" t="s">
        <v>345</v>
      </c>
      <c r="C133" t="s">
        <v>346</v>
      </c>
      <c r="D133" t="s">
        <v>347</v>
      </c>
      <c r="E133" t="s">
        <v>45</v>
      </c>
      <c r="G133" t="str">
        <f>HYPERLINK(_xlfn.CONCAT("https://tablet.otzar.org/",CHAR(35),"/book/649201/p/-1/t/1/fs/0/start/0/end/0/c"),"אוצר השמחה - א")</f>
        <v>אוצר השמחה - א</v>
      </c>
      <c r="H133" t="str">
        <f>_xlfn.CONCAT("https://tablet.otzar.org/",CHAR(35),"/book/649201/p/-1/t/1/fs/0/start/0/end/0/c")</f>
        <v>https://tablet.otzar.org/#/book/649201/p/-1/t/1/fs/0/start/0/end/0/c</v>
      </c>
    </row>
    <row r="134" spans="1:8" x14ac:dyDescent="0.25">
      <c r="A134">
        <v>648340</v>
      </c>
      <c r="B134" t="s">
        <v>348</v>
      </c>
      <c r="C134" t="s">
        <v>349</v>
      </c>
      <c r="E134" t="s">
        <v>106</v>
      </c>
      <c r="G134" t="str">
        <f>HYPERLINK(_xlfn.CONCAT("https://tablet.otzar.org/",CHAR(35),"/book/648340/p/-1/t/1/fs/0/start/0/end/0/c"),"אוצר חיים - א")</f>
        <v>אוצר חיים - א</v>
      </c>
      <c r="H134" t="str">
        <f>_xlfn.CONCAT("https://tablet.otzar.org/",CHAR(35),"/book/648340/p/-1/t/1/fs/0/start/0/end/0/c")</f>
        <v>https://tablet.otzar.org/#/book/648340/p/-1/t/1/fs/0/start/0/end/0/c</v>
      </c>
    </row>
    <row r="135" spans="1:8" x14ac:dyDescent="0.25">
      <c r="A135">
        <v>654206</v>
      </c>
      <c r="B135" t="s">
        <v>350</v>
      </c>
      <c r="C135" t="s">
        <v>351</v>
      </c>
      <c r="D135" t="s">
        <v>139</v>
      </c>
      <c r="E135" t="s">
        <v>352</v>
      </c>
      <c r="G135" t="str">
        <f>HYPERLINK(_xlfn.CONCAT("https://tablet.otzar.org/",CHAR(35),"/book/654206/p/-1/t/1/fs/0/start/0/end/0/c"),"אוצר ישראל השלם")</f>
        <v>אוצר ישראל השלם</v>
      </c>
      <c r="H135" t="str">
        <f>_xlfn.CONCAT("https://tablet.otzar.org/",CHAR(35),"/book/654206/p/-1/t/1/fs/0/start/0/end/0/c")</f>
        <v>https://tablet.otzar.org/#/book/654206/p/-1/t/1/fs/0/start/0/end/0/c</v>
      </c>
    </row>
    <row r="136" spans="1:8" x14ac:dyDescent="0.25">
      <c r="A136">
        <v>643232</v>
      </c>
      <c r="B136" t="s">
        <v>353</v>
      </c>
      <c r="C136" t="s">
        <v>354</v>
      </c>
      <c r="D136" t="s">
        <v>133</v>
      </c>
      <c r="E136" t="s">
        <v>70</v>
      </c>
      <c r="G136" t="str">
        <f>HYPERLINK(_xlfn.CONCAT("https://tablet.otzar.org/",CHAR(35),"/book/643232/p/-1/t/1/fs/0/start/0/end/0/c"),"אוצר לפני עיור - א")</f>
        <v>אוצר לפני עיור - א</v>
      </c>
      <c r="H136" t="str">
        <f>_xlfn.CONCAT("https://tablet.otzar.org/",CHAR(35),"/book/643232/p/-1/t/1/fs/0/start/0/end/0/c")</f>
        <v>https://tablet.otzar.org/#/book/643232/p/-1/t/1/fs/0/start/0/end/0/c</v>
      </c>
    </row>
    <row r="137" spans="1:8" x14ac:dyDescent="0.25">
      <c r="A137">
        <v>654619</v>
      </c>
      <c r="B137" t="s">
        <v>355</v>
      </c>
      <c r="C137" t="s">
        <v>356</v>
      </c>
      <c r="E137" t="s">
        <v>357</v>
      </c>
      <c r="G137" t="str">
        <f>HYPERLINK(_xlfn.CONCAT("https://tablet.otzar.org/",CHAR(35),"/exKotar/654619"),"אוצר מאמרים משלחן רבותינו &lt;בעלזא&gt; - 2 כרכים")</f>
        <v>אוצר מאמרים משלחן רבותינו &lt;בעלזא&gt; - 2 כרכים</v>
      </c>
      <c r="H137" t="str">
        <f>_xlfn.CONCAT("https://tablet.otzar.org/",CHAR(35),"/exKotar/654619")</f>
        <v>https://tablet.otzar.org/#/exKotar/654619</v>
      </c>
    </row>
    <row r="138" spans="1:8" x14ac:dyDescent="0.25">
      <c r="A138">
        <v>656856</v>
      </c>
      <c r="B138" t="s">
        <v>358</v>
      </c>
      <c r="C138" t="s">
        <v>359</v>
      </c>
      <c r="D138" t="s">
        <v>10</v>
      </c>
      <c r="E138" t="s">
        <v>84</v>
      </c>
      <c r="G138" t="str">
        <f>HYPERLINK(_xlfn.CONCAT("https://tablet.otzar.org/",CHAR(35),"/book/656856/p/-1/t/1/fs/0/start/0/end/0/c"),"אוצר מפרשי התורה - ז (במדבר א)")</f>
        <v>אוצר מפרשי התורה - ז (במדבר א)</v>
      </c>
      <c r="H138" t="str">
        <f>_xlfn.CONCAT("https://tablet.otzar.org/",CHAR(35),"/book/656856/p/-1/t/1/fs/0/start/0/end/0/c")</f>
        <v>https://tablet.otzar.org/#/book/656856/p/-1/t/1/fs/0/start/0/end/0/c</v>
      </c>
    </row>
    <row r="139" spans="1:8" x14ac:dyDescent="0.25">
      <c r="A139">
        <v>649715</v>
      </c>
      <c r="B139" t="s">
        <v>360</v>
      </c>
      <c r="C139" t="s">
        <v>275</v>
      </c>
      <c r="D139" t="s">
        <v>277</v>
      </c>
      <c r="E139" t="s">
        <v>11</v>
      </c>
      <c r="G139" t="str">
        <f>HYPERLINK(_xlfn.CONCAT("https://tablet.otzar.org/",CHAR(35),"/book/649715/p/-1/t/1/fs/0/start/0/end/0/c"),"אוצר מפרשים וחידושים")</f>
        <v>אוצר מפרשים וחידושים</v>
      </c>
      <c r="H139" t="str">
        <f>_xlfn.CONCAT("https://tablet.otzar.org/",CHAR(35),"/book/649715/p/-1/t/1/fs/0/start/0/end/0/c")</f>
        <v>https://tablet.otzar.org/#/book/649715/p/-1/t/1/fs/0/start/0/end/0/c</v>
      </c>
    </row>
    <row r="140" spans="1:8" x14ac:dyDescent="0.25">
      <c r="A140">
        <v>648927</v>
      </c>
      <c r="B140" t="s">
        <v>361</v>
      </c>
      <c r="C140" t="s">
        <v>362</v>
      </c>
      <c r="D140" t="s">
        <v>10</v>
      </c>
      <c r="E140" t="s">
        <v>73</v>
      </c>
      <c r="G140" t="str">
        <f>HYPERLINK(_xlfn.CONCAT("https://tablet.otzar.org/",CHAR(35),"/book/648927/p/-1/t/1/fs/0/start/0/end/0/c"),"אוצר ספר חסידים")</f>
        <v>אוצר ספר חסידים</v>
      </c>
      <c r="H140" t="str">
        <f>_xlfn.CONCAT("https://tablet.otzar.org/",CHAR(35),"/book/648927/p/-1/t/1/fs/0/start/0/end/0/c")</f>
        <v>https://tablet.otzar.org/#/book/648927/p/-1/t/1/fs/0/start/0/end/0/c</v>
      </c>
    </row>
    <row r="141" spans="1:8" x14ac:dyDescent="0.25">
      <c r="A141">
        <v>654784</v>
      </c>
      <c r="B141" t="s">
        <v>363</v>
      </c>
      <c r="C141" t="s">
        <v>364</v>
      </c>
      <c r="D141" t="s">
        <v>10</v>
      </c>
      <c r="E141" t="s">
        <v>29</v>
      </c>
      <c r="G141" t="str">
        <f>HYPERLINK(_xlfn.CONCAT("https://tablet.otzar.org/",CHAR(35),"/book/654784/p/-1/t/1/fs/0/start/0/end/0/c"),"אוצר ספר תורה תפילין ומזוזות - כוונות כתיבת השם, כוונות כתיבת פרשיות לתפילין ומזוזות")</f>
        <v>אוצר ספר תורה תפילין ומזוזות - כוונות כתיבת השם, כוונות כתיבת פרשיות לתפילין ומזוזות</v>
      </c>
      <c r="H141" t="str">
        <f>_xlfn.CONCAT("https://tablet.otzar.org/",CHAR(35),"/book/654784/p/-1/t/1/fs/0/start/0/end/0/c")</f>
        <v>https://tablet.otzar.org/#/book/654784/p/-1/t/1/fs/0/start/0/end/0/c</v>
      </c>
    </row>
    <row r="142" spans="1:8" x14ac:dyDescent="0.25">
      <c r="A142">
        <v>644779</v>
      </c>
      <c r="B142" t="s">
        <v>365</v>
      </c>
      <c r="C142" t="s">
        <v>364</v>
      </c>
      <c r="D142" t="s">
        <v>10</v>
      </c>
      <c r="E142" t="s">
        <v>366</v>
      </c>
      <c r="G142" t="str">
        <f>HYPERLINK(_xlfn.CONCAT("https://tablet.otzar.org/",CHAR(35),"/exKotar/644779"),"אוצר סת""""ם - 2 כרכים")</f>
        <v>אוצר סת""ם - 2 כרכים</v>
      </c>
      <c r="H142" t="str">
        <f>_xlfn.CONCAT("https://tablet.otzar.org/",CHAR(35),"/exKotar/644779")</f>
        <v>https://tablet.otzar.org/#/exKotar/644779</v>
      </c>
    </row>
    <row r="143" spans="1:8" x14ac:dyDescent="0.25">
      <c r="A143">
        <v>648202</v>
      </c>
      <c r="B143" t="s">
        <v>367</v>
      </c>
      <c r="C143" t="s">
        <v>368</v>
      </c>
      <c r="D143" t="s">
        <v>10</v>
      </c>
      <c r="E143" t="s">
        <v>161</v>
      </c>
      <c r="G143" t="str">
        <f>HYPERLINK(_xlfn.CONCAT("https://tablet.otzar.org/",CHAR(35),"/book/648202/p/-1/t/1/fs/0/start/0/end/0/c"),"אוצר ערכי היהדות")</f>
        <v>אוצר ערכי היהדות</v>
      </c>
      <c r="H143" t="str">
        <f>_xlfn.CONCAT("https://tablet.otzar.org/",CHAR(35),"/book/648202/p/-1/t/1/fs/0/start/0/end/0/c")</f>
        <v>https://tablet.otzar.org/#/book/648202/p/-1/t/1/fs/0/start/0/end/0/c</v>
      </c>
    </row>
    <row r="144" spans="1:8" x14ac:dyDescent="0.25">
      <c r="A144">
        <v>650978</v>
      </c>
      <c r="B144" t="s">
        <v>369</v>
      </c>
      <c r="C144" t="s">
        <v>370</v>
      </c>
      <c r="D144" t="s">
        <v>34</v>
      </c>
      <c r="E144" t="s">
        <v>35</v>
      </c>
      <c r="G144" t="str">
        <f>HYPERLINK(_xlfn.CONCAT("https://tablet.otzar.org/",CHAR(35),"/book/650978/p/-1/t/1/fs/0/start/0/end/0/c"),"אוצר פירושים על ספר התניא")</f>
        <v>אוצר פירושים על ספר התניא</v>
      </c>
      <c r="H144" t="str">
        <f>_xlfn.CONCAT("https://tablet.otzar.org/",CHAR(35),"/book/650978/p/-1/t/1/fs/0/start/0/end/0/c")</f>
        <v>https://tablet.otzar.org/#/book/650978/p/-1/t/1/fs/0/start/0/end/0/c</v>
      </c>
    </row>
    <row r="145" spans="1:8" x14ac:dyDescent="0.25">
      <c r="A145">
        <v>652954</v>
      </c>
      <c r="B145" t="s">
        <v>371</v>
      </c>
      <c r="C145" t="s">
        <v>372</v>
      </c>
      <c r="D145" t="s">
        <v>340</v>
      </c>
      <c r="E145" t="s">
        <v>35</v>
      </c>
      <c r="G145" t="str">
        <f>HYPERLINK(_xlfn.CONCAT("https://tablet.otzar.org/",CHAR(35),"/exKotar/652954"),"אוצר פנינים - 2 כרכים")</f>
        <v>אוצר פנינים - 2 כרכים</v>
      </c>
      <c r="H145" t="str">
        <f>_xlfn.CONCAT("https://tablet.otzar.org/",CHAR(35),"/exKotar/652954")</f>
        <v>https://tablet.otzar.org/#/exKotar/652954</v>
      </c>
    </row>
    <row r="146" spans="1:8" x14ac:dyDescent="0.25">
      <c r="A146">
        <v>650241</v>
      </c>
      <c r="B146" t="s">
        <v>373</v>
      </c>
      <c r="C146" t="s">
        <v>374</v>
      </c>
      <c r="D146" t="s">
        <v>10</v>
      </c>
      <c r="E146" t="s">
        <v>11</v>
      </c>
      <c r="G146" t="str">
        <f>HYPERLINK(_xlfn.CONCAT("https://tablet.otzar.org/",CHAR(35),"/book/650241/p/-1/t/1/fs/0/start/0/end/0/c"),"אוצר פסקי חלה")</f>
        <v>אוצר פסקי חלה</v>
      </c>
      <c r="H146" t="str">
        <f>_xlfn.CONCAT("https://tablet.otzar.org/",CHAR(35),"/book/650241/p/-1/t/1/fs/0/start/0/end/0/c")</f>
        <v>https://tablet.otzar.org/#/book/650241/p/-1/t/1/fs/0/start/0/end/0/c</v>
      </c>
    </row>
    <row r="147" spans="1:8" x14ac:dyDescent="0.25">
      <c r="A147">
        <v>655419</v>
      </c>
      <c r="B147" t="s">
        <v>375</v>
      </c>
      <c r="C147" t="s">
        <v>376</v>
      </c>
      <c r="D147" t="s">
        <v>10</v>
      </c>
      <c r="E147" t="s">
        <v>45</v>
      </c>
      <c r="G147" t="str">
        <f>HYPERLINK(_xlfn.CONCAT("https://tablet.otzar.org/",CHAR(35),"/exKotar/655419"),"אוצרות אורייתא - 3 כרכים")</f>
        <v>אוצרות אורייתא - 3 כרכים</v>
      </c>
      <c r="H147" t="str">
        <f>_xlfn.CONCAT("https://tablet.otzar.org/",CHAR(35),"/exKotar/655419")</f>
        <v>https://tablet.otzar.org/#/exKotar/655419</v>
      </c>
    </row>
    <row r="148" spans="1:8" x14ac:dyDescent="0.25">
      <c r="A148">
        <v>643259</v>
      </c>
      <c r="B148" t="s">
        <v>377</v>
      </c>
      <c r="C148" t="s">
        <v>378</v>
      </c>
      <c r="D148" t="s">
        <v>52</v>
      </c>
      <c r="E148" t="s">
        <v>224</v>
      </c>
      <c r="G148" t="str">
        <f>HYPERLINK(_xlfn.CONCAT("https://tablet.otzar.org/",CHAR(35),"/book/643259/p/-1/t/1/fs/0/start/0/end/0/c"),"אוצרות גיטין")</f>
        <v>אוצרות גיטין</v>
      </c>
      <c r="H148" t="str">
        <f>_xlfn.CONCAT("https://tablet.otzar.org/",CHAR(35),"/book/643259/p/-1/t/1/fs/0/start/0/end/0/c")</f>
        <v>https://tablet.otzar.org/#/book/643259/p/-1/t/1/fs/0/start/0/end/0/c</v>
      </c>
    </row>
    <row r="149" spans="1:8" x14ac:dyDescent="0.25">
      <c r="A149">
        <v>650652</v>
      </c>
      <c r="B149" t="s">
        <v>379</v>
      </c>
      <c r="C149" t="s">
        <v>380</v>
      </c>
      <c r="D149" t="s">
        <v>34</v>
      </c>
      <c r="E149" t="s">
        <v>11</v>
      </c>
      <c r="G149" t="str">
        <f>HYPERLINK(_xlfn.CONCAT("https://tablet.otzar.org/",CHAR(35),"/exKotar/650652"),"אוצרות המלך - 8 כרכים")</f>
        <v>אוצרות המלך - 8 כרכים</v>
      </c>
      <c r="H149" t="str">
        <f>_xlfn.CONCAT("https://tablet.otzar.org/",CHAR(35),"/exKotar/650652")</f>
        <v>https://tablet.otzar.org/#/exKotar/650652</v>
      </c>
    </row>
    <row r="150" spans="1:8" x14ac:dyDescent="0.25">
      <c r="A150">
        <v>653204</v>
      </c>
      <c r="B150" t="s">
        <v>381</v>
      </c>
      <c r="C150" t="s">
        <v>382</v>
      </c>
      <c r="E150" t="s">
        <v>383</v>
      </c>
      <c r="G150" t="str">
        <f>HYPERLINK(_xlfn.CONCAT("https://tablet.otzar.org/",CHAR(35),"/exKotar/653204"),"אוצרות הסופר - 10 כרכים")</f>
        <v>אוצרות הסופר - 10 כרכים</v>
      </c>
      <c r="H150" t="str">
        <f>_xlfn.CONCAT("https://tablet.otzar.org/",CHAR(35),"/exKotar/653204")</f>
        <v>https://tablet.otzar.org/#/exKotar/653204</v>
      </c>
    </row>
    <row r="151" spans="1:8" x14ac:dyDescent="0.25">
      <c r="A151">
        <v>650266</v>
      </c>
      <c r="B151" t="s">
        <v>384</v>
      </c>
      <c r="C151" t="s">
        <v>385</v>
      </c>
      <c r="D151" t="s">
        <v>386</v>
      </c>
      <c r="E151" t="s">
        <v>35</v>
      </c>
      <c r="G151" t="str">
        <f>HYPERLINK(_xlfn.CONCAT("https://tablet.otzar.org/",CHAR(35),"/exKotar/650266"),"אוצרות התורה - 2 כרכים")</f>
        <v>אוצרות התורה - 2 כרכים</v>
      </c>
      <c r="H151" t="str">
        <f>_xlfn.CONCAT("https://tablet.otzar.org/",CHAR(35),"/exKotar/650266")</f>
        <v>https://tablet.otzar.org/#/exKotar/650266</v>
      </c>
    </row>
    <row r="152" spans="1:8" x14ac:dyDescent="0.25">
      <c r="A152">
        <v>647782</v>
      </c>
      <c r="B152" t="s">
        <v>387</v>
      </c>
      <c r="C152" t="s">
        <v>388</v>
      </c>
      <c r="D152" t="s">
        <v>10</v>
      </c>
      <c r="E152" t="s">
        <v>11</v>
      </c>
      <c r="G152" t="str">
        <f>HYPERLINK(_xlfn.CONCAT("https://tablet.otzar.org/",CHAR(35),"/book/647782/p/-1/t/1/fs/0/start/0/end/0/c"),"אוצרות חנוכה")</f>
        <v>אוצרות חנוכה</v>
      </c>
      <c r="H152" t="str">
        <f>_xlfn.CONCAT("https://tablet.otzar.org/",CHAR(35),"/book/647782/p/-1/t/1/fs/0/start/0/end/0/c")</f>
        <v>https://tablet.otzar.org/#/book/647782/p/-1/t/1/fs/0/start/0/end/0/c</v>
      </c>
    </row>
    <row r="153" spans="1:8" x14ac:dyDescent="0.25">
      <c r="A153">
        <v>655865</v>
      </c>
      <c r="B153" t="s">
        <v>389</v>
      </c>
      <c r="C153" t="s">
        <v>390</v>
      </c>
      <c r="D153" t="s">
        <v>10</v>
      </c>
      <c r="E153" t="s">
        <v>45</v>
      </c>
      <c r="G153" t="str">
        <f>HYPERLINK(_xlfn.CONCAT("https://tablet.otzar.org/",CHAR(35),"/book/655865/p/-1/t/1/fs/0/start/0/end/0/c"),"אוצרות יהודי תונסיה - א")</f>
        <v>אוצרות יהודי תונסיה - א</v>
      </c>
      <c r="H153" t="str">
        <f>_xlfn.CONCAT("https://tablet.otzar.org/",CHAR(35),"/book/655865/p/-1/t/1/fs/0/start/0/end/0/c")</f>
        <v>https://tablet.otzar.org/#/book/655865/p/-1/t/1/fs/0/start/0/end/0/c</v>
      </c>
    </row>
    <row r="154" spans="1:8" x14ac:dyDescent="0.25">
      <c r="A154">
        <v>647571</v>
      </c>
      <c r="B154" t="s">
        <v>391</v>
      </c>
      <c r="C154" t="s">
        <v>392</v>
      </c>
      <c r="D154" t="s">
        <v>10</v>
      </c>
      <c r="E154" t="s">
        <v>393</v>
      </c>
      <c r="G154" t="str">
        <f>HYPERLINK(_xlfn.CONCAT("https://tablet.otzar.org/",CHAR(35),"/book/647571/p/-1/t/1/fs/0/start/0/end/0/c"),"אוצרות ירושלים - שי-שיט")</f>
        <v>אוצרות ירושלים - שי-שיט</v>
      </c>
      <c r="H154" t="str">
        <f>_xlfn.CONCAT("https://tablet.otzar.org/",CHAR(35),"/book/647571/p/-1/t/1/fs/0/start/0/end/0/c")</f>
        <v>https://tablet.otzar.org/#/book/647571/p/-1/t/1/fs/0/start/0/end/0/c</v>
      </c>
    </row>
    <row r="155" spans="1:8" x14ac:dyDescent="0.25">
      <c r="A155">
        <v>651506</v>
      </c>
      <c r="B155" t="s">
        <v>394</v>
      </c>
      <c r="C155" t="s">
        <v>395</v>
      </c>
      <c r="E155" t="s">
        <v>396</v>
      </c>
      <c r="G155" t="str">
        <f>HYPERLINK(_xlfn.CONCAT("https://tablet.otzar.org/",CHAR(35),"/exKotar/651506"),"אוצרות מהר""""ש חריף - 4 כרכים")</f>
        <v>אוצרות מהר""ש חריף - 4 כרכים</v>
      </c>
      <c r="H155" t="str">
        <f>_xlfn.CONCAT("https://tablet.otzar.org/",CHAR(35),"/exKotar/651506")</f>
        <v>https://tablet.otzar.org/#/exKotar/651506</v>
      </c>
    </row>
    <row r="156" spans="1:8" x14ac:dyDescent="0.25">
      <c r="A156">
        <v>654793</v>
      </c>
      <c r="B156" t="s">
        <v>397</v>
      </c>
      <c r="C156" t="s">
        <v>398</v>
      </c>
      <c r="D156" t="s">
        <v>52</v>
      </c>
      <c r="E156" t="s">
        <v>399</v>
      </c>
      <c r="G156" t="str">
        <f>HYPERLINK(_xlfn.CONCAT("https://tablet.otzar.org/",CHAR(35),"/exKotar/654793"),"אוצרות משה - 11 כרכים")</f>
        <v>אוצרות משה - 11 כרכים</v>
      </c>
      <c r="H156" t="str">
        <f>_xlfn.CONCAT("https://tablet.otzar.org/",CHAR(35),"/exKotar/654793")</f>
        <v>https://tablet.otzar.org/#/exKotar/654793</v>
      </c>
    </row>
    <row r="157" spans="1:8" x14ac:dyDescent="0.25">
      <c r="A157">
        <v>653563</v>
      </c>
      <c r="B157" t="s">
        <v>400</v>
      </c>
      <c r="C157" t="s">
        <v>398</v>
      </c>
      <c r="D157" t="s">
        <v>52</v>
      </c>
      <c r="E157" t="s">
        <v>35</v>
      </c>
      <c r="G157" t="str">
        <f>HYPERLINK(_xlfn.CONCAT("https://tablet.otzar.org/",CHAR(35),"/exKotar/653563"),"אוצרות משה &lt;הגות לבי תבונות&gt;  - 3 כרכים")</f>
        <v>אוצרות משה &lt;הגות לבי תבונות&gt;  - 3 כרכים</v>
      </c>
      <c r="H157" t="str">
        <f>_xlfn.CONCAT("https://tablet.otzar.org/",CHAR(35),"/exKotar/653563")</f>
        <v>https://tablet.otzar.org/#/exKotar/653563</v>
      </c>
    </row>
    <row r="158" spans="1:8" x14ac:dyDescent="0.25">
      <c r="A158">
        <v>654792</v>
      </c>
      <c r="B158" t="s">
        <v>401</v>
      </c>
      <c r="C158" t="s">
        <v>398</v>
      </c>
      <c r="D158" t="s">
        <v>52</v>
      </c>
      <c r="E158" t="s">
        <v>402</v>
      </c>
      <c r="G158" t="str">
        <f>HYPERLINK(_xlfn.CONCAT("https://tablet.otzar.org/",CHAR(35),"/exKotar/654792"),"אוצרות משה - שערי אבן העזר - 2 כרכים")</f>
        <v>אוצרות משה - שערי אבן העזר - 2 כרכים</v>
      </c>
      <c r="H158" t="str">
        <f>_xlfn.CONCAT("https://tablet.otzar.org/",CHAR(35),"/exKotar/654792")</f>
        <v>https://tablet.otzar.org/#/exKotar/654792</v>
      </c>
    </row>
    <row r="159" spans="1:8" x14ac:dyDescent="0.25">
      <c r="A159">
        <v>647785</v>
      </c>
      <c r="B159" t="s">
        <v>403</v>
      </c>
      <c r="C159" t="s">
        <v>404</v>
      </c>
      <c r="D159" t="s">
        <v>52</v>
      </c>
      <c r="E159" t="s">
        <v>405</v>
      </c>
      <c r="G159" t="str">
        <f>HYPERLINK(_xlfn.CONCAT("https://tablet.otzar.org/",CHAR(35),"/book/647785/p/-1/t/1/fs/0/start/0/end/0/c"),"אור אברהם - חנוכה")</f>
        <v>אור אברהם - חנוכה</v>
      </c>
      <c r="H159" t="str">
        <f>_xlfn.CONCAT("https://tablet.otzar.org/",CHAR(35),"/book/647785/p/-1/t/1/fs/0/start/0/end/0/c")</f>
        <v>https://tablet.otzar.org/#/book/647785/p/-1/t/1/fs/0/start/0/end/0/c</v>
      </c>
    </row>
    <row r="160" spans="1:8" x14ac:dyDescent="0.25">
      <c r="A160">
        <v>650031</v>
      </c>
      <c r="B160" t="s">
        <v>406</v>
      </c>
      <c r="C160" t="s">
        <v>407</v>
      </c>
      <c r="D160" t="s">
        <v>34</v>
      </c>
      <c r="E160" t="s">
        <v>70</v>
      </c>
      <c r="G160" t="str">
        <f>HYPERLINK(_xlfn.CONCAT("https://tablet.otzar.org/",CHAR(35),"/book/650031/p/-1/t/1/fs/0/start/0/end/0/c"),"אור אליקים")</f>
        <v>אור אליקים</v>
      </c>
      <c r="H160" t="str">
        <f>_xlfn.CONCAT("https://tablet.otzar.org/",CHAR(35),"/book/650031/p/-1/t/1/fs/0/start/0/end/0/c")</f>
        <v>https://tablet.otzar.org/#/book/650031/p/-1/t/1/fs/0/start/0/end/0/c</v>
      </c>
    </row>
    <row r="161" spans="1:8" x14ac:dyDescent="0.25">
      <c r="A161">
        <v>655008</v>
      </c>
      <c r="B161" t="s">
        <v>408</v>
      </c>
      <c r="C161" t="s">
        <v>409</v>
      </c>
      <c r="D161" t="s">
        <v>52</v>
      </c>
      <c r="E161" t="s">
        <v>77</v>
      </c>
      <c r="G161" t="str">
        <f>HYPERLINK(_xlfn.CONCAT("https://tablet.otzar.org/",CHAR(35),"/book/655008/p/-1/t/1/fs/0/start/0/end/0/c"),"אור במושבותם")</f>
        <v>אור במושבותם</v>
      </c>
      <c r="H161" t="str">
        <f>_xlfn.CONCAT("https://tablet.otzar.org/",CHAR(35),"/book/655008/p/-1/t/1/fs/0/start/0/end/0/c")</f>
        <v>https://tablet.otzar.org/#/book/655008/p/-1/t/1/fs/0/start/0/end/0/c</v>
      </c>
    </row>
    <row r="162" spans="1:8" x14ac:dyDescent="0.25">
      <c r="A162">
        <v>651655</v>
      </c>
      <c r="B162" t="s">
        <v>410</v>
      </c>
      <c r="C162" t="s">
        <v>411</v>
      </c>
      <c r="D162" t="s">
        <v>34</v>
      </c>
      <c r="E162" t="s">
        <v>70</v>
      </c>
      <c r="G162" t="str">
        <f>HYPERLINK(_xlfn.CONCAT("https://tablet.otzar.org/",CHAR(35),"/book/651655/p/-1/t/1/fs/0/start/0/end/0/c"),"אור ה' עליך זרח")</f>
        <v>אור ה' עליך זרח</v>
      </c>
      <c r="H162" t="str">
        <f>_xlfn.CONCAT("https://tablet.otzar.org/",CHAR(35),"/book/651655/p/-1/t/1/fs/0/start/0/end/0/c")</f>
        <v>https://tablet.otzar.org/#/book/651655/p/-1/t/1/fs/0/start/0/end/0/c</v>
      </c>
    </row>
    <row r="163" spans="1:8" x14ac:dyDescent="0.25">
      <c r="A163">
        <v>654116</v>
      </c>
      <c r="B163" t="s">
        <v>412</v>
      </c>
      <c r="C163" t="s">
        <v>413</v>
      </c>
      <c r="D163" t="s">
        <v>10</v>
      </c>
      <c r="E163" t="s">
        <v>11</v>
      </c>
      <c r="G163" t="str">
        <f>HYPERLINK(_xlfn.CONCAT("https://tablet.otzar.org/",CHAR(35),"/book/654116/p/-1/t/1/fs/0/start/0/end/0/c"),"אור הברכה")</f>
        <v>אור הברכה</v>
      </c>
      <c r="H163" t="str">
        <f>_xlfn.CONCAT("https://tablet.otzar.org/",CHAR(35),"/book/654116/p/-1/t/1/fs/0/start/0/end/0/c")</f>
        <v>https://tablet.otzar.org/#/book/654116/p/-1/t/1/fs/0/start/0/end/0/c</v>
      </c>
    </row>
    <row r="164" spans="1:8" x14ac:dyDescent="0.25">
      <c r="A164">
        <v>647592</v>
      </c>
      <c r="B164" t="s">
        <v>414</v>
      </c>
      <c r="C164" t="s">
        <v>415</v>
      </c>
      <c r="D164" t="s">
        <v>10</v>
      </c>
      <c r="E164" t="s">
        <v>416</v>
      </c>
      <c r="G164" t="str">
        <f>HYPERLINK(_xlfn.CONCAT("https://tablet.otzar.org/",CHAR(35),"/book/647592/p/-1/t/1/fs/0/start/0/end/0/c"),"אור הגנוז - ב")</f>
        <v>אור הגנוז - ב</v>
      </c>
      <c r="H164" t="str">
        <f>_xlfn.CONCAT("https://tablet.otzar.org/",CHAR(35),"/book/647592/p/-1/t/1/fs/0/start/0/end/0/c")</f>
        <v>https://tablet.otzar.org/#/book/647592/p/-1/t/1/fs/0/start/0/end/0/c</v>
      </c>
    </row>
    <row r="165" spans="1:8" x14ac:dyDescent="0.25">
      <c r="A165">
        <v>649738</v>
      </c>
      <c r="B165" t="s">
        <v>417</v>
      </c>
      <c r="C165" t="s">
        <v>418</v>
      </c>
      <c r="D165" t="s">
        <v>52</v>
      </c>
      <c r="E165" t="s">
        <v>11</v>
      </c>
      <c r="G165" t="str">
        <f>HYPERLINK(_xlfn.CONCAT("https://tablet.otzar.org/",CHAR(35),"/book/649738/p/-1/t/1/fs/0/start/0/end/0/c"),"אור ההלכה")</f>
        <v>אור ההלכה</v>
      </c>
      <c r="H165" t="str">
        <f>_xlfn.CONCAT("https://tablet.otzar.org/",CHAR(35),"/book/649738/p/-1/t/1/fs/0/start/0/end/0/c")</f>
        <v>https://tablet.otzar.org/#/book/649738/p/-1/t/1/fs/0/start/0/end/0/c</v>
      </c>
    </row>
    <row r="166" spans="1:8" x14ac:dyDescent="0.25">
      <c r="A166">
        <v>650552</v>
      </c>
      <c r="B166" t="s">
        <v>419</v>
      </c>
      <c r="C166" t="s">
        <v>93</v>
      </c>
      <c r="D166" t="s">
        <v>52</v>
      </c>
      <c r="E166" t="s">
        <v>11</v>
      </c>
      <c r="G166" t="str">
        <f>HYPERLINK(_xlfn.CONCAT("https://tablet.otzar.org/",CHAR(35),"/book/650552/p/-1/t/1/fs/0/start/0/end/0/c"),"אור ההלכה - א")</f>
        <v>אור ההלכה - א</v>
      </c>
      <c r="H166" t="str">
        <f>_xlfn.CONCAT("https://tablet.otzar.org/",CHAR(35),"/book/650552/p/-1/t/1/fs/0/start/0/end/0/c")</f>
        <v>https://tablet.otzar.org/#/book/650552/p/-1/t/1/fs/0/start/0/end/0/c</v>
      </c>
    </row>
    <row r="167" spans="1:8" x14ac:dyDescent="0.25">
      <c r="A167">
        <v>649214</v>
      </c>
      <c r="B167" t="s">
        <v>420</v>
      </c>
      <c r="C167" t="s">
        <v>421</v>
      </c>
      <c r="D167" t="s">
        <v>340</v>
      </c>
      <c r="E167" t="s">
        <v>11</v>
      </c>
      <c r="G167" t="str">
        <f>HYPERLINK(_xlfn.CONCAT("https://tablet.otzar.org/",CHAR(35),"/book/649214/p/-1/t/1/fs/0/start/0/end/0/c"),"אור ההשגחה")</f>
        <v>אור ההשגחה</v>
      </c>
      <c r="H167" t="str">
        <f>_xlfn.CONCAT("https://tablet.otzar.org/",CHAR(35),"/book/649214/p/-1/t/1/fs/0/start/0/end/0/c")</f>
        <v>https://tablet.otzar.org/#/book/649214/p/-1/t/1/fs/0/start/0/end/0/c</v>
      </c>
    </row>
    <row r="168" spans="1:8" x14ac:dyDescent="0.25">
      <c r="A168">
        <v>648925</v>
      </c>
      <c r="B168" t="s">
        <v>422</v>
      </c>
      <c r="C168" t="s">
        <v>423</v>
      </c>
      <c r="D168" t="s">
        <v>424</v>
      </c>
      <c r="E168" t="s">
        <v>425</v>
      </c>
      <c r="G168" t="str">
        <f>HYPERLINK(_xlfn.CONCAT("https://tablet.otzar.org/",CHAR(35),"/book/648925/p/-1/t/1/fs/0/start/0/end/0/c"),"אור החוזר - קהלת")</f>
        <v>אור החוזר - קהלת</v>
      </c>
      <c r="H168" t="str">
        <f>_xlfn.CONCAT("https://tablet.otzar.org/",CHAR(35),"/book/648925/p/-1/t/1/fs/0/start/0/end/0/c")</f>
        <v>https://tablet.otzar.org/#/book/648925/p/-1/t/1/fs/0/start/0/end/0/c</v>
      </c>
    </row>
    <row r="169" spans="1:8" x14ac:dyDescent="0.25">
      <c r="A169">
        <v>655755</v>
      </c>
      <c r="B169" t="s">
        <v>426</v>
      </c>
      <c r="C169" t="s">
        <v>427</v>
      </c>
      <c r="D169" t="s">
        <v>10</v>
      </c>
      <c r="E169" t="s">
        <v>35</v>
      </c>
      <c r="G169" t="str">
        <f>HYPERLINK(_xlfn.CONCAT("https://tablet.otzar.org/",CHAR(35),"/book/655755/p/-1/t/1/fs/0/start/0/end/0/c"),"אור החיים (ליקוטים) - שבת ומועדים")</f>
        <v>אור החיים (ליקוטים) - שבת ומועדים</v>
      </c>
      <c r="H169" t="str">
        <f>_xlfn.CONCAT("https://tablet.otzar.org/",CHAR(35),"/book/655755/p/-1/t/1/fs/0/start/0/end/0/c")</f>
        <v>https://tablet.otzar.org/#/book/655755/p/-1/t/1/fs/0/start/0/end/0/c</v>
      </c>
    </row>
    <row r="170" spans="1:8" x14ac:dyDescent="0.25">
      <c r="A170">
        <v>650779</v>
      </c>
      <c r="B170" t="s">
        <v>428</v>
      </c>
      <c r="C170" t="s">
        <v>429</v>
      </c>
      <c r="D170" t="s">
        <v>10</v>
      </c>
      <c r="E170" t="s">
        <v>45</v>
      </c>
      <c r="G170" t="str">
        <f>HYPERLINK(_xlfn.CONCAT("https://tablet.otzar.org/",CHAR(35),"/book/650779/p/-1/t/1/fs/0/start/0/end/0/c"),"אור הישר - בראשית")</f>
        <v>אור הישר - בראשית</v>
      </c>
      <c r="H170" t="str">
        <f>_xlfn.CONCAT("https://tablet.otzar.org/",CHAR(35),"/book/650779/p/-1/t/1/fs/0/start/0/end/0/c")</f>
        <v>https://tablet.otzar.org/#/book/650779/p/-1/t/1/fs/0/start/0/end/0/c</v>
      </c>
    </row>
    <row r="171" spans="1:8" x14ac:dyDescent="0.25">
      <c r="A171">
        <v>649412</v>
      </c>
      <c r="B171" t="s">
        <v>430</v>
      </c>
      <c r="C171" t="s">
        <v>431</v>
      </c>
      <c r="D171" t="s">
        <v>432</v>
      </c>
      <c r="E171" t="s">
        <v>35</v>
      </c>
      <c r="G171" t="str">
        <f>HYPERLINK(_xlfn.CONCAT("https://tablet.otzar.org/",CHAR(35),"/book/649412/p/-1/t/1/fs/0/start/0/end/0/c"),"אור הכוזרי - א")</f>
        <v>אור הכוזרי - א</v>
      </c>
      <c r="H171" t="str">
        <f>_xlfn.CONCAT("https://tablet.otzar.org/",CHAR(35),"/book/649412/p/-1/t/1/fs/0/start/0/end/0/c")</f>
        <v>https://tablet.otzar.org/#/book/649412/p/-1/t/1/fs/0/start/0/end/0/c</v>
      </c>
    </row>
    <row r="172" spans="1:8" x14ac:dyDescent="0.25">
      <c r="A172">
        <v>642130</v>
      </c>
      <c r="B172" t="s">
        <v>433</v>
      </c>
      <c r="C172" t="s">
        <v>434</v>
      </c>
      <c r="E172" t="s">
        <v>435</v>
      </c>
      <c r="G172" t="str">
        <f>HYPERLINK(_xlfn.CONCAT("https://tablet.otzar.org/",CHAR(35),"/book/642130/p/-1/t/1/fs/0/start/0/end/0/c"),"אור המאיר")</f>
        <v>אור המאיר</v>
      </c>
      <c r="H172" t="str">
        <f>_xlfn.CONCAT("https://tablet.otzar.org/",CHAR(35),"/book/642130/p/-1/t/1/fs/0/start/0/end/0/c")</f>
        <v>https://tablet.otzar.org/#/book/642130/p/-1/t/1/fs/0/start/0/end/0/c</v>
      </c>
    </row>
    <row r="173" spans="1:8" x14ac:dyDescent="0.25">
      <c r="A173">
        <v>649796</v>
      </c>
      <c r="B173" t="s">
        <v>436</v>
      </c>
      <c r="C173" t="s">
        <v>437</v>
      </c>
      <c r="D173" t="s">
        <v>10</v>
      </c>
      <c r="E173" t="s">
        <v>237</v>
      </c>
      <c r="G173" t="str">
        <f>HYPERLINK(_xlfn.CONCAT("https://tablet.otzar.org/",CHAR(35),"/book/649796/p/-1/t/1/fs/0/start/0/end/0/c"),"אור המאיר - קידושין")</f>
        <v>אור המאיר - קידושין</v>
      </c>
      <c r="H173" t="str">
        <f>_xlfn.CONCAT("https://tablet.otzar.org/",CHAR(35),"/book/649796/p/-1/t/1/fs/0/start/0/end/0/c")</f>
        <v>https://tablet.otzar.org/#/book/649796/p/-1/t/1/fs/0/start/0/end/0/c</v>
      </c>
    </row>
    <row r="174" spans="1:8" x14ac:dyDescent="0.25">
      <c r="A174">
        <v>647461</v>
      </c>
      <c r="B174" t="s">
        <v>438</v>
      </c>
      <c r="C174" t="s">
        <v>439</v>
      </c>
      <c r="D174" t="s">
        <v>440</v>
      </c>
      <c r="E174" t="s">
        <v>25</v>
      </c>
      <c r="G174" t="str">
        <f>HYPERLINK(_xlfn.CONCAT("https://tablet.otzar.org/",CHAR(35),"/book/647461/p/-1/t/1/fs/0/start/0/end/0/c"),"אור המזרח - מב ב")</f>
        <v>אור המזרח - מב ב</v>
      </c>
      <c r="H174" t="str">
        <f>_xlfn.CONCAT("https://tablet.otzar.org/",CHAR(35),"/book/647461/p/-1/t/1/fs/0/start/0/end/0/c")</f>
        <v>https://tablet.otzar.org/#/book/647461/p/-1/t/1/fs/0/start/0/end/0/c</v>
      </c>
    </row>
    <row r="175" spans="1:8" x14ac:dyDescent="0.25">
      <c r="A175">
        <v>649038</v>
      </c>
      <c r="B175" t="s">
        <v>441</v>
      </c>
      <c r="C175" t="s">
        <v>442</v>
      </c>
      <c r="D175" t="s">
        <v>10</v>
      </c>
      <c r="E175" t="s">
        <v>84</v>
      </c>
      <c r="G175" t="str">
        <f>HYPERLINK(_xlfn.CONCAT("https://tablet.otzar.org/",CHAR(35),"/exKotar/649038"),"אור המערב - 6 כרכים")</f>
        <v>אור המערב - 6 כרכים</v>
      </c>
      <c r="H175" t="str">
        <f>_xlfn.CONCAT("https://tablet.otzar.org/",CHAR(35),"/exKotar/649038")</f>
        <v>https://tablet.otzar.org/#/exKotar/649038</v>
      </c>
    </row>
    <row r="176" spans="1:8" x14ac:dyDescent="0.25">
      <c r="A176">
        <v>647278</v>
      </c>
      <c r="B176" t="s">
        <v>443</v>
      </c>
      <c r="C176" t="s">
        <v>444</v>
      </c>
      <c r="D176" t="s">
        <v>10</v>
      </c>
      <c r="E176" t="s">
        <v>224</v>
      </c>
      <c r="G176" t="str">
        <f>HYPERLINK(_xlfn.CONCAT("https://tablet.otzar.org/",CHAR(35),"/book/647278/p/-1/t/1/fs/0/start/0/end/0/c"),"אור הנר")</f>
        <v>אור הנר</v>
      </c>
      <c r="H176" t="str">
        <f>_xlfn.CONCAT("https://tablet.otzar.org/",CHAR(35),"/book/647278/p/-1/t/1/fs/0/start/0/end/0/c")</f>
        <v>https://tablet.otzar.org/#/book/647278/p/-1/t/1/fs/0/start/0/end/0/c</v>
      </c>
    </row>
    <row r="177" spans="1:8" x14ac:dyDescent="0.25">
      <c r="A177">
        <v>647409</v>
      </c>
      <c r="B177" t="s">
        <v>445</v>
      </c>
      <c r="C177" t="s">
        <v>446</v>
      </c>
      <c r="D177" t="s">
        <v>52</v>
      </c>
      <c r="E177" t="s">
        <v>117</v>
      </c>
      <c r="G177" t="str">
        <f>HYPERLINK(_xlfn.CONCAT("https://tablet.otzar.org/",CHAR(35),"/book/647409/p/-1/t/1/fs/0/start/0/end/0/c"),"אור הסת""""ם")</f>
        <v>אור הסת""ם</v>
      </c>
      <c r="H177" t="str">
        <f>_xlfn.CONCAT("https://tablet.otzar.org/",CHAR(35),"/book/647409/p/-1/t/1/fs/0/start/0/end/0/c")</f>
        <v>https://tablet.otzar.org/#/book/647409/p/-1/t/1/fs/0/start/0/end/0/c</v>
      </c>
    </row>
    <row r="178" spans="1:8" x14ac:dyDescent="0.25">
      <c r="A178">
        <v>639963</v>
      </c>
      <c r="B178" t="s">
        <v>447</v>
      </c>
      <c r="C178" t="s">
        <v>448</v>
      </c>
      <c r="D178" t="s">
        <v>10</v>
      </c>
      <c r="E178" t="s">
        <v>89</v>
      </c>
      <c r="G178" t="str">
        <f>HYPERLINK(_xlfn.CONCAT("https://tablet.otzar.org/",CHAR(35),"/exKotar/639963"),"אור הצפון - 21 כרכים")</f>
        <v>אור הצפון - 21 כרכים</v>
      </c>
      <c r="H178" t="str">
        <f>_xlfn.CONCAT("https://tablet.otzar.org/",CHAR(35),"/exKotar/639963")</f>
        <v>https://tablet.otzar.org/#/exKotar/639963</v>
      </c>
    </row>
    <row r="179" spans="1:8" x14ac:dyDescent="0.25">
      <c r="A179">
        <v>655816</v>
      </c>
      <c r="B179" t="s">
        <v>449</v>
      </c>
      <c r="C179" t="s">
        <v>450</v>
      </c>
      <c r="D179" t="s">
        <v>52</v>
      </c>
      <c r="E179" t="s">
        <v>11</v>
      </c>
      <c r="G179" t="str">
        <f>HYPERLINK(_xlfn.CONCAT("https://tablet.otzar.org/",CHAR(35),"/book/655816/p/-1/t/1/fs/0/start/0/end/0/c"),"אור הצפון  שיעורא דתלמודא")</f>
        <v>אור הצפון  שיעורא דתלמודא</v>
      </c>
      <c r="H179" t="str">
        <f>_xlfn.CONCAT("https://tablet.otzar.org/",CHAR(35),"/book/655816/p/-1/t/1/fs/0/start/0/end/0/c")</f>
        <v>https://tablet.otzar.org/#/book/655816/p/-1/t/1/fs/0/start/0/end/0/c</v>
      </c>
    </row>
    <row r="180" spans="1:8" x14ac:dyDescent="0.25">
      <c r="A180">
        <v>651663</v>
      </c>
      <c r="B180" t="s">
        <v>451</v>
      </c>
      <c r="C180" t="s">
        <v>452</v>
      </c>
      <c r="D180" t="s">
        <v>52</v>
      </c>
      <c r="E180" t="s">
        <v>11</v>
      </c>
      <c r="G180" t="str">
        <f>HYPERLINK(_xlfn.CONCAT("https://tablet.otzar.org/",CHAR(35),"/book/651663/p/-1/t/1/fs/0/start/0/end/0/c"),"אור השבת")</f>
        <v>אור השבת</v>
      </c>
      <c r="H180" t="str">
        <f>_xlfn.CONCAT("https://tablet.otzar.org/",CHAR(35),"/book/651663/p/-1/t/1/fs/0/start/0/end/0/c")</f>
        <v>https://tablet.otzar.org/#/book/651663/p/-1/t/1/fs/0/start/0/end/0/c</v>
      </c>
    </row>
    <row r="181" spans="1:8" x14ac:dyDescent="0.25">
      <c r="A181">
        <v>647607</v>
      </c>
      <c r="B181" t="s">
        <v>453</v>
      </c>
      <c r="C181" t="s">
        <v>382</v>
      </c>
      <c r="E181" t="s">
        <v>45</v>
      </c>
      <c r="G181" t="str">
        <f>HYPERLINK(_xlfn.CONCAT("https://tablet.otzar.org/",CHAR(35),"/book/647607/p/-1/t/1/fs/0/start/0/end/0/c"),"אור השבת - לא")</f>
        <v>אור השבת - לא</v>
      </c>
      <c r="H181" t="str">
        <f>_xlfn.CONCAT("https://tablet.otzar.org/",CHAR(35),"/book/647607/p/-1/t/1/fs/0/start/0/end/0/c")</f>
        <v>https://tablet.otzar.org/#/book/647607/p/-1/t/1/fs/0/start/0/end/0/c</v>
      </c>
    </row>
    <row r="182" spans="1:8" x14ac:dyDescent="0.25">
      <c r="A182">
        <v>648780</v>
      </c>
      <c r="B182" t="s">
        <v>454</v>
      </c>
      <c r="C182" t="s">
        <v>455</v>
      </c>
      <c r="D182" t="s">
        <v>52</v>
      </c>
      <c r="E182" t="s">
        <v>11</v>
      </c>
      <c r="G182" t="str">
        <f>HYPERLINK(_xlfn.CONCAT("https://tablet.otzar.org/",CHAR(35),"/book/648780/p/-1/t/1/fs/0/start/0/end/0/c"),"אור התהילה")</f>
        <v>אור התהילה</v>
      </c>
      <c r="H182" t="str">
        <f>_xlfn.CONCAT("https://tablet.otzar.org/",CHAR(35),"/book/648780/p/-1/t/1/fs/0/start/0/end/0/c")</f>
        <v>https://tablet.otzar.org/#/book/648780/p/-1/t/1/fs/0/start/0/end/0/c</v>
      </c>
    </row>
    <row r="183" spans="1:8" x14ac:dyDescent="0.25">
      <c r="A183">
        <v>649902</v>
      </c>
      <c r="B183" t="s">
        <v>456</v>
      </c>
      <c r="C183" t="s">
        <v>457</v>
      </c>
      <c r="D183" t="s">
        <v>34</v>
      </c>
      <c r="E183" t="s">
        <v>11</v>
      </c>
      <c r="G183" t="str">
        <f>HYPERLINK(_xlfn.CONCAT("https://tablet.otzar.org/",CHAR(35),"/book/649902/p/-1/t/1/fs/0/start/0/end/0/c"),"אור התורה")</f>
        <v>אור התורה</v>
      </c>
      <c r="H183" t="str">
        <f>_xlfn.CONCAT("https://tablet.otzar.org/",CHAR(35),"/book/649902/p/-1/t/1/fs/0/start/0/end/0/c")</f>
        <v>https://tablet.otzar.org/#/book/649902/p/-1/t/1/fs/0/start/0/end/0/c</v>
      </c>
    </row>
    <row r="184" spans="1:8" x14ac:dyDescent="0.25">
      <c r="A184">
        <v>650780</v>
      </c>
      <c r="B184" t="s">
        <v>456</v>
      </c>
      <c r="C184" t="s">
        <v>458</v>
      </c>
      <c r="D184" t="s">
        <v>10</v>
      </c>
      <c r="E184" t="s">
        <v>45</v>
      </c>
      <c r="G184" t="str">
        <f>HYPERLINK(_xlfn.CONCAT("https://tablet.otzar.org/",CHAR(35),"/book/650780/p/-1/t/1/fs/0/start/0/end/0/c"),"אור התורה")</f>
        <v>אור התורה</v>
      </c>
      <c r="H184" t="str">
        <f>_xlfn.CONCAT("https://tablet.otzar.org/",CHAR(35),"/book/650780/p/-1/t/1/fs/0/start/0/end/0/c")</f>
        <v>https://tablet.otzar.org/#/book/650780/p/-1/t/1/fs/0/start/0/end/0/c</v>
      </c>
    </row>
    <row r="185" spans="1:8" x14ac:dyDescent="0.25">
      <c r="A185">
        <v>647252</v>
      </c>
      <c r="B185" t="s">
        <v>459</v>
      </c>
      <c r="C185" t="s">
        <v>460</v>
      </c>
      <c r="D185" t="s">
        <v>10</v>
      </c>
      <c r="E185" t="s">
        <v>70</v>
      </c>
      <c r="G185" t="str">
        <f>HYPERLINK(_xlfn.CONCAT("https://tablet.otzar.org/",CHAR(35),"/exKotar/647252"),"אור התחיה - 2 כרכים")</f>
        <v>אור התחיה - 2 כרכים</v>
      </c>
      <c r="H185" t="str">
        <f>_xlfn.CONCAT("https://tablet.otzar.org/",CHAR(35),"/exKotar/647252")</f>
        <v>https://tablet.otzar.org/#/exKotar/647252</v>
      </c>
    </row>
    <row r="186" spans="1:8" x14ac:dyDescent="0.25">
      <c r="A186">
        <v>650249</v>
      </c>
      <c r="B186" t="s">
        <v>461</v>
      </c>
      <c r="C186" t="s">
        <v>462</v>
      </c>
      <c r="D186" t="s">
        <v>463</v>
      </c>
      <c r="E186" t="s">
        <v>11</v>
      </c>
      <c r="G186" t="str">
        <f>HYPERLINK(_xlfn.CONCAT("https://tablet.otzar.org/",CHAR(35),"/book/650249/p/-1/t/1/fs/0/start/0/end/0/c"),"אור התפילה - ח")</f>
        <v>אור התפילה - ח</v>
      </c>
      <c r="H186" t="str">
        <f>_xlfn.CONCAT("https://tablet.otzar.org/",CHAR(35),"/book/650249/p/-1/t/1/fs/0/start/0/end/0/c")</f>
        <v>https://tablet.otzar.org/#/book/650249/p/-1/t/1/fs/0/start/0/end/0/c</v>
      </c>
    </row>
    <row r="187" spans="1:8" x14ac:dyDescent="0.25">
      <c r="A187">
        <v>651982</v>
      </c>
      <c r="B187" t="s">
        <v>464</v>
      </c>
      <c r="C187" t="s">
        <v>465</v>
      </c>
      <c r="E187" t="s">
        <v>35</v>
      </c>
      <c r="G187" t="str">
        <f>HYPERLINK(_xlfn.CONCAT("https://tablet.otzar.org/",CHAR(35),"/exKotar/651982"),"אור וחיות - 2 כרכים")</f>
        <v>אור וחיות - 2 כרכים</v>
      </c>
      <c r="H187" t="str">
        <f>_xlfn.CONCAT("https://tablet.otzar.org/",CHAR(35),"/exKotar/651982")</f>
        <v>https://tablet.otzar.org/#/exKotar/651982</v>
      </c>
    </row>
    <row r="188" spans="1:8" x14ac:dyDescent="0.25">
      <c r="A188">
        <v>651585</v>
      </c>
      <c r="B188" t="s">
        <v>466</v>
      </c>
      <c r="C188" t="s">
        <v>467</v>
      </c>
      <c r="D188" t="s">
        <v>10</v>
      </c>
      <c r="E188" t="s">
        <v>11</v>
      </c>
      <c r="G188" t="str">
        <f>HYPERLINK(_xlfn.CONCAT("https://tablet.otzar.org/",CHAR(35),"/book/651585/p/-1/t/1/fs/0/start/0/end/0/c"),"אור זרוע שבת &lt;ביאורים ובירורים&gt;")</f>
        <v>אור זרוע שבת &lt;ביאורים ובירורים&gt;</v>
      </c>
      <c r="H188" t="str">
        <f>_xlfn.CONCAT("https://tablet.otzar.org/",CHAR(35),"/book/651585/p/-1/t/1/fs/0/start/0/end/0/c")</f>
        <v>https://tablet.otzar.org/#/book/651585/p/-1/t/1/fs/0/start/0/end/0/c</v>
      </c>
    </row>
    <row r="189" spans="1:8" x14ac:dyDescent="0.25">
      <c r="A189">
        <v>647881</v>
      </c>
      <c r="B189" t="s">
        <v>468</v>
      </c>
      <c r="C189" t="s">
        <v>469</v>
      </c>
      <c r="D189" t="s">
        <v>52</v>
      </c>
      <c r="E189" t="s">
        <v>11</v>
      </c>
      <c r="G189" t="str">
        <f>HYPERLINK(_xlfn.CONCAT("https://tablet.otzar.org/",CHAR(35),"/book/647881/p/-1/t/1/fs/0/start/0/end/0/c"),"אור חדש")</f>
        <v>אור חדש</v>
      </c>
      <c r="H189" t="str">
        <f>_xlfn.CONCAT("https://tablet.otzar.org/",CHAR(35),"/book/647881/p/-1/t/1/fs/0/start/0/end/0/c")</f>
        <v>https://tablet.otzar.org/#/book/647881/p/-1/t/1/fs/0/start/0/end/0/c</v>
      </c>
    </row>
    <row r="190" spans="1:8" x14ac:dyDescent="0.25">
      <c r="A190">
        <v>650525</v>
      </c>
      <c r="B190" t="s">
        <v>470</v>
      </c>
      <c r="C190" t="s">
        <v>471</v>
      </c>
      <c r="D190" t="s">
        <v>472</v>
      </c>
      <c r="E190" t="s">
        <v>473</v>
      </c>
      <c r="G190" t="str">
        <f>HYPERLINK(_xlfn.CONCAT("https://tablet.otzar.org/",CHAR(35),"/book/650525/p/-1/t/1/fs/0/start/0/end/0/c"),"אור חזון")</f>
        <v>אור חזון</v>
      </c>
      <c r="H190" t="str">
        <f>_xlfn.CONCAT("https://tablet.otzar.org/",CHAR(35),"/book/650525/p/-1/t/1/fs/0/start/0/end/0/c")</f>
        <v>https://tablet.otzar.org/#/book/650525/p/-1/t/1/fs/0/start/0/end/0/c</v>
      </c>
    </row>
    <row r="191" spans="1:8" x14ac:dyDescent="0.25">
      <c r="A191">
        <v>647783</v>
      </c>
      <c r="B191" t="s">
        <v>474</v>
      </c>
      <c r="C191" t="s">
        <v>475</v>
      </c>
      <c r="D191" t="s">
        <v>10</v>
      </c>
      <c r="E191" t="s">
        <v>84</v>
      </c>
      <c r="G191" t="str">
        <f>HYPERLINK(_xlfn.CONCAT("https://tablet.otzar.org/",CHAR(35),"/exKotar/647783"),"אור חיים - 2 כרכים")</f>
        <v>אור חיים - 2 כרכים</v>
      </c>
      <c r="H191" t="str">
        <f>_xlfn.CONCAT("https://tablet.otzar.org/",CHAR(35),"/exKotar/647783")</f>
        <v>https://tablet.otzar.org/#/exKotar/647783</v>
      </c>
    </row>
    <row r="192" spans="1:8" x14ac:dyDescent="0.25">
      <c r="A192">
        <v>650782</v>
      </c>
      <c r="B192" t="s">
        <v>476</v>
      </c>
      <c r="C192" t="s">
        <v>477</v>
      </c>
      <c r="D192" t="s">
        <v>193</v>
      </c>
      <c r="E192" t="s">
        <v>117</v>
      </c>
      <c r="G192" t="str">
        <f>HYPERLINK(_xlfn.CONCAT("https://tablet.otzar.org/",CHAR(35),"/book/650782/p/-1/t/1/fs/0/start/0/end/0/c"),"אור חיינו")</f>
        <v>אור חיינו</v>
      </c>
      <c r="H192" t="str">
        <f>_xlfn.CONCAT("https://tablet.otzar.org/",CHAR(35),"/book/650782/p/-1/t/1/fs/0/start/0/end/0/c")</f>
        <v>https://tablet.otzar.org/#/book/650782/p/-1/t/1/fs/0/start/0/end/0/c</v>
      </c>
    </row>
    <row r="193" spans="1:8" x14ac:dyDescent="0.25">
      <c r="A193">
        <v>650177</v>
      </c>
      <c r="B193" t="s">
        <v>478</v>
      </c>
      <c r="C193" t="s">
        <v>479</v>
      </c>
      <c r="D193" t="s">
        <v>10</v>
      </c>
      <c r="E193" t="s">
        <v>224</v>
      </c>
      <c r="G193" t="str">
        <f>HYPERLINK(_xlfn.CONCAT("https://tablet.otzar.org/",CHAR(35),"/book/650177/p/-1/t/1/fs/0/start/0/end/0/c"),"אור יהושע")</f>
        <v>אור יהושע</v>
      </c>
      <c r="H193" t="str">
        <f>_xlfn.CONCAT("https://tablet.otzar.org/",CHAR(35),"/book/650177/p/-1/t/1/fs/0/start/0/end/0/c")</f>
        <v>https://tablet.otzar.org/#/book/650177/p/-1/t/1/fs/0/start/0/end/0/c</v>
      </c>
    </row>
    <row r="194" spans="1:8" x14ac:dyDescent="0.25">
      <c r="A194">
        <v>643126</v>
      </c>
      <c r="B194" t="s">
        <v>480</v>
      </c>
      <c r="C194" t="s">
        <v>382</v>
      </c>
      <c r="E194" t="s">
        <v>237</v>
      </c>
      <c r="G194" t="str">
        <f>HYPERLINK(_xlfn.CONCAT("https://tablet.otzar.org/",CHAR(35),"/book/643126/p/-1/t/1/fs/0/start/0/end/0/c"),"אור ישראל &lt;מאנסי&gt; - כט (שנה ח א)")</f>
        <v>אור ישראל &lt;מאנסי&gt; - כט (שנה ח א)</v>
      </c>
      <c r="H194" t="str">
        <f>_xlfn.CONCAT("https://tablet.otzar.org/",CHAR(35),"/book/643126/p/-1/t/1/fs/0/start/0/end/0/c")</f>
        <v>https://tablet.otzar.org/#/book/643126/p/-1/t/1/fs/0/start/0/end/0/c</v>
      </c>
    </row>
    <row r="195" spans="1:8" x14ac:dyDescent="0.25">
      <c r="A195">
        <v>651928</v>
      </c>
      <c r="B195" t="s">
        <v>481</v>
      </c>
      <c r="C195" t="s">
        <v>482</v>
      </c>
      <c r="D195" t="s">
        <v>10</v>
      </c>
      <c r="E195" t="s">
        <v>11</v>
      </c>
      <c r="G195" t="str">
        <f>HYPERLINK(_xlfn.CONCAT("https://tablet.otzar.org/",CHAR(35),"/book/651928/p/-1/t/1/fs/0/start/0/end/0/c"),"אור ישראל &lt;שו""""ת&gt; - הלכות שמחות")</f>
        <v>אור ישראל &lt;שו""ת&gt; - הלכות שמחות</v>
      </c>
      <c r="H195" t="str">
        <f>_xlfn.CONCAT("https://tablet.otzar.org/",CHAR(35),"/book/651928/p/-1/t/1/fs/0/start/0/end/0/c")</f>
        <v>https://tablet.otzar.org/#/book/651928/p/-1/t/1/fs/0/start/0/end/0/c</v>
      </c>
    </row>
    <row r="196" spans="1:8" x14ac:dyDescent="0.25">
      <c r="A196">
        <v>654115</v>
      </c>
      <c r="B196" t="s">
        <v>483</v>
      </c>
      <c r="C196" t="s">
        <v>413</v>
      </c>
      <c r="D196" t="s">
        <v>10</v>
      </c>
      <c r="E196" t="s">
        <v>45</v>
      </c>
      <c r="G196" t="str">
        <f>HYPERLINK(_xlfn.CONCAT("https://tablet.otzar.org/",CHAR(35),"/book/654115/p/-1/t/1/fs/0/start/0/end/0/c"),"אור ליהודים")</f>
        <v>אור ליהודים</v>
      </c>
      <c r="H196" t="str">
        <f>_xlfn.CONCAT("https://tablet.otzar.org/",CHAR(35),"/book/654115/p/-1/t/1/fs/0/start/0/end/0/c")</f>
        <v>https://tablet.otzar.org/#/book/654115/p/-1/t/1/fs/0/start/0/end/0/c</v>
      </c>
    </row>
    <row r="197" spans="1:8" x14ac:dyDescent="0.25">
      <c r="A197">
        <v>648464</v>
      </c>
      <c r="B197" t="s">
        <v>484</v>
      </c>
      <c r="C197" t="s">
        <v>485</v>
      </c>
      <c r="D197" t="s">
        <v>486</v>
      </c>
      <c r="E197" t="s">
        <v>487</v>
      </c>
      <c r="G197" t="str">
        <f>HYPERLINK(_xlfn.CONCAT("https://tablet.otzar.org/",CHAR(35),"/book/648464/p/-1/t/1/fs/0/start/0/end/0/c"),"אור לישרים - ב")</f>
        <v>אור לישרים - ב</v>
      </c>
      <c r="H197" t="str">
        <f>_xlfn.CONCAT("https://tablet.otzar.org/",CHAR(35),"/book/648464/p/-1/t/1/fs/0/start/0/end/0/c")</f>
        <v>https://tablet.otzar.org/#/book/648464/p/-1/t/1/fs/0/start/0/end/0/c</v>
      </c>
    </row>
    <row r="198" spans="1:8" x14ac:dyDescent="0.25">
      <c r="A198">
        <v>644032</v>
      </c>
      <c r="B198" t="s">
        <v>484</v>
      </c>
      <c r="C198" t="s">
        <v>488</v>
      </c>
      <c r="E198" t="s">
        <v>213</v>
      </c>
      <c r="G198" t="str">
        <f>HYPERLINK(_xlfn.CONCAT("https://tablet.otzar.org/",CHAR(35),"/book/644032/p/-1/t/1/fs/0/start/0/end/0/c"),"אור לישרים - ב")</f>
        <v>אור לישרים - ב</v>
      </c>
      <c r="H198" t="str">
        <f>_xlfn.CONCAT("https://tablet.otzar.org/",CHAR(35),"/book/644032/p/-1/t/1/fs/0/start/0/end/0/c")</f>
        <v>https://tablet.otzar.org/#/book/644032/p/-1/t/1/fs/0/start/0/end/0/c</v>
      </c>
    </row>
    <row r="199" spans="1:8" x14ac:dyDescent="0.25">
      <c r="A199">
        <v>652903</v>
      </c>
      <c r="B199" t="s">
        <v>489</v>
      </c>
      <c r="C199" t="s">
        <v>490</v>
      </c>
      <c r="E199" t="s">
        <v>73</v>
      </c>
      <c r="G199" t="str">
        <f>HYPERLINK(_xlfn.CONCAT("https://tablet.otzar.org/",CHAR(35),"/book/652903/p/-1/t/1/fs/0/start/0/end/0/c"),"אור לנתיבתי - פרקי שירה")</f>
        <v>אור לנתיבתי - פרקי שירה</v>
      </c>
      <c r="H199" t="str">
        <f>_xlfn.CONCAT("https://tablet.otzar.org/",CHAR(35),"/book/652903/p/-1/t/1/fs/0/start/0/end/0/c")</f>
        <v>https://tablet.otzar.org/#/book/652903/p/-1/t/1/fs/0/start/0/end/0/c</v>
      </c>
    </row>
    <row r="200" spans="1:8" x14ac:dyDescent="0.25">
      <c r="A200">
        <v>653355</v>
      </c>
      <c r="B200" t="s">
        <v>491</v>
      </c>
      <c r="C200" t="s">
        <v>492</v>
      </c>
      <c r="D200" t="s">
        <v>10</v>
      </c>
      <c r="E200" t="s">
        <v>337</v>
      </c>
      <c r="G200" t="str">
        <f>HYPERLINK(_xlfn.CONCAT("https://tablet.otzar.org/",CHAR(35),"/book/653355/p/-1/t/1/fs/0/start/0/end/0/c"),"אור מאיר - א")</f>
        <v>אור מאיר - א</v>
      </c>
      <c r="H200" t="str">
        <f>_xlfn.CONCAT("https://tablet.otzar.org/",CHAR(35),"/book/653355/p/-1/t/1/fs/0/start/0/end/0/c")</f>
        <v>https://tablet.otzar.org/#/book/653355/p/-1/t/1/fs/0/start/0/end/0/c</v>
      </c>
    </row>
    <row r="201" spans="1:8" x14ac:dyDescent="0.25">
      <c r="A201">
        <v>651732</v>
      </c>
      <c r="B201" t="s">
        <v>493</v>
      </c>
      <c r="C201" t="s">
        <v>494</v>
      </c>
      <c r="D201" t="s">
        <v>212</v>
      </c>
      <c r="E201" t="s">
        <v>495</v>
      </c>
      <c r="G201" t="str">
        <f>HYPERLINK(_xlfn.CONCAT("https://tablet.otzar.org/",CHAR(35),"/exKotar/651732"),"אור מאיר - 3 כרכים")</f>
        <v>אור מאיר - 3 כרכים</v>
      </c>
      <c r="H201" t="str">
        <f>_xlfn.CONCAT("https://tablet.otzar.org/",CHAR(35),"/exKotar/651732")</f>
        <v>https://tablet.otzar.org/#/exKotar/651732</v>
      </c>
    </row>
    <row r="202" spans="1:8" x14ac:dyDescent="0.25">
      <c r="A202">
        <v>651677</v>
      </c>
      <c r="B202" t="s">
        <v>496</v>
      </c>
      <c r="C202" t="s">
        <v>382</v>
      </c>
      <c r="D202" t="s">
        <v>52</v>
      </c>
      <c r="E202" t="s">
        <v>11</v>
      </c>
      <c r="G202" t="str">
        <f>HYPERLINK(_xlfn.CONCAT("https://tablet.otzar.org/",CHAR(35),"/book/651677/p/-1/t/1/fs/0/start/0/end/0/c"),"אור מרדכי - אדר ב תשפ""""ב")</f>
        <v>אור מרדכי - אדר ב תשפ""ב</v>
      </c>
      <c r="H202" t="str">
        <f>_xlfn.CONCAT("https://tablet.otzar.org/",CHAR(35),"/book/651677/p/-1/t/1/fs/0/start/0/end/0/c")</f>
        <v>https://tablet.otzar.org/#/book/651677/p/-1/t/1/fs/0/start/0/end/0/c</v>
      </c>
    </row>
    <row r="203" spans="1:8" x14ac:dyDescent="0.25">
      <c r="A203">
        <v>636887</v>
      </c>
      <c r="B203" t="s">
        <v>497</v>
      </c>
      <c r="C203" t="s">
        <v>498</v>
      </c>
      <c r="D203" t="s">
        <v>499</v>
      </c>
      <c r="E203" t="s">
        <v>500</v>
      </c>
      <c r="G203" t="str">
        <f>HYPERLINK(_xlfn.CONCAT("https://tablet.otzar.org/",CHAR(35),"/book/636887/p/-1/t/1/fs/0/start/0/end/0/c"),"אור מתוק - ד")</f>
        <v>אור מתוק - ד</v>
      </c>
      <c r="H203" t="str">
        <f>_xlfn.CONCAT("https://tablet.otzar.org/",CHAR(35),"/book/636887/p/-1/t/1/fs/0/start/0/end/0/c")</f>
        <v>https://tablet.otzar.org/#/book/636887/p/-1/t/1/fs/0/start/0/end/0/c</v>
      </c>
    </row>
    <row r="204" spans="1:8" x14ac:dyDescent="0.25">
      <c r="A204">
        <v>656820</v>
      </c>
      <c r="B204" t="s">
        <v>501</v>
      </c>
      <c r="C204" t="s">
        <v>502</v>
      </c>
      <c r="D204" t="s">
        <v>10</v>
      </c>
      <c r="E204" t="s">
        <v>402</v>
      </c>
      <c r="G204" t="str">
        <f>HYPERLINK(_xlfn.CONCAT("https://tablet.otzar.org/",CHAR(35),"/book/656820/p/-1/t/1/fs/0/start/0/end/0/c"),"אור עולם &lt;שו""""ת&gt; - א")</f>
        <v>אור עולם &lt;שו""ת&gt; - א</v>
      </c>
      <c r="H204" t="str">
        <f>_xlfn.CONCAT("https://tablet.otzar.org/",CHAR(35),"/book/656820/p/-1/t/1/fs/0/start/0/end/0/c")</f>
        <v>https://tablet.otzar.org/#/book/656820/p/-1/t/1/fs/0/start/0/end/0/c</v>
      </c>
    </row>
    <row r="205" spans="1:8" x14ac:dyDescent="0.25">
      <c r="A205">
        <v>650781</v>
      </c>
      <c r="B205" t="s">
        <v>503</v>
      </c>
      <c r="C205" t="s">
        <v>477</v>
      </c>
      <c r="D205" t="s">
        <v>287</v>
      </c>
      <c r="E205" t="s">
        <v>35</v>
      </c>
      <c r="G205" t="str">
        <f>HYPERLINK(_xlfn.CONCAT("https://tablet.otzar.org/",CHAR(35),"/book/650781/p/-1/t/1/fs/0/start/0/end/0/c"),"אור עולם")</f>
        <v>אור עולם</v>
      </c>
      <c r="H205" t="str">
        <f>_xlfn.CONCAT("https://tablet.otzar.org/",CHAR(35),"/book/650781/p/-1/t/1/fs/0/start/0/end/0/c")</f>
        <v>https://tablet.otzar.org/#/book/650781/p/-1/t/1/fs/0/start/0/end/0/c</v>
      </c>
    </row>
    <row r="206" spans="1:8" x14ac:dyDescent="0.25">
      <c r="A206">
        <v>654628</v>
      </c>
      <c r="B206" t="s">
        <v>504</v>
      </c>
      <c r="C206" t="s">
        <v>219</v>
      </c>
      <c r="D206" t="s">
        <v>10</v>
      </c>
      <c r="E206" t="s">
        <v>45</v>
      </c>
      <c r="G206" t="str">
        <f>HYPERLINK(_xlfn.CONCAT("https://tablet.otzar.org/",CHAR(35),"/exKotar/654628"),"אור עולם - 2 כרכים")</f>
        <v>אור עולם - 2 כרכים</v>
      </c>
      <c r="H206" t="str">
        <f>_xlfn.CONCAT("https://tablet.otzar.org/",CHAR(35),"/exKotar/654628")</f>
        <v>https://tablet.otzar.org/#/exKotar/654628</v>
      </c>
    </row>
    <row r="207" spans="1:8" x14ac:dyDescent="0.25">
      <c r="A207">
        <v>649357</v>
      </c>
      <c r="B207" t="s">
        <v>505</v>
      </c>
      <c r="C207" t="s">
        <v>506</v>
      </c>
      <c r="D207" t="s">
        <v>10</v>
      </c>
      <c r="E207" t="s">
        <v>507</v>
      </c>
      <c r="G207" t="str">
        <f>HYPERLINK(_xlfn.CONCAT("https://tablet.otzar.org/",CHAR(35),"/book/649357/p/-1/t/1/fs/0/start/0/end/0/c"),"אור על השבת")</f>
        <v>אור על השבת</v>
      </c>
      <c r="H207" t="str">
        <f>_xlfn.CONCAT("https://tablet.otzar.org/",CHAR(35),"/book/649357/p/-1/t/1/fs/0/start/0/end/0/c")</f>
        <v>https://tablet.otzar.org/#/book/649357/p/-1/t/1/fs/0/start/0/end/0/c</v>
      </c>
    </row>
    <row r="208" spans="1:8" x14ac:dyDescent="0.25">
      <c r="A208">
        <v>657123</v>
      </c>
      <c r="B208" t="s">
        <v>508</v>
      </c>
      <c r="C208" t="s">
        <v>509</v>
      </c>
      <c r="D208" t="s">
        <v>510</v>
      </c>
      <c r="E208" t="s">
        <v>11</v>
      </c>
      <c r="G208" t="str">
        <f>HYPERLINK(_xlfn.CONCAT("https://tablet.otzar.org/",CHAR(35),"/exKotar/657123"),"אור פני יהושע - 2 כרכים")</f>
        <v>אור פני יהושע - 2 כרכים</v>
      </c>
      <c r="H208" t="str">
        <f>_xlfn.CONCAT("https://tablet.otzar.org/",CHAR(35),"/exKotar/657123")</f>
        <v>https://tablet.otzar.org/#/exKotar/657123</v>
      </c>
    </row>
    <row r="209" spans="1:8" x14ac:dyDescent="0.25">
      <c r="A209">
        <v>641128</v>
      </c>
      <c r="B209" t="s">
        <v>511</v>
      </c>
      <c r="C209" t="s">
        <v>512</v>
      </c>
      <c r="D209" t="s">
        <v>513</v>
      </c>
      <c r="E209" t="s">
        <v>514</v>
      </c>
      <c r="G209" t="str">
        <f>HYPERLINK(_xlfn.CONCAT("https://tablet.otzar.org/",CHAR(35),"/book/641128/p/-1/t/1/fs/0/start/0/end/0/c"),"אור פני צדיקים")</f>
        <v>אור פני צדיקים</v>
      </c>
      <c r="H209" t="str">
        <f>_xlfn.CONCAT("https://tablet.otzar.org/",CHAR(35),"/book/641128/p/-1/t/1/fs/0/start/0/end/0/c")</f>
        <v>https://tablet.otzar.org/#/book/641128/p/-1/t/1/fs/0/start/0/end/0/c</v>
      </c>
    </row>
    <row r="210" spans="1:8" x14ac:dyDescent="0.25">
      <c r="A210">
        <v>652956</v>
      </c>
      <c r="B210" t="s">
        <v>515</v>
      </c>
      <c r="C210" t="s">
        <v>516</v>
      </c>
      <c r="D210" t="s">
        <v>517</v>
      </c>
      <c r="E210" t="s">
        <v>213</v>
      </c>
      <c r="G210" t="str">
        <f>HYPERLINK(_xlfn.CONCAT("https://tablet.otzar.org/",CHAR(35),"/book/652956/p/-1/t/1/fs/0/start/0/end/0/c"),"אור פניך")</f>
        <v>אור פניך</v>
      </c>
      <c r="H210" t="str">
        <f>_xlfn.CONCAT("https://tablet.otzar.org/",CHAR(35),"/book/652956/p/-1/t/1/fs/0/start/0/end/0/c")</f>
        <v>https://tablet.otzar.org/#/book/652956/p/-1/t/1/fs/0/start/0/end/0/c</v>
      </c>
    </row>
    <row r="211" spans="1:8" x14ac:dyDescent="0.25">
      <c r="A211">
        <v>651491</v>
      </c>
      <c r="B211" t="s">
        <v>518</v>
      </c>
      <c r="C211" t="s">
        <v>519</v>
      </c>
      <c r="D211" t="s">
        <v>10</v>
      </c>
      <c r="E211" t="s">
        <v>84</v>
      </c>
      <c r="G211" t="str">
        <f>HYPERLINK(_xlfn.CONCAT("https://tablet.otzar.org/",CHAR(35),"/book/651491/p/-1/t/1/fs/0/start/0/end/0/c"),"אור צפון - שבת ותפילותיה")</f>
        <v>אור צפון - שבת ותפילותיה</v>
      </c>
      <c r="H211" t="str">
        <f>_xlfn.CONCAT("https://tablet.otzar.org/",CHAR(35),"/book/651491/p/-1/t/1/fs/0/start/0/end/0/c")</f>
        <v>https://tablet.otzar.org/#/book/651491/p/-1/t/1/fs/0/start/0/end/0/c</v>
      </c>
    </row>
    <row r="212" spans="1:8" x14ac:dyDescent="0.25">
      <c r="A212">
        <v>654808</v>
      </c>
      <c r="B212" t="s">
        <v>520</v>
      </c>
      <c r="C212" t="s">
        <v>521</v>
      </c>
      <c r="D212" t="s">
        <v>10</v>
      </c>
      <c r="E212" t="s">
        <v>11</v>
      </c>
      <c r="G212" t="str">
        <f>HYPERLINK(_xlfn.CONCAT("https://tablet.otzar.org/",CHAR(35),"/book/654808/p/-1/t/1/fs/0/start/0/end/0/c"),"אור רב")</f>
        <v>אור רב</v>
      </c>
      <c r="H212" t="str">
        <f>_xlfn.CONCAT("https://tablet.otzar.org/",CHAR(35),"/book/654808/p/-1/t/1/fs/0/start/0/end/0/c")</f>
        <v>https://tablet.otzar.org/#/book/654808/p/-1/t/1/fs/0/start/0/end/0/c</v>
      </c>
    </row>
    <row r="213" spans="1:8" x14ac:dyDescent="0.25">
      <c r="A213">
        <v>649028</v>
      </c>
      <c r="B213" t="s">
        <v>522</v>
      </c>
      <c r="C213" t="s">
        <v>523</v>
      </c>
      <c r="D213" t="s">
        <v>10</v>
      </c>
      <c r="E213" t="s">
        <v>11</v>
      </c>
      <c r="G213" t="str">
        <f>HYPERLINK(_xlfn.CONCAT("https://tablet.otzar.org/",CHAR(35),"/exKotar/649028"),"אור תורה - 8 כרכים")</f>
        <v>אור תורה - 8 כרכים</v>
      </c>
      <c r="H213" t="str">
        <f>_xlfn.CONCAT("https://tablet.otzar.org/",CHAR(35),"/exKotar/649028")</f>
        <v>https://tablet.otzar.org/#/exKotar/649028</v>
      </c>
    </row>
    <row r="214" spans="1:8" x14ac:dyDescent="0.25">
      <c r="A214">
        <v>647343</v>
      </c>
      <c r="B214" t="s">
        <v>524</v>
      </c>
      <c r="C214" t="s">
        <v>525</v>
      </c>
      <c r="E214" t="s">
        <v>526</v>
      </c>
      <c r="G214" t="str">
        <f>HYPERLINK(_xlfn.CONCAT("https://tablet.otzar.org/",CHAR(35),"/exKotar/647343"),"אור תורה - 2 כרכים")</f>
        <v>אור תורה - 2 כרכים</v>
      </c>
      <c r="H214" t="str">
        <f>_xlfn.CONCAT("https://tablet.otzar.org/",CHAR(35),"/exKotar/647343")</f>
        <v>https://tablet.otzar.org/#/exKotar/647343</v>
      </c>
    </row>
    <row r="215" spans="1:8" x14ac:dyDescent="0.25">
      <c r="A215">
        <v>654430</v>
      </c>
      <c r="B215" t="s">
        <v>527</v>
      </c>
      <c r="C215" t="s">
        <v>528</v>
      </c>
      <c r="D215" t="s">
        <v>52</v>
      </c>
      <c r="E215" t="s">
        <v>11</v>
      </c>
      <c r="G215" t="str">
        <f>HYPERLINK(_xlfn.CONCAT("https://tablet.otzar.org/",CHAR(35),"/exKotar/654430"),"אורה זו תורה - 5 כרכים")</f>
        <v>אורה זו תורה - 5 כרכים</v>
      </c>
      <c r="H215" t="str">
        <f>_xlfn.CONCAT("https://tablet.otzar.org/",CHAR(35),"/exKotar/654430")</f>
        <v>https://tablet.otzar.org/#/exKotar/654430</v>
      </c>
    </row>
    <row r="216" spans="1:8" x14ac:dyDescent="0.25">
      <c r="A216">
        <v>648928</v>
      </c>
      <c r="B216" t="s">
        <v>529</v>
      </c>
      <c r="C216" t="s">
        <v>530</v>
      </c>
      <c r="D216" t="s">
        <v>52</v>
      </c>
      <c r="E216" t="s">
        <v>70</v>
      </c>
      <c r="G216" t="str">
        <f>HYPERLINK(_xlfn.CONCAT("https://tablet.otzar.org/",CHAR(35),"/book/648928/p/-1/t/1/fs/0/start/0/end/0/c"),"אורה של השבת")</f>
        <v>אורה של השבת</v>
      </c>
      <c r="H216" t="str">
        <f>_xlfn.CONCAT("https://tablet.otzar.org/",CHAR(35),"/book/648928/p/-1/t/1/fs/0/start/0/end/0/c")</f>
        <v>https://tablet.otzar.org/#/book/648928/p/-1/t/1/fs/0/start/0/end/0/c</v>
      </c>
    </row>
    <row r="217" spans="1:8" x14ac:dyDescent="0.25">
      <c r="A217">
        <v>649804</v>
      </c>
      <c r="B217" t="s">
        <v>531</v>
      </c>
      <c r="C217" t="s">
        <v>532</v>
      </c>
      <c r="E217" t="s">
        <v>70</v>
      </c>
      <c r="G217" t="str">
        <f>HYPERLINK(_xlfn.CONCAT("https://tablet.otzar.org/",CHAR(35),"/book/649804/p/-1/t/1/fs/0/start/0/end/0/c"),"אורו של ט""""ו באב")</f>
        <v>אורו של ט""ו באב</v>
      </c>
      <c r="H217" t="str">
        <f>_xlfn.CONCAT("https://tablet.otzar.org/",CHAR(35),"/book/649804/p/-1/t/1/fs/0/start/0/end/0/c")</f>
        <v>https://tablet.otzar.org/#/book/649804/p/-1/t/1/fs/0/start/0/end/0/c</v>
      </c>
    </row>
    <row r="218" spans="1:8" x14ac:dyDescent="0.25">
      <c r="A218">
        <v>653236</v>
      </c>
      <c r="B218" t="s">
        <v>533</v>
      </c>
      <c r="C218" t="s">
        <v>534</v>
      </c>
      <c r="D218" t="s">
        <v>10</v>
      </c>
      <c r="E218" t="s">
        <v>117</v>
      </c>
      <c r="G218" t="str">
        <f>HYPERLINK(_xlfn.CONCAT("https://tablet.otzar.org/",CHAR(35),"/exKotar/653236"),"אורו של יום - 2 כרכים")</f>
        <v>אורו של יום - 2 כרכים</v>
      </c>
      <c r="H218" t="str">
        <f>_xlfn.CONCAT("https://tablet.otzar.org/",CHAR(35),"/exKotar/653236")</f>
        <v>https://tablet.otzar.org/#/exKotar/653236</v>
      </c>
    </row>
    <row r="219" spans="1:8" x14ac:dyDescent="0.25">
      <c r="A219">
        <v>654538</v>
      </c>
      <c r="B219" t="s">
        <v>535</v>
      </c>
      <c r="C219" t="s">
        <v>536</v>
      </c>
      <c r="D219" t="s">
        <v>10</v>
      </c>
      <c r="E219" t="s">
        <v>11</v>
      </c>
      <c r="G219" t="str">
        <f>HYPERLINK(_xlfn.CONCAT("https://tablet.otzar.org/",CHAR(35),"/exKotar/654538"),"אורוחות ההלכה - 2 כרכים")</f>
        <v>אורוחות ההלכה - 2 כרכים</v>
      </c>
      <c r="H219" t="str">
        <f>_xlfn.CONCAT("https://tablet.otzar.org/",CHAR(35),"/exKotar/654538")</f>
        <v>https://tablet.otzar.org/#/exKotar/654538</v>
      </c>
    </row>
    <row r="220" spans="1:8" x14ac:dyDescent="0.25">
      <c r="A220">
        <v>647042</v>
      </c>
      <c r="B220" t="s">
        <v>537</v>
      </c>
      <c r="C220" t="s">
        <v>538</v>
      </c>
      <c r="E220" t="s">
        <v>539</v>
      </c>
      <c r="G220" t="str">
        <f>HYPERLINK(_xlfn.CONCAT("https://tablet.otzar.org/",CHAR(35),"/book/647042/p/-1/t/1/fs/0/start/0/end/0/c"),"אורות")</f>
        <v>אורות</v>
      </c>
      <c r="H220" t="str">
        <f>_xlfn.CONCAT("https://tablet.otzar.org/",CHAR(35),"/book/647042/p/-1/t/1/fs/0/start/0/end/0/c")</f>
        <v>https://tablet.otzar.org/#/book/647042/p/-1/t/1/fs/0/start/0/end/0/c</v>
      </c>
    </row>
    <row r="221" spans="1:8" x14ac:dyDescent="0.25">
      <c r="A221">
        <v>640714</v>
      </c>
      <c r="B221" t="s">
        <v>540</v>
      </c>
      <c r="C221" t="s">
        <v>541</v>
      </c>
      <c r="D221" t="s">
        <v>10</v>
      </c>
      <c r="E221" t="s">
        <v>213</v>
      </c>
      <c r="G221" t="str">
        <f>HYPERLINK(_xlfn.CONCAT("https://tablet.otzar.org/",CHAR(35),"/book/640714/p/-1/t/1/fs/0/start/0/end/0/c"),"אורות אלחנן")</f>
        <v>אורות אלחנן</v>
      </c>
      <c r="H221" t="str">
        <f>_xlfn.CONCAT("https://tablet.otzar.org/",CHAR(35),"/book/640714/p/-1/t/1/fs/0/start/0/end/0/c")</f>
        <v>https://tablet.otzar.org/#/book/640714/p/-1/t/1/fs/0/start/0/end/0/c</v>
      </c>
    </row>
    <row r="222" spans="1:8" x14ac:dyDescent="0.25">
      <c r="A222">
        <v>654691</v>
      </c>
      <c r="B222" t="s">
        <v>542</v>
      </c>
      <c r="C222" t="s">
        <v>543</v>
      </c>
      <c r="D222" t="s">
        <v>10</v>
      </c>
      <c r="E222" t="s">
        <v>544</v>
      </c>
      <c r="G222" t="str">
        <f>HYPERLINK(_xlfn.CONCAT("https://tablet.otzar.org/",CHAR(35),"/book/654691/p/-1/t/1/fs/0/start/0/end/0/c"),"אורות אלים &lt;הוצאת תושיה&gt;")</f>
        <v>אורות אלים &lt;הוצאת תושיה&gt;</v>
      </c>
      <c r="H222" t="str">
        <f>_xlfn.CONCAT("https://tablet.otzar.org/",CHAR(35),"/book/654691/p/-1/t/1/fs/0/start/0/end/0/c")</f>
        <v>https://tablet.otzar.org/#/book/654691/p/-1/t/1/fs/0/start/0/end/0/c</v>
      </c>
    </row>
    <row r="223" spans="1:8" x14ac:dyDescent="0.25">
      <c r="A223">
        <v>654889</v>
      </c>
      <c r="B223" t="s">
        <v>545</v>
      </c>
      <c r="C223" t="s">
        <v>546</v>
      </c>
      <c r="D223" t="s">
        <v>52</v>
      </c>
      <c r="E223" t="s">
        <v>507</v>
      </c>
      <c r="G223" t="str">
        <f>HYPERLINK(_xlfn.CONCAT("https://tablet.otzar.org/",CHAR(35),"/exKotar/654889"),"אורות הזהר - 4 כרכים")</f>
        <v>אורות הזהר - 4 כרכים</v>
      </c>
      <c r="H223" t="str">
        <f>_xlfn.CONCAT("https://tablet.otzar.org/",CHAR(35),"/exKotar/654889")</f>
        <v>https://tablet.otzar.org/#/exKotar/654889</v>
      </c>
    </row>
    <row r="224" spans="1:8" x14ac:dyDescent="0.25">
      <c r="A224">
        <v>651444</v>
      </c>
      <c r="B224" t="s">
        <v>547</v>
      </c>
      <c r="C224" t="s">
        <v>548</v>
      </c>
      <c r="D224" t="s">
        <v>549</v>
      </c>
      <c r="E224" t="s">
        <v>11</v>
      </c>
      <c r="G224" t="str">
        <f>HYPERLINK(_xlfn.CONCAT("https://tablet.otzar.org/",CHAR(35),"/book/651444/p/-1/t/1/fs/0/start/0/end/0/c"),"אורות המדע")</f>
        <v>אורות המדע</v>
      </c>
      <c r="H224" t="str">
        <f>_xlfn.CONCAT("https://tablet.otzar.org/",CHAR(35),"/book/651444/p/-1/t/1/fs/0/start/0/end/0/c")</f>
        <v>https://tablet.otzar.org/#/book/651444/p/-1/t/1/fs/0/start/0/end/0/c</v>
      </c>
    </row>
    <row r="225" spans="1:8" x14ac:dyDescent="0.25">
      <c r="A225">
        <v>654253</v>
      </c>
      <c r="B225" t="s">
        <v>550</v>
      </c>
      <c r="C225" t="s">
        <v>551</v>
      </c>
      <c r="D225" t="s">
        <v>328</v>
      </c>
      <c r="E225" t="s">
        <v>11</v>
      </c>
      <c r="G225" t="str">
        <f>HYPERLINK(_xlfn.CONCAT("https://tablet.otzar.org/",CHAR(35),"/book/654253/p/-1/t/1/fs/0/start/0/end/0/c"),"אורות המועדים - שבועות")</f>
        <v>אורות המועדים - שבועות</v>
      </c>
      <c r="H225" t="str">
        <f>_xlfn.CONCAT("https://tablet.otzar.org/",CHAR(35),"/book/654253/p/-1/t/1/fs/0/start/0/end/0/c")</f>
        <v>https://tablet.otzar.org/#/book/654253/p/-1/t/1/fs/0/start/0/end/0/c</v>
      </c>
    </row>
    <row r="226" spans="1:8" x14ac:dyDescent="0.25">
      <c r="A226">
        <v>650783</v>
      </c>
      <c r="B226" t="s">
        <v>552</v>
      </c>
      <c r="C226" t="s">
        <v>553</v>
      </c>
      <c r="D226" t="s">
        <v>76</v>
      </c>
      <c r="E226" t="s">
        <v>89</v>
      </c>
      <c r="G226" t="str">
        <f>HYPERLINK(_xlfn.CONCAT("https://tablet.otzar.org/",CHAR(35),"/book/650783/p/-1/t/1/fs/0/start/0/end/0/c"),"אורות המשפט")</f>
        <v>אורות המשפט</v>
      </c>
      <c r="H226" t="str">
        <f>_xlfn.CONCAT("https://tablet.otzar.org/",CHAR(35),"/book/650783/p/-1/t/1/fs/0/start/0/end/0/c")</f>
        <v>https://tablet.otzar.org/#/book/650783/p/-1/t/1/fs/0/start/0/end/0/c</v>
      </c>
    </row>
    <row r="227" spans="1:8" x14ac:dyDescent="0.25">
      <c r="A227">
        <v>656166</v>
      </c>
      <c r="B227" t="s">
        <v>554</v>
      </c>
      <c r="C227" t="s">
        <v>555</v>
      </c>
      <c r="D227" t="s">
        <v>52</v>
      </c>
      <c r="E227" t="s">
        <v>29</v>
      </c>
      <c r="G227" t="str">
        <f>HYPERLINK(_xlfn.CONCAT("https://tablet.otzar.org/",CHAR(35),"/book/656166/p/-1/t/1/fs/0/start/0/end/0/c"),"אורות והערות")</f>
        <v>אורות והערות</v>
      </c>
      <c r="H227" t="str">
        <f>_xlfn.CONCAT("https://tablet.otzar.org/",CHAR(35),"/book/656166/p/-1/t/1/fs/0/start/0/end/0/c")</f>
        <v>https://tablet.otzar.org/#/book/656166/p/-1/t/1/fs/0/start/0/end/0/c</v>
      </c>
    </row>
    <row r="228" spans="1:8" x14ac:dyDescent="0.25">
      <c r="A228">
        <v>653533</v>
      </c>
      <c r="B228" t="s">
        <v>556</v>
      </c>
      <c r="C228" t="s">
        <v>557</v>
      </c>
      <c r="D228" t="s">
        <v>52</v>
      </c>
      <c r="E228" t="s">
        <v>558</v>
      </c>
      <c r="G228" t="str">
        <f>HYPERLINK(_xlfn.CONCAT("https://tablet.otzar.org/",CHAR(35),"/book/653533/p/-1/t/1/fs/0/start/0/end/0/c"),"אורח מברך")</f>
        <v>אורח מברך</v>
      </c>
      <c r="H228" t="str">
        <f>_xlfn.CONCAT("https://tablet.otzar.org/",CHAR(35),"/book/653533/p/-1/t/1/fs/0/start/0/end/0/c")</f>
        <v>https://tablet.otzar.org/#/book/653533/p/-1/t/1/fs/0/start/0/end/0/c</v>
      </c>
    </row>
    <row r="229" spans="1:8" x14ac:dyDescent="0.25">
      <c r="A229">
        <v>649215</v>
      </c>
      <c r="B229" t="s">
        <v>559</v>
      </c>
      <c r="C229" t="s">
        <v>560</v>
      </c>
      <c r="D229" t="s">
        <v>561</v>
      </c>
      <c r="E229" t="s">
        <v>405</v>
      </c>
      <c r="G229" t="str">
        <f>HYPERLINK(_xlfn.CONCAT("https://tablet.otzar.org/",CHAR(35),"/book/649215/p/-1/t/1/fs/0/start/0/end/0/c"),"אורחות חיים &lt;משיבת נפש&gt;")</f>
        <v>אורחות חיים &lt;משיבת נפש&gt;</v>
      </c>
      <c r="H229" t="str">
        <f>_xlfn.CONCAT("https://tablet.otzar.org/",CHAR(35),"/book/649215/p/-1/t/1/fs/0/start/0/end/0/c")</f>
        <v>https://tablet.otzar.org/#/book/649215/p/-1/t/1/fs/0/start/0/end/0/c</v>
      </c>
    </row>
    <row r="230" spans="1:8" x14ac:dyDescent="0.25">
      <c r="A230">
        <v>650632</v>
      </c>
      <c r="B230" t="s">
        <v>562</v>
      </c>
      <c r="C230" t="s">
        <v>563</v>
      </c>
      <c r="D230" t="s">
        <v>347</v>
      </c>
      <c r="E230" t="s">
        <v>11</v>
      </c>
      <c r="G230" t="str">
        <f>HYPERLINK(_xlfn.CONCAT("https://tablet.otzar.org/",CHAR(35),"/book/650632/p/-1/t/1/fs/0/start/0/end/0/c"),"אורחות יושר - הלכות תפילה")</f>
        <v>אורחות יושר - הלכות תפילה</v>
      </c>
      <c r="H230" t="str">
        <f>_xlfn.CONCAT("https://tablet.otzar.org/",CHAR(35),"/book/650632/p/-1/t/1/fs/0/start/0/end/0/c")</f>
        <v>https://tablet.otzar.org/#/book/650632/p/-1/t/1/fs/0/start/0/end/0/c</v>
      </c>
    </row>
    <row r="231" spans="1:8" x14ac:dyDescent="0.25">
      <c r="A231">
        <v>647628</v>
      </c>
      <c r="B231" t="s">
        <v>564</v>
      </c>
      <c r="C231" t="s">
        <v>565</v>
      </c>
      <c r="D231" t="s">
        <v>10</v>
      </c>
      <c r="E231" t="s">
        <v>117</v>
      </c>
      <c r="G231" t="str">
        <f>HYPERLINK(_xlfn.CONCAT("https://tablet.otzar.org/",CHAR(35),"/exKotar/647628"),"אורי וישעי - 2 כרכים")</f>
        <v>אורי וישעי - 2 כרכים</v>
      </c>
      <c r="H231" t="str">
        <f>_xlfn.CONCAT("https://tablet.otzar.org/",CHAR(35),"/exKotar/647628")</f>
        <v>https://tablet.otzar.org/#/exKotar/647628</v>
      </c>
    </row>
    <row r="232" spans="1:8" x14ac:dyDescent="0.25">
      <c r="A232">
        <v>655212</v>
      </c>
      <c r="B232" t="s">
        <v>566</v>
      </c>
      <c r="C232" t="s">
        <v>567</v>
      </c>
      <c r="E232" t="s">
        <v>84</v>
      </c>
      <c r="G232" t="str">
        <f>HYPERLINK(_xlfn.CONCAT("https://tablet.otzar.org/",CHAR(35),"/book/655212/p/-1/t/1/fs/0/start/0/end/0/c"),"אוריין תליתאי - מעיין גנים, דובר שלום, חמדת ישראל")</f>
        <v>אוריין תליתאי - מעיין גנים, דובר שלום, חמדת ישראל</v>
      </c>
      <c r="H232" t="str">
        <f>_xlfn.CONCAT("https://tablet.otzar.org/",CHAR(35),"/book/655212/p/-1/t/1/fs/0/start/0/end/0/c")</f>
        <v>https://tablet.otzar.org/#/book/655212/p/-1/t/1/fs/0/start/0/end/0/c</v>
      </c>
    </row>
    <row r="233" spans="1:8" x14ac:dyDescent="0.25">
      <c r="A233">
        <v>647786</v>
      </c>
      <c r="B233" t="s">
        <v>568</v>
      </c>
      <c r="C233" t="s">
        <v>569</v>
      </c>
      <c r="D233" t="s">
        <v>10</v>
      </c>
      <c r="E233" t="s">
        <v>11</v>
      </c>
      <c r="G233" t="str">
        <f>HYPERLINK(_xlfn.CONCAT("https://tablet.otzar.org/",CHAR(35),"/book/647786/p/-1/t/1/fs/0/start/0/end/0/c"),"אורייתא דשמואל")</f>
        <v>אורייתא דשמואל</v>
      </c>
      <c r="H233" t="str">
        <f>_xlfn.CONCAT("https://tablet.otzar.org/",CHAR(35),"/book/647786/p/-1/t/1/fs/0/start/0/end/0/c")</f>
        <v>https://tablet.otzar.org/#/book/647786/p/-1/t/1/fs/0/start/0/end/0/c</v>
      </c>
    </row>
    <row r="234" spans="1:8" x14ac:dyDescent="0.25">
      <c r="A234">
        <v>654990</v>
      </c>
      <c r="B234" t="s">
        <v>570</v>
      </c>
      <c r="C234" t="s">
        <v>125</v>
      </c>
      <c r="D234" t="s">
        <v>10</v>
      </c>
      <c r="E234" t="s">
        <v>11</v>
      </c>
      <c r="G234" t="str">
        <f>HYPERLINK(_xlfn.CONCAT("https://tablet.otzar.org/",CHAR(35),"/book/654990/p/-1/t/1/fs/0/start/0/end/0/c"),"אורייתא ממרנן דאיטליה")</f>
        <v>אורייתא ממרנן דאיטליה</v>
      </c>
      <c r="H234" t="str">
        <f>_xlfn.CONCAT("https://tablet.otzar.org/",CHAR(35),"/book/654990/p/-1/t/1/fs/0/start/0/end/0/c")</f>
        <v>https://tablet.otzar.org/#/book/654990/p/-1/t/1/fs/0/start/0/end/0/c</v>
      </c>
    </row>
    <row r="235" spans="1:8" x14ac:dyDescent="0.25">
      <c r="A235">
        <v>650619</v>
      </c>
      <c r="B235" t="s">
        <v>571</v>
      </c>
      <c r="C235" t="s">
        <v>572</v>
      </c>
      <c r="D235" t="s">
        <v>573</v>
      </c>
      <c r="E235" t="s">
        <v>574</v>
      </c>
      <c r="G235" t="str">
        <f>HYPERLINK(_xlfn.CONCAT("https://tablet.otzar.org/",CHAR(35),"/book/650619/p/-1/t/1/fs/0/start/0/end/0/c"),"אורים במקרא")</f>
        <v>אורים במקרא</v>
      </c>
      <c r="H235" t="str">
        <f>_xlfn.CONCAT("https://tablet.otzar.org/",CHAR(35),"/book/650619/p/-1/t/1/fs/0/start/0/end/0/c")</f>
        <v>https://tablet.otzar.org/#/book/650619/p/-1/t/1/fs/0/start/0/end/0/c</v>
      </c>
    </row>
    <row r="236" spans="1:8" x14ac:dyDescent="0.25">
      <c r="A236">
        <v>650453</v>
      </c>
      <c r="B236" t="s">
        <v>575</v>
      </c>
      <c r="C236" t="s">
        <v>576</v>
      </c>
      <c r="D236" t="s">
        <v>10</v>
      </c>
      <c r="E236" t="s">
        <v>577</v>
      </c>
      <c r="G236" t="str">
        <f>HYPERLINK(_xlfn.CONCAT("https://tablet.otzar.org/",CHAR(35),"/book/650453/p/-1/t/1/fs/0/start/0/end/0/c"),"אורים ותומים")</f>
        <v>אורים ותומים</v>
      </c>
      <c r="H236" t="str">
        <f>_xlfn.CONCAT("https://tablet.otzar.org/",CHAR(35),"/book/650453/p/-1/t/1/fs/0/start/0/end/0/c")</f>
        <v>https://tablet.otzar.org/#/book/650453/p/-1/t/1/fs/0/start/0/end/0/c</v>
      </c>
    </row>
    <row r="237" spans="1:8" x14ac:dyDescent="0.25">
      <c r="A237">
        <v>651429</v>
      </c>
      <c r="B237" t="s">
        <v>578</v>
      </c>
      <c r="C237" t="s">
        <v>579</v>
      </c>
      <c r="D237" t="s">
        <v>34</v>
      </c>
      <c r="E237" t="s">
        <v>70</v>
      </c>
      <c r="G237" t="str">
        <f>HYPERLINK(_xlfn.CONCAT("https://tablet.otzar.org/",CHAR(35),"/book/651429/p/-1/t/1/fs/0/start/0/end/0/c"),"אורן של חכמים")</f>
        <v>אורן של חכמים</v>
      </c>
      <c r="H237" t="str">
        <f>_xlfn.CONCAT("https://tablet.otzar.org/",CHAR(35),"/book/651429/p/-1/t/1/fs/0/start/0/end/0/c")</f>
        <v>https://tablet.otzar.org/#/book/651429/p/-1/t/1/fs/0/start/0/end/0/c</v>
      </c>
    </row>
    <row r="238" spans="1:8" x14ac:dyDescent="0.25">
      <c r="A238">
        <v>648945</v>
      </c>
      <c r="B238" t="s">
        <v>580</v>
      </c>
      <c r="C238" t="s">
        <v>581</v>
      </c>
      <c r="D238" t="s">
        <v>39</v>
      </c>
      <c r="E238" t="s">
        <v>582</v>
      </c>
      <c r="G238" t="str">
        <f>HYPERLINK(_xlfn.CONCAT("https://tablet.otzar.org/",CHAR(35),"/book/648945/p/-1/t/1/fs/0/start/0/end/0/c"),"אושר ואהבה במשפחה")</f>
        <v>אושר ואהבה במשפחה</v>
      </c>
      <c r="H238" t="str">
        <f>_xlfn.CONCAT("https://tablet.otzar.org/",CHAR(35),"/book/648945/p/-1/t/1/fs/0/start/0/end/0/c")</f>
        <v>https://tablet.otzar.org/#/book/648945/p/-1/t/1/fs/0/start/0/end/0/c</v>
      </c>
    </row>
    <row r="239" spans="1:8" x14ac:dyDescent="0.25">
      <c r="A239">
        <v>649942</v>
      </c>
      <c r="B239" t="s">
        <v>583</v>
      </c>
      <c r="C239" t="s">
        <v>584</v>
      </c>
      <c r="D239" t="s">
        <v>585</v>
      </c>
      <c r="E239" t="s">
        <v>586</v>
      </c>
      <c r="G239" t="str">
        <f>HYPERLINK(_xlfn.CONCAT("https://tablet.otzar.org/",CHAR(35),"/book/649942/p/-1/t/1/fs/0/start/0/end/0/c"),"אות לטובה")</f>
        <v>אות לטובה</v>
      </c>
      <c r="H239" t="str">
        <f>_xlfn.CONCAT("https://tablet.otzar.org/",CHAR(35),"/book/649942/p/-1/t/1/fs/0/start/0/end/0/c")</f>
        <v>https://tablet.otzar.org/#/book/649942/p/-1/t/1/fs/0/start/0/end/0/c</v>
      </c>
    </row>
    <row r="240" spans="1:8" x14ac:dyDescent="0.25">
      <c r="A240">
        <v>655807</v>
      </c>
      <c r="B240" t="s">
        <v>587</v>
      </c>
      <c r="C240" t="s">
        <v>588</v>
      </c>
      <c r="D240" t="s">
        <v>10</v>
      </c>
      <c r="E240" t="s">
        <v>84</v>
      </c>
      <c r="G240" t="str">
        <f>HYPERLINK(_xlfn.CONCAT("https://tablet.otzar.org/",CHAR(35),"/exKotar/655807"),"אות לטובה - 8 כרכים")</f>
        <v>אות לטובה - 8 כרכים</v>
      </c>
      <c r="H240" t="str">
        <f>_xlfn.CONCAT("https://tablet.otzar.org/",CHAR(35),"/exKotar/655807")</f>
        <v>https://tablet.otzar.org/#/exKotar/655807</v>
      </c>
    </row>
    <row r="241" spans="1:8" x14ac:dyDescent="0.25">
      <c r="A241">
        <v>651615</v>
      </c>
      <c r="B241" t="s">
        <v>589</v>
      </c>
      <c r="C241" t="s">
        <v>590</v>
      </c>
      <c r="D241" t="s">
        <v>10</v>
      </c>
      <c r="E241" t="s">
        <v>84</v>
      </c>
      <c r="G241" t="str">
        <f>HYPERLINK(_xlfn.CONCAT("https://tablet.otzar.org/",CHAR(35),"/book/651615/p/-1/t/1/fs/0/start/0/end/0/c"),"אותות ומופתים")</f>
        <v>אותות ומופתים</v>
      </c>
      <c r="H241" t="str">
        <f>_xlfn.CONCAT("https://tablet.otzar.org/",CHAR(35),"/book/651615/p/-1/t/1/fs/0/start/0/end/0/c")</f>
        <v>https://tablet.otzar.org/#/book/651615/p/-1/t/1/fs/0/start/0/end/0/c</v>
      </c>
    </row>
    <row r="242" spans="1:8" x14ac:dyDescent="0.25">
      <c r="A242">
        <v>652937</v>
      </c>
      <c r="B242" t="s">
        <v>591</v>
      </c>
      <c r="C242" t="s">
        <v>592</v>
      </c>
      <c r="D242" t="s">
        <v>10</v>
      </c>
      <c r="E242" t="s">
        <v>117</v>
      </c>
      <c r="G242" t="str">
        <f>HYPERLINK(_xlfn.CONCAT("https://tablet.otzar.org/",CHAR(35),"/book/652937/p/-1/t/1/fs/0/start/0/end/0/c"),"אותיות מאירות")</f>
        <v>אותיות מאירות</v>
      </c>
      <c r="H242" t="str">
        <f>_xlfn.CONCAT("https://tablet.otzar.org/",CHAR(35),"/book/652937/p/-1/t/1/fs/0/start/0/end/0/c")</f>
        <v>https://tablet.otzar.org/#/book/652937/p/-1/t/1/fs/0/start/0/end/0/c</v>
      </c>
    </row>
    <row r="243" spans="1:8" x14ac:dyDescent="0.25">
      <c r="A243">
        <v>647810</v>
      </c>
      <c r="B243" t="s">
        <v>593</v>
      </c>
      <c r="C243" t="s">
        <v>594</v>
      </c>
      <c r="E243" t="s">
        <v>35</v>
      </c>
      <c r="G243" t="str">
        <f>HYPERLINK(_xlfn.CONCAT("https://tablet.otzar.org/",CHAR(35),"/book/647810/p/-1/t/1/fs/0/start/0/end/0/c"),"אותיות מחכמת")</f>
        <v>אותיות מחכמת</v>
      </c>
      <c r="H243" t="str">
        <f>_xlfn.CONCAT("https://tablet.otzar.org/",CHAR(35),"/book/647810/p/-1/t/1/fs/0/start/0/end/0/c")</f>
        <v>https://tablet.otzar.org/#/book/647810/p/-1/t/1/fs/0/start/0/end/0/c</v>
      </c>
    </row>
    <row r="244" spans="1:8" x14ac:dyDescent="0.25">
      <c r="A244">
        <v>643174</v>
      </c>
      <c r="B244" t="s">
        <v>595</v>
      </c>
      <c r="C244" t="s">
        <v>596</v>
      </c>
      <c r="E244" t="s">
        <v>597</v>
      </c>
      <c r="G244" t="str">
        <f>HYPERLINK(_xlfn.CONCAT("https://tablet.otzar.org/",CHAR(35),"/book/643174/p/-1/t/1/fs/0/start/0/end/0/c"),"אז נדברו (סדרה חדשה) - יב")</f>
        <v>אז נדברו (סדרה חדשה) - יב</v>
      </c>
      <c r="H244" t="str">
        <f>_xlfn.CONCAT("https://tablet.otzar.org/",CHAR(35),"/book/643174/p/-1/t/1/fs/0/start/0/end/0/c")</f>
        <v>https://tablet.otzar.org/#/book/643174/p/-1/t/1/fs/0/start/0/end/0/c</v>
      </c>
    </row>
    <row r="245" spans="1:8" x14ac:dyDescent="0.25">
      <c r="A245">
        <v>649534</v>
      </c>
      <c r="B245" t="s">
        <v>598</v>
      </c>
      <c r="C245" t="s">
        <v>599</v>
      </c>
      <c r="D245" t="s">
        <v>600</v>
      </c>
      <c r="E245" t="s">
        <v>601</v>
      </c>
      <c r="G245" t="str">
        <f>HYPERLINK(_xlfn.CONCAT("https://tablet.otzar.org/",CHAR(35),"/book/649534/p/-1/t/1/fs/0/start/0/end/0/c"),"אזהרות &lt;עם קיצור זהר הרקיע&gt;")</f>
        <v>אזהרות &lt;עם קיצור זהר הרקיע&gt;</v>
      </c>
      <c r="H245" t="str">
        <f>_xlfn.CONCAT("https://tablet.otzar.org/",CHAR(35),"/book/649534/p/-1/t/1/fs/0/start/0/end/0/c")</f>
        <v>https://tablet.otzar.org/#/book/649534/p/-1/t/1/fs/0/start/0/end/0/c</v>
      </c>
    </row>
    <row r="246" spans="1:8" x14ac:dyDescent="0.25">
      <c r="A246">
        <v>651713</v>
      </c>
      <c r="B246" t="s">
        <v>602</v>
      </c>
      <c r="C246" t="s">
        <v>603</v>
      </c>
      <c r="D246" t="s">
        <v>10</v>
      </c>
      <c r="E246" t="s">
        <v>35</v>
      </c>
      <c r="G246" t="str">
        <f>HYPERLINK(_xlfn.CONCAT("https://tablet.otzar.org/",CHAR(35),"/book/651713/p/-1/t/1/fs/0/start/0/end/0/c"),"אחד היה אברהם")</f>
        <v>אחד היה אברהם</v>
      </c>
      <c r="H246" t="str">
        <f>_xlfn.CONCAT("https://tablet.otzar.org/",CHAR(35),"/book/651713/p/-1/t/1/fs/0/start/0/end/0/c")</f>
        <v>https://tablet.otzar.org/#/book/651713/p/-1/t/1/fs/0/start/0/end/0/c</v>
      </c>
    </row>
    <row r="247" spans="1:8" x14ac:dyDescent="0.25">
      <c r="A247">
        <v>649752</v>
      </c>
      <c r="B247" t="s">
        <v>604</v>
      </c>
      <c r="C247" t="s">
        <v>605</v>
      </c>
      <c r="D247" t="s">
        <v>606</v>
      </c>
      <c r="E247" t="s">
        <v>70</v>
      </c>
      <c r="G247" t="str">
        <f>HYPERLINK(_xlfn.CONCAT("https://tablet.otzar.org/",CHAR(35),"/book/649752/p/-1/t/1/fs/0/start/0/end/0/c"),"אחדו""""ת")</f>
        <v>אחדו""ת</v>
      </c>
      <c r="H247" t="str">
        <f>_xlfn.CONCAT("https://tablet.otzar.org/",CHAR(35),"/book/649752/p/-1/t/1/fs/0/start/0/end/0/c")</f>
        <v>https://tablet.otzar.org/#/book/649752/p/-1/t/1/fs/0/start/0/end/0/c</v>
      </c>
    </row>
    <row r="248" spans="1:8" x14ac:dyDescent="0.25">
      <c r="A248">
        <v>653840</v>
      </c>
      <c r="B248" t="s">
        <v>607</v>
      </c>
      <c r="C248" t="s">
        <v>608</v>
      </c>
      <c r="D248" t="s">
        <v>609</v>
      </c>
      <c r="E248" t="s">
        <v>11</v>
      </c>
      <c r="G248" t="str">
        <f>HYPERLINK(_xlfn.CONCAT("https://tablet.otzar.org/",CHAR(35),"/book/653840/p/-1/t/1/fs/0/start/0/end/0/c"),"אחוזי שוא")</f>
        <v>אחוזי שוא</v>
      </c>
      <c r="H248" t="str">
        <f>_xlfn.CONCAT("https://tablet.otzar.org/",CHAR(35),"/book/653840/p/-1/t/1/fs/0/start/0/end/0/c")</f>
        <v>https://tablet.otzar.org/#/book/653840/p/-1/t/1/fs/0/start/0/end/0/c</v>
      </c>
    </row>
    <row r="249" spans="1:8" x14ac:dyDescent="0.25">
      <c r="A249">
        <v>650383</v>
      </c>
      <c r="B249" t="s">
        <v>610</v>
      </c>
      <c r="C249" t="s">
        <v>611</v>
      </c>
      <c r="D249" t="s">
        <v>510</v>
      </c>
      <c r="E249" t="s">
        <v>612</v>
      </c>
      <c r="G249" t="str">
        <f>HYPERLINK(_xlfn.CONCAT("https://tablet.otzar.org/",CHAR(35),"/exKotar/650383"),"אחוזת הלוי - 2 כרכים")</f>
        <v>אחוזת הלוי - 2 כרכים</v>
      </c>
      <c r="H249" t="str">
        <f>_xlfn.CONCAT("https://tablet.otzar.org/",CHAR(35),"/exKotar/650383")</f>
        <v>https://tablet.otzar.org/#/exKotar/650383</v>
      </c>
    </row>
    <row r="250" spans="1:8" x14ac:dyDescent="0.25">
      <c r="A250">
        <v>647975</v>
      </c>
      <c r="B250" t="s">
        <v>613</v>
      </c>
      <c r="C250" t="s">
        <v>614</v>
      </c>
      <c r="D250" t="s">
        <v>34</v>
      </c>
      <c r="E250" t="s">
        <v>11</v>
      </c>
      <c r="G250" t="str">
        <f>HYPERLINK(_xlfn.CONCAT("https://tablet.otzar.org/",CHAR(35),"/exKotar/647975"),"אידוותא דימא - 3 כרכים")</f>
        <v>אידוותא דימא - 3 כרכים</v>
      </c>
      <c r="H250" t="str">
        <f>_xlfn.CONCAT("https://tablet.otzar.org/",CHAR(35),"/exKotar/647975")</f>
        <v>https://tablet.otzar.org/#/exKotar/647975</v>
      </c>
    </row>
    <row r="251" spans="1:8" x14ac:dyDescent="0.25">
      <c r="A251">
        <v>649048</v>
      </c>
      <c r="B251" t="s">
        <v>615</v>
      </c>
      <c r="C251" t="s">
        <v>199</v>
      </c>
      <c r="D251" t="s">
        <v>10</v>
      </c>
      <c r="E251" t="s">
        <v>45</v>
      </c>
      <c r="G251" t="str">
        <f>HYPERLINK(_xlfn.CONCAT("https://tablet.otzar.org/",CHAR(35),"/book/649048/p/-1/t/1/fs/0/start/0/end/0/c"),"אידרת אליהו - אדרא זוטא ע""""פ הגר""""א עם ביאור")</f>
        <v>אידרת אליהו - אדרא זוטא ע""פ הגר""א עם ביאור</v>
      </c>
      <c r="H251" t="str">
        <f>_xlfn.CONCAT("https://tablet.otzar.org/",CHAR(35),"/book/649048/p/-1/t/1/fs/0/start/0/end/0/c")</f>
        <v>https://tablet.otzar.org/#/book/649048/p/-1/t/1/fs/0/start/0/end/0/c</v>
      </c>
    </row>
    <row r="252" spans="1:8" x14ac:dyDescent="0.25">
      <c r="A252">
        <v>626111</v>
      </c>
      <c r="B252" t="s">
        <v>616</v>
      </c>
      <c r="C252" t="s">
        <v>617</v>
      </c>
      <c r="E252" t="s">
        <v>618</v>
      </c>
      <c r="G252" t="str">
        <f>HYPERLINK(_xlfn.CONCAT("https://tablet.otzar.org/",CHAR(35),"/book/626111/p/-1/t/1/fs/0/start/0/end/0/c"),"איטליה - כרך א חוברת 1")</f>
        <v>איטליה - כרך א חוברת 1</v>
      </c>
      <c r="H252" t="str">
        <f>_xlfn.CONCAT("https://tablet.otzar.org/",CHAR(35),"/book/626111/p/-1/t/1/fs/0/start/0/end/0/c")</f>
        <v>https://tablet.otzar.org/#/book/626111/p/-1/t/1/fs/0/start/0/end/0/c</v>
      </c>
    </row>
    <row r="253" spans="1:8" x14ac:dyDescent="0.25">
      <c r="A253">
        <v>652624</v>
      </c>
      <c r="B253" t="s">
        <v>619</v>
      </c>
      <c r="C253" t="s">
        <v>620</v>
      </c>
      <c r="D253" t="s">
        <v>621</v>
      </c>
      <c r="E253" t="s">
        <v>35</v>
      </c>
      <c r="G253" t="str">
        <f>HYPERLINK(_xlfn.CONCAT("https://tablet.otzar.org/",CHAR(35),"/exKotar/652624"),"איי הים - 3 כרכים")</f>
        <v>איי הים - 3 כרכים</v>
      </c>
      <c r="H253" t="str">
        <f>_xlfn.CONCAT("https://tablet.otzar.org/",CHAR(35),"/exKotar/652624")</f>
        <v>https://tablet.otzar.org/#/exKotar/652624</v>
      </c>
    </row>
    <row r="254" spans="1:8" x14ac:dyDescent="0.25">
      <c r="A254">
        <v>651944</v>
      </c>
      <c r="B254" t="s">
        <v>622</v>
      </c>
      <c r="C254" t="s">
        <v>314</v>
      </c>
      <c r="E254" t="s">
        <v>84</v>
      </c>
      <c r="G254" t="str">
        <f>HYPERLINK(_xlfn.CONCAT("https://tablet.otzar.org/",CHAR(35),"/book/651944/p/-1/t/1/fs/0/start/0/end/0/c"),"איילת השחר שבקע אורה")</f>
        <v>איילת השחר שבקע אורה</v>
      </c>
      <c r="H254" t="str">
        <f>_xlfn.CONCAT("https://tablet.otzar.org/",CHAR(35),"/book/651944/p/-1/t/1/fs/0/start/0/end/0/c")</f>
        <v>https://tablet.otzar.org/#/book/651944/p/-1/t/1/fs/0/start/0/end/0/c</v>
      </c>
    </row>
    <row r="255" spans="1:8" x14ac:dyDescent="0.25">
      <c r="A255">
        <v>652755</v>
      </c>
      <c r="B255" t="s">
        <v>623</v>
      </c>
      <c r="C255" t="s">
        <v>624</v>
      </c>
      <c r="D255" t="s">
        <v>625</v>
      </c>
      <c r="E255" t="s">
        <v>626</v>
      </c>
      <c r="G255" t="str">
        <f>HYPERLINK(_xlfn.CONCAT("https://tablet.otzar.org/",CHAR(35),"/book/652755/p/-1/t/1/fs/0/start/0/end/0/c"),"איין נייא קלאג ליד")</f>
        <v>איין נייא קלאג ליד</v>
      </c>
      <c r="H255" t="str">
        <f>_xlfn.CONCAT("https://tablet.otzar.org/",CHAR(35),"/book/652755/p/-1/t/1/fs/0/start/0/end/0/c")</f>
        <v>https://tablet.otzar.org/#/book/652755/p/-1/t/1/fs/0/start/0/end/0/c</v>
      </c>
    </row>
    <row r="256" spans="1:8" x14ac:dyDescent="0.25">
      <c r="A256">
        <v>652801</v>
      </c>
      <c r="B256" t="s">
        <v>623</v>
      </c>
      <c r="C256" t="s">
        <v>627</v>
      </c>
      <c r="D256" t="s">
        <v>628</v>
      </c>
      <c r="E256" t="s">
        <v>629</v>
      </c>
      <c r="G256" t="str">
        <f>HYPERLINK(_xlfn.CONCAT("https://tablet.otzar.org/",CHAR(35),"/book/652801/p/-1/t/1/fs/0/start/0/end/0/c"),"איין נייא קלאג ליד")</f>
        <v>איין נייא קלאג ליד</v>
      </c>
      <c r="H256" t="str">
        <f>_xlfn.CONCAT("https://tablet.otzar.org/",CHAR(35),"/book/652801/p/-1/t/1/fs/0/start/0/end/0/c")</f>
        <v>https://tablet.otzar.org/#/book/652801/p/-1/t/1/fs/0/start/0/end/0/c</v>
      </c>
    </row>
    <row r="257" spans="1:8" x14ac:dyDescent="0.25">
      <c r="A257">
        <v>653319</v>
      </c>
      <c r="B257" t="s">
        <v>630</v>
      </c>
      <c r="C257" t="s">
        <v>631</v>
      </c>
      <c r="D257" t="s">
        <v>10</v>
      </c>
      <c r="E257" t="s">
        <v>70</v>
      </c>
      <c r="G257" t="str">
        <f>HYPERLINK(_xlfn.CONCAT("https://tablet.otzar.org/",CHAR(35),"/book/653319/p/-1/t/1/fs/0/start/0/end/0/c"),"איך מתבצע חוק ניתוחי מתים")</f>
        <v>איך מתבצע חוק ניתוחי מתים</v>
      </c>
      <c r="H257" t="str">
        <f>_xlfn.CONCAT("https://tablet.otzar.org/",CHAR(35),"/book/653319/p/-1/t/1/fs/0/start/0/end/0/c")</f>
        <v>https://tablet.otzar.org/#/book/653319/p/-1/t/1/fs/0/start/0/end/0/c</v>
      </c>
    </row>
    <row r="258" spans="1:8" x14ac:dyDescent="0.25">
      <c r="A258">
        <v>652833</v>
      </c>
      <c r="B258" t="s">
        <v>632</v>
      </c>
      <c r="C258" t="s">
        <v>633</v>
      </c>
      <c r="D258" t="s">
        <v>10</v>
      </c>
      <c r="E258" t="s">
        <v>405</v>
      </c>
      <c r="G258" t="str">
        <f>HYPERLINK(_xlfn.CONCAT("https://tablet.otzar.org/",CHAR(35),"/book/652833/p/-1/t/1/fs/0/start/0/end/0/c"),"איכה יועם זהב")</f>
        <v>איכה יועם זהב</v>
      </c>
      <c r="H258" t="str">
        <f>_xlfn.CONCAT("https://tablet.otzar.org/",CHAR(35),"/book/652833/p/-1/t/1/fs/0/start/0/end/0/c")</f>
        <v>https://tablet.otzar.org/#/book/652833/p/-1/t/1/fs/0/start/0/end/0/c</v>
      </c>
    </row>
    <row r="259" spans="1:8" x14ac:dyDescent="0.25">
      <c r="A259">
        <v>651830</v>
      </c>
      <c r="B259" t="s">
        <v>634</v>
      </c>
      <c r="C259" t="s">
        <v>635</v>
      </c>
      <c r="D259" t="s">
        <v>39</v>
      </c>
      <c r="E259" t="s">
        <v>636</v>
      </c>
      <c r="G259" t="str">
        <f>HYPERLINK(_xlfn.CONCAT("https://tablet.otzar.org/",CHAR(35),"/book/651830/p/-1/t/1/fs/0/start/0/end/0/c"),"איכה לליל תשעה באב")</f>
        <v>איכה לליל תשעה באב</v>
      </c>
      <c r="H259" t="str">
        <f>_xlfn.CONCAT("https://tablet.otzar.org/",CHAR(35),"/book/651830/p/-1/t/1/fs/0/start/0/end/0/c")</f>
        <v>https://tablet.otzar.org/#/book/651830/p/-1/t/1/fs/0/start/0/end/0/c</v>
      </c>
    </row>
    <row r="260" spans="1:8" x14ac:dyDescent="0.25">
      <c r="A260">
        <v>654267</v>
      </c>
      <c r="B260" t="s">
        <v>637</v>
      </c>
      <c r="C260" t="s">
        <v>638</v>
      </c>
      <c r="D260" t="s">
        <v>10</v>
      </c>
      <c r="E260" t="s">
        <v>383</v>
      </c>
      <c r="G260" t="str">
        <f>HYPERLINK(_xlfn.CONCAT("https://tablet.otzar.org/",CHAR(35),"/exKotar/654267"),"אילו של יצחק - 2 כרכים")</f>
        <v>אילו של יצחק - 2 כרכים</v>
      </c>
      <c r="H260" t="str">
        <f>_xlfn.CONCAT("https://tablet.otzar.org/",CHAR(35),"/exKotar/654267")</f>
        <v>https://tablet.otzar.org/#/exKotar/654267</v>
      </c>
    </row>
    <row r="261" spans="1:8" x14ac:dyDescent="0.25">
      <c r="A261">
        <v>656233</v>
      </c>
      <c r="B261" t="s">
        <v>639</v>
      </c>
      <c r="C261" t="s">
        <v>640</v>
      </c>
      <c r="D261" t="s">
        <v>52</v>
      </c>
      <c r="E261" t="s">
        <v>224</v>
      </c>
      <c r="G261" t="str">
        <f>HYPERLINK(_xlfn.CONCAT("https://tablet.otzar.org/",CHAR(35),"/book/656233/p/-1/t/1/fs/0/start/0/end/0/c"),"אילנא דחיי &lt;מהדורה חדשה&gt;")</f>
        <v>אילנא דחיי &lt;מהדורה חדשה&gt;</v>
      </c>
      <c r="H261" t="str">
        <f>_xlfn.CONCAT("https://tablet.otzar.org/",CHAR(35),"/book/656233/p/-1/t/1/fs/0/start/0/end/0/c")</f>
        <v>https://tablet.otzar.org/#/book/656233/p/-1/t/1/fs/0/start/0/end/0/c</v>
      </c>
    </row>
    <row r="262" spans="1:8" x14ac:dyDescent="0.25">
      <c r="A262">
        <v>650160</v>
      </c>
      <c r="B262" t="s">
        <v>641</v>
      </c>
      <c r="C262" t="s">
        <v>642</v>
      </c>
      <c r="D262" t="s">
        <v>424</v>
      </c>
      <c r="E262" t="s">
        <v>643</v>
      </c>
      <c r="G262" t="str">
        <f>HYPERLINK(_xlfn.CONCAT("https://tablet.otzar.org/",CHAR(35),"/book/650160/p/-1/t/1/fs/0/start/0/end/0/c"),"אין געראנגל פאר יידישקייט")</f>
        <v>אין געראנגל פאר יידישקייט</v>
      </c>
      <c r="H262" t="str">
        <f>_xlfn.CONCAT("https://tablet.otzar.org/",CHAR(35),"/book/650160/p/-1/t/1/fs/0/start/0/end/0/c")</f>
        <v>https://tablet.otzar.org/#/book/650160/p/-1/t/1/fs/0/start/0/end/0/c</v>
      </c>
    </row>
    <row r="263" spans="1:8" x14ac:dyDescent="0.25">
      <c r="A263">
        <v>648802</v>
      </c>
      <c r="B263" t="s">
        <v>644</v>
      </c>
      <c r="C263" t="s">
        <v>645</v>
      </c>
      <c r="E263" t="s">
        <v>646</v>
      </c>
      <c r="G263" t="str">
        <f>HYPERLINK(_xlfn.CONCAT("https://tablet.otzar.org/",CHAR(35),"/book/648802/p/-1/t/1/fs/0/start/0/end/0/c"),"אין רויך פון בזשעזשיניקי")</f>
        <v>אין רויך פון בזשעזשיניקי</v>
      </c>
      <c r="H263" t="str">
        <f>_xlfn.CONCAT("https://tablet.otzar.org/",CHAR(35),"/book/648802/p/-1/t/1/fs/0/start/0/end/0/c")</f>
        <v>https://tablet.otzar.org/#/book/648802/p/-1/t/1/fs/0/start/0/end/0/c</v>
      </c>
    </row>
    <row r="264" spans="1:8" x14ac:dyDescent="0.25">
      <c r="A264">
        <v>647394</v>
      </c>
      <c r="B264" t="s">
        <v>647</v>
      </c>
      <c r="C264" t="s">
        <v>648</v>
      </c>
      <c r="D264" t="s">
        <v>10</v>
      </c>
      <c r="E264" t="s">
        <v>649</v>
      </c>
      <c r="G264" t="str">
        <f>HYPERLINK(_xlfn.CONCAT("https://tablet.otzar.org/",CHAR(35),"/book/647394/p/-1/t/1/fs/0/start/0/end/0/c"),"איסור היציאה מן הארץ")</f>
        <v>איסור היציאה מן הארץ</v>
      </c>
      <c r="H264" t="str">
        <f>_xlfn.CONCAT("https://tablet.otzar.org/",CHAR(35),"/book/647394/p/-1/t/1/fs/0/start/0/end/0/c")</f>
        <v>https://tablet.otzar.org/#/book/647394/p/-1/t/1/fs/0/start/0/end/0/c</v>
      </c>
    </row>
    <row r="265" spans="1:8" x14ac:dyDescent="0.25">
      <c r="A265">
        <v>654231</v>
      </c>
      <c r="B265" t="s">
        <v>650</v>
      </c>
      <c r="C265" t="s">
        <v>614</v>
      </c>
      <c r="D265" t="s">
        <v>34</v>
      </c>
      <c r="E265" t="s">
        <v>35</v>
      </c>
      <c r="G265" t="str">
        <f>HYPERLINK(_xlfn.CONCAT("https://tablet.otzar.org/",CHAR(35),"/book/654231/p/-1/t/1/fs/0/start/0/end/0/c"),"איפה לקטת היום")</f>
        <v>איפה לקטת היום</v>
      </c>
      <c r="H265" t="str">
        <f>_xlfn.CONCAT("https://tablet.otzar.org/",CHAR(35),"/book/654231/p/-1/t/1/fs/0/start/0/end/0/c")</f>
        <v>https://tablet.otzar.org/#/book/654231/p/-1/t/1/fs/0/start/0/end/0/c</v>
      </c>
    </row>
    <row r="266" spans="1:8" x14ac:dyDescent="0.25">
      <c r="A266">
        <v>654809</v>
      </c>
      <c r="B266" t="s">
        <v>651</v>
      </c>
      <c r="C266" t="s">
        <v>652</v>
      </c>
      <c r="D266" t="s">
        <v>10</v>
      </c>
      <c r="E266" t="s">
        <v>11</v>
      </c>
      <c r="G266" t="str">
        <f>HYPERLINK(_xlfn.CONCAT("https://tablet.otzar.org/",CHAR(35),"/book/654809/p/-1/t/1/fs/0/start/0/end/0/c"),"איפה שלימה")</f>
        <v>איפה שלימה</v>
      </c>
      <c r="H266" t="str">
        <f>_xlfn.CONCAT("https://tablet.otzar.org/",CHAR(35),"/book/654809/p/-1/t/1/fs/0/start/0/end/0/c")</f>
        <v>https://tablet.otzar.org/#/book/654809/p/-1/t/1/fs/0/start/0/end/0/c</v>
      </c>
    </row>
    <row r="267" spans="1:8" x14ac:dyDescent="0.25">
      <c r="A267">
        <v>656083</v>
      </c>
      <c r="B267" t="s">
        <v>653</v>
      </c>
      <c r="C267" t="s">
        <v>654</v>
      </c>
      <c r="D267" t="s">
        <v>340</v>
      </c>
      <c r="E267" t="s">
        <v>29</v>
      </c>
      <c r="G267" t="str">
        <f>HYPERLINK(_xlfn.CONCAT("https://tablet.otzar.org/",CHAR(35),"/book/656083/p/-1/t/1/fs/0/start/0/end/0/c"),"איש ומקומו")</f>
        <v>איש ומקומו</v>
      </c>
      <c r="H267" t="str">
        <f>_xlfn.CONCAT("https://tablet.otzar.org/",CHAR(35),"/book/656083/p/-1/t/1/fs/0/start/0/end/0/c")</f>
        <v>https://tablet.otzar.org/#/book/656083/p/-1/t/1/fs/0/start/0/end/0/c</v>
      </c>
    </row>
    <row r="268" spans="1:8" x14ac:dyDescent="0.25">
      <c r="A268">
        <v>655851</v>
      </c>
      <c r="B268" t="s">
        <v>655</v>
      </c>
      <c r="C268" t="s">
        <v>656</v>
      </c>
      <c r="E268" t="s">
        <v>657</v>
      </c>
      <c r="G268" t="str">
        <f>HYPERLINK(_xlfn.CONCAT("https://tablet.otzar.org/",CHAR(35),"/exKotar/655851"),"איש חי""""ל - תולדות רבי חנניה יום טוב ליפא לפקוביץ - 2 כרכים")</f>
        <v>איש חי""ל - תולדות רבי חנניה יום טוב ליפא לפקוביץ - 2 כרכים</v>
      </c>
      <c r="H268" t="str">
        <f>_xlfn.CONCAT("https://tablet.otzar.org/",CHAR(35),"/exKotar/655851")</f>
        <v>https://tablet.otzar.org/#/exKotar/655851</v>
      </c>
    </row>
    <row r="269" spans="1:8" x14ac:dyDescent="0.25">
      <c r="A269">
        <v>648813</v>
      </c>
      <c r="B269" t="s">
        <v>658</v>
      </c>
      <c r="C269" t="s">
        <v>659</v>
      </c>
      <c r="D269" t="s">
        <v>10</v>
      </c>
      <c r="E269" t="s">
        <v>126</v>
      </c>
      <c r="G269" t="str">
        <f>HYPERLINK(_xlfn.CONCAT("https://tablet.otzar.org/",CHAR(35),"/book/648813/p/-1/t/1/fs/0/start/0/end/0/c"),"איש חסיד היה - רבי אליהו ראטה")</f>
        <v>איש חסיד היה - רבי אליהו ראטה</v>
      </c>
      <c r="H269" t="str">
        <f>_xlfn.CONCAT("https://tablet.otzar.org/",CHAR(35),"/book/648813/p/-1/t/1/fs/0/start/0/end/0/c")</f>
        <v>https://tablet.otzar.org/#/book/648813/p/-1/t/1/fs/0/start/0/end/0/c</v>
      </c>
    </row>
    <row r="270" spans="1:8" x14ac:dyDescent="0.25">
      <c r="A270">
        <v>650554</v>
      </c>
      <c r="B270" t="s">
        <v>660</v>
      </c>
      <c r="C270" t="s">
        <v>661</v>
      </c>
      <c r="D270" t="s">
        <v>10</v>
      </c>
      <c r="E270" t="s">
        <v>11</v>
      </c>
      <c r="G270" t="str">
        <f>HYPERLINK(_xlfn.CONCAT("https://tablet.otzar.org/",CHAR(35),"/book/650554/p/-1/t/1/fs/0/start/0/end/0/c"),"איש יהודי היה")</f>
        <v>איש יהודי היה</v>
      </c>
      <c r="H270" t="str">
        <f>_xlfn.CONCAT("https://tablet.otzar.org/",CHAR(35),"/book/650554/p/-1/t/1/fs/0/start/0/end/0/c")</f>
        <v>https://tablet.otzar.org/#/book/650554/p/-1/t/1/fs/0/start/0/end/0/c</v>
      </c>
    </row>
    <row r="271" spans="1:8" x14ac:dyDescent="0.25">
      <c r="A271">
        <v>649872</v>
      </c>
      <c r="B271" t="s">
        <v>662</v>
      </c>
      <c r="C271" t="s">
        <v>663</v>
      </c>
      <c r="D271" t="s">
        <v>10</v>
      </c>
      <c r="E271" t="s">
        <v>117</v>
      </c>
      <c r="G271" t="str">
        <f>HYPERLINK(_xlfn.CONCAT("https://tablet.otzar.org/",CHAR(35),"/book/649872/p/-1/t/1/fs/0/start/0/end/0/c"),"אישות הלכה וכונות התורה")</f>
        <v>אישות הלכה וכונות התורה</v>
      </c>
      <c r="H271" t="str">
        <f>_xlfn.CONCAT("https://tablet.otzar.org/",CHAR(35),"/book/649872/p/-1/t/1/fs/0/start/0/end/0/c")</f>
        <v>https://tablet.otzar.org/#/book/649872/p/-1/t/1/fs/0/start/0/end/0/c</v>
      </c>
    </row>
    <row r="272" spans="1:8" x14ac:dyDescent="0.25">
      <c r="A272">
        <v>654219</v>
      </c>
      <c r="B272" t="s">
        <v>664</v>
      </c>
      <c r="C272" t="s">
        <v>665</v>
      </c>
      <c r="D272" t="s">
        <v>10</v>
      </c>
      <c r="E272" t="s">
        <v>11</v>
      </c>
      <c r="G272" t="str">
        <f>HYPERLINK(_xlfn.CONCAT("https://tablet.otzar.org/",CHAR(35),"/book/654219/p/-1/t/1/fs/0/start/0/end/0/c"),"אך טוב לישראל - ד")</f>
        <v>אך טוב לישראל - ד</v>
      </c>
      <c r="H272" t="str">
        <f>_xlfn.CONCAT("https://tablet.otzar.org/",CHAR(35),"/book/654219/p/-1/t/1/fs/0/start/0/end/0/c")</f>
        <v>https://tablet.otzar.org/#/book/654219/p/-1/t/1/fs/0/start/0/end/0/c</v>
      </c>
    </row>
    <row r="273" spans="1:8" x14ac:dyDescent="0.25">
      <c r="A273">
        <v>655178</v>
      </c>
      <c r="B273" t="s">
        <v>666</v>
      </c>
      <c r="C273" t="s">
        <v>667</v>
      </c>
      <c r="D273" t="s">
        <v>10</v>
      </c>
      <c r="E273" t="s">
        <v>11</v>
      </c>
      <c r="G273" t="str">
        <f>HYPERLINK(_xlfn.CONCAT("https://tablet.otzar.org/",CHAR(35),"/book/655178/p/-1/t/1/fs/0/start/0/end/0/c"),"אכילת בשר ושתיית יין בסעודת ברית בתשעת הימים")</f>
        <v>אכילת בשר ושתיית יין בסעודת ברית בתשעת הימים</v>
      </c>
      <c r="H273" t="str">
        <f>_xlfn.CONCAT("https://tablet.otzar.org/",CHAR(35),"/book/655178/p/-1/t/1/fs/0/start/0/end/0/c")</f>
        <v>https://tablet.otzar.org/#/book/655178/p/-1/t/1/fs/0/start/0/end/0/c</v>
      </c>
    </row>
    <row r="274" spans="1:8" x14ac:dyDescent="0.25">
      <c r="A274">
        <v>648993</v>
      </c>
      <c r="B274" t="s">
        <v>668</v>
      </c>
      <c r="C274" t="s">
        <v>669</v>
      </c>
      <c r="D274" t="s">
        <v>10</v>
      </c>
      <c r="E274" t="s">
        <v>670</v>
      </c>
      <c r="G274" t="str">
        <f>HYPERLINK(_xlfn.CONCAT("https://tablet.otzar.org/",CHAR(35),"/book/648993/p/-1/t/1/fs/0/start/0/end/0/c"),"אל עמי")</f>
        <v>אל עמי</v>
      </c>
      <c r="H274" t="str">
        <f>_xlfn.CONCAT("https://tablet.otzar.org/",CHAR(35),"/book/648993/p/-1/t/1/fs/0/start/0/end/0/c")</f>
        <v>https://tablet.otzar.org/#/book/648993/p/-1/t/1/fs/0/start/0/end/0/c</v>
      </c>
    </row>
    <row r="275" spans="1:8" x14ac:dyDescent="0.25">
      <c r="A275">
        <v>649551</v>
      </c>
      <c r="B275" t="s">
        <v>671</v>
      </c>
      <c r="C275" t="s">
        <v>672</v>
      </c>
      <c r="D275" t="s">
        <v>39</v>
      </c>
      <c r="E275" t="s">
        <v>673</v>
      </c>
      <c r="G275" t="str">
        <f>HYPERLINK(_xlfn.CONCAT("https://tablet.otzar.org/",CHAR(35),"/book/649551/p/-1/t/1/fs/0/start/0/end/0/c"),"אלדד הדני")</f>
        <v>אלדד הדני</v>
      </c>
      <c r="H275" t="str">
        <f>_xlfn.CONCAT("https://tablet.otzar.org/",CHAR(35),"/book/649551/p/-1/t/1/fs/0/start/0/end/0/c")</f>
        <v>https://tablet.otzar.org/#/book/649551/p/-1/t/1/fs/0/start/0/end/0/c</v>
      </c>
    </row>
    <row r="276" spans="1:8" x14ac:dyDescent="0.25">
      <c r="A276">
        <v>650784</v>
      </c>
      <c r="B276" t="s">
        <v>674</v>
      </c>
      <c r="C276" t="s">
        <v>675</v>
      </c>
      <c r="D276" t="s">
        <v>76</v>
      </c>
      <c r="E276" t="s">
        <v>676</v>
      </c>
      <c r="G276" t="str">
        <f>HYPERLINK(_xlfn.CONCAT("https://tablet.otzar.org/",CHAR(35),"/exKotar/650784"),"אלה הם מועדי - 3 כרכים")</f>
        <v>אלה הם מועדי - 3 כרכים</v>
      </c>
      <c r="H276" t="str">
        <f>_xlfn.CONCAT("https://tablet.otzar.org/",CHAR(35),"/exKotar/650784")</f>
        <v>https://tablet.otzar.org/#/exKotar/650784</v>
      </c>
    </row>
    <row r="277" spans="1:8" x14ac:dyDescent="0.25">
      <c r="A277">
        <v>653291</v>
      </c>
      <c r="B277" t="s">
        <v>677</v>
      </c>
      <c r="C277" t="s">
        <v>678</v>
      </c>
      <c r="D277" t="s">
        <v>10</v>
      </c>
      <c r="E277" t="s">
        <v>35</v>
      </c>
      <c r="G277" t="str">
        <f>HYPERLINK(_xlfn.CONCAT("https://tablet.otzar.org/",CHAR(35),"/exKotar/653291"),"אלה מועדי - 9 כרכים")</f>
        <v>אלה מועדי - 9 כרכים</v>
      </c>
      <c r="H277" t="str">
        <f>_xlfn.CONCAT("https://tablet.otzar.org/",CHAR(35),"/exKotar/653291")</f>
        <v>https://tablet.otzar.org/#/exKotar/653291</v>
      </c>
    </row>
    <row r="278" spans="1:8" x14ac:dyDescent="0.25">
      <c r="A278">
        <v>649265</v>
      </c>
      <c r="B278" t="s">
        <v>679</v>
      </c>
      <c r="C278" t="s">
        <v>680</v>
      </c>
      <c r="D278" t="s">
        <v>681</v>
      </c>
      <c r="E278" t="s">
        <v>682</v>
      </c>
      <c r="G278" t="str">
        <f>HYPERLINK(_xlfn.CONCAT("https://tablet.otzar.org/",CHAR(35),"/book/649265/p/-1/t/1/fs/0/start/0/end/0/c"),"אלה מסעי")</f>
        <v>אלה מסעי</v>
      </c>
      <c r="H278" t="str">
        <f>_xlfn.CONCAT("https://tablet.otzar.org/",CHAR(35),"/book/649265/p/-1/t/1/fs/0/start/0/end/0/c")</f>
        <v>https://tablet.otzar.org/#/book/649265/p/-1/t/1/fs/0/start/0/end/0/c</v>
      </c>
    </row>
    <row r="279" spans="1:8" x14ac:dyDescent="0.25">
      <c r="A279">
        <v>650787</v>
      </c>
      <c r="B279" t="s">
        <v>683</v>
      </c>
      <c r="C279" t="s">
        <v>614</v>
      </c>
      <c r="D279" t="s">
        <v>193</v>
      </c>
      <c r="E279" t="s">
        <v>224</v>
      </c>
      <c r="G279" t="str">
        <f>HYPERLINK(_xlfn.CONCAT("https://tablet.otzar.org/",CHAR(35),"/book/650787/p/-1/t/1/fs/0/start/0/end/0/c"),"אלה תולדות")</f>
        <v>אלה תולדות</v>
      </c>
      <c r="H279" t="str">
        <f>_xlfn.CONCAT("https://tablet.otzar.org/",CHAR(35),"/book/650787/p/-1/t/1/fs/0/start/0/end/0/c")</f>
        <v>https://tablet.otzar.org/#/book/650787/p/-1/t/1/fs/0/start/0/end/0/c</v>
      </c>
    </row>
    <row r="280" spans="1:8" x14ac:dyDescent="0.25">
      <c r="A280">
        <v>655984</v>
      </c>
      <c r="B280" t="s">
        <v>684</v>
      </c>
      <c r="C280" t="s">
        <v>685</v>
      </c>
      <c r="D280" t="s">
        <v>52</v>
      </c>
      <c r="E280" t="s">
        <v>84</v>
      </c>
      <c r="G280" t="str">
        <f>HYPERLINK(_xlfn.CONCAT("https://tablet.otzar.org/",CHAR(35),"/book/655984/p/-1/t/1/fs/0/start/0/end/0/c"),"אלומת יוסף")</f>
        <v>אלומת יוסף</v>
      </c>
      <c r="H280" t="str">
        <f>_xlfn.CONCAT("https://tablet.otzar.org/",CHAR(35),"/book/655984/p/-1/t/1/fs/0/start/0/end/0/c")</f>
        <v>https://tablet.otzar.org/#/book/655984/p/-1/t/1/fs/0/start/0/end/0/c</v>
      </c>
    </row>
    <row r="281" spans="1:8" x14ac:dyDescent="0.25">
      <c r="A281">
        <v>651889</v>
      </c>
      <c r="B281" t="s">
        <v>686</v>
      </c>
      <c r="C281" t="s">
        <v>687</v>
      </c>
      <c r="D281" t="s">
        <v>10</v>
      </c>
      <c r="E281" t="s">
        <v>62</v>
      </c>
      <c r="G281" t="str">
        <f>HYPERLINK(_xlfn.CONCAT("https://tablet.otzar.org/",CHAR(35),"/book/651889/p/-1/t/1/fs/0/start/0/end/0/c"),"אלופי יהודה - דרשות")</f>
        <v>אלופי יהודה - דרשות</v>
      </c>
      <c r="H281" t="str">
        <f>_xlfn.CONCAT("https://tablet.otzar.org/",CHAR(35),"/book/651889/p/-1/t/1/fs/0/start/0/end/0/c")</f>
        <v>https://tablet.otzar.org/#/book/651889/p/-1/t/1/fs/0/start/0/end/0/c</v>
      </c>
    </row>
    <row r="282" spans="1:8" x14ac:dyDescent="0.25">
      <c r="A282">
        <v>653308</v>
      </c>
      <c r="B282" t="s">
        <v>688</v>
      </c>
      <c r="C282" t="s">
        <v>689</v>
      </c>
      <c r="D282" t="s">
        <v>10</v>
      </c>
      <c r="E282" t="s">
        <v>690</v>
      </c>
      <c r="G282" t="str">
        <f>HYPERLINK(_xlfn.CONCAT("https://tablet.otzar.org/",CHAR(35),"/exKotar/653308"),"אליבא דהלכתא - 2 כרכים")</f>
        <v>אליבא דהלכתא - 2 כרכים</v>
      </c>
      <c r="H282" t="str">
        <f>_xlfn.CONCAT("https://tablet.otzar.org/",CHAR(35),"/exKotar/653308")</f>
        <v>https://tablet.otzar.org/#/exKotar/653308</v>
      </c>
    </row>
    <row r="283" spans="1:8" x14ac:dyDescent="0.25">
      <c r="A283">
        <v>653268</v>
      </c>
      <c r="B283" t="s">
        <v>691</v>
      </c>
      <c r="C283" t="s">
        <v>692</v>
      </c>
      <c r="D283" t="s">
        <v>693</v>
      </c>
      <c r="E283" t="s">
        <v>694</v>
      </c>
      <c r="G283" t="str">
        <f>HYPERLINK(_xlfn.CONCAT("https://tablet.otzar.org/",CHAR(35),"/book/653268/p/-1/t/1/fs/0/start/0/end/0/c"),"אלף המג""""ן")</f>
        <v>אלף המג""ן</v>
      </c>
      <c r="H283" t="str">
        <f>_xlfn.CONCAT("https://tablet.otzar.org/",CHAR(35),"/book/653268/p/-1/t/1/fs/0/start/0/end/0/c")</f>
        <v>https://tablet.otzar.org/#/book/653268/p/-1/t/1/fs/0/start/0/end/0/c</v>
      </c>
    </row>
    <row r="284" spans="1:8" x14ac:dyDescent="0.25">
      <c r="A284">
        <v>652032</v>
      </c>
      <c r="B284" t="s">
        <v>695</v>
      </c>
      <c r="C284" t="s">
        <v>696</v>
      </c>
      <c r="D284" t="s">
        <v>52</v>
      </c>
      <c r="E284" t="s">
        <v>697</v>
      </c>
      <c r="G284" t="str">
        <f>HYPERLINK(_xlfn.CONCAT("https://tablet.otzar.org/",CHAR(35),"/book/652032/p/-1/t/1/fs/0/start/0/end/0/c"),"אלפי ישראל - החי א")</f>
        <v>אלפי ישראל - החי א</v>
      </c>
      <c r="H284" t="str">
        <f>_xlfn.CONCAT("https://tablet.otzar.org/",CHAR(35),"/book/652032/p/-1/t/1/fs/0/start/0/end/0/c")</f>
        <v>https://tablet.otzar.org/#/book/652032/p/-1/t/1/fs/0/start/0/end/0/c</v>
      </c>
    </row>
    <row r="285" spans="1:8" x14ac:dyDescent="0.25">
      <c r="A285">
        <v>654653</v>
      </c>
      <c r="B285" t="s">
        <v>698</v>
      </c>
      <c r="C285" t="s">
        <v>699</v>
      </c>
      <c r="D285" t="s">
        <v>52</v>
      </c>
      <c r="E285" t="s">
        <v>77</v>
      </c>
      <c r="G285" t="str">
        <f>HYPERLINK(_xlfn.CONCAT("https://tablet.otzar.org/",CHAR(35),"/book/654653/p/-1/t/1/fs/0/start/0/end/0/c"),"אלפי ישראל - ירח האיתנים")</f>
        <v>אלפי ישראל - ירח האיתנים</v>
      </c>
      <c r="H285" t="str">
        <f>_xlfn.CONCAT("https://tablet.otzar.org/",CHAR(35),"/book/654653/p/-1/t/1/fs/0/start/0/end/0/c")</f>
        <v>https://tablet.otzar.org/#/book/654653/p/-1/t/1/fs/0/start/0/end/0/c</v>
      </c>
    </row>
    <row r="286" spans="1:8" x14ac:dyDescent="0.25">
      <c r="A286">
        <v>648777</v>
      </c>
      <c r="B286" t="s">
        <v>700</v>
      </c>
      <c r="C286" t="s">
        <v>701</v>
      </c>
      <c r="D286" t="s">
        <v>52</v>
      </c>
      <c r="E286" t="s">
        <v>70</v>
      </c>
      <c r="G286" t="str">
        <f>HYPERLINK(_xlfn.CONCAT("https://tablet.otzar.org/",CHAR(35),"/book/648777/p/-1/t/1/fs/0/start/0/end/0/c"),"אלקטה באמרים - תשובה, אלול וכו'")</f>
        <v>אלקטה באמרים - תשובה, אלול וכו'</v>
      </c>
      <c r="H286" t="str">
        <f>_xlfn.CONCAT("https://tablet.otzar.org/",CHAR(35),"/book/648777/p/-1/t/1/fs/0/start/0/end/0/c")</f>
        <v>https://tablet.otzar.org/#/book/648777/p/-1/t/1/fs/0/start/0/end/0/c</v>
      </c>
    </row>
    <row r="287" spans="1:8" x14ac:dyDescent="0.25">
      <c r="A287">
        <v>653950</v>
      </c>
      <c r="B287" t="s">
        <v>702</v>
      </c>
      <c r="C287" t="s">
        <v>703</v>
      </c>
      <c r="D287" t="s">
        <v>10</v>
      </c>
      <c r="E287" t="s">
        <v>704</v>
      </c>
      <c r="G287" t="str">
        <f>HYPERLINK(_xlfn.CONCAT("https://tablet.otzar.org/",CHAR(35),"/book/653950/p/-1/t/1/fs/0/start/0/end/0/c"),"אם הבנים שמחה &lt;מהדורה חדשה&gt;")</f>
        <v>אם הבנים שמחה &lt;מהדורה חדשה&gt;</v>
      </c>
      <c r="H287" t="str">
        <f>_xlfn.CONCAT("https://tablet.otzar.org/",CHAR(35),"/book/653950/p/-1/t/1/fs/0/start/0/end/0/c")</f>
        <v>https://tablet.otzar.org/#/book/653950/p/-1/t/1/fs/0/start/0/end/0/c</v>
      </c>
    </row>
    <row r="288" spans="1:8" x14ac:dyDescent="0.25">
      <c r="A288">
        <v>648181</v>
      </c>
      <c r="B288" t="s">
        <v>705</v>
      </c>
      <c r="C288" t="s">
        <v>706</v>
      </c>
      <c r="D288" t="s">
        <v>424</v>
      </c>
      <c r="E288" t="s">
        <v>70</v>
      </c>
      <c r="G288" t="str">
        <f>HYPERLINK(_xlfn.CONCAT("https://tablet.otzar.org/",CHAR(35),"/book/648181/p/-1/t/1/fs/0/start/0/end/0/c"),"אם לבינה - א")</f>
        <v>אם לבינה - א</v>
      </c>
      <c r="H288" t="str">
        <f>_xlfn.CONCAT("https://tablet.otzar.org/",CHAR(35),"/book/648181/p/-1/t/1/fs/0/start/0/end/0/c")</f>
        <v>https://tablet.otzar.org/#/book/648181/p/-1/t/1/fs/0/start/0/end/0/c</v>
      </c>
    </row>
    <row r="289" spans="1:8" x14ac:dyDescent="0.25">
      <c r="A289">
        <v>642861</v>
      </c>
      <c r="B289" t="s">
        <v>707</v>
      </c>
      <c r="C289" t="s">
        <v>708</v>
      </c>
      <c r="E289" t="s">
        <v>306</v>
      </c>
      <c r="G289" t="str">
        <f>HYPERLINK(_xlfn.CONCAT("https://tablet.otzar.org/",CHAR(35),"/book/642861/p/-1/t/1/fs/0/start/0/end/0/c"),"אם תראה בהלקחי מעימך")</f>
        <v>אם תראה בהלקחי מעימך</v>
      </c>
      <c r="H289" t="str">
        <f>_xlfn.CONCAT("https://tablet.otzar.org/",CHAR(35),"/book/642861/p/-1/t/1/fs/0/start/0/end/0/c")</f>
        <v>https://tablet.otzar.org/#/book/642861/p/-1/t/1/fs/0/start/0/end/0/c</v>
      </c>
    </row>
    <row r="290" spans="1:8" x14ac:dyDescent="0.25">
      <c r="A290">
        <v>648291</v>
      </c>
      <c r="B290" t="s">
        <v>709</v>
      </c>
      <c r="C290" t="s">
        <v>382</v>
      </c>
      <c r="D290" t="s">
        <v>34</v>
      </c>
      <c r="E290" t="s">
        <v>710</v>
      </c>
      <c r="G290" t="str">
        <f>HYPERLINK(_xlfn.CONCAT("https://tablet.otzar.org/",CHAR(35),"/book/648291/p/-1/t/1/fs/0/start/0/end/0/c"),"אמונה - 2")</f>
        <v>אמונה - 2</v>
      </c>
      <c r="H290" t="str">
        <f>_xlfn.CONCAT("https://tablet.otzar.org/",CHAR(35),"/book/648291/p/-1/t/1/fs/0/start/0/end/0/c")</f>
        <v>https://tablet.otzar.org/#/book/648291/p/-1/t/1/fs/0/start/0/end/0/c</v>
      </c>
    </row>
    <row r="291" spans="1:8" x14ac:dyDescent="0.25">
      <c r="A291">
        <v>650058</v>
      </c>
      <c r="B291" t="s">
        <v>711</v>
      </c>
      <c r="C291" t="s">
        <v>712</v>
      </c>
      <c r="E291" t="s">
        <v>507</v>
      </c>
      <c r="G291" t="str">
        <f>HYPERLINK(_xlfn.CONCAT("https://tablet.otzar.org/",CHAR(35),"/book/650058/p/-1/t/1/fs/0/start/0/end/0/c"),"אמונה")</f>
        <v>אמונה</v>
      </c>
      <c r="H291" t="str">
        <f>_xlfn.CONCAT("https://tablet.otzar.org/",CHAR(35),"/book/650058/p/-1/t/1/fs/0/start/0/end/0/c")</f>
        <v>https://tablet.otzar.org/#/book/650058/p/-1/t/1/fs/0/start/0/end/0/c</v>
      </c>
    </row>
    <row r="292" spans="1:8" x14ac:dyDescent="0.25">
      <c r="A292">
        <v>649254</v>
      </c>
      <c r="B292" t="s">
        <v>713</v>
      </c>
      <c r="C292" t="s">
        <v>714</v>
      </c>
      <c r="D292" t="s">
        <v>715</v>
      </c>
      <c r="E292" t="s">
        <v>716</v>
      </c>
      <c r="G292" t="str">
        <f>HYPERLINK(_xlfn.CONCAT("https://tablet.otzar.org/",CHAR(35),"/book/649254/p/-1/t/1/fs/0/start/0/end/0/c"),"אמונה ישרה - ג")</f>
        <v>אמונה ישרה - ג</v>
      </c>
      <c r="H292" t="str">
        <f>_xlfn.CONCAT("https://tablet.otzar.org/",CHAR(35),"/book/649254/p/-1/t/1/fs/0/start/0/end/0/c")</f>
        <v>https://tablet.otzar.org/#/book/649254/p/-1/t/1/fs/0/start/0/end/0/c</v>
      </c>
    </row>
    <row r="293" spans="1:8" x14ac:dyDescent="0.25">
      <c r="A293">
        <v>647898</v>
      </c>
      <c r="B293" t="s">
        <v>717</v>
      </c>
      <c r="C293" t="s">
        <v>718</v>
      </c>
      <c r="D293" t="s">
        <v>58</v>
      </c>
      <c r="E293" t="s">
        <v>719</v>
      </c>
      <c r="G293" t="str">
        <f>HYPERLINK(_xlfn.CONCAT("https://tablet.otzar.org/",CHAR(35),"/book/647898/p/-1/t/1/fs/0/start/0/end/0/c"),"אמונים נוצר")</f>
        <v>אמונים נוצר</v>
      </c>
      <c r="H293" t="str">
        <f>_xlfn.CONCAT("https://tablet.otzar.org/",CHAR(35),"/book/647898/p/-1/t/1/fs/0/start/0/end/0/c")</f>
        <v>https://tablet.otzar.org/#/book/647898/p/-1/t/1/fs/0/start/0/end/0/c</v>
      </c>
    </row>
    <row r="294" spans="1:8" x14ac:dyDescent="0.25">
      <c r="A294">
        <v>653635</v>
      </c>
      <c r="B294" t="s">
        <v>720</v>
      </c>
      <c r="C294" t="s">
        <v>721</v>
      </c>
      <c r="D294" t="s">
        <v>52</v>
      </c>
      <c r="E294" t="s">
        <v>35</v>
      </c>
      <c r="G294" t="str">
        <f>HYPERLINK(_xlfn.CONCAT("https://tablet.otzar.org/",CHAR(35),"/book/653635/p/-1/t/1/fs/0/start/0/end/0/c"),"אמונת איש - פאה, דמאי, כלאים")</f>
        <v>אמונת איש - פאה, דמאי, כלאים</v>
      </c>
      <c r="H294" t="str">
        <f>_xlfn.CONCAT("https://tablet.otzar.org/",CHAR(35),"/book/653635/p/-1/t/1/fs/0/start/0/end/0/c")</f>
        <v>https://tablet.otzar.org/#/book/653635/p/-1/t/1/fs/0/start/0/end/0/c</v>
      </c>
    </row>
    <row r="295" spans="1:8" x14ac:dyDescent="0.25">
      <c r="A295">
        <v>651404</v>
      </c>
      <c r="B295" t="s">
        <v>722</v>
      </c>
      <c r="C295" t="s">
        <v>723</v>
      </c>
      <c r="D295" t="s">
        <v>724</v>
      </c>
      <c r="E295" t="s">
        <v>77</v>
      </c>
      <c r="G295" t="str">
        <f>HYPERLINK(_xlfn.CONCAT("https://tablet.otzar.org/",CHAR(35),"/book/651404/p/-1/t/1/fs/0/start/0/end/0/c"),"אמונת עתיך - (תשעד) גליונות 100")</f>
        <v>אמונת עתיך - (תשעד) גליונות 100</v>
      </c>
      <c r="H295" t="str">
        <f>_xlfn.CONCAT("https://tablet.otzar.org/",CHAR(35),"/book/651404/p/-1/t/1/fs/0/start/0/end/0/c")</f>
        <v>https://tablet.otzar.org/#/book/651404/p/-1/t/1/fs/0/start/0/end/0/c</v>
      </c>
    </row>
    <row r="296" spans="1:8" x14ac:dyDescent="0.25">
      <c r="A296">
        <v>655719</v>
      </c>
      <c r="B296" t="s">
        <v>725</v>
      </c>
      <c r="C296" t="s">
        <v>726</v>
      </c>
      <c r="E296" t="s">
        <v>35</v>
      </c>
      <c r="G296" t="str">
        <f>HYPERLINK(_xlfn.CONCAT("https://tablet.otzar.org/",CHAR(35),"/book/655719/p/-1/t/1/fs/0/start/0/end/0/c"),"אמירה דכיא")</f>
        <v>אמירה דכיא</v>
      </c>
      <c r="H296" t="str">
        <f>_xlfn.CONCAT("https://tablet.otzar.org/",CHAR(35),"/book/655719/p/-1/t/1/fs/0/start/0/end/0/c")</f>
        <v>https://tablet.otzar.org/#/book/655719/p/-1/t/1/fs/0/start/0/end/0/c</v>
      </c>
    </row>
    <row r="297" spans="1:8" x14ac:dyDescent="0.25">
      <c r="A297">
        <v>656129</v>
      </c>
      <c r="B297" t="s">
        <v>727</v>
      </c>
      <c r="C297" t="s">
        <v>728</v>
      </c>
      <c r="D297" t="s">
        <v>52</v>
      </c>
      <c r="E297" t="s">
        <v>35</v>
      </c>
      <c r="G297" t="str">
        <f>HYPERLINK(_xlfn.CONCAT("https://tablet.otzar.org/",CHAR(35),"/book/656129/p/-1/t/1/fs/0/start/0/end/0/c"),"אמירה נעימה")</f>
        <v>אמירה נעימה</v>
      </c>
      <c r="H297" t="str">
        <f>_xlfn.CONCAT("https://tablet.otzar.org/",CHAR(35),"/book/656129/p/-1/t/1/fs/0/start/0/end/0/c")</f>
        <v>https://tablet.otzar.org/#/book/656129/p/-1/t/1/fs/0/start/0/end/0/c</v>
      </c>
    </row>
    <row r="298" spans="1:8" x14ac:dyDescent="0.25">
      <c r="A298">
        <v>655756</v>
      </c>
      <c r="B298" t="s">
        <v>729</v>
      </c>
      <c r="C298" t="s">
        <v>730</v>
      </c>
      <c r="D298" t="s">
        <v>731</v>
      </c>
      <c r="E298" t="s">
        <v>320</v>
      </c>
      <c r="G298" t="str">
        <f>HYPERLINK(_xlfn.CONCAT("https://tablet.otzar.org/",CHAR(35),"/book/655756/p/-1/t/1/fs/0/start/0/end/0/c"),"אמר רבי אלעזר")</f>
        <v>אמר רבי אלעזר</v>
      </c>
      <c r="H298" t="str">
        <f>_xlfn.CONCAT("https://tablet.otzar.org/",CHAR(35),"/book/655756/p/-1/t/1/fs/0/start/0/end/0/c")</f>
        <v>https://tablet.otzar.org/#/book/655756/p/-1/t/1/fs/0/start/0/end/0/c</v>
      </c>
    </row>
    <row r="299" spans="1:8" x14ac:dyDescent="0.25">
      <c r="A299">
        <v>655955</v>
      </c>
      <c r="B299" t="s">
        <v>732</v>
      </c>
      <c r="C299" t="s">
        <v>733</v>
      </c>
      <c r="D299" t="s">
        <v>52</v>
      </c>
      <c r="E299" t="s">
        <v>657</v>
      </c>
      <c r="G299" t="str">
        <f>HYPERLINK(_xlfn.CONCAT("https://tablet.otzar.org/",CHAR(35),"/book/655955/p/-1/t/1/fs/0/start/0/end/0/c"),"אמרה צרופה - גיטין")</f>
        <v>אמרה צרופה - גיטין</v>
      </c>
      <c r="H299" t="str">
        <f>_xlfn.CONCAT("https://tablet.otzar.org/",CHAR(35),"/book/655955/p/-1/t/1/fs/0/start/0/end/0/c")</f>
        <v>https://tablet.otzar.org/#/book/655955/p/-1/t/1/fs/0/start/0/end/0/c</v>
      </c>
    </row>
    <row r="300" spans="1:8" x14ac:dyDescent="0.25">
      <c r="A300">
        <v>649835</v>
      </c>
      <c r="B300" t="s">
        <v>734</v>
      </c>
      <c r="C300" t="s">
        <v>735</v>
      </c>
      <c r="E300" t="s">
        <v>736</v>
      </c>
      <c r="G300" t="str">
        <f>HYPERLINK(_xlfn.CONCAT("https://tablet.otzar.org/",CHAR(35),"/exKotar/649835"),"אמרה שיש בה אמירה - 3 כרכים")</f>
        <v>אמרה שיש בה אמירה - 3 כרכים</v>
      </c>
      <c r="H300" t="str">
        <f>_xlfn.CONCAT("https://tablet.otzar.org/",CHAR(35),"/exKotar/649835")</f>
        <v>https://tablet.otzar.org/#/exKotar/649835</v>
      </c>
    </row>
    <row r="301" spans="1:8" x14ac:dyDescent="0.25">
      <c r="A301">
        <v>652957</v>
      </c>
      <c r="B301" t="s">
        <v>737</v>
      </c>
      <c r="C301" t="s">
        <v>738</v>
      </c>
      <c r="D301" t="s">
        <v>10</v>
      </c>
      <c r="E301" t="s">
        <v>62</v>
      </c>
      <c r="G301" t="str">
        <f>HYPERLINK(_xlfn.CONCAT("https://tablet.otzar.org/",CHAR(35),"/book/652957/p/-1/t/1/fs/0/start/0/end/0/c"),"אמרו לפני מלכיות")</f>
        <v>אמרו לפני מלכיות</v>
      </c>
      <c r="H301" t="str">
        <f>_xlfn.CONCAT("https://tablet.otzar.org/",CHAR(35),"/book/652957/p/-1/t/1/fs/0/start/0/end/0/c")</f>
        <v>https://tablet.otzar.org/#/book/652957/p/-1/t/1/fs/0/start/0/end/0/c</v>
      </c>
    </row>
    <row r="302" spans="1:8" x14ac:dyDescent="0.25">
      <c r="A302">
        <v>650984</v>
      </c>
      <c r="B302" t="s">
        <v>739</v>
      </c>
      <c r="C302" t="s">
        <v>740</v>
      </c>
      <c r="D302" t="s">
        <v>10</v>
      </c>
      <c r="E302" t="s">
        <v>11</v>
      </c>
      <c r="G302" t="str">
        <f>HYPERLINK(_xlfn.CONCAT("https://tablet.otzar.org/",CHAR(35),"/book/650984/p/-1/t/1/fs/0/start/0/end/0/c"),"אמרות דעת")</f>
        <v>אמרות דעת</v>
      </c>
      <c r="H302" t="str">
        <f>_xlfn.CONCAT("https://tablet.otzar.org/",CHAR(35),"/book/650984/p/-1/t/1/fs/0/start/0/end/0/c")</f>
        <v>https://tablet.otzar.org/#/book/650984/p/-1/t/1/fs/0/start/0/end/0/c</v>
      </c>
    </row>
    <row r="303" spans="1:8" x14ac:dyDescent="0.25">
      <c r="A303">
        <v>619441</v>
      </c>
      <c r="B303" t="s">
        <v>741</v>
      </c>
      <c r="C303" t="s">
        <v>742</v>
      </c>
      <c r="D303" t="s">
        <v>510</v>
      </c>
      <c r="E303" t="s">
        <v>161</v>
      </c>
      <c r="G303" t="str">
        <f>HYPERLINK(_xlfn.CONCAT("https://tablet.otzar.org/",CHAR(35),"/book/619441/p/-1/t/1/fs/0/start/0/end/0/c"),"אמרות חיים")</f>
        <v>אמרות חיים</v>
      </c>
      <c r="H303" t="str">
        <f>_xlfn.CONCAT("https://tablet.otzar.org/",CHAR(35),"/book/619441/p/-1/t/1/fs/0/start/0/end/0/c")</f>
        <v>https://tablet.otzar.org/#/book/619441/p/-1/t/1/fs/0/start/0/end/0/c</v>
      </c>
    </row>
    <row r="304" spans="1:8" x14ac:dyDescent="0.25">
      <c r="A304">
        <v>647386</v>
      </c>
      <c r="B304" t="s">
        <v>743</v>
      </c>
      <c r="C304" t="s">
        <v>744</v>
      </c>
      <c r="D304" t="s">
        <v>745</v>
      </c>
      <c r="E304" t="s">
        <v>670</v>
      </c>
      <c r="G304" t="str">
        <f>HYPERLINK(_xlfn.CONCAT("https://tablet.otzar.org/",CHAR(35),"/book/647386/p/-1/t/1/fs/0/start/0/end/0/c"),"אמרות טהורות - סוכות")</f>
        <v>אמרות טהורות - סוכות</v>
      </c>
      <c r="H304" t="str">
        <f>_xlfn.CONCAT("https://tablet.otzar.org/",CHAR(35),"/book/647386/p/-1/t/1/fs/0/start/0/end/0/c")</f>
        <v>https://tablet.otzar.org/#/book/647386/p/-1/t/1/fs/0/start/0/end/0/c</v>
      </c>
    </row>
    <row r="305" spans="1:8" x14ac:dyDescent="0.25">
      <c r="A305">
        <v>654315</v>
      </c>
      <c r="B305" t="s">
        <v>746</v>
      </c>
      <c r="C305" t="s">
        <v>747</v>
      </c>
      <c r="D305" t="s">
        <v>181</v>
      </c>
      <c r="E305" t="s">
        <v>84</v>
      </c>
      <c r="G305" t="str">
        <f>HYPERLINK(_xlfn.CONCAT("https://tablet.otzar.org/",CHAR(35),"/book/654315/p/-1/t/1/fs/0/start/0/end/0/c"),"אמרות משה - בבא קמא")</f>
        <v>אמרות משה - בבא קמא</v>
      </c>
      <c r="H305" t="str">
        <f>_xlfn.CONCAT("https://tablet.otzar.org/",CHAR(35),"/book/654315/p/-1/t/1/fs/0/start/0/end/0/c")</f>
        <v>https://tablet.otzar.org/#/book/654315/p/-1/t/1/fs/0/start/0/end/0/c</v>
      </c>
    </row>
    <row r="306" spans="1:8" x14ac:dyDescent="0.25">
      <c r="A306">
        <v>84829</v>
      </c>
      <c r="B306" t="s">
        <v>748</v>
      </c>
      <c r="C306" t="s">
        <v>749</v>
      </c>
      <c r="D306" t="s">
        <v>10</v>
      </c>
      <c r="E306" t="s">
        <v>495</v>
      </c>
      <c r="G306" t="str">
        <f>HYPERLINK(_xlfn.CONCAT("https://tablet.otzar.org/",CHAR(35),"/book/84829/p/-1/t/1/fs/0/start/0/end/0/c"),"אמרי אברהם, אמרי חיים")</f>
        <v>אמרי אברהם, אמרי חיים</v>
      </c>
      <c r="H306" t="str">
        <f>_xlfn.CONCAT("https://tablet.otzar.org/",CHAR(35),"/book/84829/p/-1/t/1/fs/0/start/0/end/0/c")</f>
        <v>https://tablet.otzar.org/#/book/84829/p/-1/t/1/fs/0/start/0/end/0/c</v>
      </c>
    </row>
    <row r="307" spans="1:8" x14ac:dyDescent="0.25">
      <c r="A307">
        <v>649007</v>
      </c>
      <c r="B307" t="s">
        <v>750</v>
      </c>
      <c r="C307" t="s">
        <v>751</v>
      </c>
      <c r="D307" t="s">
        <v>88</v>
      </c>
      <c r="E307" t="s">
        <v>11</v>
      </c>
      <c r="G307" t="str">
        <f>HYPERLINK(_xlfn.CONCAT("https://tablet.otzar.org/",CHAR(35),"/book/649007/p/-1/t/1/fs/0/start/0/end/0/c"),"אמרי אליהו - שבת")</f>
        <v>אמרי אליהו - שבת</v>
      </c>
      <c r="H307" t="str">
        <f>_xlfn.CONCAT("https://tablet.otzar.org/",CHAR(35),"/book/649007/p/-1/t/1/fs/0/start/0/end/0/c")</f>
        <v>https://tablet.otzar.org/#/book/649007/p/-1/t/1/fs/0/start/0/end/0/c</v>
      </c>
    </row>
    <row r="308" spans="1:8" x14ac:dyDescent="0.25">
      <c r="A308">
        <v>650388</v>
      </c>
      <c r="B308" t="s">
        <v>752</v>
      </c>
      <c r="C308" t="s">
        <v>753</v>
      </c>
      <c r="D308" t="s">
        <v>754</v>
      </c>
      <c r="E308" t="s">
        <v>213</v>
      </c>
      <c r="G308" t="str">
        <f>HYPERLINK(_xlfn.CONCAT("https://tablet.otzar.org/",CHAR(35),"/exKotar/650388"),"אמרי אליהו - 5 כרכים")</f>
        <v>אמרי אליהו - 5 כרכים</v>
      </c>
      <c r="H308" t="str">
        <f>_xlfn.CONCAT("https://tablet.otzar.org/",CHAR(35),"/exKotar/650388")</f>
        <v>https://tablet.otzar.org/#/exKotar/650388</v>
      </c>
    </row>
    <row r="309" spans="1:8" x14ac:dyDescent="0.25">
      <c r="A309">
        <v>651564</v>
      </c>
      <c r="B309" t="s">
        <v>755</v>
      </c>
      <c r="C309" t="s">
        <v>756</v>
      </c>
      <c r="D309" t="s">
        <v>510</v>
      </c>
      <c r="E309" t="s">
        <v>117</v>
      </c>
      <c r="G309" t="str">
        <f>HYPERLINK(_xlfn.CONCAT("https://tablet.otzar.org/",CHAR(35),"/book/651564/p/-1/t/1/fs/0/start/0/end/0/c"),"אמרי בינה &lt;כוונת המקווה&gt;")</f>
        <v>אמרי בינה &lt;כוונת המקווה&gt;</v>
      </c>
      <c r="H309" t="str">
        <f>_xlfn.CONCAT("https://tablet.otzar.org/",CHAR(35),"/book/651564/p/-1/t/1/fs/0/start/0/end/0/c")</f>
        <v>https://tablet.otzar.org/#/book/651564/p/-1/t/1/fs/0/start/0/end/0/c</v>
      </c>
    </row>
    <row r="310" spans="1:8" x14ac:dyDescent="0.25">
      <c r="A310">
        <v>653675</v>
      </c>
      <c r="B310" t="s">
        <v>757</v>
      </c>
      <c r="C310" t="s">
        <v>758</v>
      </c>
      <c r="E310" t="s">
        <v>507</v>
      </c>
      <c r="G310" t="str">
        <f>HYPERLINK(_xlfn.CONCAT("https://tablet.otzar.org/",CHAR(35),"/exKotar/653675"),"אמרי בנימין - 2 כרכים")</f>
        <v>אמרי בנימין - 2 כרכים</v>
      </c>
      <c r="H310" t="str">
        <f>_xlfn.CONCAT("https://tablet.otzar.org/",CHAR(35),"/exKotar/653675")</f>
        <v>https://tablet.otzar.org/#/exKotar/653675</v>
      </c>
    </row>
    <row r="311" spans="1:8" x14ac:dyDescent="0.25">
      <c r="A311">
        <v>657048</v>
      </c>
      <c r="B311" t="s">
        <v>759</v>
      </c>
      <c r="C311" t="s">
        <v>760</v>
      </c>
      <c r="E311" t="s">
        <v>704</v>
      </c>
      <c r="G311" t="str">
        <f>HYPERLINK(_xlfn.CONCAT("https://tablet.otzar.org/",CHAR(35),"/book/657048/p/-1/t/1/fs/0/start/0/end/0/c"),"אמרי דבש")</f>
        <v>אמרי דבש</v>
      </c>
      <c r="H311" t="str">
        <f>_xlfn.CONCAT("https://tablet.otzar.org/",CHAR(35),"/book/657048/p/-1/t/1/fs/0/start/0/end/0/c")</f>
        <v>https://tablet.otzar.org/#/book/657048/p/-1/t/1/fs/0/start/0/end/0/c</v>
      </c>
    </row>
    <row r="312" spans="1:8" x14ac:dyDescent="0.25">
      <c r="A312">
        <v>648439</v>
      </c>
      <c r="B312" t="s">
        <v>761</v>
      </c>
      <c r="C312" t="s">
        <v>762</v>
      </c>
      <c r="D312" t="s">
        <v>10</v>
      </c>
      <c r="E312" t="s">
        <v>763</v>
      </c>
      <c r="G312" t="str">
        <f>HYPERLINK(_xlfn.CONCAT("https://tablet.otzar.org/",CHAR(35),"/book/648439/p/-1/t/1/fs/0/start/0/end/0/c"),"אמרי דוד")</f>
        <v>אמרי דוד</v>
      </c>
      <c r="H312" t="str">
        <f>_xlfn.CONCAT("https://tablet.otzar.org/",CHAR(35),"/book/648439/p/-1/t/1/fs/0/start/0/end/0/c")</f>
        <v>https://tablet.otzar.org/#/book/648439/p/-1/t/1/fs/0/start/0/end/0/c</v>
      </c>
    </row>
    <row r="313" spans="1:8" x14ac:dyDescent="0.25">
      <c r="A313">
        <v>649335</v>
      </c>
      <c r="B313" t="s">
        <v>761</v>
      </c>
      <c r="C313" t="s">
        <v>764</v>
      </c>
      <c r="D313" t="s">
        <v>10</v>
      </c>
      <c r="E313" t="s">
        <v>184</v>
      </c>
      <c r="G313" t="str">
        <f>HYPERLINK(_xlfn.CONCAT("https://tablet.otzar.org/",CHAR(35),"/book/649335/p/-1/t/1/fs/0/start/0/end/0/c"),"אמרי דוד")</f>
        <v>אמרי דוד</v>
      </c>
      <c r="H313" t="str">
        <f>_xlfn.CONCAT("https://tablet.otzar.org/",CHAR(35),"/book/649335/p/-1/t/1/fs/0/start/0/end/0/c")</f>
        <v>https://tablet.otzar.org/#/book/649335/p/-1/t/1/fs/0/start/0/end/0/c</v>
      </c>
    </row>
    <row r="314" spans="1:8" x14ac:dyDescent="0.25">
      <c r="A314">
        <v>647811</v>
      </c>
      <c r="B314" t="s">
        <v>765</v>
      </c>
      <c r="C314" t="s">
        <v>766</v>
      </c>
      <c r="D314" t="s">
        <v>287</v>
      </c>
      <c r="E314" t="s">
        <v>11</v>
      </c>
      <c r="G314" t="str">
        <f>HYPERLINK(_xlfn.CONCAT("https://tablet.otzar.org/",CHAR(35),"/book/647811/p/-1/t/1/fs/0/start/0/end/0/c"),"אמרי חיזוק")</f>
        <v>אמרי חיזוק</v>
      </c>
      <c r="H314" t="str">
        <f>_xlfn.CONCAT("https://tablet.otzar.org/",CHAR(35),"/book/647811/p/-1/t/1/fs/0/start/0/end/0/c")</f>
        <v>https://tablet.otzar.org/#/book/647811/p/-1/t/1/fs/0/start/0/end/0/c</v>
      </c>
    </row>
    <row r="315" spans="1:8" x14ac:dyDescent="0.25">
      <c r="A315">
        <v>652671</v>
      </c>
      <c r="B315" t="s">
        <v>767</v>
      </c>
      <c r="C315" t="s">
        <v>768</v>
      </c>
      <c r="D315" t="s">
        <v>347</v>
      </c>
      <c r="E315" t="s">
        <v>769</v>
      </c>
      <c r="G315" t="str">
        <f>HYPERLINK(_xlfn.CONCAT("https://tablet.otzar.org/",CHAR(35),"/book/652671/p/-1/t/1/fs/0/start/0/end/0/c"),"אמרי חיים עוזר - ביצה")</f>
        <v>אמרי חיים עוזר - ביצה</v>
      </c>
      <c r="H315" t="str">
        <f>_xlfn.CONCAT("https://tablet.otzar.org/",CHAR(35),"/book/652671/p/-1/t/1/fs/0/start/0/end/0/c")</f>
        <v>https://tablet.otzar.org/#/book/652671/p/-1/t/1/fs/0/start/0/end/0/c</v>
      </c>
    </row>
    <row r="316" spans="1:8" x14ac:dyDescent="0.25">
      <c r="A316">
        <v>656131</v>
      </c>
      <c r="B316" t="s">
        <v>770</v>
      </c>
      <c r="C316" t="s">
        <v>771</v>
      </c>
      <c r="D316" t="s">
        <v>193</v>
      </c>
      <c r="E316" t="s">
        <v>29</v>
      </c>
      <c r="G316" t="str">
        <f>HYPERLINK(_xlfn.CONCAT("https://tablet.otzar.org/",CHAR(35),"/exKotar/656131"),"אמרי חן - 3 כרכים")</f>
        <v>אמרי חן - 3 כרכים</v>
      </c>
      <c r="H316" t="str">
        <f>_xlfn.CONCAT("https://tablet.otzar.org/",CHAR(35),"/exKotar/656131")</f>
        <v>https://tablet.otzar.org/#/exKotar/656131</v>
      </c>
    </row>
    <row r="317" spans="1:8" x14ac:dyDescent="0.25">
      <c r="A317">
        <v>647433</v>
      </c>
      <c r="B317" t="s">
        <v>772</v>
      </c>
      <c r="C317" t="s">
        <v>773</v>
      </c>
      <c r="D317" t="s">
        <v>52</v>
      </c>
      <c r="E317" t="s">
        <v>184</v>
      </c>
      <c r="G317" t="str">
        <f>HYPERLINK(_xlfn.CONCAT("https://tablet.otzar.org/",CHAR(35),"/book/647433/p/-1/t/1/fs/0/start/0/end/0/c"),"אמרי יהודה - ב")</f>
        <v>אמרי יהודה - ב</v>
      </c>
      <c r="H317" t="str">
        <f>_xlfn.CONCAT("https://tablet.otzar.org/",CHAR(35),"/book/647433/p/-1/t/1/fs/0/start/0/end/0/c")</f>
        <v>https://tablet.otzar.org/#/book/647433/p/-1/t/1/fs/0/start/0/end/0/c</v>
      </c>
    </row>
    <row r="318" spans="1:8" x14ac:dyDescent="0.25">
      <c r="A318">
        <v>650182</v>
      </c>
      <c r="B318" t="s">
        <v>774</v>
      </c>
      <c r="C318" t="s">
        <v>775</v>
      </c>
      <c r="D318" t="s">
        <v>776</v>
      </c>
      <c r="E318" t="s">
        <v>777</v>
      </c>
      <c r="G318" t="str">
        <f>HYPERLINK(_xlfn.CONCAT("https://tablet.otzar.org/",CHAR(35),"/book/650182/p/-1/t/1/fs/0/start/0/end/0/c"),"אמרי יהודה")</f>
        <v>אמרי יהודה</v>
      </c>
      <c r="H318" t="str">
        <f>_xlfn.CONCAT("https://tablet.otzar.org/",CHAR(35),"/book/650182/p/-1/t/1/fs/0/start/0/end/0/c")</f>
        <v>https://tablet.otzar.org/#/book/650182/p/-1/t/1/fs/0/start/0/end/0/c</v>
      </c>
    </row>
    <row r="319" spans="1:8" x14ac:dyDescent="0.25">
      <c r="A319">
        <v>650161</v>
      </c>
      <c r="B319" t="s">
        <v>778</v>
      </c>
      <c r="C319" t="s">
        <v>779</v>
      </c>
      <c r="D319" t="s">
        <v>10</v>
      </c>
      <c r="E319" t="s">
        <v>780</v>
      </c>
      <c r="G319" t="str">
        <f>HYPERLINK(_xlfn.CONCAT("https://tablet.otzar.org/",CHAR(35),"/book/650161/p/-1/t/1/fs/0/start/0/end/0/c"),"אמרי יואל")</f>
        <v>אמרי יואל</v>
      </c>
      <c r="H319" t="str">
        <f>_xlfn.CONCAT("https://tablet.otzar.org/",CHAR(35),"/book/650161/p/-1/t/1/fs/0/start/0/end/0/c")</f>
        <v>https://tablet.otzar.org/#/book/650161/p/-1/t/1/fs/0/start/0/end/0/c</v>
      </c>
    </row>
    <row r="320" spans="1:8" x14ac:dyDescent="0.25">
      <c r="A320">
        <v>656234</v>
      </c>
      <c r="B320" t="s">
        <v>781</v>
      </c>
      <c r="C320" t="s">
        <v>782</v>
      </c>
      <c r="E320" t="s">
        <v>35</v>
      </c>
      <c r="G320" t="str">
        <f>HYPERLINK(_xlfn.CONCAT("https://tablet.otzar.org/",CHAR(35),"/book/656234/p/-1/t/1/fs/0/start/0/end/0/c"),"אמרי יוסף - סוכה")</f>
        <v>אמרי יוסף - סוכה</v>
      </c>
      <c r="H320" t="str">
        <f>_xlfn.CONCAT("https://tablet.otzar.org/",CHAR(35),"/book/656234/p/-1/t/1/fs/0/start/0/end/0/c")</f>
        <v>https://tablet.otzar.org/#/book/656234/p/-1/t/1/fs/0/start/0/end/0/c</v>
      </c>
    </row>
    <row r="321" spans="1:8" x14ac:dyDescent="0.25">
      <c r="A321">
        <v>650546</v>
      </c>
      <c r="B321" t="s">
        <v>783</v>
      </c>
      <c r="C321" t="s">
        <v>784</v>
      </c>
      <c r="D321" t="s">
        <v>52</v>
      </c>
      <c r="E321" t="s">
        <v>35</v>
      </c>
      <c r="G321" t="str">
        <f>HYPERLINK(_xlfn.CONCAT("https://tablet.otzar.org/",CHAR(35),"/book/650546/p/-1/t/1/fs/0/start/0/end/0/c"),"אמרי יעקב")</f>
        <v>אמרי יעקב</v>
      </c>
      <c r="H321" t="str">
        <f>_xlfn.CONCAT("https://tablet.otzar.org/",CHAR(35),"/book/650546/p/-1/t/1/fs/0/start/0/end/0/c")</f>
        <v>https://tablet.otzar.org/#/book/650546/p/-1/t/1/fs/0/start/0/end/0/c</v>
      </c>
    </row>
    <row r="322" spans="1:8" x14ac:dyDescent="0.25">
      <c r="A322">
        <v>653237</v>
      </c>
      <c r="B322" t="s">
        <v>785</v>
      </c>
      <c r="C322" t="s">
        <v>786</v>
      </c>
      <c r="D322" t="s">
        <v>10</v>
      </c>
      <c r="E322" t="s">
        <v>213</v>
      </c>
      <c r="G322" t="str">
        <f>HYPERLINK(_xlfn.CONCAT("https://tablet.otzar.org/",CHAR(35),"/exKotar/653237"),"אמרי יצחק - 2 כרכים")</f>
        <v>אמרי יצחק - 2 כרכים</v>
      </c>
      <c r="H322" t="str">
        <f>_xlfn.CONCAT("https://tablet.otzar.org/",CHAR(35),"/exKotar/653237")</f>
        <v>https://tablet.otzar.org/#/exKotar/653237</v>
      </c>
    </row>
    <row r="323" spans="1:8" x14ac:dyDescent="0.25">
      <c r="A323">
        <v>638738</v>
      </c>
      <c r="B323" t="s">
        <v>787</v>
      </c>
      <c r="C323" t="s">
        <v>788</v>
      </c>
      <c r="D323" t="s">
        <v>340</v>
      </c>
      <c r="E323" t="s">
        <v>84</v>
      </c>
      <c r="G323" t="str">
        <f>HYPERLINK(_xlfn.CONCAT("https://tablet.otzar.org/",CHAR(35),"/book/638738/p/-1/t/1/fs/0/start/0/end/0/c"),"אמרי ישראל - ד")</f>
        <v>אמרי ישראל - ד</v>
      </c>
      <c r="H323" t="str">
        <f>_xlfn.CONCAT("https://tablet.otzar.org/",CHAR(35),"/book/638738/p/-1/t/1/fs/0/start/0/end/0/c")</f>
        <v>https://tablet.otzar.org/#/book/638738/p/-1/t/1/fs/0/start/0/end/0/c</v>
      </c>
    </row>
    <row r="324" spans="1:8" x14ac:dyDescent="0.25">
      <c r="A324">
        <v>651827</v>
      </c>
      <c r="B324" t="s">
        <v>789</v>
      </c>
      <c r="C324" t="s">
        <v>790</v>
      </c>
      <c r="D324" t="s">
        <v>791</v>
      </c>
      <c r="E324" t="s">
        <v>70</v>
      </c>
      <c r="G324" t="str">
        <f>HYPERLINK(_xlfn.CONCAT("https://tablet.otzar.org/",CHAR(35),"/book/651827/p/-1/t/1/fs/0/start/0/end/0/c"),"אמרי ישרה")</f>
        <v>אמרי ישרה</v>
      </c>
      <c r="H324" t="str">
        <f>_xlfn.CONCAT("https://tablet.otzar.org/",CHAR(35),"/book/651827/p/-1/t/1/fs/0/start/0/end/0/c")</f>
        <v>https://tablet.otzar.org/#/book/651827/p/-1/t/1/fs/0/start/0/end/0/c</v>
      </c>
    </row>
    <row r="325" spans="1:8" x14ac:dyDescent="0.25">
      <c r="A325">
        <v>651197</v>
      </c>
      <c r="B325" t="s">
        <v>792</v>
      </c>
      <c r="C325" t="s">
        <v>793</v>
      </c>
      <c r="D325" t="s">
        <v>34</v>
      </c>
      <c r="E325" t="s">
        <v>35</v>
      </c>
      <c r="G325" t="str">
        <f>HYPERLINK(_xlfn.CONCAT("https://tablet.otzar.org/",CHAR(35),"/book/651197/p/-1/t/1/fs/0/start/0/end/0/c"),"אמרי כהן - יבמות")</f>
        <v>אמרי כהן - יבמות</v>
      </c>
      <c r="H325" t="str">
        <f>_xlfn.CONCAT("https://tablet.otzar.org/",CHAR(35),"/book/651197/p/-1/t/1/fs/0/start/0/end/0/c")</f>
        <v>https://tablet.otzar.org/#/book/651197/p/-1/t/1/fs/0/start/0/end/0/c</v>
      </c>
    </row>
    <row r="326" spans="1:8" x14ac:dyDescent="0.25">
      <c r="A326">
        <v>654446</v>
      </c>
      <c r="B326" t="s">
        <v>794</v>
      </c>
      <c r="C326" t="s">
        <v>795</v>
      </c>
      <c r="D326" t="s">
        <v>796</v>
      </c>
      <c r="E326" t="s">
        <v>213</v>
      </c>
      <c r="G326" t="str">
        <f>HYPERLINK(_xlfn.CONCAT("https://tablet.otzar.org/",CHAR(35),"/book/654446/p/-1/t/1/fs/0/start/0/end/0/c"),"אמרי מאיר")</f>
        <v>אמרי מאיר</v>
      </c>
      <c r="H326" t="str">
        <f>_xlfn.CONCAT("https://tablet.otzar.org/",CHAR(35),"/book/654446/p/-1/t/1/fs/0/start/0/end/0/c")</f>
        <v>https://tablet.otzar.org/#/book/654446/p/-1/t/1/fs/0/start/0/end/0/c</v>
      </c>
    </row>
    <row r="327" spans="1:8" x14ac:dyDescent="0.25">
      <c r="A327">
        <v>655832</v>
      </c>
      <c r="B327" t="s">
        <v>797</v>
      </c>
      <c r="C327" t="s">
        <v>798</v>
      </c>
      <c r="D327" t="s">
        <v>340</v>
      </c>
      <c r="E327" t="s">
        <v>45</v>
      </c>
      <c r="G327" t="str">
        <f>HYPERLINK(_xlfn.CONCAT("https://tablet.otzar.org/",CHAR(35),"/book/655832/p/-1/t/1/fs/0/start/0/end/0/c"),"אמרי מרדכי - בראשית שמות")</f>
        <v>אמרי מרדכי - בראשית שמות</v>
      </c>
      <c r="H327" t="str">
        <f>_xlfn.CONCAT("https://tablet.otzar.org/",CHAR(35),"/book/655832/p/-1/t/1/fs/0/start/0/end/0/c")</f>
        <v>https://tablet.otzar.org/#/book/655832/p/-1/t/1/fs/0/start/0/end/0/c</v>
      </c>
    </row>
    <row r="328" spans="1:8" x14ac:dyDescent="0.25">
      <c r="A328">
        <v>650445</v>
      </c>
      <c r="B328" t="s">
        <v>799</v>
      </c>
      <c r="C328" t="s">
        <v>800</v>
      </c>
      <c r="D328" t="s">
        <v>801</v>
      </c>
      <c r="E328" t="s">
        <v>802</v>
      </c>
      <c r="G328" t="str">
        <f>HYPERLINK(_xlfn.CONCAT("https://tablet.otzar.org/",CHAR(35),"/book/650445/p/-1/t/1/fs/0/start/0/end/0/c"),"אמרי משה")</f>
        <v>אמרי משה</v>
      </c>
      <c r="H328" t="str">
        <f>_xlfn.CONCAT("https://tablet.otzar.org/",CHAR(35),"/book/650445/p/-1/t/1/fs/0/start/0/end/0/c")</f>
        <v>https://tablet.otzar.org/#/book/650445/p/-1/t/1/fs/0/start/0/end/0/c</v>
      </c>
    </row>
    <row r="329" spans="1:8" x14ac:dyDescent="0.25">
      <c r="A329">
        <v>652589</v>
      </c>
      <c r="B329" t="s">
        <v>799</v>
      </c>
      <c r="C329" t="s">
        <v>803</v>
      </c>
      <c r="D329" t="s">
        <v>52</v>
      </c>
      <c r="E329" t="s">
        <v>804</v>
      </c>
      <c r="G329" t="str">
        <f>HYPERLINK(_xlfn.CONCAT("https://tablet.otzar.org/",CHAR(35),"/book/652589/p/-1/t/1/fs/0/start/0/end/0/c"),"אמרי משה")</f>
        <v>אמרי משה</v>
      </c>
      <c r="H329" t="str">
        <f>_xlfn.CONCAT("https://tablet.otzar.org/",CHAR(35),"/book/652589/p/-1/t/1/fs/0/start/0/end/0/c")</f>
        <v>https://tablet.otzar.org/#/book/652589/p/-1/t/1/fs/0/start/0/end/0/c</v>
      </c>
    </row>
    <row r="330" spans="1:8" x14ac:dyDescent="0.25">
      <c r="A330">
        <v>651560</v>
      </c>
      <c r="B330" t="s">
        <v>805</v>
      </c>
      <c r="C330" t="s">
        <v>806</v>
      </c>
      <c r="D330" t="s">
        <v>52</v>
      </c>
      <c r="E330" t="s">
        <v>11</v>
      </c>
      <c r="G330" t="str">
        <f>HYPERLINK(_xlfn.CONCAT("https://tablet.otzar.org/",CHAR(35),"/book/651560/p/-1/t/1/fs/0/start/0/end/0/c"),"אמרי משה - הגדה של פסח")</f>
        <v>אמרי משה - הגדה של פסח</v>
      </c>
      <c r="H330" t="str">
        <f>_xlfn.CONCAT("https://tablet.otzar.org/",CHAR(35),"/book/651560/p/-1/t/1/fs/0/start/0/end/0/c")</f>
        <v>https://tablet.otzar.org/#/book/651560/p/-1/t/1/fs/0/start/0/end/0/c</v>
      </c>
    </row>
    <row r="331" spans="1:8" x14ac:dyDescent="0.25">
      <c r="A331">
        <v>640071</v>
      </c>
      <c r="B331" t="s">
        <v>807</v>
      </c>
      <c r="C331" t="s">
        <v>808</v>
      </c>
      <c r="D331" t="s">
        <v>809</v>
      </c>
      <c r="E331" t="s">
        <v>810</v>
      </c>
      <c r="G331" t="str">
        <f>HYPERLINK(_xlfn.CONCAT("https://tablet.otzar.org/",CHAR(35),"/book/640071/p/-1/t/1/fs/0/start/0/end/0/c"),"אמרי נועם")</f>
        <v>אמרי נועם</v>
      </c>
      <c r="H331" t="str">
        <f>_xlfn.CONCAT("https://tablet.otzar.org/",CHAR(35),"/book/640071/p/-1/t/1/fs/0/start/0/end/0/c")</f>
        <v>https://tablet.otzar.org/#/book/640071/p/-1/t/1/fs/0/start/0/end/0/c</v>
      </c>
    </row>
    <row r="332" spans="1:8" x14ac:dyDescent="0.25">
      <c r="A332">
        <v>650985</v>
      </c>
      <c r="B332" t="s">
        <v>811</v>
      </c>
      <c r="C332" t="s">
        <v>812</v>
      </c>
      <c r="D332" t="s">
        <v>52</v>
      </c>
      <c r="E332" t="s">
        <v>11</v>
      </c>
      <c r="G332" t="str">
        <f>HYPERLINK(_xlfn.CONCAT("https://tablet.otzar.org/",CHAR(35),"/book/650985/p/-1/t/1/fs/0/start/0/end/0/c"),"אמרי נעם - שביעית")</f>
        <v>אמרי נעם - שביעית</v>
      </c>
      <c r="H332" t="str">
        <f>_xlfn.CONCAT("https://tablet.otzar.org/",CHAR(35),"/book/650985/p/-1/t/1/fs/0/start/0/end/0/c")</f>
        <v>https://tablet.otzar.org/#/book/650985/p/-1/t/1/fs/0/start/0/end/0/c</v>
      </c>
    </row>
    <row r="333" spans="1:8" x14ac:dyDescent="0.25">
      <c r="A333">
        <v>648430</v>
      </c>
      <c r="B333" t="s">
        <v>813</v>
      </c>
      <c r="C333" t="s">
        <v>814</v>
      </c>
      <c r="D333" t="s">
        <v>10</v>
      </c>
      <c r="E333" t="s">
        <v>35</v>
      </c>
      <c r="G333" t="str">
        <f>HYPERLINK(_xlfn.CONCAT("https://tablet.otzar.org/",CHAR(35),"/book/648430/p/-1/t/1/fs/0/start/0/end/0/c"),"אמרי סופר - חנוכה")</f>
        <v>אמרי סופר - חנוכה</v>
      </c>
      <c r="H333" t="str">
        <f>_xlfn.CONCAT("https://tablet.otzar.org/",CHAR(35),"/book/648430/p/-1/t/1/fs/0/start/0/end/0/c")</f>
        <v>https://tablet.otzar.org/#/book/648430/p/-1/t/1/fs/0/start/0/end/0/c</v>
      </c>
    </row>
    <row r="334" spans="1:8" x14ac:dyDescent="0.25">
      <c r="A334">
        <v>650986</v>
      </c>
      <c r="B334" t="s">
        <v>815</v>
      </c>
      <c r="C334" t="s">
        <v>816</v>
      </c>
      <c r="D334" t="s">
        <v>52</v>
      </c>
      <c r="E334" t="s">
        <v>817</v>
      </c>
      <c r="G334" t="str">
        <f>HYPERLINK(_xlfn.CONCAT("https://tablet.otzar.org/",CHAR(35),"/book/650986/p/-1/t/1/fs/0/start/0/end/0/c"),"אמרי פי - א")</f>
        <v>אמרי פי - א</v>
      </c>
      <c r="H334" t="str">
        <f>_xlfn.CONCAT("https://tablet.otzar.org/",CHAR(35),"/book/650986/p/-1/t/1/fs/0/start/0/end/0/c")</f>
        <v>https://tablet.otzar.org/#/book/650986/p/-1/t/1/fs/0/start/0/end/0/c</v>
      </c>
    </row>
    <row r="335" spans="1:8" x14ac:dyDescent="0.25">
      <c r="A335">
        <v>652564</v>
      </c>
      <c r="B335" t="s">
        <v>818</v>
      </c>
      <c r="C335" t="s">
        <v>819</v>
      </c>
      <c r="D335" t="s">
        <v>10</v>
      </c>
      <c r="E335" t="s">
        <v>70</v>
      </c>
      <c r="G335" t="str">
        <f>HYPERLINK(_xlfn.CONCAT("https://tablet.otzar.org/",CHAR(35),"/book/652564/p/-1/t/1/fs/0/start/0/end/0/c"),"אמרי ציון")</f>
        <v>אמרי ציון</v>
      </c>
      <c r="H335" t="str">
        <f>_xlfn.CONCAT("https://tablet.otzar.org/",CHAR(35),"/book/652564/p/-1/t/1/fs/0/start/0/end/0/c")</f>
        <v>https://tablet.otzar.org/#/book/652564/p/-1/t/1/fs/0/start/0/end/0/c</v>
      </c>
    </row>
    <row r="336" spans="1:8" x14ac:dyDescent="0.25">
      <c r="A336">
        <v>645979</v>
      </c>
      <c r="B336" t="s">
        <v>820</v>
      </c>
      <c r="C336" t="s">
        <v>821</v>
      </c>
      <c r="D336" t="s">
        <v>34</v>
      </c>
      <c r="E336" t="s">
        <v>84</v>
      </c>
      <c r="G336" t="str">
        <f>HYPERLINK(_xlfn.CONCAT("https://tablet.otzar.org/",CHAR(35),"/exKotar/645979"),"אמרי רפאל - 2 כרכים")</f>
        <v>אמרי רפאל - 2 כרכים</v>
      </c>
      <c r="H336" t="str">
        <f>_xlfn.CONCAT("https://tablet.otzar.org/",CHAR(35),"/exKotar/645979")</f>
        <v>https://tablet.otzar.org/#/exKotar/645979</v>
      </c>
    </row>
    <row r="337" spans="1:8" x14ac:dyDescent="0.25">
      <c r="A337">
        <v>656091</v>
      </c>
      <c r="B337" t="s">
        <v>822</v>
      </c>
      <c r="C337" t="s">
        <v>823</v>
      </c>
      <c r="D337" t="s">
        <v>10</v>
      </c>
      <c r="E337" t="s">
        <v>35</v>
      </c>
      <c r="G337" t="str">
        <f>HYPERLINK(_xlfn.CONCAT("https://tablet.otzar.org/",CHAR(35),"/exKotar/656091"),"אמרי שמואל - 3 כרכים")</f>
        <v>אמרי שמואל - 3 כרכים</v>
      </c>
      <c r="H337" t="str">
        <f>_xlfn.CONCAT("https://tablet.otzar.org/",CHAR(35),"/exKotar/656091")</f>
        <v>https://tablet.otzar.org/#/exKotar/656091</v>
      </c>
    </row>
    <row r="338" spans="1:8" x14ac:dyDescent="0.25">
      <c r="A338">
        <v>643557</v>
      </c>
      <c r="B338" t="s">
        <v>824</v>
      </c>
      <c r="C338" t="s">
        <v>825</v>
      </c>
      <c r="E338" t="s">
        <v>35</v>
      </c>
      <c r="G338" t="str">
        <f>HYPERLINK(_xlfn.CONCAT("https://tablet.otzar.org/",CHAR(35),"/book/643557/p/-1/t/1/fs/0/start/0/end/0/c"),"אמרי שמואל - ג במדבר, דברים")</f>
        <v>אמרי שמואל - ג במדבר, דברים</v>
      </c>
      <c r="H338" t="str">
        <f>_xlfn.CONCAT("https://tablet.otzar.org/",CHAR(35),"/book/643557/p/-1/t/1/fs/0/start/0/end/0/c")</f>
        <v>https://tablet.otzar.org/#/book/643557/p/-1/t/1/fs/0/start/0/end/0/c</v>
      </c>
    </row>
    <row r="339" spans="1:8" x14ac:dyDescent="0.25">
      <c r="A339">
        <v>652035</v>
      </c>
      <c r="B339" t="s">
        <v>826</v>
      </c>
      <c r="C339" t="s">
        <v>827</v>
      </c>
      <c r="D339" t="s">
        <v>828</v>
      </c>
      <c r="E339" t="s">
        <v>84</v>
      </c>
      <c r="G339" t="str">
        <f>HYPERLINK(_xlfn.CONCAT("https://tablet.otzar.org/",CHAR(35),"/book/652035/p/-1/t/1/fs/0/start/0/end/0/c"),"אמרי שמחה - ביצה")</f>
        <v>אמרי שמחה - ביצה</v>
      </c>
      <c r="H339" t="str">
        <f>_xlfn.CONCAT("https://tablet.otzar.org/",CHAR(35),"/book/652035/p/-1/t/1/fs/0/start/0/end/0/c")</f>
        <v>https://tablet.otzar.org/#/book/652035/p/-1/t/1/fs/0/start/0/end/0/c</v>
      </c>
    </row>
    <row r="340" spans="1:8" x14ac:dyDescent="0.25">
      <c r="A340">
        <v>655996</v>
      </c>
      <c r="B340" t="s">
        <v>829</v>
      </c>
      <c r="C340" t="s">
        <v>614</v>
      </c>
      <c r="D340" t="s">
        <v>52</v>
      </c>
      <c r="E340" t="s">
        <v>45</v>
      </c>
      <c r="G340" t="str">
        <f>HYPERLINK(_xlfn.CONCAT("https://tablet.otzar.org/",CHAR(35),"/exKotar/655996"),"אמרי שמחה - 2 כרכים")</f>
        <v>אמרי שמחה - 2 כרכים</v>
      </c>
      <c r="H340" t="str">
        <f>_xlfn.CONCAT("https://tablet.otzar.org/",CHAR(35),"/exKotar/655996")</f>
        <v>https://tablet.otzar.org/#/exKotar/655996</v>
      </c>
    </row>
    <row r="341" spans="1:8" x14ac:dyDescent="0.25">
      <c r="A341">
        <v>648000</v>
      </c>
      <c r="B341" t="s">
        <v>830</v>
      </c>
      <c r="C341" t="s">
        <v>831</v>
      </c>
      <c r="D341" t="s">
        <v>832</v>
      </c>
      <c r="E341" t="s">
        <v>11</v>
      </c>
      <c r="G341" t="str">
        <f>HYPERLINK(_xlfn.CONCAT("https://tablet.otzar.org/",CHAR(35),"/book/648000/p/-1/t/1/fs/0/start/0/end/0/c"),"אמרי שפר - חנוכה")</f>
        <v>אמרי שפר - חנוכה</v>
      </c>
      <c r="H341" t="str">
        <f>_xlfn.CONCAT("https://tablet.otzar.org/",CHAR(35),"/book/648000/p/-1/t/1/fs/0/start/0/end/0/c")</f>
        <v>https://tablet.otzar.org/#/book/648000/p/-1/t/1/fs/0/start/0/end/0/c</v>
      </c>
    </row>
    <row r="342" spans="1:8" x14ac:dyDescent="0.25">
      <c r="A342">
        <v>651198</v>
      </c>
      <c r="B342" t="s">
        <v>833</v>
      </c>
      <c r="C342" t="s">
        <v>834</v>
      </c>
      <c r="D342" t="s">
        <v>340</v>
      </c>
      <c r="E342" t="s">
        <v>70</v>
      </c>
      <c r="G342" t="str">
        <f>HYPERLINK(_xlfn.CONCAT("https://tablet.otzar.org/",CHAR(35),"/exKotar/651198"),"אמרי שפר - 4 כרכים")</f>
        <v>אמרי שפר - 4 כרכים</v>
      </c>
      <c r="H342" t="str">
        <f>_xlfn.CONCAT("https://tablet.otzar.org/",CHAR(35),"/exKotar/651198")</f>
        <v>https://tablet.otzar.org/#/exKotar/651198</v>
      </c>
    </row>
    <row r="343" spans="1:8" x14ac:dyDescent="0.25">
      <c r="A343">
        <v>652939</v>
      </c>
      <c r="B343" t="s">
        <v>835</v>
      </c>
      <c r="C343" t="s">
        <v>836</v>
      </c>
      <c r="D343" t="s">
        <v>52</v>
      </c>
      <c r="E343" t="s">
        <v>837</v>
      </c>
      <c r="G343" t="str">
        <f>HYPERLINK(_xlfn.CONCAT("https://tablet.otzar.org/",CHAR(35),"/book/652939/p/-1/t/1/fs/0/start/0/end/0/c"),"אמרים - א")</f>
        <v>אמרים - א</v>
      </c>
      <c r="H343" t="str">
        <f>_xlfn.CONCAT("https://tablet.otzar.org/",CHAR(35),"/book/652939/p/-1/t/1/fs/0/start/0/end/0/c")</f>
        <v>https://tablet.otzar.org/#/book/652939/p/-1/t/1/fs/0/start/0/end/0/c</v>
      </c>
    </row>
    <row r="344" spans="1:8" x14ac:dyDescent="0.25">
      <c r="A344">
        <v>648837</v>
      </c>
      <c r="B344" t="s">
        <v>838</v>
      </c>
      <c r="C344" t="s">
        <v>839</v>
      </c>
      <c r="D344" t="s">
        <v>840</v>
      </c>
      <c r="E344" t="s">
        <v>11</v>
      </c>
      <c r="G344" t="str">
        <f>HYPERLINK(_xlfn.CONCAT("https://tablet.otzar.org/",CHAR(35),"/book/648837/p/-1/t/1/fs/0/start/0/end/0/c"),"אמת ומשפט שלום - ט")</f>
        <v>אמת ומשפט שלום - ט</v>
      </c>
      <c r="H344" t="str">
        <f>_xlfn.CONCAT("https://tablet.otzar.org/",CHAR(35),"/book/648837/p/-1/t/1/fs/0/start/0/end/0/c")</f>
        <v>https://tablet.otzar.org/#/book/648837/p/-1/t/1/fs/0/start/0/end/0/c</v>
      </c>
    </row>
    <row r="345" spans="1:8" x14ac:dyDescent="0.25">
      <c r="A345">
        <v>651342</v>
      </c>
      <c r="B345" t="s">
        <v>841</v>
      </c>
      <c r="C345" t="s">
        <v>842</v>
      </c>
      <c r="D345" t="s">
        <v>34</v>
      </c>
      <c r="E345" t="s">
        <v>62</v>
      </c>
      <c r="G345" t="str">
        <f>HYPERLINK(_xlfn.CONCAT("https://tablet.otzar.org/",CHAR(35),"/book/651342/p/-1/t/1/fs/0/start/0/end/0/c"),"אמת ליעקב - תשובה וימים נוראים")</f>
        <v>אמת ליעקב - תשובה וימים נוראים</v>
      </c>
      <c r="H345" t="str">
        <f>_xlfn.CONCAT("https://tablet.otzar.org/",CHAR(35),"/book/651342/p/-1/t/1/fs/0/start/0/end/0/c")</f>
        <v>https://tablet.otzar.org/#/book/651342/p/-1/t/1/fs/0/start/0/end/0/c</v>
      </c>
    </row>
    <row r="346" spans="1:8" x14ac:dyDescent="0.25">
      <c r="A346">
        <v>650014</v>
      </c>
      <c r="B346" t="s">
        <v>843</v>
      </c>
      <c r="C346" t="s">
        <v>844</v>
      </c>
      <c r="D346" t="s">
        <v>10</v>
      </c>
      <c r="E346" t="s">
        <v>845</v>
      </c>
      <c r="G346" t="str">
        <f>HYPERLINK(_xlfn.CONCAT("https://tablet.otzar.org/",CHAR(35),"/book/650014/p/-1/t/1/fs/0/start/0/end/0/c"),"אמת מארץ תצמח - א")</f>
        <v>אמת מארץ תצמח - א</v>
      </c>
      <c r="H346" t="str">
        <f>_xlfn.CONCAT("https://tablet.otzar.org/",CHAR(35),"/book/650014/p/-1/t/1/fs/0/start/0/end/0/c")</f>
        <v>https://tablet.otzar.org/#/book/650014/p/-1/t/1/fs/0/start/0/end/0/c</v>
      </c>
    </row>
    <row r="347" spans="1:8" x14ac:dyDescent="0.25">
      <c r="A347">
        <v>647417</v>
      </c>
      <c r="B347" t="s">
        <v>846</v>
      </c>
      <c r="C347" t="s">
        <v>614</v>
      </c>
      <c r="E347" t="s">
        <v>337</v>
      </c>
      <c r="G347" t="str">
        <f>HYPERLINK(_xlfn.CONCAT("https://tablet.otzar.org/",CHAR(35),"/book/647417/p/-1/t/1/fs/0/start/0/end/0/c"),"אמת'דיגע מעשיות פון.. ר' ישעי'לע קערעסטירער זצ""""ל")</f>
        <v>אמת'דיגע מעשיות פון.. ר' ישעי'לע קערעסטירער זצ""ל</v>
      </c>
      <c r="H347" t="str">
        <f>_xlfn.CONCAT("https://tablet.otzar.org/",CHAR(35),"/book/647417/p/-1/t/1/fs/0/start/0/end/0/c")</f>
        <v>https://tablet.otzar.org/#/book/647417/p/-1/t/1/fs/0/start/0/end/0/c</v>
      </c>
    </row>
    <row r="348" spans="1:8" x14ac:dyDescent="0.25">
      <c r="A348">
        <v>647268</v>
      </c>
      <c r="B348" t="s">
        <v>847</v>
      </c>
      <c r="C348" t="s">
        <v>186</v>
      </c>
      <c r="D348" t="s">
        <v>693</v>
      </c>
      <c r="E348" t="s">
        <v>184</v>
      </c>
      <c r="G348" t="str">
        <f>HYPERLINK(_xlfn.CONCAT("https://tablet.otzar.org/",CHAR(35),"/book/647268/p/-1/t/1/fs/0/start/0/end/0/c"),"אנטישמיות מן התורה מנין")</f>
        <v>אנטישמיות מן התורה מנין</v>
      </c>
      <c r="H348" t="str">
        <f>_xlfn.CONCAT("https://tablet.otzar.org/",CHAR(35),"/book/647268/p/-1/t/1/fs/0/start/0/end/0/c")</f>
        <v>https://tablet.otzar.org/#/book/647268/p/-1/t/1/fs/0/start/0/end/0/c</v>
      </c>
    </row>
    <row r="349" spans="1:8" x14ac:dyDescent="0.25">
      <c r="A349">
        <v>651329</v>
      </c>
      <c r="B349" t="s">
        <v>848</v>
      </c>
      <c r="C349" t="s">
        <v>849</v>
      </c>
      <c r="D349" t="s">
        <v>10</v>
      </c>
      <c r="E349" t="s">
        <v>574</v>
      </c>
      <c r="G349" t="str">
        <f>HYPERLINK(_xlfn.CONCAT("https://tablet.otzar.org/",CHAR(35),"/book/651329/p/-1/t/1/fs/0/start/0/end/0/c"),"אני לדודי")</f>
        <v>אני לדודי</v>
      </c>
      <c r="H349" t="str">
        <f>_xlfn.CONCAT("https://tablet.otzar.org/",CHAR(35),"/book/651329/p/-1/t/1/fs/0/start/0/end/0/c")</f>
        <v>https://tablet.otzar.org/#/book/651329/p/-1/t/1/fs/0/start/0/end/0/c</v>
      </c>
    </row>
    <row r="350" spans="1:8" x14ac:dyDescent="0.25">
      <c r="A350">
        <v>652804</v>
      </c>
      <c r="B350" t="s">
        <v>850</v>
      </c>
      <c r="C350" t="s">
        <v>851</v>
      </c>
      <c r="D350" t="s">
        <v>129</v>
      </c>
      <c r="E350" t="s">
        <v>852</v>
      </c>
      <c r="G350" t="str">
        <f>HYPERLINK(_xlfn.CONCAT("https://tablet.otzar.org/",CHAR(35),"/book/652804/p/-1/t/1/fs/0/start/0/end/0/c"),"אני מאמין בגלגולי נשמות")</f>
        <v>אני מאמין בגלגולי נשמות</v>
      </c>
      <c r="H350" t="str">
        <f>_xlfn.CONCAT("https://tablet.otzar.org/",CHAR(35),"/book/652804/p/-1/t/1/fs/0/start/0/end/0/c")</f>
        <v>https://tablet.otzar.org/#/book/652804/p/-1/t/1/fs/0/start/0/end/0/c</v>
      </c>
    </row>
    <row r="351" spans="1:8" x14ac:dyDescent="0.25">
      <c r="A351">
        <v>650540</v>
      </c>
      <c r="B351" t="s">
        <v>853</v>
      </c>
      <c r="C351" t="s">
        <v>854</v>
      </c>
      <c r="D351" t="s">
        <v>855</v>
      </c>
      <c r="E351" t="s">
        <v>11</v>
      </c>
      <c r="G351" t="str">
        <f>HYPERLINK(_xlfn.CONCAT("https://tablet.otzar.org/",CHAR(35),"/book/650540/p/-1/t/1/fs/0/start/0/end/0/c"),"אנכי המעלך")</f>
        <v>אנכי המעלך</v>
      </c>
      <c r="H351" t="str">
        <f>_xlfn.CONCAT("https://tablet.otzar.org/",CHAR(35),"/book/650540/p/-1/t/1/fs/0/start/0/end/0/c")</f>
        <v>https://tablet.otzar.org/#/book/650540/p/-1/t/1/fs/0/start/0/end/0/c</v>
      </c>
    </row>
    <row r="352" spans="1:8" x14ac:dyDescent="0.25">
      <c r="A352">
        <v>647358</v>
      </c>
      <c r="B352" t="s">
        <v>856</v>
      </c>
      <c r="C352" t="s">
        <v>857</v>
      </c>
      <c r="D352" t="s">
        <v>858</v>
      </c>
      <c r="E352" t="s">
        <v>70</v>
      </c>
      <c r="G352" t="str">
        <f>HYPERLINK(_xlfn.CONCAT("https://tablet.otzar.org/",CHAR(35),"/book/647358/p/-1/t/1/fs/0/start/0/end/0/c"),"אנעקדאטען און פאלקס - מעשיות")</f>
        <v>אנעקדאטען און פאלקס - מעשיות</v>
      </c>
      <c r="H352" t="str">
        <f>_xlfn.CONCAT("https://tablet.otzar.org/",CHAR(35),"/book/647358/p/-1/t/1/fs/0/start/0/end/0/c")</f>
        <v>https://tablet.otzar.org/#/book/647358/p/-1/t/1/fs/0/start/0/end/0/c</v>
      </c>
    </row>
    <row r="353" spans="1:8" x14ac:dyDescent="0.25">
      <c r="A353">
        <v>653597</v>
      </c>
      <c r="B353" t="s">
        <v>859</v>
      </c>
      <c r="C353" t="s">
        <v>860</v>
      </c>
      <c r="D353" t="s">
        <v>10</v>
      </c>
      <c r="E353" t="s">
        <v>861</v>
      </c>
      <c r="G353" t="str">
        <f>HYPERLINK(_xlfn.CONCAT("https://tablet.otzar.org/",CHAR(35),"/book/653597/p/-1/t/1/fs/0/start/0/end/0/c"),"אנציקלופדיה לחכמי גליציה - א")</f>
        <v>אנציקלופדיה לחכמי גליציה - א</v>
      </c>
      <c r="H353" t="str">
        <f>_xlfn.CONCAT("https://tablet.otzar.org/",CHAR(35),"/book/653597/p/-1/t/1/fs/0/start/0/end/0/c")</f>
        <v>https://tablet.otzar.org/#/book/653597/p/-1/t/1/fs/0/start/0/end/0/c</v>
      </c>
    </row>
    <row r="354" spans="1:8" x14ac:dyDescent="0.25">
      <c r="A354">
        <v>656793</v>
      </c>
      <c r="B354" t="s">
        <v>862</v>
      </c>
      <c r="C354" t="s">
        <v>863</v>
      </c>
      <c r="D354" t="s">
        <v>10</v>
      </c>
      <c r="E354" t="s">
        <v>35</v>
      </c>
      <c r="G354" t="str">
        <f>HYPERLINK(_xlfn.CONCAT("https://tablet.otzar.org/",CHAR(35),"/exKotar/656793"),"אנציקלופדיה תלמודית - 2 כרכים")</f>
        <v>אנציקלופדיה תלמודית - 2 כרכים</v>
      </c>
      <c r="H354" t="str">
        <f>_xlfn.CONCAT("https://tablet.otzar.org/",CHAR(35),"/exKotar/656793")</f>
        <v>https://tablet.otzar.org/#/exKotar/656793</v>
      </c>
    </row>
    <row r="355" spans="1:8" x14ac:dyDescent="0.25">
      <c r="A355">
        <v>650503</v>
      </c>
      <c r="B355" t="s">
        <v>864</v>
      </c>
      <c r="C355" t="s">
        <v>865</v>
      </c>
      <c r="D355" t="s">
        <v>866</v>
      </c>
      <c r="E355" t="s">
        <v>867</v>
      </c>
      <c r="G355" t="str">
        <f>HYPERLINK(_xlfn.CONCAT("https://tablet.otzar.org/",CHAR(35),"/book/650503/p/-1/t/1/fs/0/start/0/end/0/c"),"אנקת השיר")</f>
        <v>אנקת השיר</v>
      </c>
      <c r="H355" t="str">
        <f>_xlfn.CONCAT("https://tablet.otzar.org/",CHAR(35),"/book/650503/p/-1/t/1/fs/0/start/0/end/0/c")</f>
        <v>https://tablet.otzar.org/#/book/650503/p/-1/t/1/fs/0/start/0/end/0/c</v>
      </c>
    </row>
    <row r="356" spans="1:8" x14ac:dyDescent="0.25">
      <c r="A356">
        <v>652599</v>
      </c>
      <c r="B356" t="s">
        <v>868</v>
      </c>
      <c r="C356" t="s">
        <v>869</v>
      </c>
      <c r="D356" t="s">
        <v>34</v>
      </c>
      <c r="E356" t="s">
        <v>70</v>
      </c>
      <c r="G356" t="str">
        <f>HYPERLINK(_xlfn.CONCAT("https://tablet.otzar.org/",CHAR(35),"/book/652599/p/-1/t/1/fs/0/start/0/end/0/c"),"אנשי אמנה")</f>
        <v>אנשי אמנה</v>
      </c>
      <c r="H356" t="str">
        <f>_xlfn.CONCAT("https://tablet.otzar.org/",CHAR(35),"/book/652599/p/-1/t/1/fs/0/start/0/end/0/c")</f>
        <v>https://tablet.otzar.org/#/book/652599/p/-1/t/1/fs/0/start/0/end/0/c</v>
      </c>
    </row>
    <row r="357" spans="1:8" x14ac:dyDescent="0.25">
      <c r="A357">
        <v>656208</v>
      </c>
      <c r="B357" t="s">
        <v>868</v>
      </c>
      <c r="C357" t="s">
        <v>870</v>
      </c>
      <c r="D357" t="s">
        <v>10</v>
      </c>
      <c r="E357" t="s">
        <v>11</v>
      </c>
      <c r="G357" t="str">
        <f>HYPERLINK(_xlfn.CONCAT("https://tablet.otzar.org/",CHAR(35),"/book/656208/p/-1/t/1/fs/0/start/0/end/0/c"),"אנשי אמנה")</f>
        <v>אנשי אמנה</v>
      </c>
      <c r="H357" t="str">
        <f>_xlfn.CONCAT("https://tablet.otzar.org/",CHAR(35),"/book/656208/p/-1/t/1/fs/0/start/0/end/0/c")</f>
        <v>https://tablet.otzar.org/#/book/656208/p/-1/t/1/fs/0/start/0/end/0/c</v>
      </c>
    </row>
    <row r="358" spans="1:8" x14ac:dyDescent="0.25">
      <c r="A358">
        <v>651699</v>
      </c>
      <c r="B358" t="s">
        <v>871</v>
      </c>
      <c r="C358" t="s">
        <v>872</v>
      </c>
      <c r="D358" t="s">
        <v>10</v>
      </c>
      <c r="E358" t="s">
        <v>11</v>
      </c>
      <c r="G358" t="str">
        <f>HYPERLINK(_xlfn.CONCAT("https://tablet.otzar.org/",CHAR(35),"/book/651699/p/-1/t/1/fs/0/start/0/end/0/c"),"אסופות ופנינים ממרן שר התורה")</f>
        <v>אסופות ופנינים ממרן שר התורה</v>
      </c>
      <c r="H358" t="str">
        <f>_xlfn.CONCAT("https://tablet.otzar.org/",CHAR(35),"/book/651699/p/-1/t/1/fs/0/start/0/end/0/c")</f>
        <v>https://tablet.otzar.org/#/book/651699/p/-1/t/1/fs/0/start/0/end/0/c</v>
      </c>
    </row>
    <row r="359" spans="1:8" x14ac:dyDescent="0.25">
      <c r="A359">
        <v>656002</v>
      </c>
      <c r="B359" t="s">
        <v>873</v>
      </c>
      <c r="C359" t="s">
        <v>874</v>
      </c>
      <c r="D359" t="s">
        <v>34</v>
      </c>
      <c r="E359" t="s">
        <v>35</v>
      </c>
      <c r="G359" t="str">
        <f>HYPERLINK(_xlfn.CONCAT("https://tablet.otzar.org/",CHAR(35),"/book/656002/p/-1/t/1/fs/0/start/0/end/0/c"),"אסוקי נתנאל")</f>
        <v>אסוקי נתנאל</v>
      </c>
      <c r="H359" t="str">
        <f>_xlfn.CONCAT("https://tablet.otzar.org/",CHAR(35),"/book/656002/p/-1/t/1/fs/0/start/0/end/0/c")</f>
        <v>https://tablet.otzar.org/#/book/656002/p/-1/t/1/fs/0/start/0/end/0/c</v>
      </c>
    </row>
    <row r="360" spans="1:8" x14ac:dyDescent="0.25">
      <c r="A360">
        <v>650480</v>
      </c>
      <c r="B360" t="s">
        <v>875</v>
      </c>
      <c r="C360" t="s">
        <v>876</v>
      </c>
      <c r="D360" t="s">
        <v>52</v>
      </c>
      <c r="E360" t="s">
        <v>11</v>
      </c>
      <c r="G360" t="str">
        <f>HYPERLINK(_xlfn.CONCAT("https://tablet.otzar.org/",CHAR(35),"/exKotar/650480"),"אסוקי שמעתתא - 2 כרכים")</f>
        <v>אסוקי שמעתתא - 2 כרכים</v>
      </c>
      <c r="H360" t="str">
        <f>_xlfn.CONCAT("https://tablet.otzar.org/",CHAR(35),"/exKotar/650480")</f>
        <v>https://tablet.otzar.org/#/exKotar/650480</v>
      </c>
    </row>
    <row r="361" spans="1:8" x14ac:dyDescent="0.25">
      <c r="A361">
        <v>655576</v>
      </c>
      <c r="B361" t="s">
        <v>877</v>
      </c>
      <c r="C361" t="s">
        <v>878</v>
      </c>
      <c r="D361" t="s">
        <v>10</v>
      </c>
      <c r="E361" t="s">
        <v>45</v>
      </c>
      <c r="G361" t="str">
        <f>HYPERLINK(_xlfn.CONCAT("https://tablet.otzar.org/",CHAR(35),"/exKotar/655576"),"אסיא - 4 כרכים")</f>
        <v>אסיא - 4 כרכים</v>
      </c>
      <c r="H361" t="str">
        <f>_xlfn.CONCAT("https://tablet.otzar.org/",CHAR(35),"/exKotar/655576")</f>
        <v>https://tablet.otzar.org/#/exKotar/655576</v>
      </c>
    </row>
    <row r="362" spans="1:8" x14ac:dyDescent="0.25">
      <c r="A362">
        <v>649167</v>
      </c>
      <c r="B362" t="s">
        <v>879</v>
      </c>
      <c r="C362" t="s">
        <v>880</v>
      </c>
      <c r="D362" t="s">
        <v>10</v>
      </c>
      <c r="E362" t="s">
        <v>383</v>
      </c>
      <c r="G362" t="str">
        <f>HYPERLINK(_xlfn.CONCAT("https://tablet.otzar.org/",CHAR(35),"/book/649167/p/-1/t/1/fs/0/start/0/end/0/c"),"אסיפת גאונים החדש")</f>
        <v>אסיפת גאונים החדש</v>
      </c>
      <c r="H362" t="str">
        <f>_xlfn.CONCAT("https://tablet.otzar.org/",CHAR(35),"/book/649167/p/-1/t/1/fs/0/start/0/end/0/c")</f>
        <v>https://tablet.otzar.org/#/book/649167/p/-1/t/1/fs/0/start/0/end/0/c</v>
      </c>
    </row>
    <row r="363" spans="1:8" x14ac:dyDescent="0.25">
      <c r="A363">
        <v>656153</v>
      </c>
      <c r="B363" t="s">
        <v>881</v>
      </c>
      <c r="C363" t="s">
        <v>882</v>
      </c>
      <c r="D363" t="s">
        <v>340</v>
      </c>
      <c r="E363" t="s">
        <v>29</v>
      </c>
      <c r="G363" t="str">
        <f>HYPERLINK(_xlfn.CONCAT("https://tablet.otzar.org/",CHAR(35),"/book/656153/p/-1/t/1/fs/0/start/0/end/0/c"),"אסיפת דינים בענין חשמל בשבת")</f>
        <v>אסיפת דינים בענין חשמל בשבת</v>
      </c>
      <c r="H363" t="str">
        <f>_xlfn.CONCAT("https://tablet.otzar.org/",CHAR(35),"/book/656153/p/-1/t/1/fs/0/start/0/end/0/c")</f>
        <v>https://tablet.otzar.org/#/book/656153/p/-1/t/1/fs/0/start/0/end/0/c</v>
      </c>
    </row>
    <row r="364" spans="1:8" x14ac:dyDescent="0.25">
      <c r="A364">
        <v>650606</v>
      </c>
      <c r="B364" t="s">
        <v>883</v>
      </c>
      <c r="C364" t="s">
        <v>884</v>
      </c>
      <c r="D364" t="s">
        <v>10</v>
      </c>
      <c r="E364" t="s">
        <v>366</v>
      </c>
      <c r="G364" t="str">
        <f>HYPERLINK(_xlfn.CONCAT("https://tablet.otzar.org/",CHAR(35),"/book/650606/p/-1/t/1/fs/0/start/0/end/0/c"),"אסיפת מכתבים &lt;מהדו""""ת&gt;")</f>
        <v>אסיפת מכתבים &lt;מהדו""ת&gt;</v>
      </c>
      <c r="H364" t="str">
        <f>_xlfn.CONCAT("https://tablet.otzar.org/",CHAR(35),"/book/650606/p/-1/t/1/fs/0/start/0/end/0/c")</f>
        <v>https://tablet.otzar.org/#/book/650606/p/-1/t/1/fs/0/start/0/end/0/c</v>
      </c>
    </row>
    <row r="365" spans="1:8" x14ac:dyDescent="0.25">
      <c r="A365">
        <v>647900</v>
      </c>
      <c r="B365" t="s">
        <v>885</v>
      </c>
      <c r="C365" t="s">
        <v>886</v>
      </c>
      <c r="D365" t="s">
        <v>887</v>
      </c>
      <c r="E365" t="s">
        <v>888</v>
      </c>
      <c r="G365" t="str">
        <f>HYPERLINK(_xlfn.CONCAT("https://tablet.otzar.org/",CHAR(35),"/book/647900/p/-1/t/1/fs/0/start/0/end/0/c"),"אספת קטוביץ")</f>
        <v>אספת קטוביץ</v>
      </c>
      <c r="H365" t="str">
        <f>_xlfn.CONCAT("https://tablet.otzar.org/",CHAR(35),"/book/647900/p/-1/t/1/fs/0/start/0/end/0/c")</f>
        <v>https://tablet.otzar.org/#/book/647900/p/-1/t/1/fs/0/start/0/end/0/c</v>
      </c>
    </row>
    <row r="366" spans="1:8" x14ac:dyDescent="0.25">
      <c r="A366">
        <v>635955</v>
      </c>
      <c r="B366" t="s">
        <v>889</v>
      </c>
      <c r="C366" t="s">
        <v>890</v>
      </c>
      <c r="D366" t="s">
        <v>731</v>
      </c>
      <c r="E366" t="s">
        <v>891</v>
      </c>
      <c r="G366" t="str">
        <f>HYPERLINK(_xlfn.CONCAT("https://tablet.otzar.org/",CHAR(35),"/book/635955/p/-1/t/1/fs/0/start/0/end/0/c"),"אעירה שחר - א")</f>
        <v>אעירה שחר - א</v>
      </c>
      <c r="H366" t="str">
        <f>_xlfn.CONCAT("https://tablet.otzar.org/",CHAR(35),"/book/635955/p/-1/t/1/fs/0/start/0/end/0/c")</f>
        <v>https://tablet.otzar.org/#/book/635955/p/-1/t/1/fs/0/start/0/end/0/c</v>
      </c>
    </row>
    <row r="367" spans="1:8" x14ac:dyDescent="0.25">
      <c r="A367">
        <v>654381</v>
      </c>
      <c r="B367" t="s">
        <v>892</v>
      </c>
      <c r="C367" t="s">
        <v>893</v>
      </c>
      <c r="D367" t="s">
        <v>52</v>
      </c>
      <c r="E367" t="s">
        <v>11</v>
      </c>
      <c r="G367" t="str">
        <f>HYPERLINK(_xlfn.CONCAT("https://tablet.otzar.org/",CHAR(35),"/book/654381/p/-1/t/1/fs/0/start/0/end/0/c"),"אפומא דמחתרתא")</f>
        <v>אפומא דמחתרתא</v>
      </c>
      <c r="H367" t="str">
        <f>_xlfn.CONCAT("https://tablet.otzar.org/",CHAR(35),"/book/654381/p/-1/t/1/fs/0/start/0/end/0/c")</f>
        <v>https://tablet.otzar.org/#/book/654381/p/-1/t/1/fs/0/start/0/end/0/c</v>
      </c>
    </row>
    <row r="368" spans="1:8" x14ac:dyDescent="0.25">
      <c r="A368">
        <v>651662</v>
      </c>
      <c r="B368" t="s">
        <v>894</v>
      </c>
      <c r="C368" t="s">
        <v>895</v>
      </c>
      <c r="D368" t="s">
        <v>52</v>
      </c>
      <c r="E368" t="s">
        <v>35</v>
      </c>
      <c r="G368" t="str">
        <f>HYPERLINK(_xlfn.CONCAT("https://tablet.otzar.org/",CHAR(35),"/book/651662/p/-1/t/1/fs/0/start/0/end/0/c"),"אפי זוטרי")</f>
        <v>אפי זוטרי</v>
      </c>
      <c r="H368" t="str">
        <f>_xlfn.CONCAT("https://tablet.otzar.org/",CHAR(35),"/book/651662/p/-1/t/1/fs/0/start/0/end/0/c")</f>
        <v>https://tablet.otzar.org/#/book/651662/p/-1/t/1/fs/0/start/0/end/0/c</v>
      </c>
    </row>
    <row r="369" spans="1:8" x14ac:dyDescent="0.25">
      <c r="A369">
        <v>651873</v>
      </c>
      <c r="B369" t="s">
        <v>896</v>
      </c>
      <c r="C369" t="s">
        <v>897</v>
      </c>
      <c r="D369" t="s">
        <v>52</v>
      </c>
      <c r="E369" t="s">
        <v>11</v>
      </c>
      <c r="G369" t="str">
        <f>HYPERLINK(_xlfn.CONCAT("https://tablet.otzar.org/",CHAR(35),"/book/651873/p/-1/t/1/fs/0/start/0/end/0/c"),"אפיקי מים - יציאת מצרים, הגדה של פסח")</f>
        <v>אפיקי מים - יציאת מצרים, הגדה של פסח</v>
      </c>
      <c r="H369" t="str">
        <f>_xlfn.CONCAT("https://tablet.otzar.org/",CHAR(35),"/book/651873/p/-1/t/1/fs/0/start/0/end/0/c")</f>
        <v>https://tablet.otzar.org/#/book/651873/p/-1/t/1/fs/0/start/0/end/0/c</v>
      </c>
    </row>
    <row r="370" spans="1:8" x14ac:dyDescent="0.25">
      <c r="A370">
        <v>654222</v>
      </c>
      <c r="B370" t="s">
        <v>898</v>
      </c>
      <c r="C370" t="s">
        <v>899</v>
      </c>
      <c r="D370" t="s">
        <v>10</v>
      </c>
      <c r="E370" t="s">
        <v>11</v>
      </c>
      <c r="G370" t="str">
        <f>HYPERLINK(_xlfn.CONCAT("https://tablet.otzar.org/",CHAR(35),"/exKotar/654222"),"אפיקי מים - 2 כרכים")</f>
        <v>אפיקי מים - 2 כרכים</v>
      </c>
      <c r="H370" t="str">
        <f>_xlfn.CONCAT("https://tablet.otzar.org/",CHAR(35),"/exKotar/654222")</f>
        <v>https://tablet.otzar.org/#/exKotar/654222</v>
      </c>
    </row>
    <row r="371" spans="1:8" x14ac:dyDescent="0.25">
      <c r="A371">
        <v>648948</v>
      </c>
      <c r="B371" t="s">
        <v>900</v>
      </c>
      <c r="C371" t="s">
        <v>901</v>
      </c>
      <c r="D371" t="s">
        <v>88</v>
      </c>
      <c r="E371" t="s">
        <v>558</v>
      </c>
      <c r="G371" t="str">
        <f>HYPERLINK(_xlfn.CONCAT("https://tablet.otzar.org/",CHAR(35),"/book/648948/p/-1/t/1/fs/0/start/0/end/0/c"),"אפריון - א")</f>
        <v>אפריון - א</v>
      </c>
      <c r="H371" t="str">
        <f>_xlfn.CONCAT("https://tablet.otzar.org/",CHAR(35),"/book/648948/p/-1/t/1/fs/0/start/0/end/0/c")</f>
        <v>https://tablet.otzar.org/#/book/648948/p/-1/t/1/fs/0/start/0/end/0/c</v>
      </c>
    </row>
    <row r="372" spans="1:8" x14ac:dyDescent="0.25">
      <c r="A372">
        <v>652808</v>
      </c>
      <c r="B372" t="s">
        <v>902</v>
      </c>
      <c r="C372" t="s">
        <v>851</v>
      </c>
      <c r="D372" t="s">
        <v>129</v>
      </c>
      <c r="E372" t="s">
        <v>903</v>
      </c>
      <c r="G372" t="str">
        <f>HYPERLINK(_xlfn.CONCAT("https://tablet.otzar.org/",CHAR(35),"/book/652808/p/-1/t/1/fs/0/start/0/end/0/c"),"אצילי בני ישראל")</f>
        <v>אצילי בני ישראל</v>
      </c>
      <c r="H372" t="str">
        <f>_xlfn.CONCAT("https://tablet.otzar.org/",CHAR(35),"/book/652808/p/-1/t/1/fs/0/start/0/end/0/c")</f>
        <v>https://tablet.otzar.org/#/book/652808/p/-1/t/1/fs/0/start/0/end/0/c</v>
      </c>
    </row>
    <row r="373" spans="1:8" x14ac:dyDescent="0.25">
      <c r="A373">
        <v>654113</v>
      </c>
      <c r="B373" t="s">
        <v>904</v>
      </c>
      <c r="C373" t="s">
        <v>905</v>
      </c>
      <c r="D373" t="s">
        <v>10</v>
      </c>
      <c r="E373" t="s">
        <v>11</v>
      </c>
      <c r="G373" t="str">
        <f>HYPERLINK(_xlfn.CONCAT("https://tablet.otzar.org/",CHAR(35),"/book/654113/p/-1/t/1/fs/0/start/0/end/0/c"),"אקח מועד")</f>
        <v>אקח מועד</v>
      </c>
      <c r="H373" t="str">
        <f>_xlfn.CONCAT("https://tablet.otzar.org/",CHAR(35),"/book/654113/p/-1/t/1/fs/0/start/0/end/0/c")</f>
        <v>https://tablet.otzar.org/#/book/654113/p/-1/t/1/fs/0/start/0/end/0/c</v>
      </c>
    </row>
    <row r="374" spans="1:8" x14ac:dyDescent="0.25">
      <c r="A374">
        <v>650582</v>
      </c>
      <c r="B374" t="s">
        <v>906</v>
      </c>
      <c r="C374" t="s">
        <v>907</v>
      </c>
      <c r="D374" t="s">
        <v>10</v>
      </c>
      <c r="E374" t="s">
        <v>769</v>
      </c>
      <c r="G374" t="str">
        <f>HYPERLINK(_xlfn.CONCAT("https://tablet.otzar.org/",CHAR(35),"/book/650582/p/-1/t/1/fs/0/start/0/end/0/c"),"ארבע אמהות ואם המלוכה")</f>
        <v>ארבע אמהות ואם המלוכה</v>
      </c>
      <c r="H374" t="str">
        <f>_xlfn.CONCAT("https://tablet.otzar.org/",CHAR(35),"/book/650582/p/-1/t/1/fs/0/start/0/end/0/c")</f>
        <v>https://tablet.otzar.org/#/book/650582/p/-1/t/1/fs/0/start/0/end/0/c</v>
      </c>
    </row>
    <row r="375" spans="1:8" x14ac:dyDescent="0.25">
      <c r="A375">
        <v>649006</v>
      </c>
      <c r="B375" t="s">
        <v>908</v>
      </c>
      <c r="C375" t="s">
        <v>909</v>
      </c>
      <c r="D375" t="s">
        <v>10</v>
      </c>
      <c r="E375" t="s">
        <v>11</v>
      </c>
      <c r="G375" t="str">
        <f>HYPERLINK(_xlfn.CONCAT("https://tablet.otzar.org/",CHAR(35),"/book/649006/p/-1/t/1/fs/0/start/0/end/0/c"),"ארבע דרשות נישואין לאחד מחכמי ביזנטיון הקדומים")</f>
        <v>ארבע דרשות נישואין לאחד מחכמי ביזנטיון הקדומים</v>
      </c>
      <c r="H375" t="str">
        <f>_xlfn.CONCAT("https://tablet.otzar.org/",CHAR(35),"/book/649006/p/-1/t/1/fs/0/start/0/end/0/c")</f>
        <v>https://tablet.otzar.org/#/book/649006/p/-1/t/1/fs/0/start/0/end/0/c</v>
      </c>
    </row>
    <row r="376" spans="1:8" x14ac:dyDescent="0.25">
      <c r="A376">
        <v>655244</v>
      </c>
      <c r="B376" t="s">
        <v>910</v>
      </c>
      <c r="C376" t="s">
        <v>911</v>
      </c>
      <c r="D376" t="s">
        <v>10</v>
      </c>
      <c r="E376" t="s">
        <v>35</v>
      </c>
      <c r="G376" t="str">
        <f>HYPERLINK(_xlfn.CONCAT("https://tablet.otzar.org/",CHAR(35),"/book/655244/p/-1/t/1/fs/0/start/0/end/0/c"),"ארבע תעניות ובין המצרים בהלכה ובאגדה")</f>
        <v>ארבע תעניות ובין המצרים בהלכה ובאגדה</v>
      </c>
      <c r="H376" t="str">
        <f>_xlfn.CONCAT("https://tablet.otzar.org/",CHAR(35),"/book/655244/p/-1/t/1/fs/0/start/0/end/0/c")</f>
        <v>https://tablet.otzar.org/#/book/655244/p/-1/t/1/fs/0/start/0/end/0/c</v>
      </c>
    </row>
    <row r="377" spans="1:8" x14ac:dyDescent="0.25">
      <c r="A377">
        <v>641057</v>
      </c>
      <c r="B377" t="s">
        <v>912</v>
      </c>
      <c r="C377" t="s">
        <v>913</v>
      </c>
      <c r="E377" t="s">
        <v>914</v>
      </c>
      <c r="G377" t="str">
        <f>HYPERLINK(_xlfn.CONCAT("https://tablet.otzar.org/",CHAR(35),"/book/641057/p/-1/t/1/fs/0/start/0/end/0/c"),"ארגון יוצאי רוה - רוסקה והסביבה בישראל")</f>
        <v>ארגון יוצאי רוה - רוסקה והסביבה בישראל</v>
      </c>
      <c r="H377" t="str">
        <f>_xlfn.CONCAT("https://tablet.otzar.org/",CHAR(35),"/book/641057/p/-1/t/1/fs/0/start/0/end/0/c")</f>
        <v>https://tablet.otzar.org/#/book/641057/p/-1/t/1/fs/0/start/0/end/0/c</v>
      </c>
    </row>
    <row r="378" spans="1:8" x14ac:dyDescent="0.25">
      <c r="A378">
        <v>649920</v>
      </c>
      <c r="B378" t="s">
        <v>915</v>
      </c>
      <c r="C378" t="s">
        <v>916</v>
      </c>
      <c r="D378" t="s">
        <v>573</v>
      </c>
      <c r="E378" t="s">
        <v>11</v>
      </c>
      <c r="G378" t="str">
        <f>HYPERLINK(_xlfn.CONCAT("https://tablet.otzar.org/",CHAR(35),"/book/649920/p/-1/t/1/fs/0/start/0/end/0/c"),"ארזי איש - קידושין")</f>
        <v>ארזי איש - קידושין</v>
      </c>
      <c r="H378" t="str">
        <f>_xlfn.CONCAT("https://tablet.otzar.org/",CHAR(35),"/book/649920/p/-1/t/1/fs/0/start/0/end/0/c")</f>
        <v>https://tablet.otzar.org/#/book/649920/p/-1/t/1/fs/0/start/0/end/0/c</v>
      </c>
    </row>
    <row r="379" spans="1:8" x14ac:dyDescent="0.25">
      <c r="A379">
        <v>647883</v>
      </c>
      <c r="B379" t="s">
        <v>917</v>
      </c>
      <c r="C379" t="s">
        <v>918</v>
      </c>
      <c r="D379" t="s">
        <v>10</v>
      </c>
      <c r="E379" t="s">
        <v>35</v>
      </c>
      <c r="G379" t="str">
        <f>HYPERLINK(_xlfn.CONCAT("https://tablet.otzar.org/",CHAR(35),"/exKotar/647883"),"ארזי הלבנון - 2 כרכים")</f>
        <v>ארזי הלבנון - 2 כרכים</v>
      </c>
      <c r="H379" t="str">
        <f>_xlfn.CONCAT("https://tablet.otzar.org/",CHAR(35),"/exKotar/647883")</f>
        <v>https://tablet.otzar.org/#/exKotar/647883</v>
      </c>
    </row>
    <row r="380" spans="1:8" x14ac:dyDescent="0.25">
      <c r="A380">
        <v>646942</v>
      </c>
      <c r="B380" t="s">
        <v>919</v>
      </c>
      <c r="C380" t="s">
        <v>920</v>
      </c>
      <c r="D380" t="s">
        <v>921</v>
      </c>
      <c r="E380" t="s">
        <v>922</v>
      </c>
      <c r="G380" t="str">
        <f>HYPERLINK(_xlfn.CONCAT("https://tablet.otzar.org/",CHAR(35),"/book/646942/p/-1/t/1/fs/0/start/0/end/0/c"),"ארח ישראל")</f>
        <v>ארח ישראל</v>
      </c>
      <c r="H380" t="str">
        <f>_xlfn.CONCAT("https://tablet.otzar.org/",CHAR(35),"/book/646942/p/-1/t/1/fs/0/start/0/end/0/c")</f>
        <v>https://tablet.otzar.org/#/book/646942/p/-1/t/1/fs/0/start/0/end/0/c</v>
      </c>
    </row>
    <row r="381" spans="1:8" x14ac:dyDescent="0.25">
      <c r="A381">
        <v>652928</v>
      </c>
      <c r="B381" t="s">
        <v>923</v>
      </c>
      <c r="C381" t="s">
        <v>924</v>
      </c>
      <c r="D381" t="s">
        <v>606</v>
      </c>
      <c r="E381" t="s">
        <v>558</v>
      </c>
      <c r="G381" t="str">
        <f>HYPERLINK(_xlfn.CONCAT("https://tablet.otzar.org/",CHAR(35),"/exKotar/652928"),"ארחות - 2 כרכים")</f>
        <v>ארחות - 2 כרכים</v>
      </c>
      <c r="H381" t="str">
        <f>_xlfn.CONCAT("https://tablet.otzar.org/",CHAR(35),"/exKotar/652928")</f>
        <v>https://tablet.otzar.org/#/exKotar/652928</v>
      </c>
    </row>
    <row r="382" spans="1:8" x14ac:dyDescent="0.25">
      <c r="A382">
        <v>653416</v>
      </c>
      <c r="B382" t="s">
        <v>925</v>
      </c>
      <c r="C382" t="s">
        <v>926</v>
      </c>
      <c r="D382" t="s">
        <v>52</v>
      </c>
      <c r="E382" t="s">
        <v>19</v>
      </c>
      <c r="G382" t="str">
        <f>HYPERLINK(_xlfn.CONCAT("https://tablet.otzar.org/",CHAR(35),"/book/653416/p/-1/t/1/fs/0/start/0/end/0/c"),"ארחות אמנו ע""""ה")</f>
        <v>ארחות אמנו ע""ה</v>
      </c>
      <c r="H382" t="str">
        <f>_xlfn.CONCAT("https://tablet.otzar.org/",CHAR(35),"/book/653416/p/-1/t/1/fs/0/start/0/end/0/c")</f>
        <v>https://tablet.otzar.org/#/book/653416/p/-1/t/1/fs/0/start/0/end/0/c</v>
      </c>
    </row>
    <row r="383" spans="1:8" x14ac:dyDescent="0.25">
      <c r="A383">
        <v>655211</v>
      </c>
      <c r="B383" t="s">
        <v>927</v>
      </c>
      <c r="C383" t="s">
        <v>928</v>
      </c>
      <c r="D383" t="s">
        <v>287</v>
      </c>
      <c r="E383" t="s">
        <v>312</v>
      </c>
      <c r="G383" t="str">
        <f>HYPERLINK(_xlfn.CONCAT("https://tablet.otzar.org/",CHAR(35),"/book/655211/p/-1/t/1/fs/0/start/0/end/0/c"),"ארחות הסופר")</f>
        <v>ארחות הסופר</v>
      </c>
      <c r="H383" t="str">
        <f>_xlfn.CONCAT("https://tablet.otzar.org/",CHAR(35),"/book/655211/p/-1/t/1/fs/0/start/0/end/0/c")</f>
        <v>https://tablet.otzar.org/#/book/655211/p/-1/t/1/fs/0/start/0/end/0/c</v>
      </c>
    </row>
    <row r="384" spans="1:8" x14ac:dyDescent="0.25">
      <c r="A384">
        <v>652623</v>
      </c>
      <c r="B384" t="s">
        <v>929</v>
      </c>
      <c r="C384" t="s">
        <v>930</v>
      </c>
      <c r="D384" t="s">
        <v>931</v>
      </c>
      <c r="E384" t="s">
        <v>11</v>
      </c>
      <c r="G384" t="str">
        <f>HYPERLINK(_xlfn.CONCAT("https://tablet.otzar.org/",CHAR(35),"/book/652623/p/-1/t/1/fs/0/start/0/end/0/c"),"ארחות חיים &lt;מכון אור עציון&gt; - ב")</f>
        <v>ארחות חיים &lt;מכון אור עציון&gt; - ב</v>
      </c>
      <c r="H384" t="str">
        <f>_xlfn.CONCAT("https://tablet.otzar.org/",CHAR(35),"/book/652623/p/-1/t/1/fs/0/start/0/end/0/c")</f>
        <v>https://tablet.otzar.org/#/book/652623/p/-1/t/1/fs/0/start/0/end/0/c</v>
      </c>
    </row>
    <row r="385" spans="1:8" x14ac:dyDescent="0.25">
      <c r="A385">
        <v>651551</v>
      </c>
      <c r="B385" t="s">
        <v>932</v>
      </c>
      <c r="C385" t="s">
        <v>563</v>
      </c>
      <c r="D385" t="s">
        <v>52</v>
      </c>
      <c r="E385" t="s">
        <v>11</v>
      </c>
      <c r="G385" t="str">
        <f>HYPERLINK(_xlfn.CONCAT("https://tablet.otzar.org/",CHAR(35),"/book/651551/p/-1/t/1/fs/0/start/0/end/0/c"),"ארחות יושר - עם ביאור ערך תפילה")</f>
        <v>ארחות יושר - עם ביאור ערך תפילה</v>
      </c>
      <c r="H385" t="str">
        <f>_xlfn.CONCAT("https://tablet.otzar.org/",CHAR(35),"/book/651551/p/-1/t/1/fs/0/start/0/end/0/c")</f>
        <v>https://tablet.otzar.org/#/book/651551/p/-1/t/1/fs/0/start/0/end/0/c</v>
      </c>
    </row>
    <row r="386" spans="1:8" x14ac:dyDescent="0.25">
      <c r="A386">
        <v>646701</v>
      </c>
      <c r="B386" t="s">
        <v>933</v>
      </c>
      <c r="C386" t="s">
        <v>934</v>
      </c>
      <c r="D386" t="s">
        <v>510</v>
      </c>
      <c r="E386" t="s">
        <v>11</v>
      </c>
      <c r="G386" t="str">
        <f>HYPERLINK(_xlfn.CONCAT("https://tablet.otzar.org/",CHAR(35),"/book/646701/p/-1/t/1/fs/0/start/0/end/0/c"),"ארחות מנחם")</f>
        <v>ארחות מנחם</v>
      </c>
      <c r="H386" t="str">
        <f>_xlfn.CONCAT("https://tablet.otzar.org/",CHAR(35),"/book/646701/p/-1/t/1/fs/0/start/0/end/0/c")</f>
        <v>https://tablet.otzar.org/#/book/646701/p/-1/t/1/fs/0/start/0/end/0/c</v>
      </c>
    </row>
    <row r="387" spans="1:8" x14ac:dyDescent="0.25">
      <c r="A387">
        <v>650543</v>
      </c>
      <c r="B387" t="s">
        <v>935</v>
      </c>
      <c r="C387" t="s">
        <v>936</v>
      </c>
      <c r="D387" t="s">
        <v>277</v>
      </c>
      <c r="E387" t="s">
        <v>405</v>
      </c>
      <c r="G387" t="str">
        <f>HYPERLINK(_xlfn.CONCAT("https://tablet.otzar.org/",CHAR(35),"/exKotar/650543"),"ארחץ בנקיון כפי - 3 כרכים")</f>
        <v>ארחץ בנקיון כפי - 3 כרכים</v>
      </c>
      <c r="H387" t="str">
        <f>_xlfn.CONCAT("https://tablet.otzar.org/",CHAR(35),"/exKotar/650543")</f>
        <v>https://tablet.otzar.org/#/exKotar/650543</v>
      </c>
    </row>
    <row r="388" spans="1:8" x14ac:dyDescent="0.25">
      <c r="A388">
        <v>650101</v>
      </c>
      <c r="B388" t="s">
        <v>937</v>
      </c>
      <c r="C388" t="s">
        <v>938</v>
      </c>
      <c r="E388" t="s">
        <v>11</v>
      </c>
      <c r="G388" t="str">
        <f>HYPERLINK(_xlfn.CONCAT("https://tablet.otzar.org/",CHAR(35),"/book/650101/p/-1/t/1/fs/0/start/0/end/0/c"),"ארי במסתרים")</f>
        <v>ארי במסתרים</v>
      </c>
      <c r="H388" t="str">
        <f>_xlfn.CONCAT("https://tablet.otzar.org/",CHAR(35),"/book/650101/p/-1/t/1/fs/0/start/0/end/0/c")</f>
        <v>https://tablet.otzar.org/#/book/650101/p/-1/t/1/fs/0/start/0/end/0/c</v>
      </c>
    </row>
    <row r="389" spans="1:8" x14ac:dyDescent="0.25">
      <c r="A389">
        <v>655720</v>
      </c>
      <c r="B389" t="s">
        <v>939</v>
      </c>
      <c r="C389" t="s">
        <v>940</v>
      </c>
      <c r="D389" t="s">
        <v>52</v>
      </c>
      <c r="E389" t="s">
        <v>657</v>
      </c>
      <c r="G389" t="str">
        <f>HYPERLINK(_xlfn.CONCAT("https://tablet.otzar.org/",CHAR(35),"/book/655720/p/-1/t/1/fs/0/start/0/end/0/c"),"ארי שבחבורה - רבי לייבל פרידמן")</f>
        <v>ארי שבחבורה - רבי לייבל פרידמן</v>
      </c>
      <c r="H389" t="str">
        <f>_xlfn.CONCAT("https://tablet.otzar.org/",CHAR(35),"/book/655720/p/-1/t/1/fs/0/start/0/end/0/c")</f>
        <v>https://tablet.otzar.org/#/book/655720/p/-1/t/1/fs/0/start/0/end/0/c</v>
      </c>
    </row>
    <row r="390" spans="1:8" x14ac:dyDescent="0.25">
      <c r="A390">
        <v>656004</v>
      </c>
      <c r="B390" t="s">
        <v>941</v>
      </c>
      <c r="C390" t="s">
        <v>942</v>
      </c>
      <c r="D390" t="s">
        <v>10</v>
      </c>
      <c r="E390" t="s">
        <v>35</v>
      </c>
      <c r="G390" t="str">
        <f>HYPERLINK(_xlfn.CONCAT("https://tablet.otzar.org/",CHAR(35),"/book/656004/p/-1/t/1/fs/0/start/0/end/0/c"),"אריה שאג")</f>
        <v>אריה שאג</v>
      </c>
      <c r="H390" t="str">
        <f>_xlfn.CONCAT("https://tablet.otzar.org/",CHAR(35),"/book/656004/p/-1/t/1/fs/0/start/0/end/0/c")</f>
        <v>https://tablet.otzar.org/#/book/656004/p/-1/t/1/fs/0/start/0/end/0/c</v>
      </c>
    </row>
    <row r="391" spans="1:8" x14ac:dyDescent="0.25">
      <c r="A391">
        <v>650768</v>
      </c>
      <c r="B391" t="s">
        <v>943</v>
      </c>
      <c r="C391" t="s">
        <v>944</v>
      </c>
      <c r="D391" t="s">
        <v>945</v>
      </c>
      <c r="E391" t="s">
        <v>11</v>
      </c>
      <c r="G391" t="str">
        <f>HYPERLINK(_xlfn.CONCAT("https://tablet.otzar.org/",CHAR(35),"/book/650768/p/-1/t/1/fs/0/start/0/end/0/c"),"ארמיא אדמורא")</f>
        <v>ארמיא אדמורא</v>
      </c>
      <c r="H391" t="str">
        <f>_xlfn.CONCAT("https://tablet.otzar.org/",CHAR(35),"/book/650768/p/-1/t/1/fs/0/start/0/end/0/c")</f>
        <v>https://tablet.otzar.org/#/book/650768/p/-1/t/1/fs/0/start/0/end/0/c</v>
      </c>
    </row>
    <row r="392" spans="1:8" x14ac:dyDescent="0.25">
      <c r="A392">
        <v>655757</v>
      </c>
      <c r="B392" t="s">
        <v>946</v>
      </c>
      <c r="C392" t="s">
        <v>947</v>
      </c>
      <c r="D392" t="s">
        <v>948</v>
      </c>
      <c r="E392" t="s">
        <v>11</v>
      </c>
      <c r="G392" t="str">
        <f>HYPERLINK(_xlfn.CONCAT("https://tablet.otzar.org/",CHAR(35),"/book/655757/p/-1/t/1/fs/0/start/0/end/0/c"),"ארץ במשפט")</f>
        <v>ארץ במשפט</v>
      </c>
      <c r="H392" t="str">
        <f>_xlfn.CONCAT("https://tablet.otzar.org/",CHAR(35),"/book/655757/p/-1/t/1/fs/0/start/0/end/0/c")</f>
        <v>https://tablet.otzar.org/#/book/655757/p/-1/t/1/fs/0/start/0/end/0/c</v>
      </c>
    </row>
    <row r="393" spans="1:8" x14ac:dyDescent="0.25">
      <c r="A393">
        <v>655826</v>
      </c>
      <c r="B393" t="s">
        <v>949</v>
      </c>
      <c r="C393" t="s">
        <v>950</v>
      </c>
      <c r="D393" t="s">
        <v>951</v>
      </c>
      <c r="E393" t="s">
        <v>11</v>
      </c>
      <c r="G393" t="str">
        <f>HYPERLINK(_xlfn.CONCAT("https://tablet.otzar.org/",CHAR(35),"/exKotar/655826"),"ארץ גשן - 2 כרכים")</f>
        <v>ארץ גשן - 2 כרכים</v>
      </c>
      <c r="H393" t="str">
        <f>_xlfn.CONCAT("https://tablet.otzar.org/",CHAR(35),"/exKotar/655826")</f>
        <v>https://tablet.otzar.org/#/exKotar/655826</v>
      </c>
    </row>
    <row r="394" spans="1:8" x14ac:dyDescent="0.25">
      <c r="A394">
        <v>647812</v>
      </c>
      <c r="B394" t="s">
        <v>952</v>
      </c>
      <c r="C394" t="s">
        <v>614</v>
      </c>
      <c r="D394" t="s">
        <v>10</v>
      </c>
      <c r="E394" t="s">
        <v>11</v>
      </c>
      <c r="G394" t="str">
        <f>HYPERLINK(_xlfn.CONCAT("https://tablet.otzar.org/",CHAR(35),"/exKotar/647812"),"ארץ דשא - 3 כרכים")</f>
        <v>ארץ דשא - 3 כרכים</v>
      </c>
      <c r="H394" t="str">
        <f>_xlfn.CONCAT("https://tablet.otzar.org/",CHAR(35),"/exKotar/647812")</f>
        <v>https://tablet.otzar.org/#/exKotar/647812</v>
      </c>
    </row>
    <row r="395" spans="1:8" x14ac:dyDescent="0.25">
      <c r="A395">
        <v>656052</v>
      </c>
      <c r="B395" t="s">
        <v>953</v>
      </c>
      <c r="C395" t="s">
        <v>954</v>
      </c>
      <c r="D395" t="s">
        <v>340</v>
      </c>
      <c r="E395" t="s">
        <v>84</v>
      </c>
      <c r="G395" t="str">
        <f>HYPERLINK(_xlfn.CONCAT("https://tablet.otzar.org/",CHAR(35),"/book/656052/p/-1/t/1/fs/0/start/0/end/0/c"),"ארץ החוילה")</f>
        <v>ארץ החוילה</v>
      </c>
      <c r="H395" t="str">
        <f>_xlfn.CONCAT("https://tablet.otzar.org/",CHAR(35),"/book/656052/p/-1/t/1/fs/0/start/0/end/0/c")</f>
        <v>https://tablet.otzar.org/#/book/656052/p/-1/t/1/fs/0/start/0/end/0/c</v>
      </c>
    </row>
    <row r="396" spans="1:8" x14ac:dyDescent="0.25">
      <c r="A396">
        <v>647610</v>
      </c>
      <c r="B396" t="s">
        <v>955</v>
      </c>
      <c r="C396" t="s">
        <v>956</v>
      </c>
      <c r="D396" t="s">
        <v>52</v>
      </c>
      <c r="E396" t="s">
        <v>11</v>
      </c>
      <c r="G396" t="str">
        <f>HYPERLINK(_xlfn.CONCAT("https://tablet.otzar.org/",CHAR(35),"/exKotar/647610"),"ארץ החיים - 2 כרכים")</f>
        <v>ארץ החיים - 2 כרכים</v>
      </c>
      <c r="H396" t="str">
        <f>_xlfn.CONCAT("https://tablet.otzar.org/",CHAR(35),"/exKotar/647610")</f>
        <v>https://tablet.otzar.org/#/exKotar/647610</v>
      </c>
    </row>
    <row r="397" spans="1:8" x14ac:dyDescent="0.25">
      <c r="A397">
        <v>649793</v>
      </c>
      <c r="B397" t="s">
        <v>957</v>
      </c>
      <c r="C397" t="s">
        <v>958</v>
      </c>
      <c r="D397" t="s">
        <v>606</v>
      </c>
      <c r="E397" t="s">
        <v>25</v>
      </c>
      <c r="G397" t="str">
        <f>HYPERLINK(_xlfn.CONCAT("https://tablet.otzar.org/",CHAR(35),"/book/649793/p/-1/t/1/fs/0/start/0/end/0/c"),"ארץ הצבי ואתריה במקורותינו")</f>
        <v>ארץ הצבי ואתריה במקורותינו</v>
      </c>
      <c r="H397" t="str">
        <f>_xlfn.CONCAT("https://tablet.otzar.org/",CHAR(35),"/book/649793/p/-1/t/1/fs/0/start/0/end/0/c")</f>
        <v>https://tablet.otzar.org/#/book/649793/p/-1/t/1/fs/0/start/0/end/0/c</v>
      </c>
    </row>
    <row r="398" spans="1:8" x14ac:dyDescent="0.25">
      <c r="A398">
        <v>649013</v>
      </c>
      <c r="B398" t="s">
        <v>959</v>
      </c>
      <c r="C398" t="s">
        <v>960</v>
      </c>
      <c r="D398" t="s">
        <v>10</v>
      </c>
      <c r="E398" t="s">
        <v>11</v>
      </c>
      <c r="G398" t="str">
        <f>HYPERLINK(_xlfn.CONCAT("https://tablet.otzar.org/",CHAR(35),"/book/649013/p/-1/t/1/fs/0/start/0/end/0/c"),"ארץ והלכותיה - ב")</f>
        <v>ארץ והלכותיה - ב</v>
      </c>
      <c r="H398" t="str">
        <f>_xlfn.CONCAT("https://tablet.otzar.org/",CHAR(35),"/book/649013/p/-1/t/1/fs/0/start/0/end/0/c")</f>
        <v>https://tablet.otzar.org/#/book/649013/p/-1/t/1/fs/0/start/0/end/0/c</v>
      </c>
    </row>
    <row r="399" spans="1:8" x14ac:dyDescent="0.25">
      <c r="A399">
        <v>650448</v>
      </c>
      <c r="B399" t="s">
        <v>961</v>
      </c>
      <c r="C399" t="s">
        <v>962</v>
      </c>
      <c r="D399" t="s">
        <v>963</v>
      </c>
      <c r="E399" t="s">
        <v>964</v>
      </c>
      <c r="G399" t="str">
        <f>HYPERLINK(_xlfn.CONCAT("https://tablet.otzar.org/",CHAR(35),"/book/650448/p/-1/t/1/fs/0/start/0/end/0/c"),"ארץ חמדה")</f>
        <v>ארץ חמדה</v>
      </c>
      <c r="H399" t="str">
        <f>_xlfn.CONCAT("https://tablet.otzar.org/",CHAR(35),"/book/650448/p/-1/t/1/fs/0/start/0/end/0/c")</f>
        <v>https://tablet.otzar.org/#/book/650448/p/-1/t/1/fs/0/start/0/end/0/c</v>
      </c>
    </row>
    <row r="400" spans="1:8" x14ac:dyDescent="0.25">
      <c r="A400">
        <v>647901</v>
      </c>
      <c r="B400" t="s">
        <v>965</v>
      </c>
      <c r="C400" t="s">
        <v>966</v>
      </c>
      <c r="D400" t="s">
        <v>967</v>
      </c>
      <c r="E400" t="s">
        <v>70</v>
      </c>
      <c r="G400" t="str">
        <f>HYPERLINK(_xlfn.CONCAT("https://tablet.otzar.org/",CHAR(35),"/book/647901/p/-1/t/1/fs/0/start/0/end/0/c"),"ארץ ישראל")</f>
        <v>ארץ ישראל</v>
      </c>
      <c r="H400" t="str">
        <f>_xlfn.CONCAT("https://tablet.otzar.org/",CHAR(35),"/book/647901/p/-1/t/1/fs/0/start/0/end/0/c")</f>
        <v>https://tablet.otzar.org/#/book/647901/p/-1/t/1/fs/0/start/0/end/0/c</v>
      </c>
    </row>
    <row r="401" spans="1:8" x14ac:dyDescent="0.25">
      <c r="A401">
        <v>652780</v>
      </c>
      <c r="B401" t="s">
        <v>965</v>
      </c>
      <c r="C401" t="s">
        <v>968</v>
      </c>
      <c r="E401" t="s">
        <v>35</v>
      </c>
      <c r="G401" t="str">
        <f>HYPERLINK(_xlfn.CONCAT("https://tablet.otzar.org/",CHAR(35),"/book/652780/p/-1/t/1/fs/0/start/0/end/0/c"),"ארץ ישראל")</f>
        <v>ארץ ישראל</v>
      </c>
      <c r="H401" t="str">
        <f>_xlfn.CONCAT("https://tablet.otzar.org/",CHAR(35),"/book/652780/p/-1/t/1/fs/0/start/0/end/0/c")</f>
        <v>https://tablet.otzar.org/#/book/652780/p/-1/t/1/fs/0/start/0/end/0/c</v>
      </c>
    </row>
    <row r="402" spans="1:8" x14ac:dyDescent="0.25">
      <c r="A402">
        <v>652960</v>
      </c>
      <c r="B402" t="s">
        <v>965</v>
      </c>
      <c r="C402" t="s">
        <v>969</v>
      </c>
      <c r="D402" t="s">
        <v>10</v>
      </c>
      <c r="E402" t="s">
        <v>45</v>
      </c>
      <c r="G402" t="str">
        <f>HYPERLINK(_xlfn.CONCAT("https://tablet.otzar.org/",CHAR(35),"/book/652960/p/-1/t/1/fs/0/start/0/end/0/c"),"ארץ ישראל")</f>
        <v>ארץ ישראל</v>
      </c>
      <c r="H402" t="str">
        <f>_xlfn.CONCAT("https://tablet.otzar.org/",CHAR(35),"/book/652960/p/-1/t/1/fs/0/start/0/end/0/c")</f>
        <v>https://tablet.otzar.org/#/book/652960/p/-1/t/1/fs/0/start/0/end/0/c</v>
      </c>
    </row>
    <row r="403" spans="1:8" x14ac:dyDescent="0.25">
      <c r="A403">
        <v>649963</v>
      </c>
      <c r="B403" t="s">
        <v>970</v>
      </c>
      <c r="C403" t="s">
        <v>966</v>
      </c>
      <c r="D403" t="s">
        <v>971</v>
      </c>
      <c r="E403" t="s">
        <v>70</v>
      </c>
      <c r="G403" t="str">
        <f>HYPERLINK(_xlfn.CONCAT("https://tablet.otzar.org/",CHAR(35),"/book/649963/p/-1/t/1/fs/0/start/0/end/0/c"),"ארץ ישראל משא גיא חזיון")</f>
        <v>ארץ ישראל משא גיא חזיון</v>
      </c>
      <c r="H403" t="str">
        <f>_xlfn.CONCAT("https://tablet.otzar.org/",CHAR(35),"/book/649963/p/-1/t/1/fs/0/start/0/end/0/c")</f>
        <v>https://tablet.otzar.org/#/book/649963/p/-1/t/1/fs/0/start/0/end/0/c</v>
      </c>
    </row>
    <row r="404" spans="1:8" x14ac:dyDescent="0.25">
      <c r="A404">
        <v>653900</v>
      </c>
      <c r="B404" t="s">
        <v>972</v>
      </c>
      <c r="C404" t="s">
        <v>760</v>
      </c>
      <c r="E404" t="s">
        <v>73</v>
      </c>
      <c r="G404" t="str">
        <f>HYPERLINK(_xlfn.CONCAT("https://tablet.otzar.org/",CHAR(35),"/book/653900/p/-1/t/1/fs/0/start/0/end/0/c"),"ארצות החיים - שם הגדולים לגדולי ישראל באמריקא")</f>
        <v>ארצות החיים - שם הגדולים לגדולי ישראל באמריקא</v>
      </c>
      <c r="H404" t="str">
        <f>_xlfn.CONCAT("https://tablet.otzar.org/",CHAR(35),"/book/653900/p/-1/t/1/fs/0/start/0/end/0/c")</f>
        <v>https://tablet.otzar.org/#/book/653900/p/-1/t/1/fs/0/start/0/end/0/c</v>
      </c>
    </row>
    <row r="405" spans="1:8" x14ac:dyDescent="0.25">
      <c r="A405">
        <v>647259</v>
      </c>
      <c r="B405" t="s">
        <v>973</v>
      </c>
      <c r="C405" t="s">
        <v>974</v>
      </c>
      <c r="D405" t="s">
        <v>10</v>
      </c>
      <c r="E405" t="s">
        <v>111</v>
      </c>
      <c r="G405" t="str">
        <f>HYPERLINK(_xlfn.CONCAT("https://tablet.otzar.org/",CHAR(35),"/exKotar/647259"),"ארצי - 2 כרכים")</f>
        <v>ארצי - 2 כרכים</v>
      </c>
      <c r="H405" t="str">
        <f>_xlfn.CONCAT("https://tablet.otzar.org/",CHAR(35),"/exKotar/647259")</f>
        <v>https://tablet.otzar.org/#/exKotar/647259</v>
      </c>
    </row>
    <row r="406" spans="1:8" x14ac:dyDescent="0.25">
      <c r="A406">
        <v>647885</v>
      </c>
      <c r="B406" t="s">
        <v>975</v>
      </c>
      <c r="C406" t="s">
        <v>976</v>
      </c>
      <c r="D406" t="s">
        <v>58</v>
      </c>
      <c r="E406" t="s">
        <v>977</v>
      </c>
      <c r="G406" t="str">
        <f>HYPERLINK(_xlfn.CONCAT("https://tablet.otzar.org/",CHAR(35),"/book/647885/p/-1/t/1/fs/0/start/0/end/0/c"),"ארשות החיים")</f>
        <v>ארשות החיים</v>
      </c>
      <c r="H406" t="str">
        <f>_xlfn.CONCAT("https://tablet.otzar.org/",CHAR(35),"/book/647885/p/-1/t/1/fs/0/start/0/end/0/c")</f>
        <v>https://tablet.otzar.org/#/book/647885/p/-1/t/1/fs/0/start/0/end/0/c</v>
      </c>
    </row>
    <row r="407" spans="1:8" x14ac:dyDescent="0.25">
      <c r="A407">
        <v>651586</v>
      </c>
      <c r="B407" t="s">
        <v>978</v>
      </c>
      <c r="C407" t="s">
        <v>979</v>
      </c>
      <c r="D407" t="s">
        <v>10</v>
      </c>
      <c r="E407" t="s">
        <v>19</v>
      </c>
      <c r="G407" t="str">
        <f>HYPERLINK(_xlfn.CONCAT("https://tablet.otzar.org/",CHAR(35),"/book/651586/p/-1/t/1/fs/0/start/0/end/0/c"),"אש דת - בבא מציעא")</f>
        <v>אש דת - בבא מציעא</v>
      </c>
      <c r="H407" t="str">
        <f>_xlfn.CONCAT("https://tablet.otzar.org/",CHAR(35),"/book/651586/p/-1/t/1/fs/0/start/0/end/0/c")</f>
        <v>https://tablet.otzar.org/#/book/651586/p/-1/t/1/fs/0/start/0/end/0/c</v>
      </c>
    </row>
    <row r="408" spans="1:8" x14ac:dyDescent="0.25">
      <c r="A408">
        <v>655092</v>
      </c>
      <c r="B408" t="s">
        <v>980</v>
      </c>
      <c r="C408" t="s">
        <v>981</v>
      </c>
      <c r="D408" t="s">
        <v>88</v>
      </c>
      <c r="E408" t="s">
        <v>84</v>
      </c>
      <c r="G408" t="str">
        <f>HYPERLINK(_xlfn.CONCAT("https://tablet.otzar.org/",CHAR(35),"/book/655092/p/-1/t/1/fs/0/start/0/end/0/c"),"אש דת &lt;מהדורה חדשה&gt;")</f>
        <v>אש דת &lt;מהדורה חדשה&gt;</v>
      </c>
      <c r="H408" t="str">
        <f>_xlfn.CONCAT("https://tablet.otzar.org/",CHAR(35),"/book/655092/p/-1/t/1/fs/0/start/0/end/0/c")</f>
        <v>https://tablet.otzar.org/#/book/655092/p/-1/t/1/fs/0/start/0/end/0/c</v>
      </c>
    </row>
    <row r="409" spans="1:8" x14ac:dyDescent="0.25">
      <c r="A409">
        <v>650544</v>
      </c>
      <c r="B409" t="s">
        <v>982</v>
      </c>
      <c r="C409" t="s">
        <v>983</v>
      </c>
      <c r="D409" t="s">
        <v>52</v>
      </c>
      <c r="E409" t="s">
        <v>35</v>
      </c>
      <c r="G409" t="str">
        <f>HYPERLINK(_xlfn.CONCAT("https://tablet.otzar.org/",CHAR(35),"/book/650544/p/-1/t/1/fs/0/start/0/end/0/c"),"אש יוסף - בבא בתרא")</f>
        <v>אש יוסף - בבא בתרא</v>
      </c>
      <c r="H409" t="str">
        <f>_xlfn.CONCAT("https://tablet.otzar.org/",CHAR(35),"/book/650544/p/-1/t/1/fs/0/start/0/end/0/c")</f>
        <v>https://tablet.otzar.org/#/book/650544/p/-1/t/1/fs/0/start/0/end/0/c</v>
      </c>
    </row>
    <row r="410" spans="1:8" x14ac:dyDescent="0.25">
      <c r="A410">
        <v>649063</v>
      </c>
      <c r="B410" t="s">
        <v>984</v>
      </c>
      <c r="C410" t="s">
        <v>985</v>
      </c>
      <c r="D410" t="s">
        <v>52</v>
      </c>
      <c r="E410" t="s">
        <v>35</v>
      </c>
      <c r="G410" t="str">
        <f>HYPERLINK(_xlfn.CONCAT("https://tablet.otzar.org/",CHAR(35),"/book/649063/p/-1/t/1/fs/0/start/0/end/0/c"),"אש שחורה")</f>
        <v>אש שחורה</v>
      </c>
      <c r="H410" t="str">
        <f>_xlfn.CONCAT("https://tablet.otzar.org/",CHAR(35),"/book/649063/p/-1/t/1/fs/0/start/0/end/0/c")</f>
        <v>https://tablet.otzar.org/#/book/649063/p/-1/t/1/fs/0/start/0/end/0/c</v>
      </c>
    </row>
    <row r="411" spans="1:8" x14ac:dyDescent="0.25">
      <c r="A411">
        <v>654476</v>
      </c>
      <c r="B411" t="s">
        <v>986</v>
      </c>
      <c r="C411" t="s">
        <v>987</v>
      </c>
      <c r="E411" t="s">
        <v>45</v>
      </c>
      <c r="G411" t="str">
        <f>HYPERLINK(_xlfn.CONCAT("https://tablet.otzar.org/",CHAR(35),"/book/654476/p/-1/t/1/fs/0/start/0/end/0/c"),"אש תמיד - ויקרא")</f>
        <v>אש תמיד - ויקרא</v>
      </c>
      <c r="H411" t="str">
        <f>_xlfn.CONCAT("https://tablet.otzar.org/",CHAR(35),"/book/654476/p/-1/t/1/fs/0/start/0/end/0/c")</f>
        <v>https://tablet.otzar.org/#/book/654476/p/-1/t/1/fs/0/start/0/end/0/c</v>
      </c>
    </row>
    <row r="412" spans="1:8" x14ac:dyDescent="0.25">
      <c r="A412">
        <v>654288</v>
      </c>
      <c r="B412" t="s">
        <v>988</v>
      </c>
      <c r="C412" t="s">
        <v>989</v>
      </c>
      <c r="D412" t="s">
        <v>10</v>
      </c>
      <c r="E412" t="s">
        <v>117</v>
      </c>
      <c r="G412" t="str">
        <f>HYPERLINK(_xlfn.CONCAT("https://tablet.otzar.org/",CHAR(35),"/exKotar/654288"),"אשד הנחלים - 2 כרכים")</f>
        <v>אשד הנחלים - 2 כרכים</v>
      </c>
      <c r="H412" t="str">
        <f>_xlfn.CONCAT("https://tablet.otzar.org/",CHAR(35),"/exKotar/654288")</f>
        <v>https://tablet.otzar.org/#/exKotar/654288</v>
      </c>
    </row>
    <row r="413" spans="1:8" x14ac:dyDescent="0.25">
      <c r="A413">
        <v>648815</v>
      </c>
      <c r="B413" t="s">
        <v>990</v>
      </c>
      <c r="C413" t="s">
        <v>991</v>
      </c>
      <c r="D413" t="s">
        <v>992</v>
      </c>
      <c r="E413" t="s">
        <v>11</v>
      </c>
      <c r="G413" t="str">
        <f>HYPERLINK(_xlfn.CONCAT("https://tablet.otzar.org/",CHAR(35),"/exKotar/648815"),"אשכול הכופר - 2 כרכים")</f>
        <v>אשכול הכופר - 2 כרכים</v>
      </c>
      <c r="H413" t="str">
        <f>_xlfn.CONCAT("https://tablet.otzar.org/",CHAR(35),"/exKotar/648815")</f>
        <v>https://tablet.otzar.org/#/exKotar/648815</v>
      </c>
    </row>
    <row r="414" spans="1:8" x14ac:dyDescent="0.25">
      <c r="A414">
        <v>650217</v>
      </c>
      <c r="B414" t="s">
        <v>993</v>
      </c>
      <c r="C414" t="s">
        <v>994</v>
      </c>
      <c r="D414" t="s">
        <v>10</v>
      </c>
      <c r="E414" t="s">
        <v>780</v>
      </c>
      <c r="G414" t="str">
        <f>HYPERLINK(_xlfn.CONCAT("https://tablet.otzar.org/",CHAR(35),"/book/650217/p/-1/t/1/fs/0/start/0/end/0/c"),"אשכל הכפר")</f>
        <v>אשכל הכפר</v>
      </c>
      <c r="H414" t="str">
        <f>_xlfn.CONCAT("https://tablet.otzar.org/",CHAR(35),"/book/650217/p/-1/t/1/fs/0/start/0/end/0/c")</f>
        <v>https://tablet.otzar.org/#/book/650217/p/-1/t/1/fs/0/start/0/end/0/c</v>
      </c>
    </row>
    <row r="415" spans="1:8" x14ac:dyDescent="0.25">
      <c r="A415">
        <v>650185</v>
      </c>
      <c r="B415" t="s">
        <v>995</v>
      </c>
      <c r="C415" t="s">
        <v>996</v>
      </c>
      <c r="D415" t="s">
        <v>10</v>
      </c>
      <c r="E415" t="s">
        <v>200</v>
      </c>
      <c r="G415" t="str">
        <f>HYPERLINK(_xlfn.CONCAT("https://tablet.otzar.org/",CHAR(35),"/book/650185/p/-1/t/1/fs/0/start/0/end/0/c"),"אשל אברהם")</f>
        <v>אשל אברהם</v>
      </c>
      <c r="H415" t="str">
        <f>_xlfn.CONCAT("https://tablet.otzar.org/",CHAR(35),"/book/650185/p/-1/t/1/fs/0/start/0/end/0/c")</f>
        <v>https://tablet.otzar.org/#/book/650185/p/-1/t/1/fs/0/start/0/end/0/c</v>
      </c>
    </row>
    <row r="416" spans="1:8" x14ac:dyDescent="0.25">
      <c r="A416">
        <v>650092</v>
      </c>
      <c r="B416" t="s">
        <v>997</v>
      </c>
      <c r="C416" t="s">
        <v>998</v>
      </c>
      <c r="D416" t="s">
        <v>999</v>
      </c>
      <c r="E416" t="s">
        <v>11</v>
      </c>
      <c r="G416" t="str">
        <f>HYPERLINK(_xlfn.CONCAT("https://tablet.otzar.org/",CHAR(35),"/exKotar/650092"),"אשל אברהם - 4 כרכים")</f>
        <v>אשל אברהם - 4 כרכים</v>
      </c>
      <c r="H416" t="str">
        <f>_xlfn.CONCAT("https://tablet.otzar.org/",CHAR(35),"/exKotar/650092")</f>
        <v>https://tablet.otzar.org/#/exKotar/650092</v>
      </c>
    </row>
    <row r="417" spans="1:8" x14ac:dyDescent="0.25">
      <c r="A417">
        <v>651203</v>
      </c>
      <c r="B417" t="s">
        <v>1000</v>
      </c>
      <c r="C417" t="s">
        <v>1001</v>
      </c>
      <c r="D417" t="s">
        <v>52</v>
      </c>
      <c r="E417" t="s">
        <v>84</v>
      </c>
      <c r="G417" t="str">
        <f>HYPERLINK(_xlfn.CONCAT("https://tablet.otzar.org/",CHAR(35),"/exKotar/651203"),"אשל ברמה - 2 כרכים")</f>
        <v>אשל ברמה - 2 כרכים</v>
      </c>
      <c r="H417" t="str">
        <f>_xlfn.CONCAT("https://tablet.otzar.org/",CHAR(35),"/exKotar/651203")</f>
        <v>https://tablet.otzar.org/#/exKotar/651203</v>
      </c>
    </row>
    <row r="418" spans="1:8" x14ac:dyDescent="0.25">
      <c r="A418">
        <v>650969</v>
      </c>
      <c r="B418" t="s">
        <v>1002</v>
      </c>
      <c r="C418" t="s">
        <v>1003</v>
      </c>
      <c r="D418" t="s">
        <v>10</v>
      </c>
      <c r="E418" t="s">
        <v>70</v>
      </c>
      <c r="G418" t="str">
        <f>HYPERLINK(_xlfn.CONCAT("https://tablet.otzar.org/",CHAR(35),"/exKotar/650969"),"אשרי האיש - 8 כרכים")</f>
        <v>אשרי האיש - 8 כרכים</v>
      </c>
      <c r="H418" t="str">
        <f>_xlfn.CONCAT("https://tablet.otzar.org/",CHAR(35),"/exKotar/650969")</f>
        <v>https://tablet.otzar.org/#/exKotar/650969</v>
      </c>
    </row>
    <row r="419" spans="1:8" x14ac:dyDescent="0.25">
      <c r="A419">
        <v>652506</v>
      </c>
      <c r="B419" t="s">
        <v>1004</v>
      </c>
      <c r="C419" t="s">
        <v>1005</v>
      </c>
      <c r="D419" t="s">
        <v>52</v>
      </c>
      <c r="E419" t="s">
        <v>11</v>
      </c>
      <c r="G419" t="str">
        <f>HYPERLINK(_xlfn.CONCAT("https://tablet.otzar.org/",CHAR(35),"/book/652506/p/-1/t/1/fs/0/start/0/end/0/c"),"אשרי הגבר")</f>
        <v>אשרי הגבר</v>
      </c>
      <c r="H419" t="str">
        <f>_xlfn.CONCAT("https://tablet.otzar.org/",CHAR(35),"/book/652506/p/-1/t/1/fs/0/start/0/end/0/c")</f>
        <v>https://tablet.otzar.org/#/book/652506/p/-1/t/1/fs/0/start/0/end/0/c</v>
      </c>
    </row>
    <row r="420" spans="1:8" x14ac:dyDescent="0.25">
      <c r="A420">
        <v>650218</v>
      </c>
      <c r="B420" t="s">
        <v>1006</v>
      </c>
      <c r="C420" t="s">
        <v>1007</v>
      </c>
      <c r="D420" t="s">
        <v>10</v>
      </c>
      <c r="E420" t="s">
        <v>383</v>
      </c>
      <c r="G420" t="str">
        <f>HYPERLINK(_xlfn.CONCAT("https://tablet.otzar.org/",CHAR(35),"/book/650218/p/-1/t/1/fs/0/start/0/end/0/c"),"אשריכם ישראל")</f>
        <v>אשריכם ישראל</v>
      </c>
      <c r="H420" t="str">
        <f>_xlfn.CONCAT("https://tablet.otzar.org/",CHAR(35),"/book/650218/p/-1/t/1/fs/0/start/0/end/0/c")</f>
        <v>https://tablet.otzar.org/#/book/650218/p/-1/t/1/fs/0/start/0/end/0/c</v>
      </c>
    </row>
    <row r="421" spans="1:8" x14ac:dyDescent="0.25">
      <c r="A421">
        <v>647498</v>
      </c>
      <c r="B421" t="s">
        <v>1008</v>
      </c>
      <c r="C421" t="s">
        <v>1009</v>
      </c>
      <c r="D421" t="s">
        <v>34</v>
      </c>
      <c r="E421" t="s">
        <v>70</v>
      </c>
      <c r="G421" t="str">
        <f>HYPERLINK(_xlfn.CONCAT("https://tablet.otzar.org/",CHAR(35),"/book/647498/p/-1/t/1/fs/0/start/0/end/0/c"),"אשת חיל")</f>
        <v>אשת חיל</v>
      </c>
      <c r="H421" t="str">
        <f>_xlfn.CONCAT("https://tablet.otzar.org/",CHAR(35),"/book/647498/p/-1/t/1/fs/0/start/0/end/0/c")</f>
        <v>https://tablet.otzar.org/#/book/647498/p/-1/t/1/fs/0/start/0/end/0/c</v>
      </c>
    </row>
    <row r="422" spans="1:8" x14ac:dyDescent="0.25">
      <c r="A422">
        <v>649397</v>
      </c>
      <c r="B422" t="s">
        <v>1010</v>
      </c>
      <c r="C422" t="s">
        <v>1011</v>
      </c>
      <c r="D422" t="s">
        <v>10</v>
      </c>
      <c r="E422" t="s">
        <v>126</v>
      </c>
      <c r="G422" t="str">
        <f>HYPERLINK(_xlfn.CONCAT("https://tablet.otzar.org/",CHAR(35),"/book/649397/p/-1/t/1/fs/0/start/0/end/0/c"),"אשת חיל &lt;מהדורה חדשה&gt;")</f>
        <v>אשת חיל &lt;מהדורה חדשה&gt;</v>
      </c>
      <c r="H422" t="str">
        <f>_xlfn.CONCAT("https://tablet.otzar.org/",CHAR(35),"/book/649397/p/-1/t/1/fs/0/start/0/end/0/c")</f>
        <v>https://tablet.otzar.org/#/book/649397/p/-1/t/1/fs/0/start/0/end/0/c</v>
      </c>
    </row>
    <row r="423" spans="1:8" x14ac:dyDescent="0.25">
      <c r="A423">
        <v>652630</v>
      </c>
      <c r="B423" t="s">
        <v>1012</v>
      </c>
      <c r="C423" t="s">
        <v>1013</v>
      </c>
      <c r="D423" t="s">
        <v>10</v>
      </c>
      <c r="E423" t="s">
        <v>1014</v>
      </c>
      <c r="G423" t="str">
        <f>HYPERLINK(_xlfn.CONCAT("https://tablet.otzar.org/",CHAR(35),"/book/652630/p/-1/t/1/fs/0/start/0/end/0/c"),"את אחינו אנו מבקשים")</f>
        <v>את אחינו אנו מבקשים</v>
      </c>
      <c r="H423" t="str">
        <f>_xlfn.CONCAT("https://tablet.otzar.org/",CHAR(35),"/book/652630/p/-1/t/1/fs/0/start/0/end/0/c")</f>
        <v>https://tablet.otzar.org/#/book/652630/p/-1/t/1/fs/0/start/0/end/0/c</v>
      </c>
    </row>
    <row r="424" spans="1:8" x14ac:dyDescent="0.25">
      <c r="A424">
        <v>650181</v>
      </c>
      <c r="B424" t="s">
        <v>1015</v>
      </c>
      <c r="C424" t="s">
        <v>151</v>
      </c>
      <c r="E424" t="s">
        <v>507</v>
      </c>
      <c r="G424" t="str">
        <f>HYPERLINK(_xlfn.CONCAT("https://tablet.otzar.org/",CHAR(35),"/book/650181/p/-1/t/1/fs/0/start/0/end/0/c"),"את עלית")</f>
        <v>את עלית</v>
      </c>
      <c r="H424" t="str">
        <f>_xlfn.CONCAT("https://tablet.otzar.org/",CHAR(35),"/book/650181/p/-1/t/1/fs/0/start/0/end/0/c")</f>
        <v>https://tablet.otzar.org/#/book/650181/p/-1/t/1/fs/0/start/0/end/0/c</v>
      </c>
    </row>
    <row r="425" spans="1:8" x14ac:dyDescent="0.25">
      <c r="A425">
        <v>650060</v>
      </c>
      <c r="B425" t="s">
        <v>1016</v>
      </c>
      <c r="C425" t="s">
        <v>712</v>
      </c>
      <c r="E425" t="s">
        <v>507</v>
      </c>
      <c r="G425" t="str">
        <f>HYPERLINK(_xlfn.CONCAT("https://tablet.otzar.org/",CHAR(35),"/book/650060/p/-1/t/1/fs/0/start/0/end/0/c"),"אתגרים")</f>
        <v>אתגרים</v>
      </c>
      <c r="H425" t="str">
        <f>_xlfn.CONCAT("https://tablet.otzar.org/",CHAR(35),"/book/650060/p/-1/t/1/fs/0/start/0/end/0/c")</f>
        <v>https://tablet.otzar.org/#/book/650060/p/-1/t/1/fs/0/start/0/end/0/c</v>
      </c>
    </row>
    <row r="426" spans="1:8" x14ac:dyDescent="0.25">
      <c r="A426">
        <v>653763</v>
      </c>
      <c r="B426" t="s">
        <v>1017</v>
      </c>
      <c r="C426" t="s">
        <v>1018</v>
      </c>
      <c r="D426" t="s">
        <v>52</v>
      </c>
      <c r="E426" t="s">
        <v>246</v>
      </c>
      <c r="G426" t="str">
        <f>HYPERLINK(_xlfn.CONCAT("https://tablet.otzar.org/",CHAR(35),"/exKotar/653763"),"אתה בחרתנו - 2 כרכים")</f>
        <v>אתה בחרתנו - 2 כרכים</v>
      </c>
      <c r="H426" t="str">
        <f>_xlfn.CONCAT("https://tablet.otzar.org/",CHAR(35),"/exKotar/653763")</f>
        <v>https://tablet.otzar.org/#/exKotar/653763</v>
      </c>
    </row>
    <row r="427" spans="1:8" x14ac:dyDescent="0.25">
      <c r="A427">
        <v>653239</v>
      </c>
      <c r="B427" t="s">
        <v>1019</v>
      </c>
      <c r="C427" t="s">
        <v>786</v>
      </c>
      <c r="D427" t="s">
        <v>10</v>
      </c>
      <c r="E427" t="s">
        <v>213</v>
      </c>
      <c r="G427" t="str">
        <f>HYPERLINK(_xlfn.CONCAT("https://tablet.otzar.org/",CHAR(35),"/book/653239/p/-1/t/1/fs/0/start/0/end/0/c"),"בא השמש")</f>
        <v>בא השמש</v>
      </c>
      <c r="H427" t="str">
        <f>_xlfn.CONCAT("https://tablet.otzar.org/",CHAR(35),"/book/653239/p/-1/t/1/fs/0/start/0/end/0/c")</f>
        <v>https://tablet.otzar.org/#/book/653239/p/-1/t/1/fs/0/start/0/end/0/c</v>
      </c>
    </row>
    <row r="428" spans="1:8" x14ac:dyDescent="0.25">
      <c r="A428">
        <v>647275</v>
      </c>
      <c r="B428" t="s">
        <v>1020</v>
      </c>
      <c r="C428" t="s">
        <v>1021</v>
      </c>
      <c r="D428" t="s">
        <v>10</v>
      </c>
      <c r="E428" t="s">
        <v>495</v>
      </c>
      <c r="G428" t="str">
        <f>HYPERLINK(_xlfn.CONCAT("https://tablet.otzar.org/",CHAR(35),"/book/647275/p/-1/t/1/fs/0/start/0/end/0/c"),"באהבה ובאמונה - א")</f>
        <v>באהבה ובאמונה - א</v>
      </c>
      <c r="H428" t="str">
        <f>_xlfn.CONCAT("https://tablet.otzar.org/",CHAR(35),"/book/647275/p/-1/t/1/fs/0/start/0/end/0/c")</f>
        <v>https://tablet.otzar.org/#/book/647275/p/-1/t/1/fs/0/start/0/end/0/c</v>
      </c>
    </row>
    <row r="429" spans="1:8" x14ac:dyDescent="0.25">
      <c r="A429">
        <v>650623</v>
      </c>
      <c r="B429" t="s">
        <v>1022</v>
      </c>
      <c r="C429" t="s">
        <v>1023</v>
      </c>
      <c r="D429" t="s">
        <v>52</v>
      </c>
      <c r="E429" t="s">
        <v>337</v>
      </c>
      <c r="G429" t="str">
        <f>HYPERLINK(_xlfn.CONCAT("https://tablet.otzar.org/",CHAR(35),"/book/650623/p/-1/t/1/fs/0/start/0/end/0/c"),"באהל - י")</f>
        <v>באהל - י</v>
      </c>
      <c r="H429" t="str">
        <f>_xlfn.CONCAT("https://tablet.otzar.org/",CHAR(35),"/book/650623/p/-1/t/1/fs/0/start/0/end/0/c")</f>
        <v>https://tablet.otzar.org/#/book/650623/p/-1/t/1/fs/0/start/0/end/0/c</v>
      </c>
    </row>
    <row r="430" spans="1:8" x14ac:dyDescent="0.25">
      <c r="A430">
        <v>643171</v>
      </c>
      <c r="B430" t="s">
        <v>1024</v>
      </c>
      <c r="C430" t="s">
        <v>1025</v>
      </c>
      <c r="E430" t="s">
        <v>780</v>
      </c>
      <c r="G430" t="str">
        <f>HYPERLINK(_xlfn.CONCAT("https://tablet.otzar.org/",CHAR(35),"/book/643171/p/-1/t/1/fs/0/start/0/end/0/c"),"באהלי צדיקים")</f>
        <v>באהלי צדיקים</v>
      </c>
      <c r="H430" t="str">
        <f>_xlfn.CONCAT("https://tablet.otzar.org/",CHAR(35),"/book/643171/p/-1/t/1/fs/0/start/0/end/0/c")</f>
        <v>https://tablet.otzar.org/#/book/643171/p/-1/t/1/fs/0/start/0/end/0/c</v>
      </c>
    </row>
    <row r="431" spans="1:8" x14ac:dyDescent="0.25">
      <c r="A431">
        <v>650954</v>
      </c>
      <c r="B431" t="s">
        <v>1026</v>
      </c>
      <c r="C431" t="s">
        <v>1027</v>
      </c>
      <c r="D431" t="s">
        <v>340</v>
      </c>
      <c r="E431" t="s">
        <v>405</v>
      </c>
      <c r="G431" t="str">
        <f>HYPERLINK(_xlfn.CONCAT("https://tablet.otzar.org/",CHAR(35),"/book/650954/p/-1/t/1/fs/0/start/0/end/0/c"),"באהלי שם")</f>
        <v>באהלי שם</v>
      </c>
      <c r="H431" t="str">
        <f>_xlfn.CONCAT("https://tablet.otzar.org/",CHAR(35),"/book/650954/p/-1/t/1/fs/0/start/0/end/0/c")</f>
        <v>https://tablet.otzar.org/#/book/650954/p/-1/t/1/fs/0/start/0/end/0/c</v>
      </c>
    </row>
    <row r="432" spans="1:8" x14ac:dyDescent="0.25">
      <c r="A432">
        <v>650001</v>
      </c>
      <c r="B432" t="s">
        <v>1028</v>
      </c>
      <c r="C432" t="s">
        <v>209</v>
      </c>
      <c r="D432" t="s">
        <v>52</v>
      </c>
      <c r="E432" t="s">
        <v>35</v>
      </c>
      <c r="G432" t="str">
        <f>HYPERLINK(_xlfn.CONCAT("https://tablet.otzar.org/",CHAR(35),"/book/650001/p/-1/t/1/fs/0/start/0/end/0/c"),"באו שעריו")</f>
        <v>באו שעריו</v>
      </c>
      <c r="H432" t="str">
        <f>_xlfn.CONCAT("https://tablet.otzar.org/",CHAR(35),"/book/650001/p/-1/t/1/fs/0/start/0/end/0/c")</f>
        <v>https://tablet.otzar.org/#/book/650001/p/-1/t/1/fs/0/start/0/end/0/c</v>
      </c>
    </row>
    <row r="433" spans="1:8" x14ac:dyDescent="0.25">
      <c r="A433">
        <v>651762</v>
      </c>
      <c r="B433" t="s">
        <v>1029</v>
      </c>
      <c r="C433" t="s">
        <v>1030</v>
      </c>
      <c r="D433" t="s">
        <v>948</v>
      </c>
      <c r="E433" t="s">
        <v>19</v>
      </c>
      <c r="G433" t="str">
        <f>HYPERLINK(_xlfn.CONCAT("https://tablet.otzar.org/",CHAR(35),"/book/651762/p/-1/t/1/fs/0/start/0/end/0/c"),"באור פני מלך חיים")</f>
        <v>באור פני מלך חיים</v>
      </c>
      <c r="H433" t="str">
        <f>_xlfn.CONCAT("https://tablet.otzar.org/",CHAR(35),"/book/651762/p/-1/t/1/fs/0/start/0/end/0/c")</f>
        <v>https://tablet.otzar.org/#/book/651762/p/-1/t/1/fs/0/start/0/end/0/c</v>
      </c>
    </row>
    <row r="434" spans="1:8" x14ac:dyDescent="0.25">
      <c r="A434">
        <v>651590</v>
      </c>
      <c r="B434" t="s">
        <v>1031</v>
      </c>
      <c r="C434" t="s">
        <v>1032</v>
      </c>
      <c r="D434" t="s">
        <v>10</v>
      </c>
      <c r="E434" t="s">
        <v>84</v>
      </c>
      <c r="G434" t="str">
        <f>HYPERLINK(_xlfn.CONCAT("https://tablet.otzar.org/",CHAR(35),"/book/651590/p/-1/t/1/fs/0/start/0/end/0/c"),"באורחותיך - בבא בתרא")</f>
        <v>באורחותיך - בבא בתרא</v>
      </c>
      <c r="H434" t="str">
        <f>_xlfn.CONCAT("https://tablet.otzar.org/",CHAR(35),"/book/651590/p/-1/t/1/fs/0/start/0/end/0/c")</f>
        <v>https://tablet.otzar.org/#/book/651590/p/-1/t/1/fs/0/start/0/end/0/c</v>
      </c>
    </row>
    <row r="435" spans="1:8" x14ac:dyDescent="0.25">
      <c r="A435">
        <v>650805</v>
      </c>
      <c r="B435" t="s">
        <v>1033</v>
      </c>
      <c r="C435" t="s">
        <v>1034</v>
      </c>
      <c r="D435" t="s">
        <v>139</v>
      </c>
      <c r="E435" t="s">
        <v>84</v>
      </c>
      <c r="G435" t="str">
        <f>HYPERLINK(_xlfn.CONCAT("https://tablet.otzar.org/",CHAR(35),"/book/650805/p/-1/t/1/fs/0/start/0/end/0/c"),"באותות ובמופתים")</f>
        <v>באותות ובמופתים</v>
      </c>
      <c r="H435" t="str">
        <f>_xlfn.CONCAT("https://tablet.otzar.org/",CHAR(35),"/book/650805/p/-1/t/1/fs/0/start/0/end/0/c")</f>
        <v>https://tablet.otzar.org/#/book/650805/p/-1/t/1/fs/0/start/0/end/0/c</v>
      </c>
    </row>
    <row r="436" spans="1:8" x14ac:dyDescent="0.25">
      <c r="A436">
        <v>655601</v>
      </c>
      <c r="B436" t="s">
        <v>1035</v>
      </c>
      <c r="C436" t="s">
        <v>1036</v>
      </c>
      <c r="D436" t="s">
        <v>10</v>
      </c>
      <c r="E436" t="s">
        <v>507</v>
      </c>
      <c r="G436" t="str">
        <f>HYPERLINK(_xlfn.CONCAT("https://tablet.otzar.org/",CHAR(35),"/book/655601/p/-1/t/1/fs/0/start/0/end/0/c"),"באר איתן מכות &lt;מהדורת מכון כנסת&gt;")</f>
        <v>באר איתן מכות &lt;מהדורת מכון כנסת&gt;</v>
      </c>
      <c r="H436" t="str">
        <f>_xlfn.CONCAT("https://tablet.otzar.org/",CHAR(35),"/book/655601/p/-1/t/1/fs/0/start/0/end/0/c")</f>
        <v>https://tablet.otzar.org/#/book/655601/p/-1/t/1/fs/0/start/0/end/0/c</v>
      </c>
    </row>
    <row r="437" spans="1:8" x14ac:dyDescent="0.25">
      <c r="A437">
        <v>651692</v>
      </c>
      <c r="B437" t="s">
        <v>1037</v>
      </c>
      <c r="C437" t="s">
        <v>1038</v>
      </c>
      <c r="D437" t="s">
        <v>52</v>
      </c>
      <c r="E437" t="s">
        <v>45</v>
      </c>
      <c r="G437" t="str">
        <f>HYPERLINK(_xlfn.CONCAT("https://tablet.otzar.org/",CHAR(35),"/exKotar/651692"),"באר אמונים - 5 כרכים")</f>
        <v>באר אמונים - 5 כרכים</v>
      </c>
      <c r="H437" t="str">
        <f>_xlfn.CONCAT("https://tablet.otzar.org/",CHAR(35),"/exKotar/651692")</f>
        <v>https://tablet.otzar.org/#/exKotar/651692</v>
      </c>
    </row>
    <row r="438" spans="1:8" x14ac:dyDescent="0.25">
      <c r="A438">
        <v>654779</v>
      </c>
      <c r="B438" t="s">
        <v>1039</v>
      </c>
      <c r="C438" t="s">
        <v>1040</v>
      </c>
      <c r="D438" t="s">
        <v>340</v>
      </c>
      <c r="E438" t="s">
        <v>11</v>
      </c>
      <c r="G438" t="str">
        <f>HYPERLINK(_xlfn.CONCAT("https://tablet.otzar.org/",CHAR(35),"/book/654779/p/-1/t/1/fs/0/start/0/end/0/c"),"באר בצלאל - בבא מציעא א")</f>
        <v>באר בצלאל - בבא מציעא א</v>
      </c>
      <c r="H438" t="str">
        <f>_xlfn.CONCAT("https://tablet.otzar.org/",CHAR(35),"/book/654779/p/-1/t/1/fs/0/start/0/end/0/c")</f>
        <v>https://tablet.otzar.org/#/book/654779/p/-1/t/1/fs/0/start/0/end/0/c</v>
      </c>
    </row>
    <row r="439" spans="1:8" x14ac:dyDescent="0.25">
      <c r="A439">
        <v>650851</v>
      </c>
      <c r="B439" t="s">
        <v>1041</v>
      </c>
      <c r="C439" t="s">
        <v>1042</v>
      </c>
      <c r="D439" t="s">
        <v>606</v>
      </c>
      <c r="E439" t="s">
        <v>213</v>
      </c>
      <c r="G439" t="str">
        <f>HYPERLINK(_xlfn.CONCAT("https://tablet.otzar.org/",CHAR(35),"/exKotar/650851"),"באר חנוך - 2 כרכים")</f>
        <v>באר חנוך - 2 כרכים</v>
      </c>
      <c r="H439" t="str">
        <f>_xlfn.CONCAT("https://tablet.otzar.org/",CHAR(35),"/exKotar/650851")</f>
        <v>https://tablet.otzar.org/#/exKotar/650851</v>
      </c>
    </row>
    <row r="440" spans="1:8" x14ac:dyDescent="0.25">
      <c r="A440">
        <v>649169</v>
      </c>
      <c r="B440" t="s">
        <v>1043</v>
      </c>
      <c r="C440" t="s">
        <v>1044</v>
      </c>
      <c r="D440" t="s">
        <v>840</v>
      </c>
      <c r="E440" t="s">
        <v>35</v>
      </c>
      <c r="G440" t="str">
        <f>HYPERLINK(_xlfn.CONCAT("https://tablet.otzar.org/",CHAR(35),"/exKotar/649169"),"באר יהודה - 2 כרכים")</f>
        <v>באר יהודה - 2 כרכים</v>
      </c>
      <c r="H440" t="str">
        <f>_xlfn.CONCAT("https://tablet.otzar.org/",CHAR(35),"/exKotar/649169")</f>
        <v>https://tablet.otzar.org/#/exKotar/649169</v>
      </c>
    </row>
    <row r="441" spans="1:8" x14ac:dyDescent="0.25">
      <c r="A441">
        <v>654536</v>
      </c>
      <c r="B441" t="s">
        <v>1045</v>
      </c>
      <c r="C441" t="s">
        <v>308</v>
      </c>
      <c r="E441" t="s">
        <v>84</v>
      </c>
      <c r="G441" t="str">
        <f>HYPERLINK(_xlfn.CONCAT("https://tablet.otzar.org/",CHAR(35),"/book/654536/p/-1/t/1/fs/0/start/0/end/0/c"),"באר יוסף")</f>
        <v>באר יוסף</v>
      </c>
      <c r="H441" t="str">
        <f>_xlfn.CONCAT("https://tablet.otzar.org/",CHAR(35),"/book/654536/p/-1/t/1/fs/0/start/0/end/0/c")</f>
        <v>https://tablet.otzar.org/#/book/654536/p/-1/t/1/fs/0/start/0/end/0/c</v>
      </c>
    </row>
    <row r="442" spans="1:8" x14ac:dyDescent="0.25">
      <c r="A442">
        <v>654535</v>
      </c>
      <c r="B442" t="s">
        <v>1046</v>
      </c>
      <c r="C442" t="s">
        <v>308</v>
      </c>
      <c r="E442" t="s">
        <v>35</v>
      </c>
      <c r="G442" t="str">
        <f>HYPERLINK(_xlfn.CONCAT("https://tablet.otzar.org/",CHAR(35),"/book/654535/p/-1/t/1/fs/0/start/0/end/0/c"),"באר יוסף ובנימין")</f>
        <v>באר יוסף ובנימין</v>
      </c>
      <c r="H442" t="str">
        <f>_xlfn.CONCAT("https://tablet.otzar.org/",CHAR(35),"/book/654535/p/-1/t/1/fs/0/start/0/end/0/c")</f>
        <v>https://tablet.otzar.org/#/book/654535/p/-1/t/1/fs/0/start/0/end/0/c</v>
      </c>
    </row>
    <row r="443" spans="1:8" x14ac:dyDescent="0.25">
      <c r="A443">
        <v>649705</v>
      </c>
      <c r="B443" t="s">
        <v>1047</v>
      </c>
      <c r="C443" t="s">
        <v>1048</v>
      </c>
      <c r="D443" t="s">
        <v>52</v>
      </c>
      <c r="E443" t="s">
        <v>11</v>
      </c>
      <c r="G443" t="str">
        <f>HYPERLINK(_xlfn.CONCAT("https://tablet.otzar.org/",CHAR(35),"/exKotar/649705"),"באר יעקב - 2 כרכים")</f>
        <v>באר יעקב - 2 כרכים</v>
      </c>
      <c r="H443" t="str">
        <f>_xlfn.CONCAT("https://tablet.otzar.org/",CHAR(35),"/exKotar/649705")</f>
        <v>https://tablet.otzar.org/#/exKotar/649705</v>
      </c>
    </row>
    <row r="444" spans="1:8" x14ac:dyDescent="0.25">
      <c r="A444">
        <v>649189</v>
      </c>
      <c r="B444" t="s">
        <v>1049</v>
      </c>
      <c r="C444" t="s">
        <v>1050</v>
      </c>
      <c r="D444" t="s">
        <v>139</v>
      </c>
      <c r="E444" t="s">
        <v>11</v>
      </c>
      <c r="G444" t="str">
        <f>HYPERLINK(_xlfn.CONCAT("https://tablet.otzar.org/",CHAR(35),"/book/649189/p/-1/t/1/fs/0/start/0/end/0/c"),"באר יצחק - מועדים א")</f>
        <v>באר יצחק - מועדים א</v>
      </c>
      <c r="H444" t="str">
        <f>_xlfn.CONCAT("https://tablet.otzar.org/",CHAR(35),"/book/649189/p/-1/t/1/fs/0/start/0/end/0/c")</f>
        <v>https://tablet.otzar.org/#/book/649189/p/-1/t/1/fs/0/start/0/end/0/c</v>
      </c>
    </row>
    <row r="445" spans="1:8" x14ac:dyDescent="0.25">
      <c r="A445">
        <v>651343</v>
      </c>
      <c r="B445" t="s">
        <v>1051</v>
      </c>
      <c r="C445" t="s">
        <v>1052</v>
      </c>
      <c r="D445" t="s">
        <v>1053</v>
      </c>
      <c r="E445" t="s">
        <v>763</v>
      </c>
      <c r="G445" t="str">
        <f>HYPERLINK(_xlfn.CONCAT("https://tablet.otzar.org/",CHAR(35),"/exKotar/651343"),"באר יצחק - 2 כרכים")</f>
        <v>באר יצחק - 2 כרכים</v>
      </c>
      <c r="H445" t="str">
        <f>_xlfn.CONCAT("https://tablet.otzar.org/",CHAR(35),"/exKotar/651343")</f>
        <v>https://tablet.otzar.org/#/exKotar/651343</v>
      </c>
    </row>
    <row r="446" spans="1:8" x14ac:dyDescent="0.25">
      <c r="A446">
        <v>657047</v>
      </c>
      <c r="B446" t="s">
        <v>1054</v>
      </c>
      <c r="C446" t="s">
        <v>1055</v>
      </c>
      <c r="D446" t="s">
        <v>10</v>
      </c>
      <c r="E446" t="s">
        <v>1056</v>
      </c>
      <c r="G446" t="str">
        <f>HYPERLINK(_xlfn.CONCAT("https://tablet.otzar.org/",CHAR(35),"/book/657047/p/-1/t/1/fs/0/start/0/end/0/c"),"באר ישראל - פרק כיסוי הדם")</f>
        <v>באר ישראל - פרק כיסוי הדם</v>
      </c>
      <c r="H446" t="str">
        <f>_xlfn.CONCAT("https://tablet.otzar.org/",CHAR(35),"/book/657047/p/-1/t/1/fs/0/start/0/end/0/c")</f>
        <v>https://tablet.otzar.org/#/book/657047/p/-1/t/1/fs/0/start/0/end/0/c</v>
      </c>
    </row>
    <row r="447" spans="1:8" x14ac:dyDescent="0.25">
      <c r="A447">
        <v>651096</v>
      </c>
      <c r="B447" t="s">
        <v>1057</v>
      </c>
      <c r="C447" t="s">
        <v>1058</v>
      </c>
      <c r="D447" t="s">
        <v>34</v>
      </c>
      <c r="E447" t="s">
        <v>117</v>
      </c>
      <c r="G447" t="str">
        <f>HYPERLINK(_xlfn.CONCAT("https://tablet.otzar.org/",CHAR(35),"/book/651096/p/-1/t/1/fs/0/start/0/end/0/c"),"באר לחי ראי")</f>
        <v>באר לחי ראי</v>
      </c>
      <c r="H447" t="str">
        <f>_xlfn.CONCAT("https://tablet.otzar.org/",CHAR(35),"/book/651096/p/-1/t/1/fs/0/start/0/end/0/c")</f>
        <v>https://tablet.otzar.org/#/book/651096/p/-1/t/1/fs/0/start/0/end/0/c</v>
      </c>
    </row>
    <row r="448" spans="1:8" x14ac:dyDescent="0.25">
      <c r="A448">
        <v>655758</v>
      </c>
      <c r="B448" t="s">
        <v>1059</v>
      </c>
      <c r="C448" t="s">
        <v>1060</v>
      </c>
      <c r="D448" t="s">
        <v>10</v>
      </c>
      <c r="E448" t="s">
        <v>1061</v>
      </c>
      <c r="G448" t="str">
        <f>HYPERLINK(_xlfn.CONCAT("https://tablet.otzar.org/",CHAR(35),"/book/655758/p/-1/t/1/fs/0/start/0/end/0/c"),"באר מים חיים - מועדים")</f>
        <v>באר מים חיים - מועדים</v>
      </c>
      <c r="H448" t="str">
        <f>_xlfn.CONCAT("https://tablet.otzar.org/",CHAR(35),"/book/655758/p/-1/t/1/fs/0/start/0/end/0/c")</f>
        <v>https://tablet.otzar.org/#/book/655758/p/-1/t/1/fs/0/start/0/end/0/c</v>
      </c>
    </row>
    <row r="449" spans="1:8" x14ac:dyDescent="0.25">
      <c r="A449">
        <v>652595</v>
      </c>
      <c r="B449" t="s">
        <v>1062</v>
      </c>
      <c r="C449" t="s">
        <v>1063</v>
      </c>
      <c r="D449" t="s">
        <v>1064</v>
      </c>
      <c r="E449" t="s">
        <v>670</v>
      </c>
      <c r="G449" t="str">
        <f>HYPERLINK(_xlfn.CONCAT("https://tablet.otzar.org/",CHAR(35),"/book/652595/p/-1/t/1/fs/0/start/0/end/0/c"),"באר מים חיים")</f>
        <v>באר מים חיים</v>
      </c>
      <c r="H449" t="str">
        <f>_xlfn.CONCAT("https://tablet.otzar.org/",CHAR(35),"/book/652595/p/-1/t/1/fs/0/start/0/end/0/c")</f>
        <v>https://tablet.otzar.org/#/book/652595/p/-1/t/1/fs/0/start/0/end/0/c</v>
      </c>
    </row>
    <row r="450" spans="1:8" x14ac:dyDescent="0.25">
      <c r="A450">
        <v>647631</v>
      </c>
      <c r="B450" t="s">
        <v>1065</v>
      </c>
      <c r="C450" t="s">
        <v>1066</v>
      </c>
      <c r="E450" t="s">
        <v>704</v>
      </c>
      <c r="G450" t="str">
        <f>HYPERLINK(_xlfn.CONCAT("https://tablet.otzar.org/",CHAR(35),"/book/647631/p/-1/t/1/fs/0/start/0/end/0/c"),"באר מרדכי - ברכות, שבת")</f>
        <v>באר מרדכי - ברכות, שבת</v>
      </c>
      <c r="H450" t="str">
        <f>_xlfn.CONCAT("https://tablet.otzar.org/",CHAR(35),"/book/647631/p/-1/t/1/fs/0/start/0/end/0/c")</f>
        <v>https://tablet.otzar.org/#/book/647631/p/-1/t/1/fs/0/start/0/end/0/c</v>
      </c>
    </row>
    <row r="451" spans="1:8" x14ac:dyDescent="0.25">
      <c r="A451">
        <v>646630</v>
      </c>
      <c r="B451" t="s">
        <v>1067</v>
      </c>
      <c r="C451" t="s">
        <v>1068</v>
      </c>
      <c r="D451" t="s">
        <v>340</v>
      </c>
      <c r="E451" t="s">
        <v>35</v>
      </c>
      <c r="G451" t="str">
        <f>HYPERLINK(_xlfn.CONCAT("https://tablet.otzar.org/",CHAR(35),"/exKotar/646630"),"באר שמואל - 2 כרכים")</f>
        <v>באר שמואל - 2 כרכים</v>
      </c>
      <c r="H451" t="str">
        <f>_xlfn.CONCAT("https://tablet.otzar.org/",CHAR(35),"/exKotar/646630")</f>
        <v>https://tablet.otzar.org/#/exKotar/646630</v>
      </c>
    </row>
    <row r="452" spans="1:8" x14ac:dyDescent="0.25">
      <c r="A452">
        <v>654642</v>
      </c>
      <c r="B452" t="s">
        <v>1067</v>
      </c>
      <c r="C452" t="s">
        <v>1069</v>
      </c>
      <c r="D452" t="s">
        <v>10</v>
      </c>
      <c r="E452" t="s">
        <v>35</v>
      </c>
      <c r="G452" t="str">
        <f>HYPERLINK(_xlfn.CONCAT("https://tablet.otzar.org/",CHAR(35),"/exKotar/654642"),"באר שמואל - 2 כרכים")</f>
        <v>באר שמואל - 2 כרכים</v>
      </c>
      <c r="H452" t="str">
        <f>_xlfn.CONCAT("https://tablet.otzar.org/",CHAR(35),"/exKotar/654642")</f>
        <v>https://tablet.otzar.org/#/exKotar/654642</v>
      </c>
    </row>
    <row r="453" spans="1:8" x14ac:dyDescent="0.25">
      <c r="A453">
        <v>652659</v>
      </c>
      <c r="B453" t="s">
        <v>1070</v>
      </c>
      <c r="C453" t="s">
        <v>1071</v>
      </c>
      <c r="D453" t="s">
        <v>1072</v>
      </c>
      <c r="E453" t="s">
        <v>45</v>
      </c>
      <c r="G453" t="str">
        <f>HYPERLINK(_xlfn.CONCAT("https://tablet.otzar.org/",CHAR(35),"/book/652659/p/-1/t/1/fs/0/start/0/end/0/c"),"בארה של תורה")</f>
        <v>בארה של תורה</v>
      </c>
      <c r="H453" t="str">
        <f>_xlfn.CONCAT("https://tablet.otzar.org/",CHAR(35),"/book/652659/p/-1/t/1/fs/0/start/0/end/0/c")</f>
        <v>https://tablet.otzar.org/#/book/652659/p/-1/t/1/fs/0/start/0/end/0/c</v>
      </c>
    </row>
    <row r="454" spans="1:8" x14ac:dyDescent="0.25">
      <c r="A454">
        <v>654821</v>
      </c>
      <c r="B454" t="s">
        <v>1073</v>
      </c>
      <c r="C454" t="s">
        <v>1074</v>
      </c>
      <c r="D454" t="s">
        <v>10</v>
      </c>
      <c r="E454" t="s">
        <v>35</v>
      </c>
      <c r="G454" t="str">
        <f>HYPERLINK(_xlfn.CONCAT("https://tablet.otzar.org/",CHAR(35),"/exKotar/654821"),"באתי לגני &lt;מהדורה חדשה&gt; - 5 כרכים")</f>
        <v>באתי לגני &lt;מהדורה חדשה&gt; - 5 כרכים</v>
      </c>
      <c r="H454" t="str">
        <f>_xlfn.CONCAT("https://tablet.otzar.org/",CHAR(35),"/exKotar/654821")</f>
        <v>https://tablet.otzar.org/#/exKotar/654821</v>
      </c>
    </row>
    <row r="455" spans="1:8" x14ac:dyDescent="0.25">
      <c r="A455">
        <v>651330</v>
      </c>
      <c r="B455" t="s">
        <v>1075</v>
      </c>
      <c r="C455" t="s">
        <v>1076</v>
      </c>
      <c r="D455" t="s">
        <v>10</v>
      </c>
      <c r="E455" t="s">
        <v>1077</v>
      </c>
      <c r="G455" t="str">
        <f>HYPERLINK(_xlfn.CONCAT("https://tablet.otzar.org/",CHAR(35),"/book/651330/p/-1/t/1/fs/0/start/0/end/0/c"),"בבואה דבבואה")</f>
        <v>בבואה דבבואה</v>
      </c>
      <c r="H455" t="str">
        <f>_xlfn.CONCAT("https://tablet.otzar.org/",CHAR(35),"/book/651330/p/-1/t/1/fs/0/start/0/end/0/c")</f>
        <v>https://tablet.otzar.org/#/book/651330/p/-1/t/1/fs/0/start/0/end/0/c</v>
      </c>
    </row>
    <row r="456" spans="1:8" x14ac:dyDescent="0.25">
      <c r="A456">
        <v>653591</v>
      </c>
      <c r="B456" t="s">
        <v>1078</v>
      </c>
      <c r="C456" t="s">
        <v>1079</v>
      </c>
      <c r="D456" t="s">
        <v>52</v>
      </c>
      <c r="E456" t="s">
        <v>35</v>
      </c>
      <c r="G456" t="str">
        <f>HYPERLINK(_xlfn.CONCAT("https://tablet.otzar.org/",CHAR(35),"/exKotar/653591"),"בבת עינינו - 5 כרכים")</f>
        <v>בבת עינינו - 5 כרכים</v>
      </c>
      <c r="H456" t="str">
        <f>_xlfn.CONCAT("https://tablet.otzar.org/",CHAR(35),"/exKotar/653591")</f>
        <v>https://tablet.otzar.org/#/exKotar/653591</v>
      </c>
    </row>
    <row r="457" spans="1:8" x14ac:dyDescent="0.25">
      <c r="A457">
        <v>647629</v>
      </c>
      <c r="B457" t="s">
        <v>1080</v>
      </c>
      <c r="C457" t="s">
        <v>1081</v>
      </c>
      <c r="E457" t="s">
        <v>1082</v>
      </c>
      <c r="G457" t="str">
        <f>HYPERLINK(_xlfn.CONCAT("https://tablet.otzar.org/",CHAR(35),"/book/647629/p/-1/t/1/fs/0/start/0/end/0/c"),"בגדי השרד")</f>
        <v>בגדי השרד</v>
      </c>
      <c r="H457" t="str">
        <f>_xlfn.CONCAT("https://tablet.otzar.org/",CHAR(35),"/book/647629/p/-1/t/1/fs/0/start/0/end/0/c")</f>
        <v>https://tablet.otzar.org/#/book/647629/p/-1/t/1/fs/0/start/0/end/0/c</v>
      </c>
    </row>
    <row r="458" spans="1:8" x14ac:dyDescent="0.25">
      <c r="A458">
        <v>649383</v>
      </c>
      <c r="B458" t="s">
        <v>1083</v>
      </c>
      <c r="C458" t="s">
        <v>1084</v>
      </c>
      <c r="D458" t="s">
        <v>1085</v>
      </c>
      <c r="E458" t="s">
        <v>736</v>
      </c>
      <c r="G458" t="str">
        <f>HYPERLINK(_xlfn.CONCAT("https://tablet.otzar.org/",CHAR(35),"/book/649383/p/-1/t/1/fs/0/start/0/end/0/c"),"בגדי יום טוב - הלכות עירוב תבשילין")</f>
        <v>בגדי יום טוב - הלכות עירוב תבשילין</v>
      </c>
      <c r="H458" t="str">
        <f>_xlfn.CONCAT("https://tablet.otzar.org/",CHAR(35),"/book/649383/p/-1/t/1/fs/0/start/0/end/0/c")</f>
        <v>https://tablet.otzar.org/#/book/649383/p/-1/t/1/fs/0/start/0/end/0/c</v>
      </c>
    </row>
    <row r="459" spans="1:8" x14ac:dyDescent="0.25">
      <c r="A459">
        <v>648776</v>
      </c>
      <c r="B459" t="s">
        <v>1086</v>
      </c>
      <c r="C459" t="s">
        <v>1087</v>
      </c>
      <c r="D459" t="s">
        <v>10</v>
      </c>
      <c r="E459" t="s">
        <v>35</v>
      </c>
      <c r="G459" t="str">
        <f>HYPERLINK(_xlfn.CONCAT("https://tablet.otzar.org/",CHAR(35),"/exKotar/648776"),"בגדי קודש - 2 כרכים")</f>
        <v>בגדי קודש - 2 כרכים</v>
      </c>
      <c r="H459" t="str">
        <f>_xlfn.CONCAT("https://tablet.otzar.org/",CHAR(35),"/exKotar/648776")</f>
        <v>https://tablet.otzar.org/#/exKotar/648776</v>
      </c>
    </row>
    <row r="460" spans="1:8" x14ac:dyDescent="0.25">
      <c r="A460">
        <v>613451</v>
      </c>
      <c r="B460" t="s">
        <v>1088</v>
      </c>
      <c r="C460" t="s">
        <v>1089</v>
      </c>
      <c r="D460" t="s">
        <v>347</v>
      </c>
      <c r="E460" t="s">
        <v>495</v>
      </c>
      <c r="G460" t="str">
        <f>HYPERLINK(_xlfn.CONCAT("https://tablet.otzar.org/",CHAR(35),"/book/613451/p/-1/t/1/fs/0/start/0/end/0/c"),"בגלל אבות - דברי משה - שארית שלמה - באר שלמה - מי ימלל")</f>
        <v>בגלל אבות - דברי משה - שארית שלמה - באר שלמה - מי ימלל</v>
      </c>
      <c r="H460" t="str">
        <f>_xlfn.CONCAT("https://tablet.otzar.org/",CHAR(35),"/book/613451/p/-1/t/1/fs/0/start/0/end/0/c")</f>
        <v>https://tablet.otzar.org/#/book/613451/p/-1/t/1/fs/0/start/0/end/0/c</v>
      </c>
    </row>
    <row r="461" spans="1:8" x14ac:dyDescent="0.25">
      <c r="A461">
        <v>654924</v>
      </c>
      <c r="B461" t="s">
        <v>1090</v>
      </c>
      <c r="C461" t="s">
        <v>1091</v>
      </c>
      <c r="D461" t="s">
        <v>52</v>
      </c>
      <c r="E461" t="s">
        <v>84</v>
      </c>
      <c r="G461" t="str">
        <f>HYPERLINK(_xlfn.CONCAT("https://tablet.otzar.org/",CHAR(35),"/exKotar/654924"),"בד קודש - 2 כרכים")</f>
        <v>בד קודש - 2 כרכים</v>
      </c>
      <c r="H461" t="str">
        <f>_xlfn.CONCAT("https://tablet.otzar.org/",CHAR(35),"/exKotar/654924")</f>
        <v>https://tablet.otzar.org/#/exKotar/654924</v>
      </c>
    </row>
    <row r="462" spans="1:8" x14ac:dyDescent="0.25">
      <c r="A462">
        <v>651240</v>
      </c>
      <c r="B462" t="s">
        <v>1092</v>
      </c>
      <c r="C462" t="s">
        <v>1093</v>
      </c>
      <c r="D462" t="s">
        <v>52</v>
      </c>
      <c r="E462" t="s">
        <v>11</v>
      </c>
      <c r="G462" t="str">
        <f>HYPERLINK(_xlfn.CONCAT("https://tablet.otzar.org/",CHAR(35),"/book/651240/p/-1/t/1/fs/0/start/0/end/0/c"),"בדחילו וברחימו")</f>
        <v>בדחילו וברחימו</v>
      </c>
      <c r="H462" t="str">
        <f>_xlfn.CONCAT("https://tablet.otzar.org/",CHAR(35),"/book/651240/p/-1/t/1/fs/0/start/0/end/0/c")</f>
        <v>https://tablet.otzar.org/#/book/651240/p/-1/t/1/fs/0/start/0/end/0/c</v>
      </c>
    </row>
    <row r="463" spans="1:8" x14ac:dyDescent="0.25">
      <c r="A463">
        <v>652532</v>
      </c>
      <c r="B463" t="s">
        <v>1094</v>
      </c>
      <c r="C463" t="s">
        <v>1095</v>
      </c>
      <c r="D463" t="s">
        <v>10</v>
      </c>
      <c r="E463" t="s">
        <v>690</v>
      </c>
      <c r="G463" t="str">
        <f>HYPERLINK(_xlfn.CONCAT("https://tablet.otzar.org/",CHAR(35),"/exKotar/652532"),"בדיקת המזון כהלכה - 2 כרכים")</f>
        <v>בדיקת המזון כהלכה - 2 כרכים</v>
      </c>
      <c r="H463" t="str">
        <f>_xlfn.CONCAT("https://tablet.otzar.org/",CHAR(35),"/exKotar/652532")</f>
        <v>https://tablet.otzar.org/#/exKotar/652532</v>
      </c>
    </row>
    <row r="464" spans="1:8" x14ac:dyDescent="0.25">
      <c r="A464">
        <v>651980</v>
      </c>
      <c r="B464" t="s">
        <v>1096</v>
      </c>
      <c r="C464" t="s">
        <v>1097</v>
      </c>
      <c r="E464" t="s">
        <v>507</v>
      </c>
      <c r="G464" t="str">
        <f>HYPERLINK(_xlfn.CONCAT("https://tablet.otzar.org/",CHAR(35),"/book/651980/p/-1/t/1/fs/0/start/0/end/0/c"),"בדרך הרמז")</f>
        <v>בדרך הרמז</v>
      </c>
      <c r="H464" t="str">
        <f>_xlfn.CONCAT("https://tablet.otzar.org/",CHAR(35),"/book/651980/p/-1/t/1/fs/0/start/0/end/0/c")</f>
        <v>https://tablet.otzar.org/#/book/651980/p/-1/t/1/fs/0/start/0/end/0/c</v>
      </c>
    </row>
    <row r="465" spans="1:8" x14ac:dyDescent="0.25">
      <c r="A465">
        <v>649413</v>
      </c>
      <c r="B465" t="s">
        <v>1098</v>
      </c>
      <c r="C465" t="s">
        <v>431</v>
      </c>
      <c r="D465" t="s">
        <v>432</v>
      </c>
      <c r="E465" t="s">
        <v>352</v>
      </c>
      <c r="G465" t="str">
        <f>HYPERLINK(_xlfn.CONCAT("https://tablet.otzar.org/",CHAR(35),"/book/649413/p/-1/t/1/fs/0/start/0/end/0/c"),"בדרך התורה הגואלת")</f>
        <v>בדרך התורה הגואלת</v>
      </c>
      <c r="H465" t="str">
        <f>_xlfn.CONCAT("https://tablet.otzar.org/",CHAR(35),"/book/649413/p/-1/t/1/fs/0/start/0/end/0/c")</f>
        <v>https://tablet.otzar.org/#/book/649413/p/-1/t/1/fs/0/start/0/end/0/c</v>
      </c>
    </row>
    <row r="466" spans="1:8" x14ac:dyDescent="0.25">
      <c r="A466">
        <v>649087</v>
      </c>
      <c r="B466" t="s">
        <v>1099</v>
      </c>
      <c r="C466" t="s">
        <v>1100</v>
      </c>
      <c r="D466" t="s">
        <v>129</v>
      </c>
      <c r="E466" t="s">
        <v>1101</v>
      </c>
      <c r="G466" t="str">
        <f>HYPERLINK(_xlfn.CONCAT("https://tablet.otzar.org/",CHAR(35),"/book/649087/p/-1/t/1/fs/0/start/0/end/0/c"),"בדרך טובים")</f>
        <v>בדרך טובים</v>
      </c>
      <c r="H466" t="str">
        <f>_xlfn.CONCAT("https://tablet.otzar.org/",CHAR(35),"/book/649087/p/-1/t/1/fs/0/start/0/end/0/c")</f>
        <v>https://tablet.otzar.org/#/book/649087/p/-1/t/1/fs/0/start/0/end/0/c</v>
      </c>
    </row>
    <row r="467" spans="1:8" x14ac:dyDescent="0.25">
      <c r="A467">
        <v>650025</v>
      </c>
      <c r="B467" t="s">
        <v>1102</v>
      </c>
      <c r="C467" t="s">
        <v>1103</v>
      </c>
      <c r="D467" t="s">
        <v>340</v>
      </c>
      <c r="E467" t="s">
        <v>11</v>
      </c>
      <c r="G467" t="str">
        <f>HYPERLINK(_xlfn.CONCAT("https://tablet.otzar.org/",CHAR(35),"/book/650025/p/-1/t/1/fs/0/start/0/end/0/c"),"בדרכי שלמה")</f>
        <v>בדרכי שלמה</v>
      </c>
      <c r="H467" t="str">
        <f>_xlfn.CONCAT("https://tablet.otzar.org/",CHAR(35),"/book/650025/p/-1/t/1/fs/0/start/0/end/0/c")</f>
        <v>https://tablet.otzar.org/#/book/650025/p/-1/t/1/fs/0/start/0/end/0/c</v>
      </c>
    </row>
    <row r="468" spans="1:8" x14ac:dyDescent="0.25">
      <c r="A468">
        <v>656005</v>
      </c>
      <c r="B468" t="s">
        <v>1104</v>
      </c>
      <c r="C468" t="s">
        <v>1105</v>
      </c>
      <c r="D468" t="s">
        <v>52</v>
      </c>
      <c r="E468" t="s">
        <v>312</v>
      </c>
      <c r="G468" t="str">
        <f>HYPERLINK(_xlfn.CONCAT("https://tablet.otzar.org/",CHAR(35),"/book/656005/p/-1/t/1/fs/0/start/0/end/0/c"),"בהלו נרו")</f>
        <v>בהלו נרו</v>
      </c>
      <c r="H468" t="str">
        <f>_xlfn.CONCAT("https://tablet.otzar.org/",CHAR(35),"/book/656005/p/-1/t/1/fs/0/start/0/end/0/c")</f>
        <v>https://tablet.otzar.org/#/book/656005/p/-1/t/1/fs/0/start/0/end/0/c</v>
      </c>
    </row>
    <row r="469" spans="1:8" x14ac:dyDescent="0.25">
      <c r="A469">
        <v>639548</v>
      </c>
      <c r="B469" t="s">
        <v>1106</v>
      </c>
      <c r="C469" t="s">
        <v>614</v>
      </c>
      <c r="D469" t="s">
        <v>52</v>
      </c>
      <c r="E469" t="s">
        <v>35</v>
      </c>
      <c r="G469" t="str">
        <f>HYPERLINK(_xlfn.CONCAT("https://tablet.otzar.org/",CHAR(35),"/book/639548/p/-1/t/1/fs/0/start/0/end/0/c"),"בהעלותך את הנרות")</f>
        <v>בהעלותך את הנרות</v>
      </c>
      <c r="H469" t="str">
        <f>_xlfn.CONCAT("https://tablet.otzar.org/",CHAR(35),"/book/639548/p/-1/t/1/fs/0/start/0/end/0/c")</f>
        <v>https://tablet.otzar.org/#/book/639548/p/-1/t/1/fs/0/start/0/end/0/c</v>
      </c>
    </row>
    <row r="470" spans="1:8" x14ac:dyDescent="0.25">
      <c r="A470">
        <v>651850</v>
      </c>
      <c r="B470" t="s">
        <v>1107</v>
      </c>
      <c r="C470" t="s">
        <v>1108</v>
      </c>
      <c r="D470" t="s">
        <v>10</v>
      </c>
      <c r="E470" t="s">
        <v>35</v>
      </c>
      <c r="G470" t="str">
        <f>HYPERLINK(_xlfn.CONCAT("https://tablet.otzar.org/",CHAR(35),"/book/651850/p/-1/t/1/fs/0/start/0/end/0/c"),"בהר ה' יראה")</f>
        <v>בהר ה' יראה</v>
      </c>
      <c r="H470" t="str">
        <f>_xlfn.CONCAT("https://tablet.otzar.org/",CHAR(35),"/book/651850/p/-1/t/1/fs/0/start/0/end/0/c")</f>
        <v>https://tablet.otzar.org/#/book/651850/p/-1/t/1/fs/0/start/0/end/0/c</v>
      </c>
    </row>
    <row r="471" spans="1:8" x14ac:dyDescent="0.25">
      <c r="A471">
        <v>647510</v>
      </c>
      <c r="B471" t="s">
        <v>1109</v>
      </c>
      <c r="C471" t="s">
        <v>1110</v>
      </c>
      <c r="D471" t="s">
        <v>39</v>
      </c>
      <c r="E471" t="s">
        <v>539</v>
      </c>
      <c r="G471" t="str">
        <f>HYPERLINK(_xlfn.CONCAT("https://tablet.otzar.org/",CHAR(35),"/book/647510/p/-1/t/1/fs/0/start/0/end/0/c"),"בהתנדב עם")</f>
        <v>בהתנדב עם</v>
      </c>
      <c r="H471" t="str">
        <f>_xlfn.CONCAT("https://tablet.otzar.org/",CHAR(35),"/book/647510/p/-1/t/1/fs/0/start/0/end/0/c")</f>
        <v>https://tablet.otzar.org/#/book/647510/p/-1/t/1/fs/0/start/0/end/0/c</v>
      </c>
    </row>
    <row r="472" spans="1:8" x14ac:dyDescent="0.25">
      <c r="A472">
        <v>655385</v>
      </c>
      <c r="B472" t="s">
        <v>1111</v>
      </c>
      <c r="C472" t="s">
        <v>1112</v>
      </c>
      <c r="D472" t="s">
        <v>287</v>
      </c>
      <c r="E472" t="s">
        <v>35</v>
      </c>
      <c r="G472" t="str">
        <f>HYPERLINK(_xlfn.CONCAT("https://tablet.otzar.org/",CHAR(35),"/book/655385/p/-1/t/1/fs/0/start/0/end/0/c"),"בו תדבקון")</f>
        <v>בו תדבקון</v>
      </c>
      <c r="H472" t="str">
        <f>_xlfn.CONCAT("https://tablet.otzar.org/",CHAR(35),"/book/655385/p/-1/t/1/fs/0/start/0/end/0/c")</f>
        <v>https://tablet.otzar.org/#/book/655385/p/-1/t/1/fs/0/start/0/end/0/c</v>
      </c>
    </row>
    <row r="473" spans="1:8" x14ac:dyDescent="0.25">
      <c r="A473">
        <v>651328</v>
      </c>
      <c r="B473" t="s">
        <v>1113</v>
      </c>
      <c r="C473" t="s">
        <v>1114</v>
      </c>
      <c r="D473" t="s">
        <v>432</v>
      </c>
      <c r="E473" t="s">
        <v>117</v>
      </c>
      <c r="G473" t="str">
        <f>HYPERLINK(_xlfn.CONCAT("https://tablet.otzar.org/",CHAR(35),"/book/651328/p/-1/t/1/fs/0/start/0/end/0/c"),"בוחן כליות ולב - תרומת כליה")</f>
        <v>בוחן כליות ולב - תרומת כליה</v>
      </c>
      <c r="H473" t="str">
        <f>_xlfn.CONCAT("https://tablet.otzar.org/",CHAR(35),"/book/651328/p/-1/t/1/fs/0/start/0/end/0/c")</f>
        <v>https://tablet.otzar.org/#/book/651328/p/-1/t/1/fs/0/start/0/end/0/c</v>
      </c>
    </row>
    <row r="474" spans="1:8" x14ac:dyDescent="0.25">
      <c r="A474">
        <v>650100</v>
      </c>
      <c r="B474" t="s">
        <v>1115</v>
      </c>
      <c r="C474" t="s">
        <v>1116</v>
      </c>
      <c r="E474" t="s">
        <v>11</v>
      </c>
      <c r="G474" t="str">
        <f>HYPERLINK(_xlfn.CONCAT("https://tablet.otzar.org/",CHAR(35),"/book/650100/p/-1/t/1/fs/0/start/0/end/0/c"),"בונייך - ד")</f>
        <v>בונייך - ד</v>
      </c>
      <c r="H474" t="str">
        <f>_xlfn.CONCAT("https://tablet.otzar.org/",CHAR(35),"/book/650100/p/-1/t/1/fs/0/start/0/end/0/c")</f>
        <v>https://tablet.otzar.org/#/book/650100/p/-1/t/1/fs/0/start/0/end/0/c</v>
      </c>
    </row>
    <row r="475" spans="1:8" x14ac:dyDescent="0.25">
      <c r="A475">
        <v>650857</v>
      </c>
      <c r="B475" t="s">
        <v>1117</v>
      </c>
      <c r="C475" t="s">
        <v>1118</v>
      </c>
      <c r="D475" t="s">
        <v>10</v>
      </c>
      <c r="E475" t="s">
        <v>213</v>
      </c>
      <c r="G475" t="str">
        <f>HYPERLINK(_xlfn.CONCAT("https://tablet.otzar.org/",CHAR(35),"/book/650857/p/-1/t/1/fs/0/start/0/end/0/c"),"בחלום אדבר בו")</f>
        <v>בחלום אדבר בו</v>
      </c>
      <c r="H475" t="str">
        <f>_xlfn.CONCAT("https://tablet.otzar.org/",CHAR(35),"/book/650857/p/-1/t/1/fs/0/start/0/end/0/c")</f>
        <v>https://tablet.otzar.org/#/book/650857/p/-1/t/1/fs/0/start/0/end/0/c</v>
      </c>
    </row>
    <row r="476" spans="1:8" x14ac:dyDescent="0.25">
      <c r="A476">
        <v>650260</v>
      </c>
      <c r="B476" t="s">
        <v>1119</v>
      </c>
      <c r="C476" t="s">
        <v>1120</v>
      </c>
      <c r="E476" t="s">
        <v>35</v>
      </c>
      <c r="G476" t="str">
        <f>HYPERLINK(_xlfn.CONCAT("https://tablet.otzar.org/",CHAR(35),"/book/650260/p/-1/t/1/fs/0/start/0/end/0/c"),"בחצרות בית ה'")</f>
        <v>בחצרות בית ה'</v>
      </c>
      <c r="H476" t="str">
        <f>_xlfn.CONCAT("https://tablet.otzar.org/",CHAR(35),"/book/650260/p/-1/t/1/fs/0/start/0/end/0/c")</f>
        <v>https://tablet.otzar.org/#/book/650260/p/-1/t/1/fs/0/start/0/end/0/c</v>
      </c>
    </row>
    <row r="477" spans="1:8" x14ac:dyDescent="0.25">
      <c r="A477">
        <v>649395</v>
      </c>
      <c r="B477" t="s">
        <v>1121</v>
      </c>
      <c r="C477" t="s">
        <v>1122</v>
      </c>
      <c r="D477" t="s">
        <v>10</v>
      </c>
      <c r="E477" t="s">
        <v>111</v>
      </c>
      <c r="G477" t="str">
        <f>HYPERLINK(_xlfn.CONCAT("https://tablet.otzar.org/",CHAR(35),"/book/649395/p/-1/t/1/fs/0/start/0/end/0/c"),"בטאון תורת כהנים - 1")</f>
        <v>בטאון תורת כהנים - 1</v>
      </c>
      <c r="H477" t="str">
        <f>_xlfn.CONCAT("https://tablet.otzar.org/",CHAR(35),"/book/649395/p/-1/t/1/fs/0/start/0/end/0/c")</f>
        <v>https://tablet.otzar.org/#/book/649395/p/-1/t/1/fs/0/start/0/end/0/c</v>
      </c>
    </row>
    <row r="478" spans="1:8" x14ac:dyDescent="0.25">
      <c r="A478">
        <v>654432</v>
      </c>
      <c r="B478" t="s">
        <v>1123</v>
      </c>
      <c r="C478" t="s">
        <v>1124</v>
      </c>
      <c r="D478" t="s">
        <v>52</v>
      </c>
      <c r="E478" t="s">
        <v>35</v>
      </c>
      <c r="G478" t="str">
        <f>HYPERLINK(_xlfn.CONCAT("https://tablet.otzar.org/",CHAR(35),"/book/654432/p/-1/t/1/fs/0/start/0/end/0/c"),"בטוב אלין ואקיץ ברחמים")</f>
        <v>בטוב אלין ואקיץ ברחמים</v>
      </c>
      <c r="H478" t="str">
        <f>_xlfn.CONCAT("https://tablet.otzar.org/",CHAR(35),"/book/654432/p/-1/t/1/fs/0/start/0/end/0/c")</f>
        <v>https://tablet.otzar.org/#/book/654432/p/-1/t/1/fs/0/start/0/end/0/c</v>
      </c>
    </row>
    <row r="479" spans="1:8" x14ac:dyDescent="0.25">
      <c r="A479">
        <v>652912</v>
      </c>
      <c r="B479" t="s">
        <v>1125</v>
      </c>
      <c r="C479" t="s">
        <v>1126</v>
      </c>
      <c r="D479" t="s">
        <v>424</v>
      </c>
      <c r="E479" t="s">
        <v>55</v>
      </c>
      <c r="G479" t="str">
        <f>HYPERLINK(_xlfn.CONCAT("https://tablet.otzar.org/",CHAR(35),"/book/652912/p/-1/t/1/fs/0/start/0/end/0/c"),"ביאוגרפיות של חכמי המשנה")</f>
        <v>ביאוגרפיות של חכמי המשנה</v>
      </c>
      <c r="H479" t="str">
        <f>_xlfn.CONCAT("https://tablet.otzar.org/",CHAR(35),"/book/652912/p/-1/t/1/fs/0/start/0/end/0/c")</f>
        <v>https://tablet.otzar.org/#/book/652912/p/-1/t/1/fs/0/start/0/end/0/c</v>
      </c>
    </row>
    <row r="480" spans="1:8" x14ac:dyDescent="0.25">
      <c r="A480">
        <v>647761</v>
      </c>
      <c r="B480" t="s">
        <v>1127</v>
      </c>
      <c r="C480" t="s">
        <v>1128</v>
      </c>
      <c r="E480" t="s">
        <v>1082</v>
      </c>
      <c r="G480" t="str">
        <f>HYPERLINK(_xlfn.CONCAT("https://tablet.otzar.org/",CHAR(35),"/book/647761/p/-1/t/1/fs/0/start/0/end/0/c"),"ביאור הפרשה")</f>
        <v>ביאור הפרשה</v>
      </c>
      <c r="H480" t="str">
        <f>_xlfn.CONCAT("https://tablet.otzar.org/",CHAR(35),"/book/647761/p/-1/t/1/fs/0/start/0/end/0/c")</f>
        <v>https://tablet.otzar.org/#/book/647761/p/-1/t/1/fs/0/start/0/end/0/c</v>
      </c>
    </row>
    <row r="481" spans="1:8" x14ac:dyDescent="0.25">
      <c r="A481">
        <v>654465</v>
      </c>
      <c r="B481" t="s">
        <v>1129</v>
      </c>
      <c r="C481" t="s">
        <v>1130</v>
      </c>
      <c r="E481" t="s">
        <v>205</v>
      </c>
      <c r="G481" t="str">
        <f>HYPERLINK(_xlfn.CONCAT("https://tablet.otzar.org/",CHAR(35),"/book/654465/p/-1/t/1/fs/0/start/0/end/0/c"),"ביאור על מגילת רות")</f>
        <v>ביאור על מגילת רות</v>
      </c>
      <c r="H481" t="str">
        <f>_xlfn.CONCAT("https://tablet.otzar.org/",CHAR(35),"/book/654465/p/-1/t/1/fs/0/start/0/end/0/c")</f>
        <v>https://tablet.otzar.org/#/book/654465/p/-1/t/1/fs/0/start/0/end/0/c</v>
      </c>
    </row>
    <row r="482" spans="1:8" x14ac:dyDescent="0.25">
      <c r="A482">
        <v>650963</v>
      </c>
      <c r="B482" t="s">
        <v>1131</v>
      </c>
      <c r="C482" t="s">
        <v>1132</v>
      </c>
      <c r="D482" t="s">
        <v>10</v>
      </c>
      <c r="E482" t="s">
        <v>84</v>
      </c>
      <c r="G482" t="str">
        <f>HYPERLINK(_xlfn.CONCAT("https://tablet.otzar.org/",CHAR(35),"/book/650963/p/-1/t/1/fs/0/start/0/end/0/c"),"ביאור שיטות הראשונים בגדר מצוות ואהבת לרעך כמוך")</f>
        <v>ביאור שיטות הראשונים בגדר מצוות ואהבת לרעך כמוך</v>
      </c>
      <c r="H482" t="str">
        <f>_xlfn.CONCAT("https://tablet.otzar.org/",CHAR(35),"/book/650963/p/-1/t/1/fs/0/start/0/end/0/c")</f>
        <v>https://tablet.otzar.org/#/book/650963/p/-1/t/1/fs/0/start/0/end/0/c</v>
      </c>
    </row>
    <row r="483" spans="1:8" x14ac:dyDescent="0.25">
      <c r="A483">
        <v>648867</v>
      </c>
      <c r="B483" t="s">
        <v>1133</v>
      </c>
      <c r="C483" t="s">
        <v>1134</v>
      </c>
      <c r="D483" t="s">
        <v>1135</v>
      </c>
      <c r="E483" t="s">
        <v>405</v>
      </c>
      <c r="G483" t="str">
        <f>HYPERLINK(_xlfn.CONCAT("https://tablet.otzar.org/",CHAR(35),"/book/648867/p/-1/t/1/fs/0/start/0/end/0/c"),"ביאורי החושן - הלכות מקח וממכר א")</f>
        <v>ביאורי החושן - הלכות מקח וממכר א</v>
      </c>
      <c r="H483" t="str">
        <f>_xlfn.CONCAT("https://tablet.otzar.org/",CHAR(35),"/book/648867/p/-1/t/1/fs/0/start/0/end/0/c")</f>
        <v>https://tablet.otzar.org/#/book/648867/p/-1/t/1/fs/0/start/0/end/0/c</v>
      </c>
    </row>
    <row r="484" spans="1:8" x14ac:dyDescent="0.25">
      <c r="A484">
        <v>649775</v>
      </c>
      <c r="B484" t="s">
        <v>1136</v>
      </c>
      <c r="C484" t="s">
        <v>1137</v>
      </c>
      <c r="D484" t="s">
        <v>10</v>
      </c>
      <c r="E484" t="s">
        <v>352</v>
      </c>
      <c r="G484" t="str">
        <f>HYPERLINK(_xlfn.CONCAT("https://tablet.otzar.org/",CHAR(35),"/book/649775/p/-1/t/1/fs/0/start/0/end/0/c"),"ביאורי סוגיות - שבת")</f>
        <v>ביאורי סוגיות - שבת</v>
      </c>
      <c r="H484" t="str">
        <f>_xlfn.CONCAT("https://tablet.otzar.org/",CHAR(35),"/book/649775/p/-1/t/1/fs/0/start/0/end/0/c")</f>
        <v>https://tablet.otzar.org/#/book/649775/p/-1/t/1/fs/0/start/0/end/0/c</v>
      </c>
    </row>
    <row r="485" spans="1:8" x14ac:dyDescent="0.25">
      <c r="A485">
        <v>649843</v>
      </c>
      <c r="B485" t="s">
        <v>1138</v>
      </c>
      <c r="C485" t="s">
        <v>1139</v>
      </c>
      <c r="D485" t="s">
        <v>10</v>
      </c>
      <c r="E485" t="s">
        <v>558</v>
      </c>
      <c r="G485" t="str">
        <f>HYPERLINK(_xlfn.CONCAT("https://tablet.otzar.org/",CHAR(35),"/book/649843/p/-1/t/1/fs/0/start/0/end/0/c"),"ביאורי עניינים במסכת עירובין")</f>
        <v>ביאורי עניינים במסכת עירובין</v>
      </c>
      <c r="H485" t="str">
        <f>_xlfn.CONCAT("https://tablet.otzar.org/",CHAR(35),"/book/649843/p/-1/t/1/fs/0/start/0/end/0/c")</f>
        <v>https://tablet.otzar.org/#/book/649843/p/-1/t/1/fs/0/start/0/end/0/c</v>
      </c>
    </row>
    <row r="486" spans="1:8" x14ac:dyDescent="0.25">
      <c r="A486">
        <v>653537</v>
      </c>
      <c r="B486" t="s">
        <v>1140</v>
      </c>
      <c r="C486" t="s">
        <v>1141</v>
      </c>
      <c r="D486" t="s">
        <v>10</v>
      </c>
      <c r="E486" t="s">
        <v>11</v>
      </c>
      <c r="G486" t="str">
        <f>HYPERLINK(_xlfn.CONCAT("https://tablet.otzar.org/",CHAR(35),"/book/653537/p/-1/t/1/fs/0/start/0/end/0/c"),"ביאורי רבי שמואל - חג המצות")</f>
        <v>ביאורי רבי שמואל - חג המצות</v>
      </c>
      <c r="H486" t="str">
        <f>_xlfn.CONCAT("https://tablet.otzar.org/",CHAR(35),"/book/653537/p/-1/t/1/fs/0/start/0/end/0/c")</f>
        <v>https://tablet.otzar.org/#/book/653537/p/-1/t/1/fs/0/start/0/end/0/c</v>
      </c>
    </row>
    <row r="487" spans="1:8" x14ac:dyDescent="0.25">
      <c r="A487">
        <v>647808</v>
      </c>
      <c r="B487" t="s">
        <v>1142</v>
      </c>
      <c r="C487" t="s">
        <v>1143</v>
      </c>
      <c r="D487" t="s">
        <v>52</v>
      </c>
      <c r="E487" t="s">
        <v>70</v>
      </c>
      <c r="G487" t="str">
        <f>HYPERLINK(_xlfn.CONCAT("https://tablet.otzar.org/",CHAR(35),"/exKotar/647808"),"ביאורים - 2 כרכים")</f>
        <v>ביאורים - 2 כרכים</v>
      </c>
      <c r="H487" t="str">
        <f>_xlfn.CONCAT("https://tablet.otzar.org/",CHAR(35),"/exKotar/647808")</f>
        <v>https://tablet.otzar.org/#/exKotar/647808</v>
      </c>
    </row>
    <row r="488" spans="1:8" x14ac:dyDescent="0.25">
      <c r="A488">
        <v>651923</v>
      </c>
      <c r="B488" t="s">
        <v>1144</v>
      </c>
      <c r="C488" t="s">
        <v>1143</v>
      </c>
      <c r="D488" t="s">
        <v>52</v>
      </c>
      <c r="E488" t="s">
        <v>11</v>
      </c>
      <c r="G488" t="str">
        <f>HYPERLINK(_xlfn.CONCAT("https://tablet.otzar.org/",CHAR(35),"/book/651923/p/-1/t/1/fs/0/start/0/end/0/c"),"ביאורים בהלכות רבית ח""""א")</f>
        <v>ביאורים בהלכות רבית ח""א</v>
      </c>
      <c r="H488" t="str">
        <f>_xlfn.CONCAT("https://tablet.otzar.org/",CHAR(35),"/book/651923/p/-1/t/1/fs/0/start/0/end/0/c")</f>
        <v>https://tablet.otzar.org/#/book/651923/p/-1/t/1/fs/0/start/0/end/0/c</v>
      </c>
    </row>
    <row r="489" spans="1:8" x14ac:dyDescent="0.25">
      <c r="A489">
        <v>647809</v>
      </c>
      <c r="B489" t="s">
        <v>1145</v>
      </c>
      <c r="C489" t="s">
        <v>1146</v>
      </c>
      <c r="D489" t="s">
        <v>10</v>
      </c>
      <c r="E489" t="s">
        <v>84</v>
      </c>
      <c r="G489" t="str">
        <f>HYPERLINK(_xlfn.CONCAT("https://tablet.otzar.org/",CHAR(35),"/exKotar/647809"),"ביאורים במועדים - 2 כרכים")</f>
        <v>ביאורים במועדים - 2 כרכים</v>
      </c>
      <c r="H489" t="str">
        <f>_xlfn.CONCAT("https://tablet.otzar.org/",CHAR(35),"/exKotar/647809")</f>
        <v>https://tablet.otzar.org/#/exKotar/647809</v>
      </c>
    </row>
    <row r="490" spans="1:8" x14ac:dyDescent="0.25">
      <c r="A490">
        <v>648473</v>
      </c>
      <c r="B490" t="s">
        <v>1147</v>
      </c>
      <c r="C490" t="s">
        <v>614</v>
      </c>
      <c r="D490" t="s">
        <v>34</v>
      </c>
      <c r="E490" t="s">
        <v>35</v>
      </c>
      <c r="G490" t="str">
        <f>HYPERLINK(_xlfn.CONCAT("https://tablet.otzar.org/",CHAR(35),"/book/648473/p/-1/t/1/fs/0/start/0/end/0/c"),"ביאורים בסוגיות - מקואות")</f>
        <v>ביאורים בסוגיות - מקואות</v>
      </c>
      <c r="H490" t="str">
        <f>_xlfn.CONCAT("https://tablet.otzar.org/",CHAR(35),"/book/648473/p/-1/t/1/fs/0/start/0/end/0/c")</f>
        <v>https://tablet.otzar.org/#/book/648473/p/-1/t/1/fs/0/start/0/end/0/c</v>
      </c>
    </row>
    <row r="491" spans="1:8" x14ac:dyDescent="0.25">
      <c r="A491">
        <v>655175</v>
      </c>
      <c r="B491" t="s">
        <v>1148</v>
      </c>
      <c r="C491" t="s">
        <v>1149</v>
      </c>
      <c r="D491" t="s">
        <v>10</v>
      </c>
      <c r="E491" t="s">
        <v>35</v>
      </c>
      <c r="G491" t="str">
        <f>HYPERLINK(_xlfn.CONCAT("https://tablet.otzar.org/",CHAR(35),"/exKotar/655175"),"ביאורים והנהגות - 5 כרכים")</f>
        <v>ביאורים והנהגות - 5 כרכים</v>
      </c>
      <c r="H491" t="str">
        <f>_xlfn.CONCAT("https://tablet.otzar.org/",CHAR(35),"/exKotar/655175")</f>
        <v>https://tablet.otzar.org/#/exKotar/655175</v>
      </c>
    </row>
    <row r="492" spans="1:8" x14ac:dyDescent="0.25">
      <c r="A492">
        <v>653730</v>
      </c>
      <c r="B492" t="s">
        <v>1150</v>
      </c>
      <c r="C492" t="s">
        <v>1151</v>
      </c>
      <c r="E492" t="s">
        <v>35</v>
      </c>
      <c r="G492" t="str">
        <f>HYPERLINK(_xlfn.CONCAT("https://tablet.otzar.org/",CHAR(35),"/book/653730/p/-1/t/1/fs/0/start/0/end/0/c"),"ביאורים והערות - שמות בשלח")</f>
        <v>ביאורים והערות - שמות בשלח</v>
      </c>
      <c r="H492" t="str">
        <f>_xlfn.CONCAT("https://tablet.otzar.org/",CHAR(35),"/book/653730/p/-1/t/1/fs/0/start/0/end/0/c")</f>
        <v>https://tablet.otzar.org/#/book/653730/p/-1/t/1/fs/0/start/0/end/0/c</v>
      </c>
    </row>
    <row r="493" spans="1:8" x14ac:dyDescent="0.25">
      <c r="A493">
        <v>655759</v>
      </c>
      <c r="B493" t="s">
        <v>1152</v>
      </c>
      <c r="C493" t="s">
        <v>1153</v>
      </c>
      <c r="D493" t="s">
        <v>510</v>
      </c>
      <c r="E493" t="s">
        <v>35</v>
      </c>
      <c r="G493" t="str">
        <f>HYPERLINK(_xlfn.CONCAT("https://tablet.otzar.org/",CHAR(35),"/book/655759/p/-1/t/1/fs/0/start/0/end/0/c"),"ביאורים על ציורי הרמב""""ם למסכת מדות והל' בית הבחירה")</f>
        <v>ביאורים על ציורי הרמב""ם למסכת מדות והל' בית הבחירה</v>
      </c>
      <c r="H493" t="str">
        <f>_xlfn.CONCAT("https://tablet.otzar.org/",CHAR(35),"/book/655759/p/-1/t/1/fs/0/start/0/end/0/c")</f>
        <v>https://tablet.otzar.org/#/book/655759/p/-1/t/1/fs/0/start/0/end/0/c</v>
      </c>
    </row>
    <row r="494" spans="1:8" x14ac:dyDescent="0.25">
      <c r="A494">
        <v>639550</v>
      </c>
      <c r="B494" t="s">
        <v>1154</v>
      </c>
      <c r="C494" t="s">
        <v>614</v>
      </c>
      <c r="D494" t="s">
        <v>52</v>
      </c>
      <c r="E494" t="s">
        <v>45</v>
      </c>
      <c r="G494" t="str">
        <f>HYPERLINK(_xlfn.CONCAT("https://tablet.otzar.org/",CHAR(35),"/book/639550/p/-1/t/1/fs/0/start/0/end/0/c"),"ביאת אליהו ומלך המשיח")</f>
        <v>ביאת אליהו ומלך המשיח</v>
      </c>
      <c r="H494" t="str">
        <f>_xlfn.CONCAT("https://tablet.otzar.org/",CHAR(35),"/book/639550/p/-1/t/1/fs/0/start/0/end/0/c")</f>
        <v>https://tablet.otzar.org/#/book/639550/p/-1/t/1/fs/0/start/0/end/0/c</v>
      </c>
    </row>
    <row r="495" spans="1:8" x14ac:dyDescent="0.25">
      <c r="A495">
        <v>653362</v>
      </c>
      <c r="B495" t="s">
        <v>1155</v>
      </c>
      <c r="C495" t="s">
        <v>1156</v>
      </c>
      <c r="D495" t="s">
        <v>10</v>
      </c>
      <c r="E495" t="s">
        <v>1157</v>
      </c>
      <c r="G495" t="str">
        <f>HYPERLINK(_xlfn.CONCAT("https://tablet.otzar.org/",CHAR(35),"/book/653362/p/-1/t/1/fs/0/start/0/end/0/c"),"ביבליוגרפיה של הגדות פסח")</f>
        <v>ביבליוגרפיה של הגדות פסח</v>
      </c>
      <c r="H495" t="str">
        <f>_xlfn.CONCAT("https://tablet.otzar.org/",CHAR(35),"/book/653362/p/-1/t/1/fs/0/start/0/end/0/c")</f>
        <v>https://tablet.otzar.org/#/book/653362/p/-1/t/1/fs/0/start/0/end/0/c</v>
      </c>
    </row>
    <row r="496" spans="1:8" x14ac:dyDescent="0.25">
      <c r="A496">
        <v>649972</v>
      </c>
      <c r="B496" t="s">
        <v>1158</v>
      </c>
      <c r="C496" t="s">
        <v>1159</v>
      </c>
      <c r="D496" t="s">
        <v>10</v>
      </c>
      <c r="E496" t="s">
        <v>117</v>
      </c>
      <c r="G496" t="str">
        <f>HYPERLINK(_xlfn.CONCAT("https://tablet.otzar.org/",CHAR(35),"/book/649972/p/-1/t/1/fs/0/start/0/end/0/c"),"ביד הלשון")</f>
        <v>ביד הלשון</v>
      </c>
      <c r="H496" t="str">
        <f>_xlfn.CONCAT("https://tablet.otzar.org/",CHAR(35),"/book/649972/p/-1/t/1/fs/0/start/0/end/0/c")</f>
        <v>https://tablet.otzar.org/#/book/649972/p/-1/t/1/fs/0/start/0/end/0/c</v>
      </c>
    </row>
    <row r="497" spans="1:8" x14ac:dyDescent="0.25">
      <c r="A497">
        <v>648172</v>
      </c>
      <c r="B497" t="s">
        <v>1160</v>
      </c>
      <c r="C497" t="s">
        <v>1161</v>
      </c>
      <c r="D497" t="s">
        <v>1162</v>
      </c>
      <c r="E497" t="s">
        <v>405</v>
      </c>
      <c r="G497" t="str">
        <f>HYPERLINK(_xlfn.CONCAT("https://tablet.otzar.org/",CHAR(35),"/exKotar/648172"),"ביד רמ""""א - 3 כרכים")</f>
        <v>ביד רמ""א - 3 כרכים</v>
      </c>
      <c r="H497" t="str">
        <f>_xlfn.CONCAT("https://tablet.otzar.org/",CHAR(35),"/exKotar/648172")</f>
        <v>https://tablet.otzar.org/#/exKotar/648172</v>
      </c>
    </row>
    <row r="498" spans="1:8" x14ac:dyDescent="0.25">
      <c r="A498">
        <v>656242</v>
      </c>
      <c r="B498" t="s">
        <v>1163</v>
      </c>
      <c r="C498" t="s">
        <v>1164</v>
      </c>
      <c r="D498" t="s">
        <v>10</v>
      </c>
      <c r="E498" t="s">
        <v>11</v>
      </c>
      <c r="G498" t="str">
        <f>HYPERLINK(_xlfn.CONCAT("https://tablet.otzar.org/",CHAR(35),"/book/656242/p/-1/t/1/fs/0/start/0/end/0/c"),"ביד רמה")</f>
        <v>ביד רמה</v>
      </c>
      <c r="H498" t="str">
        <f>_xlfn.CONCAT("https://tablet.otzar.org/",CHAR(35),"/book/656242/p/-1/t/1/fs/0/start/0/end/0/c")</f>
        <v>https://tablet.otzar.org/#/book/656242/p/-1/t/1/fs/0/start/0/end/0/c</v>
      </c>
    </row>
    <row r="499" spans="1:8" x14ac:dyDescent="0.25">
      <c r="A499">
        <v>650987</v>
      </c>
      <c r="B499" t="s">
        <v>1165</v>
      </c>
      <c r="C499" t="s">
        <v>1166</v>
      </c>
      <c r="D499" t="s">
        <v>510</v>
      </c>
      <c r="E499" t="s">
        <v>45</v>
      </c>
      <c r="G499" t="str">
        <f>HYPERLINK(_xlfn.CONCAT("https://tablet.otzar.org/",CHAR(35),"/book/650987/p/-1/t/1/fs/0/start/0/end/0/c"),"ביומו תתן שכרו")</f>
        <v>ביומו תתן שכרו</v>
      </c>
      <c r="H499" t="str">
        <f>_xlfn.CONCAT("https://tablet.otzar.org/",CHAR(35),"/book/650987/p/-1/t/1/fs/0/start/0/end/0/c")</f>
        <v>https://tablet.otzar.org/#/book/650987/p/-1/t/1/fs/0/start/0/end/0/c</v>
      </c>
    </row>
    <row r="500" spans="1:8" x14ac:dyDescent="0.25">
      <c r="A500">
        <v>653224</v>
      </c>
      <c r="B500" t="s">
        <v>1167</v>
      </c>
      <c r="C500" t="s">
        <v>1168</v>
      </c>
      <c r="E500" t="s">
        <v>1169</v>
      </c>
      <c r="G500" t="str">
        <f>HYPERLINK(_xlfn.CONCAT("https://tablet.otzar.org/",CHAR(35),"/book/653224/p/-1/t/1/fs/0/start/0/end/0/c"),"ביחד לנצח")</f>
        <v>ביחד לנצח</v>
      </c>
      <c r="H500" t="str">
        <f>_xlfn.CONCAT("https://tablet.otzar.org/",CHAR(35),"/book/653224/p/-1/t/1/fs/0/start/0/end/0/c")</f>
        <v>https://tablet.otzar.org/#/book/653224/p/-1/t/1/fs/0/start/0/end/0/c</v>
      </c>
    </row>
    <row r="501" spans="1:8" x14ac:dyDescent="0.25">
      <c r="A501">
        <v>647947</v>
      </c>
      <c r="B501" t="s">
        <v>1170</v>
      </c>
      <c r="C501" t="s">
        <v>1171</v>
      </c>
      <c r="D501" t="s">
        <v>10</v>
      </c>
      <c r="E501" t="s">
        <v>690</v>
      </c>
      <c r="G501" t="str">
        <f>HYPERLINK(_xlfn.CONCAT("https://tablet.otzar.org/",CHAR(35),"/exKotar/647947"),"ביכורי אשר - 2 כרכים")</f>
        <v>ביכורי אשר - 2 כרכים</v>
      </c>
      <c r="H501" t="str">
        <f>_xlfn.CONCAT("https://tablet.otzar.org/",CHAR(35),"/exKotar/647947")</f>
        <v>https://tablet.otzar.org/#/exKotar/647947</v>
      </c>
    </row>
    <row r="502" spans="1:8" x14ac:dyDescent="0.25">
      <c r="A502">
        <v>650555</v>
      </c>
      <c r="B502" t="s">
        <v>1172</v>
      </c>
      <c r="C502" t="s">
        <v>1173</v>
      </c>
      <c r="D502" t="s">
        <v>34</v>
      </c>
      <c r="E502" t="s">
        <v>11</v>
      </c>
      <c r="G502" t="str">
        <f>HYPERLINK(_xlfn.CONCAT("https://tablet.otzar.org/",CHAR(35),"/book/650555/p/-1/t/1/fs/0/start/0/end/0/c"),"ביכורי יעקב - שביעית")</f>
        <v>ביכורי יעקב - שביעית</v>
      </c>
      <c r="H502" t="str">
        <f>_xlfn.CONCAT("https://tablet.otzar.org/",CHAR(35),"/book/650555/p/-1/t/1/fs/0/start/0/end/0/c")</f>
        <v>https://tablet.otzar.org/#/book/650555/p/-1/t/1/fs/0/start/0/end/0/c</v>
      </c>
    </row>
    <row r="503" spans="1:8" x14ac:dyDescent="0.25">
      <c r="A503">
        <v>654640</v>
      </c>
      <c r="B503" t="s">
        <v>1174</v>
      </c>
      <c r="C503" t="s">
        <v>1175</v>
      </c>
      <c r="D503" t="s">
        <v>88</v>
      </c>
      <c r="E503" t="s">
        <v>35</v>
      </c>
      <c r="G503" t="str">
        <f>HYPERLINK(_xlfn.CONCAT("https://tablet.otzar.org/",CHAR(35),"/book/654640/p/-1/t/1/fs/0/start/0/end/0/c"),"ביכורי עזרא - בבא מציעא")</f>
        <v>ביכורי עזרא - בבא מציעא</v>
      </c>
      <c r="H503" t="str">
        <f>_xlfn.CONCAT("https://tablet.otzar.org/",CHAR(35),"/book/654640/p/-1/t/1/fs/0/start/0/end/0/c")</f>
        <v>https://tablet.otzar.org/#/book/654640/p/-1/t/1/fs/0/start/0/end/0/c</v>
      </c>
    </row>
    <row r="504" spans="1:8" x14ac:dyDescent="0.25">
      <c r="A504">
        <v>651492</v>
      </c>
      <c r="B504" t="s">
        <v>1176</v>
      </c>
      <c r="C504" t="s">
        <v>1177</v>
      </c>
      <c r="D504" t="s">
        <v>1178</v>
      </c>
      <c r="E504" t="s">
        <v>45</v>
      </c>
      <c r="G504" t="str">
        <f>HYPERLINK(_xlfn.CONCAT("https://tablet.otzar.org/",CHAR(35),"/book/651492/p/-1/t/1/fs/0/start/0/end/0/c"),"ביכורי שמחה")</f>
        <v>ביכורי שמחה</v>
      </c>
      <c r="H504" t="str">
        <f>_xlfn.CONCAT("https://tablet.otzar.org/",CHAR(35),"/book/651492/p/-1/t/1/fs/0/start/0/end/0/c")</f>
        <v>https://tablet.otzar.org/#/book/651492/p/-1/t/1/fs/0/start/0/end/0/c</v>
      </c>
    </row>
    <row r="505" spans="1:8" x14ac:dyDescent="0.25">
      <c r="A505">
        <v>651759</v>
      </c>
      <c r="B505" t="s">
        <v>1179</v>
      </c>
      <c r="C505" t="s">
        <v>1180</v>
      </c>
      <c r="D505" t="s">
        <v>10</v>
      </c>
      <c r="E505" t="s">
        <v>558</v>
      </c>
      <c r="G505" t="str">
        <f>HYPERLINK(_xlfn.CONCAT("https://tablet.otzar.org/",CHAR(35),"/book/651759/p/-1/t/1/fs/0/start/0/end/0/c"),"בים דרכך")</f>
        <v>בים דרכך</v>
      </c>
      <c r="H505" t="str">
        <f>_xlfn.CONCAT("https://tablet.otzar.org/",CHAR(35),"/book/651759/p/-1/t/1/fs/0/start/0/end/0/c")</f>
        <v>https://tablet.otzar.org/#/book/651759/p/-1/t/1/fs/0/start/0/end/0/c</v>
      </c>
    </row>
    <row r="506" spans="1:8" x14ac:dyDescent="0.25">
      <c r="A506">
        <v>654003</v>
      </c>
      <c r="B506" t="s">
        <v>1181</v>
      </c>
      <c r="C506" t="s">
        <v>1182</v>
      </c>
      <c r="D506" t="s">
        <v>52</v>
      </c>
      <c r="E506" t="s">
        <v>1056</v>
      </c>
      <c r="G506" t="str">
        <f>HYPERLINK(_xlfn.CONCAT("https://tablet.otzar.org/",CHAR(35),"/exKotar/654003"),"בים דרכך - 4 כרכים")</f>
        <v>בים דרכך - 4 כרכים</v>
      </c>
      <c r="H506" t="str">
        <f>_xlfn.CONCAT("https://tablet.otzar.org/",CHAR(35),"/exKotar/654003")</f>
        <v>https://tablet.otzar.org/#/exKotar/654003</v>
      </c>
    </row>
    <row r="507" spans="1:8" x14ac:dyDescent="0.25">
      <c r="A507">
        <v>654634</v>
      </c>
      <c r="B507" t="s">
        <v>1183</v>
      </c>
      <c r="C507" t="s">
        <v>1184</v>
      </c>
      <c r="D507" t="s">
        <v>347</v>
      </c>
      <c r="E507" t="s">
        <v>84</v>
      </c>
      <c r="G507" t="str">
        <f>HYPERLINK(_xlfn.CONCAT("https://tablet.otzar.org/",CHAR(35),"/book/654634/p/-1/t/1/fs/0/start/0/end/0/c"),"בימים ההם בזמן הזה - חנוכה ופורים")</f>
        <v>בימים ההם בזמן הזה - חנוכה ופורים</v>
      </c>
      <c r="H507" t="str">
        <f>_xlfn.CONCAT("https://tablet.otzar.org/",CHAR(35),"/book/654634/p/-1/t/1/fs/0/start/0/end/0/c")</f>
        <v>https://tablet.otzar.org/#/book/654634/p/-1/t/1/fs/0/start/0/end/0/c</v>
      </c>
    </row>
    <row r="508" spans="1:8" x14ac:dyDescent="0.25">
      <c r="A508">
        <v>648851</v>
      </c>
      <c r="B508" t="s">
        <v>1185</v>
      </c>
      <c r="C508" t="s">
        <v>1186</v>
      </c>
      <c r="D508" t="s">
        <v>10</v>
      </c>
      <c r="E508" t="s">
        <v>1187</v>
      </c>
      <c r="G508" t="str">
        <f>HYPERLINK(_xlfn.CONCAT("https://tablet.otzar.org/",CHAR(35),"/book/648851/p/-1/t/1/fs/0/start/0/end/0/c"),"בין אדם לחבירו")</f>
        <v>בין אדם לחבירו</v>
      </c>
      <c r="H508" t="str">
        <f>_xlfn.CONCAT("https://tablet.otzar.org/",CHAR(35),"/book/648851/p/-1/t/1/fs/0/start/0/end/0/c")</f>
        <v>https://tablet.otzar.org/#/book/648851/p/-1/t/1/fs/0/start/0/end/0/c</v>
      </c>
    </row>
    <row r="509" spans="1:8" x14ac:dyDescent="0.25">
      <c r="A509">
        <v>650175</v>
      </c>
      <c r="B509" t="s">
        <v>1185</v>
      </c>
      <c r="C509" t="s">
        <v>1188</v>
      </c>
      <c r="D509" t="s">
        <v>424</v>
      </c>
      <c r="E509" t="s">
        <v>1189</v>
      </c>
      <c r="G509" t="str">
        <f>HYPERLINK(_xlfn.CONCAT("https://tablet.otzar.org/",CHAR(35),"/book/650175/p/-1/t/1/fs/0/start/0/end/0/c"),"בין אדם לחבירו")</f>
        <v>בין אדם לחבירו</v>
      </c>
      <c r="H509" t="str">
        <f>_xlfn.CONCAT("https://tablet.otzar.org/",CHAR(35),"/book/650175/p/-1/t/1/fs/0/start/0/end/0/c")</f>
        <v>https://tablet.otzar.org/#/book/650175/p/-1/t/1/fs/0/start/0/end/0/c</v>
      </c>
    </row>
    <row r="510" spans="1:8" x14ac:dyDescent="0.25">
      <c r="A510">
        <v>643460</v>
      </c>
      <c r="B510" t="s">
        <v>1190</v>
      </c>
      <c r="C510" t="s">
        <v>275</v>
      </c>
      <c r="E510" t="s">
        <v>184</v>
      </c>
      <c r="G510" t="str">
        <f>HYPERLINK(_xlfn.CONCAT("https://tablet.otzar.org/",CHAR(35),"/book/643460/p/-1/t/1/fs/0/start/0/end/0/c"),"בין ישראל לעמים")</f>
        <v>בין ישראל לעמים</v>
      </c>
      <c r="H510" t="str">
        <f>_xlfn.CONCAT("https://tablet.otzar.org/",CHAR(35),"/book/643460/p/-1/t/1/fs/0/start/0/end/0/c")</f>
        <v>https://tablet.otzar.org/#/book/643460/p/-1/t/1/fs/0/start/0/end/0/c</v>
      </c>
    </row>
    <row r="511" spans="1:8" x14ac:dyDescent="0.25">
      <c r="A511">
        <v>650889</v>
      </c>
      <c r="B511" t="s">
        <v>1191</v>
      </c>
      <c r="C511" t="s">
        <v>1192</v>
      </c>
      <c r="D511" t="s">
        <v>424</v>
      </c>
      <c r="E511" t="s">
        <v>914</v>
      </c>
      <c r="G511" t="str">
        <f>HYPERLINK(_xlfn.CONCAT("https://tablet.otzar.org/",CHAR(35),"/book/650889/p/-1/t/1/fs/0/start/0/end/0/c"),"בין ניצוץ לשלהבת")</f>
        <v>בין ניצוץ לשלהבת</v>
      </c>
      <c r="H511" t="str">
        <f>_xlfn.CONCAT("https://tablet.otzar.org/",CHAR(35),"/book/650889/p/-1/t/1/fs/0/start/0/end/0/c")</f>
        <v>https://tablet.otzar.org/#/book/650889/p/-1/t/1/fs/0/start/0/end/0/c</v>
      </c>
    </row>
    <row r="512" spans="1:8" x14ac:dyDescent="0.25">
      <c r="A512">
        <v>649198</v>
      </c>
      <c r="B512" t="s">
        <v>1193</v>
      </c>
      <c r="C512" t="s">
        <v>1194</v>
      </c>
      <c r="D512" t="s">
        <v>1195</v>
      </c>
      <c r="E512" t="s">
        <v>11</v>
      </c>
      <c r="G512" t="str">
        <f>HYPERLINK(_xlfn.CONCAT("https://tablet.otzar.org/",CHAR(35),"/book/649198/p/-1/t/1/fs/0/start/0/end/0/c"),"בין תכלת ללבן")</f>
        <v>בין תכלת ללבן</v>
      </c>
      <c r="H512" t="str">
        <f>_xlfn.CONCAT("https://tablet.otzar.org/",CHAR(35),"/book/649198/p/-1/t/1/fs/0/start/0/end/0/c")</f>
        <v>https://tablet.otzar.org/#/book/649198/p/-1/t/1/fs/0/start/0/end/0/c</v>
      </c>
    </row>
    <row r="513" spans="1:8" x14ac:dyDescent="0.25">
      <c r="A513">
        <v>653542</v>
      </c>
      <c r="B513" t="s">
        <v>1196</v>
      </c>
      <c r="C513" t="s">
        <v>1197</v>
      </c>
      <c r="D513" t="s">
        <v>10</v>
      </c>
      <c r="E513" t="s">
        <v>89</v>
      </c>
      <c r="G513" t="str">
        <f>HYPERLINK(_xlfn.CONCAT("https://tablet.otzar.org/",CHAR(35),"/book/653542/p/-1/t/1/fs/0/start/0/end/0/c"),"בינה ודעת - מחללי שבת בזמנינו")</f>
        <v>בינה ודעת - מחללי שבת בזמנינו</v>
      </c>
      <c r="H513" t="str">
        <f>_xlfn.CONCAT("https://tablet.otzar.org/",CHAR(35),"/book/653542/p/-1/t/1/fs/0/start/0/end/0/c")</f>
        <v>https://tablet.otzar.org/#/book/653542/p/-1/t/1/fs/0/start/0/end/0/c</v>
      </c>
    </row>
    <row r="514" spans="1:8" x14ac:dyDescent="0.25">
      <c r="A514">
        <v>648353</v>
      </c>
      <c r="B514" t="s">
        <v>1198</v>
      </c>
      <c r="C514" t="s">
        <v>1199</v>
      </c>
      <c r="D514" t="s">
        <v>1200</v>
      </c>
      <c r="E514" t="s">
        <v>25</v>
      </c>
      <c r="G514" t="str">
        <f>HYPERLINK(_xlfn.CONCAT("https://tablet.otzar.org/",CHAR(35),"/book/648353/p/-1/t/1/fs/0/start/0/end/0/c"),"בינה לעתים - חנוכה ופורים")</f>
        <v>בינה לעתים - חנוכה ופורים</v>
      </c>
      <c r="H514" t="str">
        <f>_xlfn.CONCAT("https://tablet.otzar.org/",CHAR(35),"/book/648353/p/-1/t/1/fs/0/start/0/end/0/c")</f>
        <v>https://tablet.otzar.org/#/book/648353/p/-1/t/1/fs/0/start/0/end/0/c</v>
      </c>
    </row>
    <row r="515" spans="1:8" x14ac:dyDescent="0.25">
      <c r="A515">
        <v>649560</v>
      </c>
      <c r="B515" t="s">
        <v>1201</v>
      </c>
      <c r="C515" t="s">
        <v>1202</v>
      </c>
      <c r="D515" t="s">
        <v>58</v>
      </c>
      <c r="E515" t="s">
        <v>1203</v>
      </c>
      <c r="G515" t="str">
        <f>HYPERLINK(_xlfn.CONCAT("https://tablet.otzar.org/",CHAR(35),"/book/649560/p/-1/t/1/fs/0/start/0/end/0/c"),"בינה לעתים ותיקון יששכר")</f>
        <v>בינה לעתים ותיקון יששכר</v>
      </c>
      <c r="H515" t="str">
        <f>_xlfn.CONCAT("https://tablet.otzar.org/",CHAR(35),"/book/649560/p/-1/t/1/fs/0/start/0/end/0/c")</f>
        <v>https://tablet.otzar.org/#/book/649560/p/-1/t/1/fs/0/start/0/end/0/c</v>
      </c>
    </row>
    <row r="516" spans="1:8" x14ac:dyDescent="0.25">
      <c r="A516">
        <v>647701</v>
      </c>
      <c r="B516" t="s">
        <v>1204</v>
      </c>
      <c r="C516" t="s">
        <v>1205</v>
      </c>
      <c r="D516" t="s">
        <v>340</v>
      </c>
      <c r="E516" t="s">
        <v>35</v>
      </c>
      <c r="G516" t="str">
        <f>HYPERLINK(_xlfn.CONCAT("https://tablet.otzar.org/",CHAR(35),"/book/647701/p/-1/t/1/fs/0/start/0/end/0/c"),"ביני ובין בני ישראל")</f>
        <v>ביני ובין בני ישראל</v>
      </c>
      <c r="H516" t="str">
        <f>_xlfn.CONCAT("https://tablet.otzar.org/",CHAR(35),"/book/647701/p/-1/t/1/fs/0/start/0/end/0/c")</f>
        <v>https://tablet.otzar.org/#/book/647701/p/-1/t/1/fs/0/start/0/end/0/c</v>
      </c>
    </row>
    <row r="517" spans="1:8" x14ac:dyDescent="0.25">
      <c r="A517">
        <v>648114</v>
      </c>
      <c r="B517" t="s">
        <v>1206</v>
      </c>
      <c r="C517" t="s">
        <v>1207</v>
      </c>
      <c r="D517" t="s">
        <v>10</v>
      </c>
      <c r="E517" t="s">
        <v>224</v>
      </c>
      <c r="G517" t="str">
        <f>HYPERLINK(_xlfn.CONCAT("https://tablet.otzar.org/",CHAR(35),"/book/648114/p/-1/t/1/fs/0/start/0/end/0/c"),"בינת דניאל - פרפראות חכמה ח""""ב")</f>
        <v>בינת דניאל - פרפראות חכמה ח""ב</v>
      </c>
      <c r="H517" t="str">
        <f>_xlfn.CONCAT("https://tablet.otzar.org/",CHAR(35),"/book/648114/p/-1/t/1/fs/0/start/0/end/0/c")</f>
        <v>https://tablet.otzar.org/#/book/648114/p/-1/t/1/fs/0/start/0/end/0/c</v>
      </c>
    </row>
    <row r="518" spans="1:8" x14ac:dyDescent="0.25">
      <c r="A518">
        <v>654757</v>
      </c>
      <c r="B518" t="s">
        <v>1208</v>
      </c>
      <c r="C518" t="s">
        <v>1209</v>
      </c>
      <c r="D518" t="s">
        <v>52</v>
      </c>
      <c r="E518" t="s">
        <v>45</v>
      </c>
      <c r="G518" t="str">
        <f>HYPERLINK(_xlfn.CONCAT("https://tablet.otzar.org/",CHAR(35),"/exKotar/654757"),"בינת המשפט - 4 כרכים")</f>
        <v>בינת המשפט - 4 כרכים</v>
      </c>
      <c r="H518" t="str">
        <f>_xlfn.CONCAT("https://tablet.otzar.org/",CHAR(35),"/exKotar/654757")</f>
        <v>https://tablet.otzar.org/#/exKotar/654757</v>
      </c>
    </row>
    <row r="519" spans="1:8" x14ac:dyDescent="0.25">
      <c r="A519">
        <v>656023</v>
      </c>
      <c r="B519" t="s">
        <v>1210</v>
      </c>
      <c r="C519" t="s">
        <v>1211</v>
      </c>
      <c r="D519" t="s">
        <v>193</v>
      </c>
      <c r="E519" t="s">
        <v>35</v>
      </c>
      <c r="G519" t="str">
        <f>HYPERLINK(_xlfn.CONCAT("https://tablet.otzar.org/",CHAR(35),"/exKotar/656023"),"בינת יוסף - 2 כרכים")</f>
        <v>בינת יוסף - 2 כרכים</v>
      </c>
      <c r="H519" t="str">
        <f>_xlfn.CONCAT("https://tablet.otzar.org/",CHAR(35),"/exKotar/656023")</f>
        <v>https://tablet.otzar.org/#/exKotar/656023</v>
      </c>
    </row>
    <row r="520" spans="1:8" x14ac:dyDescent="0.25">
      <c r="A520">
        <v>648440</v>
      </c>
      <c r="B520" t="s">
        <v>1212</v>
      </c>
      <c r="C520" t="s">
        <v>1213</v>
      </c>
      <c r="D520" t="s">
        <v>424</v>
      </c>
      <c r="E520" t="s">
        <v>337</v>
      </c>
      <c r="G520" t="str">
        <f>HYPERLINK(_xlfn.CONCAT("https://tablet.otzar.org/",CHAR(35),"/book/648440/p/-1/t/1/fs/0/start/0/end/0/c"),"בירור הלכה במעלת ומצות ישובה של ארץ ישראל")</f>
        <v>בירור הלכה במעלת ומצות ישובה של ארץ ישראל</v>
      </c>
      <c r="H520" t="str">
        <f>_xlfn.CONCAT("https://tablet.otzar.org/",CHAR(35),"/book/648440/p/-1/t/1/fs/0/start/0/end/0/c")</f>
        <v>https://tablet.otzar.org/#/book/648440/p/-1/t/1/fs/0/start/0/end/0/c</v>
      </c>
    </row>
    <row r="521" spans="1:8" x14ac:dyDescent="0.25">
      <c r="A521">
        <v>651446</v>
      </c>
      <c r="B521" t="s">
        <v>1214</v>
      </c>
      <c r="C521" t="s">
        <v>1215</v>
      </c>
      <c r="D521" t="s">
        <v>549</v>
      </c>
      <c r="E521" t="s">
        <v>213</v>
      </c>
      <c r="G521" t="str">
        <f>HYPERLINK(_xlfn.CONCAT("https://tablet.otzar.org/",CHAR(35),"/book/651446/p/-1/t/1/fs/0/start/0/end/0/c"),"בירורי אמונות ברמב""""ם")</f>
        <v>בירורי אמונות ברמב""ם</v>
      </c>
      <c r="H521" t="str">
        <f>_xlfn.CONCAT("https://tablet.otzar.org/",CHAR(35),"/book/651446/p/-1/t/1/fs/0/start/0/end/0/c")</f>
        <v>https://tablet.otzar.org/#/book/651446/p/-1/t/1/fs/0/start/0/end/0/c</v>
      </c>
    </row>
    <row r="522" spans="1:8" x14ac:dyDescent="0.25">
      <c r="A522">
        <v>653514</v>
      </c>
      <c r="B522" t="s">
        <v>1216</v>
      </c>
      <c r="C522" t="s">
        <v>1217</v>
      </c>
      <c r="D522" t="s">
        <v>319</v>
      </c>
      <c r="E522" t="s">
        <v>11</v>
      </c>
      <c r="G522" t="str">
        <f>HYPERLINK(_xlfn.CONCAT("https://tablet.otzar.org/",CHAR(35),"/book/653514/p/-1/t/1/fs/0/start/0/end/0/c"),"בירורי מנהגים - סדר היום והלילה")</f>
        <v>בירורי מנהגים - סדר היום והלילה</v>
      </c>
      <c r="H522" t="str">
        <f>_xlfn.CONCAT("https://tablet.otzar.org/",CHAR(35),"/book/653514/p/-1/t/1/fs/0/start/0/end/0/c")</f>
        <v>https://tablet.otzar.org/#/book/653514/p/-1/t/1/fs/0/start/0/end/0/c</v>
      </c>
    </row>
    <row r="523" spans="1:8" x14ac:dyDescent="0.25">
      <c r="A523">
        <v>650395</v>
      </c>
      <c r="B523" t="s">
        <v>1218</v>
      </c>
      <c r="C523" t="s">
        <v>1219</v>
      </c>
      <c r="D523" t="s">
        <v>139</v>
      </c>
      <c r="E523" t="s">
        <v>11</v>
      </c>
      <c r="G523" t="str">
        <f>HYPERLINK(_xlfn.CONCAT("https://tablet.otzar.org/",CHAR(35),"/book/650395/p/-1/t/1/fs/0/start/0/end/0/c"),"בירורי סוגיות - בהלכות שבת א")</f>
        <v>בירורי סוגיות - בהלכות שבת א</v>
      </c>
      <c r="H523" t="str">
        <f>_xlfn.CONCAT("https://tablet.otzar.org/",CHAR(35),"/book/650395/p/-1/t/1/fs/0/start/0/end/0/c")</f>
        <v>https://tablet.otzar.org/#/book/650395/p/-1/t/1/fs/0/start/0/end/0/c</v>
      </c>
    </row>
    <row r="524" spans="1:8" x14ac:dyDescent="0.25">
      <c r="A524">
        <v>651206</v>
      </c>
      <c r="B524" t="s">
        <v>1220</v>
      </c>
      <c r="C524" t="s">
        <v>1221</v>
      </c>
      <c r="D524" t="s">
        <v>10</v>
      </c>
      <c r="E524" t="s">
        <v>690</v>
      </c>
      <c r="G524" t="str">
        <f>HYPERLINK(_xlfn.CONCAT("https://tablet.otzar.org/",CHAR(35),"/exKotar/651206"),"בירורי סוגיות - 2 כרכים")</f>
        <v>בירורי סוגיות - 2 כרכים</v>
      </c>
      <c r="H524" t="str">
        <f>_xlfn.CONCAT("https://tablet.otzar.org/",CHAR(35),"/exKotar/651206")</f>
        <v>https://tablet.otzar.org/#/exKotar/651206</v>
      </c>
    </row>
    <row r="525" spans="1:8" x14ac:dyDescent="0.25">
      <c r="A525">
        <v>655887</v>
      </c>
      <c r="B525" t="s">
        <v>1222</v>
      </c>
      <c r="C525" t="s">
        <v>614</v>
      </c>
      <c r="D525" t="s">
        <v>34</v>
      </c>
      <c r="E525" t="s">
        <v>29</v>
      </c>
      <c r="G525" t="str">
        <f>HYPERLINK(_xlfn.CONCAT("https://tablet.otzar.org/",CHAR(35),"/exKotar/655887"),"בירורים במלאכות שבת - 2 כרכים")</f>
        <v>בירורים במלאכות שבת - 2 כרכים</v>
      </c>
      <c r="H525" t="str">
        <f>_xlfn.CONCAT("https://tablet.otzar.org/",CHAR(35),"/exKotar/655887")</f>
        <v>https://tablet.otzar.org/#/exKotar/655887</v>
      </c>
    </row>
    <row r="526" spans="1:8" x14ac:dyDescent="0.25">
      <c r="A526">
        <v>655888</v>
      </c>
      <c r="B526" t="s">
        <v>1223</v>
      </c>
      <c r="C526" t="s">
        <v>614</v>
      </c>
      <c r="D526" t="s">
        <v>34</v>
      </c>
      <c r="E526" t="s">
        <v>29</v>
      </c>
      <c r="G526" t="str">
        <f>HYPERLINK(_xlfn.CONCAT("https://tablet.otzar.org/",CHAR(35),"/book/655888/p/-1/t/1/fs/0/start/0/end/0/c"),"בירורים במסכת ביצה")</f>
        <v>בירורים במסכת ביצה</v>
      </c>
      <c r="H526" t="str">
        <f>_xlfn.CONCAT("https://tablet.otzar.org/",CHAR(35),"/book/655888/p/-1/t/1/fs/0/start/0/end/0/c")</f>
        <v>https://tablet.otzar.org/#/book/655888/p/-1/t/1/fs/0/start/0/end/0/c</v>
      </c>
    </row>
    <row r="527" spans="1:8" x14ac:dyDescent="0.25">
      <c r="A527">
        <v>655889</v>
      </c>
      <c r="B527" t="s">
        <v>1224</v>
      </c>
      <c r="C527" t="s">
        <v>614</v>
      </c>
      <c r="D527" t="s">
        <v>10</v>
      </c>
      <c r="E527" t="s">
        <v>77</v>
      </c>
      <c r="G527" t="str">
        <f>HYPERLINK(_xlfn.CONCAT("https://tablet.otzar.org/",CHAR(35),"/book/655889/p/-1/t/1/fs/0/start/0/end/0/c"),"בירורים במסכת גיטין")</f>
        <v>בירורים במסכת גיטין</v>
      </c>
      <c r="H527" t="str">
        <f>_xlfn.CONCAT("https://tablet.otzar.org/",CHAR(35),"/book/655889/p/-1/t/1/fs/0/start/0/end/0/c")</f>
        <v>https://tablet.otzar.org/#/book/655889/p/-1/t/1/fs/0/start/0/end/0/c</v>
      </c>
    </row>
    <row r="528" spans="1:8" x14ac:dyDescent="0.25">
      <c r="A528">
        <v>655890</v>
      </c>
      <c r="B528" t="s">
        <v>1225</v>
      </c>
      <c r="C528" t="s">
        <v>614</v>
      </c>
      <c r="D528" t="s">
        <v>10</v>
      </c>
      <c r="E528" t="s">
        <v>320</v>
      </c>
      <c r="G528" t="str">
        <f>HYPERLINK(_xlfn.CONCAT("https://tablet.otzar.org/",CHAR(35),"/book/655890/p/-1/t/1/fs/0/start/0/end/0/c"),"בירורים במסכת יבמות")</f>
        <v>בירורים במסכת יבמות</v>
      </c>
      <c r="H528" t="str">
        <f>_xlfn.CONCAT("https://tablet.otzar.org/",CHAR(35),"/book/655890/p/-1/t/1/fs/0/start/0/end/0/c")</f>
        <v>https://tablet.otzar.org/#/book/655890/p/-1/t/1/fs/0/start/0/end/0/c</v>
      </c>
    </row>
    <row r="529" spans="1:8" x14ac:dyDescent="0.25">
      <c r="A529">
        <v>655891</v>
      </c>
      <c r="B529" t="s">
        <v>1226</v>
      </c>
      <c r="C529" t="s">
        <v>614</v>
      </c>
      <c r="D529" t="s">
        <v>10</v>
      </c>
      <c r="E529" t="s">
        <v>84</v>
      </c>
      <c r="G529" t="str">
        <f>HYPERLINK(_xlfn.CONCAT("https://tablet.otzar.org/",CHAR(35),"/book/655891/p/-1/t/1/fs/0/start/0/end/0/c"),"בירורים בענייני בישול")</f>
        <v>בירורים בענייני בישול</v>
      </c>
      <c r="H529" t="str">
        <f>_xlfn.CONCAT("https://tablet.otzar.org/",CHAR(35),"/book/655891/p/-1/t/1/fs/0/start/0/end/0/c")</f>
        <v>https://tablet.otzar.org/#/book/655891/p/-1/t/1/fs/0/start/0/end/0/c</v>
      </c>
    </row>
    <row r="530" spans="1:8" x14ac:dyDescent="0.25">
      <c r="A530">
        <v>655892</v>
      </c>
      <c r="B530" t="s">
        <v>1227</v>
      </c>
      <c r="C530" t="s">
        <v>614</v>
      </c>
      <c r="D530" t="s">
        <v>10</v>
      </c>
      <c r="E530" t="s">
        <v>84</v>
      </c>
      <c r="G530" t="str">
        <f>HYPERLINK(_xlfn.CONCAT("https://tablet.otzar.org/",CHAR(35),"/book/655892/p/-1/t/1/fs/0/start/0/end/0/c"),"בירורים בענייני מוקצה")</f>
        <v>בירורים בענייני מוקצה</v>
      </c>
      <c r="H530" t="str">
        <f>_xlfn.CONCAT("https://tablet.otzar.org/",CHAR(35),"/book/655892/p/-1/t/1/fs/0/start/0/end/0/c")</f>
        <v>https://tablet.otzar.org/#/book/655892/p/-1/t/1/fs/0/start/0/end/0/c</v>
      </c>
    </row>
    <row r="531" spans="1:8" x14ac:dyDescent="0.25">
      <c r="A531">
        <v>648260</v>
      </c>
      <c r="B531" t="s">
        <v>1228</v>
      </c>
      <c r="C531" t="s">
        <v>738</v>
      </c>
      <c r="D531" t="s">
        <v>10</v>
      </c>
      <c r="E531" t="s">
        <v>495</v>
      </c>
      <c r="G531" t="str">
        <f>HYPERLINK(_xlfn.CONCAT("https://tablet.otzar.org/",CHAR(35),"/book/648260/p/-1/t/1/fs/0/start/0/end/0/c"),"בישורון מלך")</f>
        <v>בישורון מלך</v>
      </c>
      <c r="H531" t="str">
        <f>_xlfn.CONCAT("https://tablet.otzar.org/",CHAR(35),"/book/648260/p/-1/t/1/fs/0/start/0/end/0/c")</f>
        <v>https://tablet.otzar.org/#/book/648260/p/-1/t/1/fs/0/start/0/end/0/c</v>
      </c>
    </row>
    <row r="532" spans="1:8" x14ac:dyDescent="0.25">
      <c r="A532">
        <v>650474</v>
      </c>
      <c r="B532" t="s">
        <v>1229</v>
      </c>
      <c r="C532" t="s">
        <v>1230</v>
      </c>
      <c r="D532" t="s">
        <v>287</v>
      </c>
      <c r="E532" t="s">
        <v>191</v>
      </c>
      <c r="G532" t="str">
        <f>HYPERLINK(_xlfn.CONCAT("https://tablet.otzar.org/",CHAR(35),"/exKotar/650474"),"בית אב - 4 כרכים")</f>
        <v>בית אב - 4 כרכים</v>
      </c>
      <c r="H532" t="str">
        <f>_xlfn.CONCAT("https://tablet.otzar.org/",CHAR(35),"/exKotar/650474")</f>
        <v>https://tablet.otzar.org/#/exKotar/650474</v>
      </c>
    </row>
    <row r="533" spans="1:8" x14ac:dyDescent="0.25">
      <c r="A533">
        <v>649863</v>
      </c>
      <c r="B533" t="s">
        <v>1231</v>
      </c>
      <c r="C533" t="s">
        <v>1232</v>
      </c>
      <c r="D533" t="s">
        <v>10</v>
      </c>
      <c r="E533" t="s">
        <v>1233</v>
      </c>
      <c r="G533" t="str">
        <f>HYPERLINK(_xlfn.CONCAT("https://tablet.otzar.org/",CHAR(35),"/exKotar/649863"),"בית אברהם - 3 כרכים")</f>
        <v>בית אברהם - 3 כרכים</v>
      </c>
      <c r="H533" t="str">
        <f>_xlfn.CONCAT("https://tablet.otzar.org/",CHAR(35),"/exKotar/649863")</f>
        <v>https://tablet.otzar.org/#/exKotar/649863</v>
      </c>
    </row>
    <row r="534" spans="1:8" x14ac:dyDescent="0.25">
      <c r="A534">
        <v>650225</v>
      </c>
      <c r="B534" t="s">
        <v>1234</v>
      </c>
      <c r="C534" t="s">
        <v>1235</v>
      </c>
      <c r="E534" t="s">
        <v>70</v>
      </c>
      <c r="G534" t="str">
        <f>HYPERLINK(_xlfn.CONCAT("https://tablet.otzar.org/",CHAR(35),"/exKotar/650225"),"בית אברהם - 4 כרכים")</f>
        <v>בית אברהם - 4 כרכים</v>
      </c>
      <c r="H534" t="str">
        <f>_xlfn.CONCAT("https://tablet.otzar.org/",CHAR(35),"/exKotar/650225")</f>
        <v>https://tablet.otzar.org/#/exKotar/650225</v>
      </c>
    </row>
    <row r="535" spans="1:8" x14ac:dyDescent="0.25">
      <c r="A535">
        <v>657673</v>
      </c>
      <c r="B535" t="s">
        <v>1236</v>
      </c>
      <c r="C535" t="s">
        <v>382</v>
      </c>
      <c r="D535" t="s">
        <v>10</v>
      </c>
      <c r="E535" t="s">
        <v>11</v>
      </c>
      <c r="G535" t="str">
        <f>HYPERLINK(_xlfn.CONCAT("https://tablet.otzar.org/",CHAR(35),"/exKotar/657673"),"בית אהרן וישראל - 7 כרכים")</f>
        <v>בית אהרן וישראל - 7 כרכים</v>
      </c>
      <c r="H535" t="str">
        <f>_xlfn.CONCAT("https://tablet.otzar.org/",CHAR(35),"/exKotar/657673")</f>
        <v>https://tablet.otzar.org/#/exKotar/657673</v>
      </c>
    </row>
    <row r="536" spans="1:8" x14ac:dyDescent="0.25">
      <c r="A536">
        <v>647802</v>
      </c>
      <c r="B536" t="s">
        <v>1237</v>
      </c>
      <c r="C536" t="s">
        <v>1238</v>
      </c>
      <c r="D536" t="s">
        <v>52</v>
      </c>
      <c r="E536" t="s">
        <v>35</v>
      </c>
      <c r="G536" t="str">
        <f>HYPERLINK(_xlfn.CONCAT("https://tablet.otzar.org/",CHAR(35),"/exKotar/647802"),"בית אוצר השיעורים - 7 כרכים")</f>
        <v>בית אוצר השיעורים - 7 כרכים</v>
      </c>
      <c r="H536" t="str">
        <f>_xlfn.CONCAT("https://tablet.otzar.org/",CHAR(35),"/exKotar/647802")</f>
        <v>https://tablet.otzar.org/#/exKotar/647802</v>
      </c>
    </row>
    <row r="537" spans="1:8" x14ac:dyDescent="0.25">
      <c r="A537">
        <v>656243</v>
      </c>
      <c r="B537" t="s">
        <v>1239</v>
      </c>
      <c r="C537" t="s">
        <v>1164</v>
      </c>
      <c r="D537" t="s">
        <v>10</v>
      </c>
      <c r="E537" t="s">
        <v>1240</v>
      </c>
      <c r="G537" t="str">
        <f>HYPERLINK(_xlfn.CONCAT("https://tablet.otzar.org/",CHAR(35),"/book/656243/p/-1/t/1/fs/0/start/0/end/0/c"),"בית אלהי יעקב")</f>
        <v>בית אלהי יעקב</v>
      </c>
      <c r="H537" t="str">
        <f>_xlfn.CONCAT("https://tablet.otzar.org/",CHAR(35),"/book/656243/p/-1/t/1/fs/0/start/0/end/0/c")</f>
        <v>https://tablet.otzar.org/#/book/656243/p/-1/t/1/fs/0/start/0/end/0/c</v>
      </c>
    </row>
    <row r="538" spans="1:8" x14ac:dyDescent="0.25">
      <c r="A538">
        <v>654601</v>
      </c>
      <c r="B538" t="s">
        <v>1241</v>
      </c>
      <c r="C538" t="s">
        <v>1242</v>
      </c>
      <c r="D538" t="s">
        <v>10</v>
      </c>
      <c r="E538" t="s">
        <v>237</v>
      </c>
      <c r="G538" t="str">
        <f>HYPERLINK(_xlfn.CONCAT("https://tablet.otzar.org/",CHAR(35),"/exKotar/654601"),"בית גנזי - 2 כרכים")</f>
        <v>בית גנזי - 2 כרכים</v>
      </c>
      <c r="H538" t="str">
        <f>_xlfn.CONCAT("https://tablet.otzar.org/",CHAR(35),"/exKotar/654601")</f>
        <v>https://tablet.otzar.org/#/exKotar/654601</v>
      </c>
    </row>
    <row r="539" spans="1:8" x14ac:dyDescent="0.25">
      <c r="A539">
        <v>647804</v>
      </c>
      <c r="B539" t="s">
        <v>1243</v>
      </c>
      <c r="C539" t="s">
        <v>1244</v>
      </c>
      <c r="D539" t="s">
        <v>10</v>
      </c>
      <c r="E539" t="s">
        <v>35</v>
      </c>
      <c r="G539" t="str">
        <f>HYPERLINK(_xlfn.CONCAT("https://tablet.otzar.org/",CHAR(35),"/book/647804/p/-1/t/1/fs/0/start/0/end/0/c"),"בית דוד - הלכות פסח - א")</f>
        <v>בית דוד - הלכות פסח - א</v>
      </c>
      <c r="H539" t="str">
        <f>_xlfn.CONCAT("https://tablet.otzar.org/",CHAR(35),"/book/647804/p/-1/t/1/fs/0/start/0/end/0/c")</f>
        <v>https://tablet.otzar.org/#/book/647804/p/-1/t/1/fs/0/start/0/end/0/c</v>
      </c>
    </row>
    <row r="540" spans="1:8" x14ac:dyDescent="0.25">
      <c r="A540">
        <v>650033</v>
      </c>
      <c r="B540" t="s">
        <v>1245</v>
      </c>
      <c r="C540" t="s">
        <v>1246</v>
      </c>
      <c r="E540" t="s">
        <v>1082</v>
      </c>
      <c r="G540" t="str">
        <f>HYPERLINK(_xlfn.CONCAT("https://tablet.otzar.org/",CHAR(35),"/exKotar/650033"),"בית דוד - 3 כרכים")</f>
        <v>בית דוד - 3 כרכים</v>
      </c>
      <c r="H540" t="str">
        <f>_xlfn.CONCAT("https://tablet.otzar.org/",CHAR(35),"/exKotar/650033")</f>
        <v>https://tablet.otzar.org/#/exKotar/650033</v>
      </c>
    </row>
    <row r="541" spans="1:8" x14ac:dyDescent="0.25">
      <c r="A541">
        <v>656857</v>
      </c>
      <c r="B541" t="s">
        <v>1247</v>
      </c>
      <c r="C541" t="s">
        <v>1248</v>
      </c>
      <c r="D541" t="s">
        <v>10</v>
      </c>
      <c r="E541" t="s">
        <v>35</v>
      </c>
      <c r="G541" t="str">
        <f>HYPERLINK(_xlfn.CONCAT("https://tablet.otzar.org/",CHAR(35),"/book/656857/p/-1/t/1/fs/0/start/0/end/0/c"),"בית דוד &lt;מכון ירושלים&gt; - אורח חיים")</f>
        <v>בית דוד &lt;מכון ירושלים&gt; - אורח חיים</v>
      </c>
      <c r="H541" t="str">
        <f>_xlfn.CONCAT("https://tablet.otzar.org/",CHAR(35),"/book/656857/p/-1/t/1/fs/0/start/0/end/0/c")</f>
        <v>https://tablet.otzar.org/#/book/656857/p/-1/t/1/fs/0/start/0/end/0/c</v>
      </c>
    </row>
    <row r="542" spans="1:8" x14ac:dyDescent="0.25">
      <c r="A542">
        <v>650989</v>
      </c>
      <c r="B542" t="s">
        <v>1249</v>
      </c>
      <c r="C542" t="s">
        <v>1250</v>
      </c>
      <c r="D542" t="s">
        <v>34</v>
      </c>
      <c r="E542" t="s">
        <v>507</v>
      </c>
      <c r="G542" t="str">
        <f>HYPERLINK(_xlfn.CONCAT("https://tablet.otzar.org/",CHAR(35),"/book/650989/p/-1/t/1/fs/0/start/0/end/0/c"),"בית דוד ושלמה")</f>
        <v>בית דוד ושלמה</v>
      </c>
      <c r="H542" t="str">
        <f>_xlfn.CONCAT("https://tablet.otzar.org/",CHAR(35),"/book/650989/p/-1/t/1/fs/0/start/0/end/0/c")</f>
        <v>https://tablet.otzar.org/#/book/650989/p/-1/t/1/fs/0/start/0/end/0/c</v>
      </c>
    </row>
    <row r="543" spans="1:8" x14ac:dyDescent="0.25">
      <c r="A543">
        <v>647396</v>
      </c>
      <c r="B543" t="s">
        <v>1251</v>
      </c>
      <c r="C543" t="s">
        <v>1252</v>
      </c>
      <c r="D543" t="s">
        <v>58</v>
      </c>
      <c r="E543" t="s">
        <v>473</v>
      </c>
      <c r="G543" t="str">
        <f>HYPERLINK(_xlfn.CONCAT("https://tablet.otzar.org/",CHAR(35),"/book/647396/p/-1/t/1/fs/0/start/0/end/0/c"),"בית הוראה")</f>
        <v>בית הוראה</v>
      </c>
      <c r="H543" t="str">
        <f>_xlfn.CONCAT("https://tablet.otzar.org/",CHAR(35),"/book/647396/p/-1/t/1/fs/0/start/0/end/0/c")</f>
        <v>https://tablet.otzar.org/#/book/647396/p/-1/t/1/fs/0/start/0/end/0/c</v>
      </c>
    </row>
    <row r="544" spans="1:8" x14ac:dyDescent="0.25">
      <c r="A544">
        <v>649428</v>
      </c>
      <c r="B544" t="s">
        <v>1253</v>
      </c>
      <c r="C544" t="s">
        <v>1254</v>
      </c>
      <c r="D544" t="s">
        <v>1255</v>
      </c>
      <c r="E544" t="s">
        <v>1256</v>
      </c>
      <c r="G544" t="str">
        <f>HYPERLINK(_xlfn.CONCAT("https://tablet.otzar.org/",CHAR(35),"/book/649428/p/-1/t/1/fs/0/start/0/end/0/c"),"בית הזבח")</f>
        <v>בית הזבח</v>
      </c>
      <c r="H544" t="str">
        <f>_xlfn.CONCAT("https://tablet.otzar.org/",CHAR(35),"/book/649428/p/-1/t/1/fs/0/start/0/end/0/c")</f>
        <v>https://tablet.otzar.org/#/book/649428/p/-1/t/1/fs/0/start/0/end/0/c</v>
      </c>
    </row>
    <row r="545" spans="1:8" x14ac:dyDescent="0.25">
      <c r="A545">
        <v>651712</v>
      </c>
      <c r="B545" t="s">
        <v>1257</v>
      </c>
      <c r="C545" t="s">
        <v>1258</v>
      </c>
      <c r="D545" t="s">
        <v>1259</v>
      </c>
      <c r="E545" t="s">
        <v>11</v>
      </c>
      <c r="G545" t="str">
        <f>HYPERLINK(_xlfn.CONCAT("https://tablet.otzar.org/",CHAR(35),"/book/651712/p/-1/t/1/fs/0/start/0/end/0/c"),"בית הלוי - סוגיות חנוכה")</f>
        <v>בית הלוי - סוגיות חנוכה</v>
      </c>
      <c r="H545" t="str">
        <f>_xlfn.CONCAT("https://tablet.otzar.org/",CHAR(35),"/book/651712/p/-1/t/1/fs/0/start/0/end/0/c")</f>
        <v>https://tablet.otzar.org/#/book/651712/p/-1/t/1/fs/0/start/0/end/0/c</v>
      </c>
    </row>
    <row r="546" spans="1:8" x14ac:dyDescent="0.25">
      <c r="A546">
        <v>649991</v>
      </c>
      <c r="B546" t="s">
        <v>1260</v>
      </c>
      <c r="C546" t="s">
        <v>382</v>
      </c>
      <c r="D546" t="s">
        <v>10</v>
      </c>
      <c r="E546" t="s">
        <v>35</v>
      </c>
      <c r="G546" t="str">
        <f>HYPERLINK(_xlfn.CONCAT("https://tablet.otzar.org/",CHAR(35),"/exKotar/649991"),"בית הלל - 2 כרכים")</f>
        <v>בית הלל - 2 כרכים</v>
      </c>
      <c r="H546" t="str">
        <f>_xlfn.CONCAT("https://tablet.otzar.org/",CHAR(35),"/exKotar/649991")</f>
        <v>https://tablet.otzar.org/#/exKotar/649991</v>
      </c>
    </row>
    <row r="547" spans="1:8" x14ac:dyDescent="0.25">
      <c r="A547">
        <v>651208</v>
      </c>
      <c r="B547" t="s">
        <v>1261</v>
      </c>
      <c r="C547" t="s">
        <v>1262</v>
      </c>
      <c r="D547" t="s">
        <v>34</v>
      </c>
      <c r="E547" t="s">
        <v>70</v>
      </c>
      <c r="G547" t="str">
        <f>HYPERLINK(_xlfn.CONCAT("https://tablet.otzar.org/",CHAR(35),"/exKotar/651208"),"בית המדרש - 3 כרכים")</f>
        <v>בית המדרש - 3 כרכים</v>
      </c>
      <c r="H547" t="str">
        <f>_xlfn.CONCAT("https://tablet.otzar.org/",CHAR(35),"/exKotar/651208")</f>
        <v>https://tablet.otzar.org/#/exKotar/651208</v>
      </c>
    </row>
    <row r="548" spans="1:8" x14ac:dyDescent="0.25">
      <c r="A548">
        <v>647803</v>
      </c>
      <c r="B548" t="s">
        <v>1263</v>
      </c>
      <c r="C548" t="s">
        <v>1264</v>
      </c>
      <c r="D548" t="s">
        <v>52</v>
      </c>
      <c r="E548" t="s">
        <v>84</v>
      </c>
      <c r="G548" t="str">
        <f>HYPERLINK(_xlfn.CONCAT("https://tablet.otzar.org/",CHAR(35),"/book/647803/p/-1/t/1/fs/0/start/0/end/0/c"),"בית הספק - א")</f>
        <v>בית הספק - א</v>
      </c>
      <c r="H548" t="str">
        <f>_xlfn.CONCAT("https://tablet.otzar.org/",CHAR(35),"/book/647803/p/-1/t/1/fs/0/start/0/end/0/c")</f>
        <v>https://tablet.otzar.org/#/book/647803/p/-1/t/1/fs/0/start/0/end/0/c</v>
      </c>
    </row>
    <row r="549" spans="1:8" x14ac:dyDescent="0.25">
      <c r="A549">
        <v>651648</v>
      </c>
      <c r="B549" t="s">
        <v>1265</v>
      </c>
      <c r="C549" t="s">
        <v>1266</v>
      </c>
      <c r="D549" t="s">
        <v>34</v>
      </c>
      <c r="E549" t="s">
        <v>11</v>
      </c>
      <c r="G549" t="str">
        <f>HYPERLINK(_xlfn.CONCAT("https://tablet.otzar.org/",CHAR(35),"/book/651648/p/-1/t/1/fs/0/start/0/end/0/c"),"בית הסתרים")</f>
        <v>בית הסתרים</v>
      </c>
      <c r="H549" t="str">
        <f>_xlfn.CONCAT("https://tablet.otzar.org/",CHAR(35),"/book/651648/p/-1/t/1/fs/0/start/0/end/0/c")</f>
        <v>https://tablet.otzar.org/#/book/651648/p/-1/t/1/fs/0/start/0/end/0/c</v>
      </c>
    </row>
    <row r="550" spans="1:8" x14ac:dyDescent="0.25">
      <c r="A550">
        <v>655852</v>
      </c>
      <c r="B550" t="s">
        <v>1267</v>
      </c>
      <c r="C550" t="s">
        <v>1268</v>
      </c>
      <c r="D550" t="s">
        <v>52</v>
      </c>
      <c r="E550" t="s">
        <v>45</v>
      </c>
      <c r="G550" t="str">
        <f>HYPERLINK(_xlfn.CONCAT("https://tablet.otzar.org/",CHAR(35),"/book/655852/p/-1/t/1/fs/0/start/0/end/0/c"),"בית השואבה &lt;מהדורה מוערת&gt;")</f>
        <v>בית השואבה &lt;מהדורה מוערת&gt;</v>
      </c>
      <c r="H550" t="str">
        <f>_xlfn.CONCAT("https://tablet.otzar.org/",CHAR(35),"/book/655852/p/-1/t/1/fs/0/start/0/end/0/c")</f>
        <v>https://tablet.otzar.org/#/book/655852/p/-1/t/1/fs/0/start/0/end/0/c</v>
      </c>
    </row>
    <row r="551" spans="1:8" x14ac:dyDescent="0.25">
      <c r="A551">
        <v>651557</v>
      </c>
      <c r="B551" t="s">
        <v>1269</v>
      </c>
      <c r="C551" t="s">
        <v>1270</v>
      </c>
      <c r="D551" t="s">
        <v>52</v>
      </c>
      <c r="E551" t="s">
        <v>11</v>
      </c>
      <c r="G551" t="str">
        <f>HYPERLINK(_xlfn.CONCAT("https://tablet.otzar.org/",CHAR(35),"/book/651557/p/-1/t/1/fs/0/start/0/end/0/c"),"בית התלמוד - חולין")</f>
        <v>בית התלמוד - חולין</v>
      </c>
      <c r="H551" t="str">
        <f>_xlfn.CONCAT("https://tablet.otzar.org/",CHAR(35),"/book/651557/p/-1/t/1/fs/0/start/0/end/0/c")</f>
        <v>https://tablet.otzar.org/#/book/651557/p/-1/t/1/fs/0/start/0/end/0/c</v>
      </c>
    </row>
    <row r="552" spans="1:8" x14ac:dyDescent="0.25">
      <c r="A552">
        <v>649568</v>
      </c>
      <c r="B552" t="s">
        <v>1271</v>
      </c>
      <c r="C552" t="s">
        <v>1272</v>
      </c>
      <c r="D552" t="s">
        <v>499</v>
      </c>
      <c r="E552" t="s">
        <v>1273</v>
      </c>
      <c r="G552" t="str">
        <f>HYPERLINK(_xlfn.CONCAT("https://tablet.otzar.org/",CHAR(35),"/book/649568/p/-1/t/1/fs/0/start/0/end/0/c"),"בית ועד")</f>
        <v>בית ועד</v>
      </c>
      <c r="H552" t="str">
        <f>_xlfn.CONCAT("https://tablet.otzar.org/",CHAR(35),"/book/649568/p/-1/t/1/fs/0/start/0/end/0/c")</f>
        <v>https://tablet.otzar.org/#/book/649568/p/-1/t/1/fs/0/start/0/end/0/c</v>
      </c>
    </row>
    <row r="553" spans="1:8" x14ac:dyDescent="0.25">
      <c r="A553">
        <v>647273</v>
      </c>
      <c r="B553" t="s">
        <v>1274</v>
      </c>
      <c r="C553" t="s">
        <v>1275</v>
      </c>
      <c r="D553" t="s">
        <v>52</v>
      </c>
      <c r="E553" t="s">
        <v>574</v>
      </c>
      <c r="G553" t="str">
        <f>HYPERLINK(_xlfn.CONCAT("https://tablet.otzar.org/",CHAR(35),"/book/647273/p/-1/t/1/fs/0/start/0/end/0/c"),"בית ועד לחכמים &lt;נאראל&gt; - תשע""""ב")</f>
        <v>בית ועד לחכמים &lt;נאראל&gt; - תשע""ב</v>
      </c>
      <c r="H553" t="str">
        <f>_xlfn.CONCAT("https://tablet.otzar.org/",CHAR(35),"/book/647273/p/-1/t/1/fs/0/start/0/end/0/c")</f>
        <v>https://tablet.otzar.org/#/book/647273/p/-1/t/1/fs/0/start/0/end/0/c</v>
      </c>
    </row>
    <row r="554" spans="1:8" x14ac:dyDescent="0.25">
      <c r="A554">
        <v>655792</v>
      </c>
      <c r="B554" t="s">
        <v>1276</v>
      </c>
      <c r="C554" t="s">
        <v>1277</v>
      </c>
      <c r="D554" t="s">
        <v>10</v>
      </c>
      <c r="E554" t="s">
        <v>1240</v>
      </c>
      <c r="G554" t="str">
        <f>HYPERLINK(_xlfn.CONCAT("https://tablet.otzar.org/",CHAR(35),"/exKotar/655792"),"בית ועד לחכמים - 8 כרכים")</f>
        <v>בית ועד לחכמים - 8 כרכים</v>
      </c>
      <c r="H554" t="str">
        <f>_xlfn.CONCAT("https://tablet.otzar.org/",CHAR(35),"/exKotar/655792")</f>
        <v>https://tablet.otzar.org/#/exKotar/655792</v>
      </c>
    </row>
    <row r="555" spans="1:8" x14ac:dyDescent="0.25">
      <c r="A555">
        <v>647384</v>
      </c>
      <c r="B555" t="s">
        <v>1278</v>
      </c>
      <c r="C555" t="s">
        <v>1279</v>
      </c>
      <c r="D555" t="s">
        <v>10</v>
      </c>
      <c r="E555" t="s">
        <v>1280</v>
      </c>
      <c r="G555" t="str">
        <f>HYPERLINK(_xlfn.CONCAT("https://tablet.otzar.org/",CHAR(35),"/book/647384/p/-1/t/1/fs/0/start/0/end/0/c"),"בית חשמונאי")</f>
        <v>בית חשמונאי</v>
      </c>
      <c r="H555" t="str">
        <f>_xlfn.CONCAT("https://tablet.otzar.org/",CHAR(35),"/book/647384/p/-1/t/1/fs/0/start/0/end/0/c")</f>
        <v>https://tablet.otzar.org/#/book/647384/p/-1/t/1/fs/0/start/0/end/0/c</v>
      </c>
    </row>
    <row r="556" spans="1:8" x14ac:dyDescent="0.25">
      <c r="A556">
        <v>648521</v>
      </c>
      <c r="B556" t="s">
        <v>1281</v>
      </c>
      <c r="C556" t="s">
        <v>1282</v>
      </c>
      <c r="D556" t="s">
        <v>10</v>
      </c>
      <c r="E556" t="s">
        <v>293</v>
      </c>
      <c r="G556" t="str">
        <f>HYPERLINK(_xlfn.CONCAT("https://tablet.otzar.org/",CHAR(35),"/book/648521/p/-1/t/1/fs/0/start/0/end/0/c"),"בית יהודה - רבי יהודה הורביץ מדז'יקוב")</f>
        <v>בית יהודה - רבי יהודה הורביץ מדז'יקוב</v>
      </c>
      <c r="H556" t="str">
        <f>_xlfn.CONCAT("https://tablet.otzar.org/",CHAR(35),"/book/648521/p/-1/t/1/fs/0/start/0/end/0/c")</f>
        <v>https://tablet.otzar.org/#/book/648521/p/-1/t/1/fs/0/start/0/end/0/c</v>
      </c>
    </row>
    <row r="557" spans="1:8" x14ac:dyDescent="0.25">
      <c r="A557">
        <v>654364</v>
      </c>
      <c r="B557" t="s">
        <v>1283</v>
      </c>
      <c r="C557" t="s">
        <v>1284</v>
      </c>
      <c r="D557" t="s">
        <v>34</v>
      </c>
      <c r="E557" t="s">
        <v>11</v>
      </c>
      <c r="G557" t="str">
        <f>HYPERLINK(_xlfn.CONCAT("https://tablet.otzar.org/",CHAR(35),"/book/654364/p/-1/t/1/fs/0/start/0/end/0/c"),"בית יער הלבנון")</f>
        <v>בית יער הלבנון</v>
      </c>
      <c r="H557" t="str">
        <f>_xlfn.CONCAT("https://tablet.otzar.org/",CHAR(35),"/book/654364/p/-1/t/1/fs/0/start/0/end/0/c")</f>
        <v>https://tablet.otzar.org/#/book/654364/p/-1/t/1/fs/0/start/0/end/0/c</v>
      </c>
    </row>
    <row r="558" spans="1:8" x14ac:dyDescent="0.25">
      <c r="A558">
        <v>654883</v>
      </c>
      <c r="B558" t="s">
        <v>1285</v>
      </c>
      <c r="C558" t="s">
        <v>265</v>
      </c>
      <c r="D558" t="s">
        <v>10</v>
      </c>
      <c r="E558" t="s">
        <v>399</v>
      </c>
      <c r="G558" t="str">
        <f>HYPERLINK(_xlfn.CONCAT("https://tablet.otzar.org/",CHAR(35),"/book/654883/p/-1/t/1/fs/0/start/0/end/0/c"),"בית ישי - דרשות")</f>
        <v>בית ישי - דרשות</v>
      </c>
      <c r="H558" t="str">
        <f>_xlfn.CONCAT("https://tablet.otzar.org/",CHAR(35),"/book/654883/p/-1/t/1/fs/0/start/0/end/0/c")</f>
        <v>https://tablet.otzar.org/#/book/654883/p/-1/t/1/fs/0/start/0/end/0/c</v>
      </c>
    </row>
    <row r="559" spans="1:8" x14ac:dyDescent="0.25">
      <c r="A559">
        <v>648326</v>
      </c>
      <c r="B559" t="s">
        <v>1286</v>
      </c>
      <c r="C559" t="s">
        <v>1287</v>
      </c>
      <c r="D559" t="s">
        <v>287</v>
      </c>
      <c r="E559" t="s">
        <v>1288</v>
      </c>
      <c r="G559" t="str">
        <f>HYPERLINK(_xlfn.CONCAT("https://tablet.otzar.org/",CHAR(35),"/book/648326/p/-1/t/1/fs/0/start/0/end/0/c"),"בית ישראל")</f>
        <v>בית ישראל</v>
      </c>
      <c r="H559" t="str">
        <f>_xlfn.CONCAT("https://tablet.otzar.org/",CHAR(35),"/book/648326/p/-1/t/1/fs/0/start/0/end/0/c")</f>
        <v>https://tablet.otzar.org/#/book/648326/p/-1/t/1/fs/0/start/0/end/0/c</v>
      </c>
    </row>
    <row r="560" spans="1:8" x14ac:dyDescent="0.25">
      <c r="A560">
        <v>655603</v>
      </c>
      <c r="B560" t="s">
        <v>1289</v>
      </c>
      <c r="C560" t="s">
        <v>1290</v>
      </c>
      <c r="D560" t="s">
        <v>10</v>
      </c>
      <c r="E560" t="s">
        <v>35</v>
      </c>
      <c r="G560" t="str">
        <f>HYPERLINK(_xlfn.CONCAT("https://tablet.otzar.org/",CHAR(35),"/book/655603/p/-1/t/1/fs/0/start/0/end/0/c"),"בית ישראל &lt;הגהות הצבי והצדק&gt;")</f>
        <v>בית ישראל &lt;הגהות הצבי והצדק&gt;</v>
      </c>
      <c r="H560" t="str">
        <f>_xlfn.CONCAT("https://tablet.otzar.org/",CHAR(35),"/book/655603/p/-1/t/1/fs/0/start/0/end/0/c")</f>
        <v>https://tablet.otzar.org/#/book/655603/p/-1/t/1/fs/0/start/0/end/0/c</v>
      </c>
    </row>
    <row r="561" spans="1:8" x14ac:dyDescent="0.25">
      <c r="A561">
        <v>656020</v>
      </c>
      <c r="B561" t="s">
        <v>1286</v>
      </c>
      <c r="C561" t="s">
        <v>1291</v>
      </c>
      <c r="D561" t="s">
        <v>34</v>
      </c>
      <c r="E561" t="s">
        <v>29</v>
      </c>
      <c r="G561" t="str">
        <f>HYPERLINK(_xlfn.CONCAT("https://tablet.otzar.org/",CHAR(35),"/book/656020/p/-1/t/1/fs/0/start/0/end/0/c"),"בית ישראל")</f>
        <v>בית ישראל</v>
      </c>
      <c r="H561" t="str">
        <f>_xlfn.CONCAT("https://tablet.otzar.org/",CHAR(35),"/book/656020/p/-1/t/1/fs/0/start/0/end/0/c")</f>
        <v>https://tablet.otzar.org/#/book/656020/p/-1/t/1/fs/0/start/0/end/0/c</v>
      </c>
    </row>
    <row r="562" spans="1:8" x14ac:dyDescent="0.25">
      <c r="A562">
        <v>656060</v>
      </c>
      <c r="B562" t="s">
        <v>1292</v>
      </c>
      <c r="C562" t="s">
        <v>1293</v>
      </c>
      <c r="D562" t="s">
        <v>606</v>
      </c>
      <c r="E562" t="s">
        <v>35</v>
      </c>
      <c r="G562" t="str">
        <f>HYPERLINK(_xlfn.CONCAT("https://tablet.otzar.org/",CHAR(35),"/book/656060/p/-1/t/1/fs/0/start/0/end/0/c"),"בית לוי")</f>
        <v>בית לוי</v>
      </c>
      <c r="H562" t="str">
        <f>_xlfn.CONCAT("https://tablet.otzar.org/",CHAR(35),"/book/656060/p/-1/t/1/fs/0/start/0/end/0/c")</f>
        <v>https://tablet.otzar.org/#/book/656060/p/-1/t/1/fs/0/start/0/end/0/c</v>
      </c>
    </row>
    <row r="563" spans="1:8" x14ac:dyDescent="0.25">
      <c r="A563">
        <v>642134</v>
      </c>
      <c r="B563" t="s">
        <v>1294</v>
      </c>
      <c r="C563" t="s">
        <v>1295</v>
      </c>
      <c r="D563" t="s">
        <v>1296</v>
      </c>
      <c r="E563" t="s">
        <v>1297</v>
      </c>
      <c r="G563" t="str">
        <f>HYPERLINK(_xlfn.CONCAT("https://tablet.otzar.org/",CHAR(35),"/exKotar/642134"),"בית מאיר - 3 כרכים")</f>
        <v>בית מאיר - 3 כרכים</v>
      </c>
      <c r="H563" t="str">
        <f>_xlfn.CONCAT("https://tablet.otzar.org/",CHAR(35),"/exKotar/642134")</f>
        <v>https://tablet.otzar.org/#/exKotar/642134</v>
      </c>
    </row>
    <row r="564" spans="1:8" x14ac:dyDescent="0.25">
      <c r="A564">
        <v>649362</v>
      </c>
      <c r="B564" t="s">
        <v>1298</v>
      </c>
      <c r="C564" t="s">
        <v>1299</v>
      </c>
      <c r="D564" t="s">
        <v>10</v>
      </c>
      <c r="E564" t="s">
        <v>161</v>
      </c>
      <c r="G564" t="str">
        <f>HYPERLINK(_xlfn.CONCAT("https://tablet.otzar.org/",CHAR(35),"/book/649362/p/-1/t/1/fs/0/start/0/end/0/c"),"בית מדרש אברכים מצוינים בית אלחנן דב")</f>
        <v>בית מדרש אברכים מצוינים בית אלחנן דב</v>
      </c>
      <c r="H564" t="str">
        <f>_xlfn.CONCAT("https://tablet.otzar.org/",CHAR(35),"/book/649362/p/-1/t/1/fs/0/start/0/end/0/c")</f>
        <v>https://tablet.otzar.org/#/book/649362/p/-1/t/1/fs/0/start/0/end/0/c</v>
      </c>
    </row>
    <row r="565" spans="1:8" x14ac:dyDescent="0.25">
      <c r="A565">
        <v>174711</v>
      </c>
      <c r="B565" t="s">
        <v>1300</v>
      </c>
      <c r="C565" t="s">
        <v>1301</v>
      </c>
      <c r="E565" t="s">
        <v>1302</v>
      </c>
      <c r="G565" t="str">
        <f>HYPERLINK(_xlfn.CONCAT("https://tablet.otzar.org/",CHAR(35),"/exKotar/174711"),"בית משיח - 1004 כרכים")</f>
        <v>בית משיח - 1004 כרכים</v>
      </c>
      <c r="H565" t="str">
        <f>_xlfn.CONCAT("https://tablet.otzar.org/",CHAR(35),"/exKotar/174711")</f>
        <v>https://tablet.otzar.org/#/exKotar/174711</v>
      </c>
    </row>
    <row r="566" spans="1:8" x14ac:dyDescent="0.25">
      <c r="A566">
        <v>647817</v>
      </c>
      <c r="B566" t="s">
        <v>1303</v>
      </c>
      <c r="C566" t="s">
        <v>1304</v>
      </c>
      <c r="D566" t="s">
        <v>10</v>
      </c>
      <c r="E566" t="s">
        <v>11</v>
      </c>
      <c r="G566" t="str">
        <f>HYPERLINK(_xlfn.CONCAT("https://tablet.otzar.org/",CHAR(35),"/book/647817/p/-1/t/1/fs/0/start/0/end/0/c"),"בית מתתיהו - ה")</f>
        <v>בית מתתיהו - ה</v>
      </c>
      <c r="H566" t="str">
        <f>_xlfn.CONCAT("https://tablet.otzar.org/",CHAR(35),"/book/647817/p/-1/t/1/fs/0/start/0/end/0/c")</f>
        <v>https://tablet.otzar.org/#/book/647817/p/-1/t/1/fs/0/start/0/end/0/c</v>
      </c>
    </row>
    <row r="567" spans="1:8" x14ac:dyDescent="0.25">
      <c r="A567">
        <v>650049</v>
      </c>
      <c r="B567" t="s">
        <v>1305</v>
      </c>
      <c r="C567" t="s">
        <v>1306</v>
      </c>
      <c r="D567" t="s">
        <v>10</v>
      </c>
      <c r="E567" t="s">
        <v>11</v>
      </c>
      <c r="G567" t="str">
        <f>HYPERLINK(_xlfn.CONCAT("https://tablet.otzar.org/",CHAR(35),"/book/650049/p/-1/t/1/fs/0/start/0/end/0/c"),"בית שלמה - תורה")</f>
        <v>בית שלמה - תורה</v>
      </c>
      <c r="H567" t="str">
        <f>_xlfn.CONCAT("https://tablet.otzar.org/",CHAR(35),"/book/650049/p/-1/t/1/fs/0/start/0/end/0/c")</f>
        <v>https://tablet.otzar.org/#/book/650049/p/-1/t/1/fs/0/start/0/end/0/c</v>
      </c>
    </row>
    <row r="568" spans="1:8" x14ac:dyDescent="0.25">
      <c r="A568">
        <v>656021</v>
      </c>
      <c r="B568" t="s">
        <v>1307</v>
      </c>
      <c r="C568" t="s">
        <v>1308</v>
      </c>
      <c r="D568" t="s">
        <v>52</v>
      </c>
      <c r="E568" t="s">
        <v>35</v>
      </c>
      <c r="G568" t="str">
        <f>HYPERLINK(_xlfn.CONCAT("https://tablet.otzar.org/",CHAR(35),"/book/656021/p/-1/t/1/fs/0/start/0/end/0/c"),"בית שמואל")</f>
        <v>בית שמואל</v>
      </c>
      <c r="H568" t="str">
        <f>_xlfn.CONCAT("https://tablet.otzar.org/",CHAR(35),"/book/656021/p/-1/t/1/fs/0/start/0/end/0/c")</f>
        <v>https://tablet.otzar.org/#/book/656021/p/-1/t/1/fs/0/start/0/end/0/c</v>
      </c>
    </row>
    <row r="569" spans="1:8" x14ac:dyDescent="0.25">
      <c r="A569">
        <v>651485</v>
      </c>
      <c r="B569" t="s">
        <v>1309</v>
      </c>
      <c r="C569" t="s">
        <v>1310</v>
      </c>
      <c r="D569" t="s">
        <v>52</v>
      </c>
      <c r="E569" t="s">
        <v>817</v>
      </c>
      <c r="G569" t="str">
        <f>HYPERLINK(_xlfn.CONCAT("https://tablet.otzar.org/",CHAR(35),"/book/651485/p/-1/t/1/fs/0/start/0/end/0/c"),"בית שער למצוות")</f>
        <v>בית שער למצוות</v>
      </c>
      <c r="H569" t="str">
        <f>_xlfn.CONCAT("https://tablet.otzar.org/",CHAR(35),"/book/651485/p/-1/t/1/fs/0/start/0/end/0/c")</f>
        <v>https://tablet.otzar.org/#/book/651485/p/-1/t/1/fs/0/start/0/end/0/c</v>
      </c>
    </row>
    <row r="570" spans="1:8" x14ac:dyDescent="0.25">
      <c r="A570">
        <v>647614</v>
      </c>
      <c r="B570" t="s">
        <v>1311</v>
      </c>
      <c r="C570" t="s">
        <v>1312</v>
      </c>
      <c r="D570" t="s">
        <v>10</v>
      </c>
      <c r="E570" t="s">
        <v>191</v>
      </c>
      <c r="G570" t="str">
        <f>HYPERLINK(_xlfn.CONCAT("https://tablet.otzar.org/",CHAR(35),"/exKotar/647614"),"בית שרגא - 3 כרכים")</f>
        <v>בית שרגא - 3 כרכים</v>
      </c>
      <c r="H570" t="str">
        <f>_xlfn.CONCAT("https://tablet.otzar.org/",CHAR(35),"/exKotar/647614")</f>
        <v>https://tablet.otzar.org/#/exKotar/647614</v>
      </c>
    </row>
    <row r="571" spans="1:8" x14ac:dyDescent="0.25">
      <c r="A571">
        <v>655906</v>
      </c>
      <c r="B571" t="s">
        <v>1313</v>
      </c>
      <c r="C571" t="s">
        <v>1314</v>
      </c>
      <c r="D571" t="s">
        <v>340</v>
      </c>
      <c r="E571" t="s">
        <v>657</v>
      </c>
      <c r="G571" t="str">
        <f>HYPERLINK(_xlfn.CONCAT("https://tablet.otzar.org/",CHAR(35),"/exKotar/655906"),"בית תפילתי - 2 כרכים")</f>
        <v>בית תפילתי - 2 כרכים</v>
      </c>
      <c r="H571" t="str">
        <f>_xlfn.CONCAT("https://tablet.otzar.org/",CHAR(35),"/exKotar/655906")</f>
        <v>https://tablet.otzar.org/#/exKotar/655906</v>
      </c>
    </row>
    <row r="572" spans="1:8" x14ac:dyDescent="0.25">
      <c r="A572">
        <v>650462</v>
      </c>
      <c r="B572" t="s">
        <v>1315</v>
      </c>
      <c r="C572" t="s">
        <v>1316</v>
      </c>
      <c r="D572" t="s">
        <v>1317</v>
      </c>
      <c r="E572" t="s">
        <v>1318</v>
      </c>
      <c r="G572" t="str">
        <f>HYPERLINK(_xlfn.CONCAT("https://tablet.otzar.org/",CHAR(35),"/book/650462/p/-1/t/1/fs/0/start/0/end/0/c"),"בכורי יוסף")</f>
        <v>בכורי יוסף</v>
      </c>
      <c r="H572" t="str">
        <f>_xlfn.CONCAT("https://tablet.otzar.org/",CHAR(35),"/book/650462/p/-1/t/1/fs/0/start/0/end/0/c")</f>
        <v>https://tablet.otzar.org/#/book/650462/p/-1/t/1/fs/0/start/0/end/0/c</v>
      </c>
    </row>
    <row r="573" spans="1:8" x14ac:dyDescent="0.25">
      <c r="A573">
        <v>652828</v>
      </c>
      <c r="B573" t="s">
        <v>1319</v>
      </c>
      <c r="C573" t="s">
        <v>1320</v>
      </c>
      <c r="D573" t="s">
        <v>1321</v>
      </c>
      <c r="E573" t="s">
        <v>337</v>
      </c>
      <c r="G573" t="str">
        <f>HYPERLINK(_xlfn.CONCAT("https://tablet.otzar.org/",CHAR(35),"/book/652828/p/-1/t/1/fs/0/start/0/end/0/c"),"בכורים - כב")</f>
        <v>בכורים - כב</v>
      </c>
      <c r="H573" t="str">
        <f>_xlfn.CONCAT("https://tablet.otzar.org/",CHAR(35),"/book/652828/p/-1/t/1/fs/0/start/0/end/0/c")</f>
        <v>https://tablet.otzar.org/#/book/652828/p/-1/t/1/fs/0/start/0/end/0/c</v>
      </c>
    </row>
    <row r="574" spans="1:8" x14ac:dyDescent="0.25">
      <c r="A574">
        <v>647780</v>
      </c>
      <c r="B574" t="s">
        <v>1322</v>
      </c>
      <c r="C574" t="s">
        <v>1323</v>
      </c>
      <c r="D574" t="s">
        <v>347</v>
      </c>
      <c r="E574" t="s">
        <v>35</v>
      </c>
      <c r="G574" t="str">
        <f>HYPERLINK(_xlfn.CONCAT("https://tablet.otzar.org/",CHAR(35),"/book/647780/p/-1/t/1/fs/0/start/0/end/0/c"),"בלילת פז - קדושין")</f>
        <v>בלילת פז - קדושין</v>
      </c>
      <c r="H574" t="str">
        <f>_xlfn.CONCAT("https://tablet.otzar.org/",CHAR(35),"/book/647780/p/-1/t/1/fs/0/start/0/end/0/c")</f>
        <v>https://tablet.otzar.org/#/book/647780/p/-1/t/1/fs/0/start/0/end/0/c</v>
      </c>
    </row>
    <row r="575" spans="1:8" x14ac:dyDescent="0.25">
      <c r="A575">
        <v>647261</v>
      </c>
      <c r="B575" t="s">
        <v>1324</v>
      </c>
      <c r="C575" t="s">
        <v>382</v>
      </c>
      <c r="D575" t="s">
        <v>1325</v>
      </c>
      <c r="E575" t="s">
        <v>161</v>
      </c>
      <c r="G575" t="str">
        <f>HYPERLINK(_xlfn.CONCAT("https://tablet.otzar.org/",CHAR(35),"/book/647261/p/-1/t/1/fs/0/start/0/end/0/c"),"בלכתך בדרך - תש""""ן")</f>
        <v>בלכתך בדרך - תש""ן</v>
      </c>
      <c r="H575" t="str">
        <f>_xlfn.CONCAT("https://tablet.otzar.org/",CHAR(35),"/book/647261/p/-1/t/1/fs/0/start/0/end/0/c")</f>
        <v>https://tablet.otzar.org/#/book/647261/p/-1/t/1/fs/0/start/0/end/0/c</v>
      </c>
    </row>
    <row r="576" spans="1:8" x14ac:dyDescent="0.25">
      <c r="A576">
        <v>649131</v>
      </c>
      <c r="B576" t="s">
        <v>1326</v>
      </c>
      <c r="C576" t="s">
        <v>1327</v>
      </c>
      <c r="D576" t="s">
        <v>10</v>
      </c>
      <c r="E576" t="s">
        <v>77</v>
      </c>
      <c r="G576" t="str">
        <f>HYPERLINK(_xlfn.CONCAT("https://tablet.otzar.org/",CHAR(35),"/book/649131/p/-1/t/1/fs/0/start/0/end/0/c"),"במוצאי יום מנוחה - המצא לעמך רוחה")</f>
        <v>במוצאי יום מנוחה - המצא לעמך רוחה</v>
      </c>
      <c r="H576" t="str">
        <f>_xlfn.CONCAT("https://tablet.otzar.org/",CHAR(35),"/book/649131/p/-1/t/1/fs/0/start/0/end/0/c")</f>
        <v>https://tablet.otzar.org/#/book/649131/p/-1/t/1/fs/0/start/0/end/0/c</v>
      </c>
    </row>
    <row r="577" spans="1:8" x14ac:dyDescent="0.25">
      <c r="A577">
        <v>640976</v>
      </c>
      <c r="B577" t="s">
        <v>1328</v>
      </c>
      <c r="C577" t="s">
        <v>1329</v>
      </c>
      <c r="D577" t="s">
        <v>10</v>
      </c>
      <c r="E577" t="s">
        <v>1330</v>
      </c>
      <c r="G577" t="str">
        <f>HYPERLINK(_xlfn.CONCAT("https://tablet.otzar.org/",CHAR(35),"/exKotar/640976"),"במישור - 88 כרכים")</f>
        <v>במישור - 88 כרכים</v>
      </c>
      <c r="H577" t="str">
        <f>_xlfn.CONCAT("https://tablet.otzar.org/",CHAR(35),"/exKotar/640976")</f>
        <v>https://tablet.otzar.org/#/exKotar/640976</v>
      </c>
    </row>
    <row r="578" spans="1:8" x14ac:dyDescent="0.25">
      <c r="A578">
        <v>647397</v>
      </c>
      <c r="B578" t="s">
        <v>1331</v>
      </c>
      <c r="C578" t="s">
        <v>1332</v>
      </c>
      <c r="D578" t="s">
        <v>10</v>
      </c>
      <c r="E578" t="s">
        <v>1187</v>
      </c>
      <c r="G578" t="str">
        <f>HYPERLINK(_xlfn.CONCAT("https://tablet.otzar.org/",CHAR(35),"/book/647397/p/-1/t/1/fs/0/start/0/end/0/c"),"במסילה - 1")</f>
        <v>במסילה - 1</v>
      </c>
      <c r="H578" t="str">
        <f>_xlfn.CONCAT("https://tablet.otzar.org/",CHAR(35),"/book/647397/p/-1/t/1/fs/0/start/0/end/0/c")</f>
        <v>https://tablet.otzar.org/#/book/647397/p/-1/t/1/fs/0/start/0/end/0/c</v>
      </c>
    </row>
    <row r="579" spans="1:8" x14ac:dyDescent="0.25">
      <c r="A579">
        <v>654614</v>
      </c>
      <c r="B579" t="s">
        <v>1333</v>
      </c>
      <c r="C579" t="s">
        <v>663</v>
      </c>
      <c r="D579" t="s">
        <v>840</v>
      </c>
      <c r="E579" t="s">
        <v>320</v>
      </c>
      <c r="G579" t="str">
        <f>HYPERLINK(_xlfn.CONCAT("https://tablet.otzar.org/",CHAR(35),"/book/654614/p/-1/t/1/fs/0/start/0/end/0/c"),"במסילה העולה - פסחים")</f>
        <v>במסילה העולה - פסחים</v>
      </c>
      <c r="H579" t="str">
        <f>_xlfn.CONCAT("https://tablet.otzar.org/",CHAR(35),"/book/654614/p/-1/t/1/fs/0/start/0/end/0/c")</f>
        <v>https://tablet.otzar.org/#/book/654614/p/-1/t/1/fs/0/start/0/end/0/c</v>
      </c>
    </row>
    <row r="580" spans="1:8" x14ac:dyDescent="0.25">
      <c r="A580">
        <v>649792</v>
      </c>
      <c r="B580" t="s">
        <v>1334</v>
      </c>
      <c r="C580" t="s">
        <v>958</v>
      </c>
      <c r="D580" t="s">
        <v>606</v>
      </c>
      <c r="E580" t="s">
        <v>558</v>
      </c>
      <c r="G580" t="str">
        <f>HYPERLINK(_xlfn.CONCAT("https://tablet.otzar.org/",CHAR(35),"/book/649792/p/-1/t/1/fs/0/start/0/end/0/c"),"במסילות החינוך")</f>
        <v>במסילות החינוך</v>
      </c>
      <c r="H580" t="str">
        <f>_xlfn.CONCAT("https://tablet.otzar.org/",CHAR(35),"/book/649792/p/-1/t/1/fs/0/start/0/end/0/c")</f>
        <v>https://tablet.otzar.org/#/book/649792/p/-1/t/1/fs/0/start/0/end/0/c</v>
      </c>
    </row>
    <row r="581" spans="1:8" x14ac:dyDescent="0.25">
      <c r="A581">
        <v>655209</v>
      </c>
      <c r="B581" t="s">
        <v>1335</v>
      </c>
      <c r="C581" t="s">
        <v>928</v>
      </c>
      <c r="D581" t="s">
        <v>287</v>
      </c>
      <c r="E581" t="s">
        <v>1336</v>
      </c>
      <c r="G581" t="str">
        <f>HYPERLINK(_xlfn.CONCAT("https://tablet.otzar.org/",CHAR(35),"/book/655209/p/-1/t/1/fs/0/start/0/end/0/c"),"במעגלי הסופר - ל""""ג בעומר")</f>
        <v>במעגלי הסופר - ל""ג בעומר</v>
      </c>
      <c r="H581" t="str">
        <f>_xlfn.CONCAT("https://tablet.otzar.org/",CHAR(35),"/book/655209/p/-1/t/1/fs/0/start/0/end/0/c")</f>
        <v>https://tablet.otzar.org/#/book/655209/p/-1/t/1/fs/0/start/0/end/0/c</v>
      </c>
    </row>
    <row r="582" spans="1:8" x14ac:dyDescent="0.25">
      <c r="A582">
        <v>643163</v>
      </c>
      <c r="B582" t="s">
        <v>1337</v>
      </c>
      <c r="C582" t="s">
        <v>1338</v>
      </c>
      <c r="E582" t="s">
        <v>1189</v>
      </c>
      <c r="G582" t="str">
        <f>HYPERLINK(_xlfn.CONCAT("https://tablet.otzar.org/",CHAR(35),"/book/643163/p/-1/t/1/fs/0/start/0/end/0/c"),"במעלות קדושים")</f>
        <v>במעלות קדושים</v>
      </c>
      <c r="H582" t="str">
        <f>_xlfn.CONCAT("https://tablet.otzar.org/",CHAR(35),"/book/643163/p/-1/t/1/fs/0/start/0/end/0/c")</f>
        <v>https://tablet.otzar.org/#/book/643163/p/-1/t/1/fs/0/start/0/end/0/c</v>
      </c>
    </row>
    <row r="583" spans="1:8" x14ac:dyDescent="0.25">
      <c r="A583">
        <v>653725</v>
      </c>
      <c r="B583" t="s">
        <v>1339</v>
      </c>
      <c r="C583" t="s">
        <v>295</v>
      </c>
      <c r="D583" t="s">
        <v>432</v>
      </c>
      <c r="E583" t="s">
        <v>11</v>
      </c>
      <c r="G583" t="str">
        <f>HYPERLINK(_xlfn.CONCAT("https://tablet.otzar.org/",CHAR(35),"/book/653725/p/-1/t/1/fs/0/start/0/end/0/c"),"במערכה הצבורית")</f>
        <v>במערכה הצבורית</v>
      </c>
      <c r="H583" t="str">
        <f>_xlfn.CONCAT("https://tablet.otzar.org/",CHAR(35),"/book/653725/p/-1/t/1/fs/0/start/0/end/0/c")</f>
        <v>https://tablet.otzar.org/#/book/653725/p/-1/t/1/fs/0/start/0/end/0/c</v>
      </c>
    </row>
    <row r="584" spans="1:8" x14ac:dyDescent="0.25">
      <c r="A584">
        <v>648975</v>
      </c>
      <c r="B584" t="s">
        <v>1340</v>
      </c>
      <c r="C584" t="s">
        <v>617</v>
      </c>
      <c r="D584" t="s">
        <v>573</v>
      </c>
      <c r="E584" t="s">
        <v>70</v>
      </c>
      <c r="G584" t="str">
        <f>HYPERLINK(_xlfn.CONCAT("https://tablet.otzar.org/",CHAR(35),"/book/648975/p/-1/t/1/fs/0/start/0/end/0/c"),"במרחבי החינוך")</f>
        <v>במרחבי החינוך</v>
      </c>
      <c r="H584" t="str">
        <f>_xlfn.CONCAT("https://tablet.otzar.org/",CHAR(35),"/book/648975/p/-1/t/1/fs/0/start/0/end/0/c")</f>
        <v>https://tablet.otzar.org/#/book/648975/p/-1/t/1/fs/0/start/0/end/0/c</v>
      </c>
    </row>
    <row r="585" spans="1:8" x14ac:dyDescent="0.25">
      <c r="A585">
        <v>649736</v>
      </c>
      <c r="B585" t="s">
        <v>1341</v>
      </c>
      <c r="C585" t="s">
        <v>1342</v>
      </c>
      <c r="D585" t="s">
        <v>34</v>
      </c>
      <c r="E585" t="s">
        <v>19</v>
      </c>
      <c r="G585" t="str">
        <f>HYPERLINK(_xlfn.CONCAT("https://tablet.otzar.org/",CHAR(35),"/book/649736/p/-1/t/1/fs/0/start/0/end/0/c"),"במשנה לחם")</f>
        <v>במשנה לחם</v>
      </c>
      <c r="H585" t="str">
        <f>_xlfn.CONCAT("https://tablet.otzar.org/",CHAR(35),"/book/649736/p/-1/t/1/fs/0/start/0/end/0/c")</f>
        <v>https://tablet.otzar.org/#/book/649736/p/-1/t/1/fs/0/start/0/end/0/c</v>
      </c>
    </row>
    <row r="586" spans="1:8" x14ac:dyDescent="0.25">
      <c r="A586">
        <v>651886</v>
      </c>
      <c r="B586" t="s">
        <v>1343</v>
      </c>
      <c r="C586" t="s">
        <v>1344</v>
      </c>
      <c r="E586" t="s">
        <v>11</v>
      </c>
      <c r="G586" t="str">
        <f>HYPERLINK(_xlfn.CONCAT("https://tablet.otzar.org/",CHAR(35),"/book/651886/p/-1/t/1/fs/0/start/0/end/0/c"),"במשעול הספק")</f>
        <v>במשעול הספק</v>
      </c>
      <c r="H586" t="str">
        <f>_xlfn.CONCAT("https://tablet.otzar.org/",CHAR(35),"/book/651886/p/-1/t/1/fs/0/start/0/end/0/c")</f>
        <v>https://tablet.otzar.org/#/book/651886/p/-1/t/1/fs/0/start/0/end/0/c</v>
      </c>
    </row>
    <row r="587" spans="1:8" x14ac:dyDescent="0.25">
      <c r="A587">
        <v>650701</v>
      </c>
      <c r="B587" t="s">
        <v>1345</v>
      </c>
      <c r="C587" t="s">
        <v>1346</v>
      </c>
      <c r="D587" t="s">
        <v>52</v>
      </c>
      <c r="E587" t="s">
        <v>45</v>
      </c>
      <c r="G587" t="str">
        <f>HYPERLINK(_xlfn.CONCAT("https://tablet.otzar.org/",CHAR(35),"/book/650701/p/-1/t/1/fs/0/start/0/end/0/c"),"במשקל החזקה")</f>
        <v>במשקל החזקה</v>
      </c>
      <c r="H587" t="str">
        <f>_xlfn.CONCAT("https://tablet.otzar.org/",CHAR(35),"/book/650701/p/-1/t/1/fs/0/start/0/end/0/c")</f>
        <v>https://tablet.otzar.org/#/book/650701/p/-1/t/1/fs/0/start/0/end/0/c</v>
      </c>
    </row>
    <row r="588" spans="1:8" x14ac:dyDescent="0.25">
      <c r="A588">
        <v>650282</v>
      </c>
      <c r="B588" t="s">
        <v>1347</v>
      </c>
      <c r="C588" t="s">
        <v>1348</v>
      </c>
      <c r="E588" t="s">
        <v>205</v>
      </c>
      <c r="G588" t="str">
        <f>HYPERLINK(_xlfn.CONCAT("https://tablet.otzar.org/",CHAR(35),"/book/650282/p/-1/t/1/fs/0/start/0/end/0/c"),"בן אדם מה לך נרדם")</f>
        <v>בן אדם מה לך נרדם</v>
      </c>
      <c r="H588" t="str">
        <f>_xlfn.CONCAT("https://tablet.otzar.org/",CHAR(35),"/book/650282/p/-1/t/1/fs/0/start/0/end/0/c")</f>
        <v>https://tablet.otzar.org/#/book/650282/p/-1/t/1/fs/0/start/0/end/0/c</v>
      </c>
    </row>
    <row r="589" spans="1:8" x14ac:dyDescent="0.25">
      <c r="A589">
        <v>647939</v>
      </c>
      <c r="B589" t="s">
        <v>1349</v>
      </c>
      <c r="C589" t="s">
        <v>1350</v>
      </c>
      <c r="D589" t="s">
        <v>10</v>
      </c>
      <c r="E589" t="s">
        <v>11</v>
      </c>
      <c r="G589" t="str">
        <f>HYPERLINK(_xlfn.CONCAT("https://tablet.otzar.org/",CHAR(35),"/exKotar/647939"),"בן איש חי - 2 כרכים")</f>
        <v>בן איש חי - 2 כרכים</v>
      </c>
      <c r="H589" t="str">
        <f>_xlfn.CONCAT("https://tablet.otzar.org/",CHAR(35),"/exKotar/647939")</f>
        <v>https://tablet.otzar.org/#/exKotar/647939</v>
      </c>
    </row>
    <row r="590" spans="1:8" x14ac:dyDescent="0.25">
      <c r="A590">
        <v>647582</v>
      </c>
      <c r="B590" t="s">
        <v>1351</v>
      </c>
      <c r="C590" t="s">
        <v>1352</v>
      </c>
      <c r="D590" t="s">
        <v>1353</v>
      </c>
      <c r="E590" t="s">
        <v>1354</v>
      </c>
      <c r="G590" t="str">
        <f>HYPERLINK(_xlfn.CONCAT("https://tablet.otzar.org/",CHAR(35),"/book/647582/p/-1/t/1/fs/0/start/0/end/0/c"),"בן י""""ג למצוות - תפארת ישראל")</f>
        <v>בן י""ג למצוות - תפארת ישראל</v>
      </c>
      <c r="H590" t="str">
        <f>_xlfn.CONCAT("https://tablet.otzar.org/",CHAR(35),"/book/647582/p/-1/t/1/fs/0/start/0/end/0/c")</f>
        <v>https://tablet.otzar.org/#/book/647582/p/-1/t/1/fs/0/start/0/end/0/c</v>
      </c>
    </row>
    <row r="591" spans="1:8" x14ac:dyDescent="0.25">
      <c r="A591">
        <v>647922</v>
      </c>
      <c r="B591" t="s">
        <v>1355</v>
      </c>
      <c r="C591" t="s">
        <v>1356</v>
      </c>
      <c r="D591" t="s">
        <v>10</v>
      </c>
      <c r="E591" t="s">
        <v>35</v>
      </c>
      <c r="G591" t="str">
        <f>HYPERLINK(_xlfn.CONCAT("https://tablet.otzar.org/",CHAR(35),"/exKotar/647922"),"בן מלך תורה - 3 כרכים")</f>
        <v>בן מלך תורה - 3 כרכים</v>
      </c>
      <c r="H591" t="str">
        <f>_xlfn.CONCAT("https://tablet.otzar.org/",CHAR(35),"/exKotar/647922")</f>
        <v>https://tablet.otzar.org/#/exKotar/647922</v>
      </c>
    </row>
    <row r="592" spans="1:8" x14ac:dyDescent="0.25">
      <c r="A592">
        <v>654072</v>
      </c>
      <c r="B592" t="s">
        <v>1357</v>
      </c>
      <c r="C592" t="s">
        <v>1358</v>
      </c>
      <c r="D592" t="s">
        <v>510</v>
      </c>
      <c r="E592" t="s">
        <v>224</v>
      </c>
      <c r="G592" t="str">
        <f>HYPERLINK(_xlfn.CONCAT("https://tablet.otzar.org/",CHAR(35),"/book/654072/p/-1/t/1/fs/0/start/0/end/0/c"),"בן נחום - שבת")</f>
        <v>בן נחום - שבת</v>
      </c>
      <c r="H592" t="str">
        <f>_xlfn.CONCAT("https://tablet.otzar.org/",CHAR(35),"/book/654072/p/-1/t/1/fs/0/start/0/end/0/c")</f>
        <v>https://tablet.otzar.org/#/book/654072/p/-1/t/1/fs/0/start/0/end/0/c</v>
      </c>
    </row>
    <row r="593" spans="1:8" x14ac:dyDescent="0.25">
      <c r="A593">
        <v>651484</v>
      </c>
      <c r="B593" t="s">
        <v>1359</v>
      </c>
      <c r="C593" t="s">
        <v>1360</v>
      </c>
      <c r="D593" t="s">
        <v>1361</v>
      </c>
      <c r="E593" t="s">
        <v>45</v>
      </c>
      <c r="G593" t="str">
        <f>HYPERLINK(_xlfn.CONCAT("https://tablet.otzar.org/",CHAR(35),"/book/651484/p/-1/t/1/fs/0/start/0/end/0/c"),"בן עליה בעולם הפרנסה")</f>
        <v>בן עליה בעולם הפרנסה</v>
      </c>
      <c r="H593" t="str">
        <f>_xlfn.CONCAT("https://tablet.otzar.org/",CHAR(35),"/book/651484/p/-1/t/1/fs/0/start/0/end/0/c")</f>
        <v>https://tablet.otzar.org/#/book/651484/p/-1/t/1/fs/0/start/0/end/0/c</v>
      </c>
    </row>
    <row r="594" spans="1:8" x14ac:dyDescent="0.25">
      <c r="A594">
        <v>636698</v>
      </c>
      <c r="B594" t="s">
        <v>1362</v>
      </c>
      <c r="C594" t="s">
        <v>1363</v>
      </c>
      <c r="D594" t="s">
        <v>10</v>
      </c>
      <c r="E594" t="s">
        <v>1364</v>
      </c>
      <c r="G594" t="str">
        <f>HYPERLINK(_xlfn.CONCAT("https://tablet.otzar.org/",CHAR(35),"/book/636698/p/-1/t/1/fs/0/start/0/end/0/c"),"בן שנה שאול")</f>
        <v>בן שנה שאול</v>
      </c>
      <c r="H594" t="str">
        <f>_xlfn.CONCAT("https://tablet.otzar.org/",CHAR(35),"/book/636698/p/-1/t/1/fs/0/start/0/end/0/c")</f>
        <v>https://tablet.otzar.org/#/book/636698/p/-1/t/1/fs/0/start/0/end/0/c</v>
      </c>
    </row>
    <row r="595" spans="1:8" x14ac:dyDescent="0.25">
      <c r="A595">
        <v>651767</v>
      </c>
      <c r="B595" t="s">
        <v>1365</v>
      </c>
      <c r="C595" t="s">
        <v>1366</v>
      </c>
      <c r="D595" t="s">
        <v>948</v>
      </c>
      <c r="E595" t="s">
        <v>11</v>
      </c>
      <c r="G595" t="str">
        <f>HYPERLINK(_xlfn.CONCAT("https://tablet.otzar.org/",CHAR(35),"/book/651767/p/-1/t/1/fs/0/start/0/end/0/c"),"בנאדם וחברו")</f>
        <v>בנאדם וחברו</v>
      </c>
      <c r="H595" t="str">
        <f>_xlfn.CONCAT("https://tablet.otzar.org/",CHAR(35),"/book/651767/p/-1/t/1/fs/0/start/0/end/0/c")</f>
        <v>https://tablet.otzar.org/#/book/651767/p/-1/t/1/fs/0/start/0/end/0/c</v>
      </c>
    </row>
    <row r="596" spans="1:8" x14ac:dyDescent="0.25">
      <c r="A596">
        <v>652618</v>
      </c>
      <c r="B596" t="s">
        <v>1367</v>
      </c>
      <c r="C596" t="s">
        <v>1368</v>
      </c>
      <c r="E596" t="s">
        <v>205</v>
      </c>
      <c r="G596" t="str">
        <f>HYPERLINK(_xlfn.CONCAT("https://tablet.otzar.org/",CHAR(35),"/book/652618/p/-1/t/1/fs/0/start/0/end/0/c"),"בנאות דשא - שנה א")</f>
        <v>בנאות דשא - שנה א</v>
      </c>
      <c r="H596" t="str">
        <f>_xlfn.CONCAT("https://tablet.otzar.org/",CHAR(35),"/book/652618/p/-1/t/1/fs/0/start/0/end/0/c")</f>
        <v>https://tablet.otzar.org/#/book/652618/p/-1/t/1/fs/0/start/0/end/0/c</v>
      </c>
    </row>
    <row r="597" spans="1:8" x14ac:dyDescent="0.25">
      <c r="A597">
        <v>648350</v>
      </c>
      <c r="B597" t="s">
        <v>1369</v>
      </c>
      <c r="C597" t="s">
        <v>1370</v>
      </c>
      <c r="D597" t="s">
        <v>10</v>
      </c>
      <c r="E597" t="s">
        <v>200</v>
      </c>
      <c r="G597" t="str">
        <f>HYPERLINK(_xlfn.CONCAT("https://tablet.otzar.org/",CHAR(35),"/book/648350/p/-1/t/1/fs/0/start/0/end/0/c"),"בנות ישראל")</f>
        <v>בנות ישראל</v>
      </c>
      <c r="H597" t="str">
        <f>_xlfn.CONCAT("https://tablet.otzar.org/",CHAR(35),"/book/648350/p/-1/t/1/fs/0/start/0/end/0/c")</f>
        <v>https://tablet.otzar.org/#/book/648350/p/-1/t/1/fs/0/start/0/end/0/c</v>
      </c>
    </row>
    <row r="598" spans="1:8" x14ac:dyDescent="0.25">
      <c r="A598">
        <v>653632</v>
      </c>
      <c r="B598" t="s">
        <v>1371</v>
      </c>
      <c r="C598" t="s">
        <v>1372</v>
      </c>
      <c r="E598" t="s">
        <v>35</v>
      </c>
      <c r="G598" t="str">
        <f>HYPERLINK(_xlfn.CONCAT("https://tablet.otzar.org/",CHAR(35),"/book/653632/p/-1/t/1/fs/0/start/0/end/0/c"),"בני גרשון")</f>
        <v>בני גרשון</v>
      </c>
      <c r="H598" t="str">
        <f>_xlfn.CONCAT("https://tablet.otzar.org/",CHAR(35),"/book/653632/p/-1/t/1/fs/0/start/0/end/0/c")</f>
        <v>https://tablet.otzar.org/#/book/653632/p/-1/t/1/fs/0/start/0/end/0/c</v>
      </c>
    </row>
    <row r="599" spans="1:8" x14ac:dyDescent="0.25">
      <c r="A599">
        <v>654630</v>
      </c>
      <c r="B599" t="s">
        <v>1373</v>
      </c>
      <c r="C599" t="s">
        <v>1184</v>
      </c>
      <c r="D599" t="s">
        <v>347</v>
      </c>
      <c r="E599" t="s">
        <v>657</v>
      </c>
      <c r="G599" t="str">
        <f>HYPERLINK(_xlfn.CONCAT("https://tablet.otzar.org/",CHAR(35),"/book/654630/p/-1/t/1/fs/0/start/0/end/0/c"),"בני הנביאים")</f>
        <v>בני הנביאים</v>
      </c>
      <c r="H599" t="str">
        <f>_xlfn.CONCAT("https://tablet.otzar.org/",CHAR(35),"/book/654630/p/-1/t/1/fs/0/start/0/end/0/c")</f>
        <v>https://tablet.otzar.org/#/book/654630/p/-1/t/1/fs/0/start/0/end/0/c</v>
      </c>
    </row>
    <row r="600" spans="1:8" x14ac:dyDescent="0.25">
      <c r="A600">
        <v>652743</v>
      </c>
      <c r="B600" t="s">
        <v>1374</v>
      </c>
      <c r="C600" t="s">
        <v>1375</v>
      </c>
      <c r="D600" t="s">
        <v>52</v>
      </c>
      <c r="E600" t="s">
        <v>11</v>
      </c>
      <c r="G600" t="str">
        <f>HYPERLINK(_xlfn.CONCAT("https://tablet.otzar.org/",CHAR(35),"/book/652743/p/-1/t/1/fs/0/start/0/end/0/c"),"בני חורין - כונות ליל הסדר")</f>
        <v>בני חורין - כונות ליל הסדר</v>
      </c>
      <c r="H600" t="str">
        <f>_xlfn.CONCAT("https://tablet.otzar.org/",CHAR(35),"/book/652743/p/-1/t/1/fs/0/start/0/end/0/c")</f>
        <v>https://tablet.otzar.org/#/book/652743/p/-1/t/1/fs/0/start/0/end/0/c</v>
      </c>
    </row>
    <row r="601" spans="1:8" x14ac:dyDescent="0.25">
      <c r="A601">
        <v>655831</v>
      </c>
      <c r="B601" t="s">
        <v>1376</v>
      </c>
      <c r="C601" t="s">
        <v>1377</v>
      </c>
      <c r="D601" t="s">
        <v>34</v>
      </c>
      <c r="E601" t="s">
        <v>29</v>
      </c>
      <c r="G601" t="str">
        <f>HYPERLINK(_xlfn.CONCAT("https://tablet.otzar.org/",CHAR(35),"/book/655831/p/-1/t/1/fs/0/start/0/end/0/c"),"בני ציון יגילו במלכם")</f>
        <v>בני ציון יגילו במלכם</v>
      </c>
      <c r="H601" t="str">
        <f>_xlfn.CONCAT("https://tablet.otzar.org/",CHAR(35),"/book/655831/p/-1/t/1/fs/0/start/0/end/0/c")</f>
        <v>https://tablet.otzar.org/#/book/655831/p/-1/t/1/fs/0/start/0/end/0/c</v>
      </c>
    </row>
    <row r="602" spans="1:8" x14ac:dyDescent="0.25">
      <c r="A602">
        <v>649954</v>
      </c>
      <c r="B602" t="s">
        <v>1378</v>
      </c>
      <c r="C602" t="s">
        <v>1379</v>
      </c>
      <c r="D602" t="s">
        <v>1380</v>
      </c>
      <c r="E602" t="s">
        <v>643</v>
      </c>
      <c r="G602" t="str">
        <f>HYPERLINK(_xlfn.CONCAT("https://tablet.otzar.org/",CHAR(35),"/book/649954/p/-1/t/1/fs/0/start/0/end/0/c"),"בני שמעיה")</f>
        <v>בני שמעיה</v>
      </c>
      <c r="H602" t="str">
        <f>_xlfn.CONCAT("https://tablet.otzar.org/",CHAR(35),"/book/649954/p/-1/t/1/fs/0/start/0/end/0/c")</f>
        <v>https://tablet.otzar.org/#/book/649954/p/-1/t/1/fs/0/start/0/end/0/c</v>
      </c>
    </row>
    <row r="603" spans="1:8" x14ac:dyDescent="0.25">
      <c r="A603">
        <v>649376</v>
      </c>
      <c r="B603" t="s">
        <v>1381</v>
      </c>
      <c r="C603" t="s">
        <v>1382</v>
      </c>
      <c r="D603" t="s">
        <v>1383</v>
      </c>
      <c r="E603" t="s">
        <v>1384</v>
      </c>
      <c r="G603" t="str">
        <f>HYPERLINK(_xlfn.CONCAT("https://tablet.otzar.org/",CHAR(35),"/book/649376/p/-1/t/1/fs/0/start/0/end/0/c"),"בניות ברמה")</f>
        <v>בניות ברמה</v>
      </c>
      <c r="H603" t="str">
        <f>_xlfn.CONCAT("https://tablet.otzar.org/",CHAR(35),"/book/649376/p/-1/t/1/fs/0/start/0/end/0/c")</f>
        <v>https://tablet.otzar.org/#/book/649376/p/-1/t/1/fs/0/start/0/end/0/c</v>
      </c>
    </row>
    <row r="604" spans="1:8" x14ac:dyDescent="0.25">
      <c r="A604">
        <v>652610</v>
      </c>
      <c r="B604" t="s">
        <v>1385</v>
      </c>
      <c r="C604" t="s">
        <v>1386</v>
      </c>
      <c r="D604" t="s">
        <v>52</v>
      </c>
      <c r="E604" t="s">
        <v>11</v>
      </c>
      <c r="G604" t="str">
        <f>HYPERLINK(_xlfn.CONCAT("https://tablet.otzar.org/",CHAR(35),"/exKotar/652610"),"בנין אריאל - 2 כרכים")</f>
        <v>בנין אריאל - 2 כרכים</v>
      </c>
      <c r="H604" t="str">
        <f>_xlfn.CONCAT("https://tablet.otzar.org/",CHAR(35),"/exKotar/652610")</f>
        <v>https://tablet.otzar.org/#/exKotar/652610</v>
      </c>
    </row>
    <row r="605" spans="1:8" x14ac:dyDescent="0.25">
      <c r="A605">
        <v>643355</v>
      </c>
      <c r="B605" t="s">
        <v>1387</v>
      </c>
      <c r="C605" t="s">
        <v>1388</v>
      </c>
      <c r="D605" t="s">
        <v>340</v>
      </c>
      <c r="E605" t="s">
        <v>84</v>
      </c>
      <c r="G605" t="str">
        <f>HYPERLINK(_xlfn.CONCAT("https://tablet.otzar.org/",CHAR(35),"/book/643355/p/-1/t/1/fs/0/start/0/end/0/c"),"בנין דעת - כלים")</f>
        <v>בנין דעת - כלים</v>
      </c>
      <c r="H605" t="str">
        <f>_xlfn.CONCAT("https://tablet.otzar.org/",CHAR(35),"/book/643355/p/-1/t/1/fs/0/start/0/end/0/c")</f>
        <v>https://tablet.otzar.org/#/book/643355/p/-1/t/1/fs/0/start/0/end/0/c</v>
      </c>
    </row>
    <row r="606" spans="1:8" x14ac:dyDescent="0.25">
      <c r="A606">
        <v>651724</v>
      </c>
      <c r="B606" t="s">
        <v>1389</v>
      </c>
      <c r="C606" t="s">
        <v>1390</v>
      </c>
      <c r="D606" t="s">
        <v>1391</v>
      </c>
      <c r="E606" t="s">
        <v>213</v>
      </c>
      <c r="G606" t="str">
        <f>HYPERLINK(_xlfn.CONCAT("https://tablet.otzar.org/",CHAR(35),"/exKotar/651724"),"בנין המשפט - 3 כרכים")</f>
        <v>בנין המשפט - 3 כרכים</v>
      </c>
      <c r="H606" t="str">
        <f>_xlfn.CONCAT("https://tablet.otzar.org/",CHAR(35),"/exKotar/651724")</f>
        <v>https://tablet.otzar.org/#/exKotar/651724</v>
      </c>
    </row>
    <row r="607" spans="1:8" x14ac:dyDescent="0.25">
      <c r="A607">
        <v>650979</v>
      </c>
      <c r="B607" t="s">
        <v>1392</v>
      </c>
      <c r="C607" t="s">
        <v>1393</v>
      </c>
      <c r="D607" t="s">
        <v>52</v>
      </c>
      <c r="E607" t="s">
        <v>657</v>
      </c>
      <c r="G607" t="str">
        <f>HYPERLINK(_xlfn.CONCAT("https://tablet.otzar.org/",CHAR(35),"/exKotar/650979"),"בנין משה - 3 כרכים")</f>
        <v>בנין משה - 3 כרכים</v>
      </c>
      <c r="H607" t="str">
        <f>_xlfn.CONCAT("https://tablet.otzar.org/",CHAR(35),"/exKotar/650979")</f>
        <v>https://tablet.otzar.org/#/exKotar/650979</v>
      </c>
    </row>
    <row r="608" spans="1:8" x14ac:dyDescent="0.25">
      <c r="A608">
        <v>652006</v>
      </c>
      <c r="B608" t="s">
        <v>1394</v>
      </c>
      <c r="C608" t="s">
        <v>1395</v>
      </c>
      <c r="D608" t="s">
        <v>10</v>
      </c>
      <c r="E608" t="s">
        <v>383</v>
      </c>
      <c r="G608" t="str">
        <f>HYPERLINK(_xlfn.CONCAT("https://tablet.otzar.org/",CHAR(35),"/exKotar/652006"),"בנין צבי - 3 כרכים")</f>
        <v>בנין צבי - 3 כרכים</v>
      </c>
      <c r="H608" t="str">
        <f>_xlfn.CONCAT("https://tablet.otzar.org/",CHAR(35),"/exKotar/652006")</f>
        <v>https://tablet.otzar.org/#/exKotar/652006</v>
      </c>
    </row>
    <row r="609" spans="1:8" x14ac:dyDescent="0.25">
      <c r="A609">
        <v>651722</v>
      </c>
      <c r="B609" t="s">
        <v>1396</v>
      </c>
      <c r="C609" t="s">
        <v>1390</v>
      </c>
      <c r="E609" t="s">
        <v>357</v>
      </c>
      <c r="G609" t="str">
        <f>HYPERLINK(_xlfn.CONCAT("https://tablet.otzar.org/",CHAR(35),"/exKotar/651722"),"בנין, המשפט - 3 כרכים")</f>
        <v>בנין, המשפט - 3 כרכים</v>
      </c>
      <c r="H609" t="str">
        <f>_xlfn.CONCAT("https://tablet.otzar.org/",CHAR(35),"/exKotar/651722")</f>
        <v>https://tablet.otzar.org/#/exKotar/651722</v>
      </c>
    </row>
    <row r="610" spans="1:8" x14ac:dyDescent="0.25">
      <c r="A610">
        <v>649108</v>
      </c>
      <c r="B610" t="s">
        <v>1397</v>
      </c>
      <c r="C610" t="s">
        <v>1398</v>
      </c>
      <c r="D610" t="s">
        <v>52</v>
      </c>
      <c r="E610" t="s">
        <v>146</v>
      </c>
      <c r="G610" t="str">
        <f>HYPERLINK(_xlfn.CONCAT("https://tablet.otzar.org/",CHAR(35),"/exKotar/649108"),"בנשוב הרוח - 20 כרכים")</f>
        <v>בנשוב הרוח - 20 כרכים</v>
      </c>
      <c r="H610" t="str">
        <f>_xlfn.CONCAT("https://tablet.otzar.org/",CHAR(35),"/exKotar/649108")</f>
        <v>https://tablet.otzar.org/#/exKotar/649108</v>
      </c>
    </row>
    <row r="611" spans="1:8" x14ac:dyDescent="0.25">
      <c r="A611">
        <v>651405</v>
      </c>
      <c r="B611" t="s">
        <v>1399</v>
      </c>
      <c r="C611" t="s">
        <v>1400</v>
      </c>
      <c r="E611" t="s">
        <v>35</v>
      </c>
      <c r="G611" t="str">
        <f>HYPERLINK(_xlfn.CONCAT("https://tablet.otzar.org/",CHAR(35),"/book/651405/p/-1/t/1/fs/0/start/0/end/0/c"),"בנתיב החלב - ט")</f>
        <v>בנתיב החלב - ט</v>
      </c>
      <c r="H611" t="str">
        <f>_xlfn.CONCAT("https://tablet.otzar.org/",CHAR(35),"/book/651405/p/-1/t/1/fs/0/start/0/end/0/c")</f>
        <v>https://tablet.otzar.org/#/book/651405/p/-1/t/1/fs/0/start/0/end/0/c</v>
      </c>
    </row>
    <row r="612" spans="1:8" x14ac:dyDescent="0.25">
      <c r="A612">
        <v>652902</v>
      </c>
      <c r="B612" t="s">
        <v>1401</v>
      </c>
      <c r="C612" t="s">
        <v>614</v>
      </c>
      <c r="E612" t="s">
        <v>507</v>
      </c>
      <c r="G612" t="str">
        <f>HYPERLINK(_xlfn.CONCAT("https://tablet.otzar.org/",CHAR(35),"/book/652902/p/-1/t/1/fs/0/start/0/end/0/c"),"בנתיב הקודש")</f>
        <v>בנתיב הקודש</v>
      </c>
      <c r="H612" t="str">
        <f>_xlfn.CONCAT("https://tablet.otzar.org/",CHAR(35),"/book/652902/p/-1/t/1/fs/0/start/0/end/0/c")</f>
        <v>https://tablet.otzar.org/#/book/652902/p/-1/t/1/fs/0/start/0/end/0/c</v>
      </c>
    </row>
    <row r="613" spans="1:8" x14ac:dyDescent="0.25">
      <c r="A613">
        <v>650018</v>
      </c>
      <c r="B613" t="s">
        <v>1402</v>
      </c>
      <c r="C613" t="s">
        <v>1159</v>
      </c>
      <c r="D613" t="s">
        <v>10</v>
      </c>
      <c r="E613" t="s">
        <v>19</v>
      </c>
      <c r="G613" t="str">
        <f>HYPERLINK(_xlfn.CONCAT("https://tablet.otzar.org/",CHAR(35),"/exKotar/650018"),"בנתיבות המועדים - 3 כרכים")</f>
        <v>בנתיבות המועדים - 3 כרכים</v>
      </c>
      <c r="H613" t="str">
        <f>_xlfn.CONCAT("https://tablet.otzar.org/",CHAR(35),"/exKotar/650018")</f>
        <v>https://tablet.otzar.org/#/exKotar/650018</v>
      </c>
    </row>
    <row r="614" spans="1:8" x14ac:dyDescent="0.25">
      <c r="A614">
        <v>655201</v>
      </c>
      <c r="B614" t="s">
        <v>1403</v>
      </c>
      <c r="C614" t="s">
        <v>928</v>
      </c>
      <c r="D614" t="s">
        <v>287</v>
      </c>
      <c r="E614" t="s">
        <v>676</v>
      </c>
      <c r="G614" t="str">
        <f>HYPERLINK(_xlfn.CONCAT("https://tablet.otzar.org/",CHAR(35),"/book/655201/p/-1/t/1/fs/0/start/0/end/0/c"),"בנתיבות הסופר")</f>
        <v>בנתיבות הסופר</v>
      </c>
      <c r="H614" t="str">
        <f>_xlfn.CONCAT("https://tablet.otzar.org/",CHAR(35),"/book/655201/p/-1/t/1/fs/0/start/0/end/0/c")</f>
        <v>https://tablet.otzar.org/#/book/655201/p/-1/t/1/fs/0/start/0/end/0/c</v>
      </c>
    </row>
    <row r="615" spans="1:8" x14ac:dyDescent="0.25">
      <c r="A615">
        <v>650020</v>
      </c>
      <c r="B615" t="s">
        <v>1404</v>
      </c>
      <c r="C615" t="s">
        <v>1159</v>
      </c>
      <c r="D615" t="s">
        <v>10</v>
      </c>
      <c r="E615" t="s">
        <v>117</v>
      </c>
      <c r="G615" t="str">
        <f>HYPERLINK(_xlfn.CONCAT("https://tablet.otzar.org/",CHAR(35),"/book/650020/p/-1/t/1/fs/0/start/0/end/0/c"),"בנתיבות הראשונים - תורה")</f>
        <v>בנתיבות הראשונים - תורה</v>
      </c>
      <c r="H615" t="str">
        <f>_xlfn.CONCAT("https://tablet.otzar.org/",CHAR(35),"/book/650020/p/-1/t/1/fs/0/start/0/end/0/c")</f>
        <v>https://tablet.otzar.org/#/book/650020/p/-1/t/1/fs/0/start/0/end/0/c</v>
      </c>
    </row>
    <row r="616" spans="1:8" x14ac:dyDescent="0.25">
      <c r="A616">
        <v>651805</v>
      </c>
      <c r="B616" t="s">
        <v>1405</v>
      </c>
      <c r="C616" t="s">
        <v>1406</v>
      </c>
      <c r="D616" t="s">
        <v>951</v>
      </c>
      <c r="E616" t="s">
        <v>77</v>
      </c>
      <c r="G616" t="str">
        <f>HYPERLINK(_xlfn.CONCAT("https://tablet.otzar.org/",CHAR(35),"/exKotar/651805"),"בנתיבותיה של תורה - 6 כרכים")</f>
        <v>בנתיבותיה של תורה - 6 כרכים</v>
      </c>
      <c r="H616" t="str">
        <f>_xlfn.CONCAT("https://tablet.otzar.org/",CHAR(35),"/exKotar/651805")</f>
        <v>https://tablet.otzar.org/#/exKotar/651805</v>
      </c>
    </row>
    <row r="617" spans="1:8" x14ac:dyDescent="0.25">
      <c r="A617">
        <v>652673</v>
      </c>
      <c r="B617" t="s">
        <v>1407</v>
      </c>
      <c r="C617" t="s">
        <v>1408</v>
      </c>
      <c r="D617" t="s">
        <v>129</v>
      </c>
      <c r="E617" t="s">
        <v>1409</v>
      </c>
      <c r="G617" t="str">
        <f>HYPERLINK(_xlfn.CONCAT("https://tablet.otzar.org/",CHAR(35),"/book/652673/p/-1/t/1/fs/0/start/0/end/0/c"),"בסבך הנסיון")</f>
        <v>בסבך הנסיון</v>
      </c>
      <c r="H617" t="str">
        <f>_xlfn.CONCAT("https://tablet.otzar.org/",CHAR(35),"/book/652673/p/-1/t/1/fs/0/start/0/end/0/c")</f>
        <v>https://tablet.otzar.org/#/book/652673/p/-1/t/1/fs/0/start/0/end/0/c</v>
      </c>
    </row>
    <row r="618" spans="1:8" x14ac:dyDescent="0.25">
      <c r="A618">
        <v>649374</v>
      </c>
      <c r="B618" t="s">
        <v>1410</v>
      </c>
      <c r="C618" t="s">
        <v>1411</v>
      </c>
      <c r="D618" t="s">
        <v>340</v>
      </c>
      <c r="E618" t="s">
        <v>89</v>
      </c>
      <c r="G618" t="str">
        <f>HYPERLINK(_xlfn.CONCAT("https://tablet.otzar.org/",CHAR(35),"/book/649374/p/-1/t/1/fs/0/start/0/end/0/c"),"בסוד הנביאים")</f>
        <v>בסוד הנביאים</v>
      </c>
      <c r="H618" t="str">
        <f>_xlfn.CONCAT("https://tablet.otzar.org/",CHAR(35),"/book/649374/p/-1/t/1/fs/0/start/0/end/0/c")</f>
        <v>https://tablet.otzar.org/#/book/649374/p/-1/t/1/fs/0/start/0/end/0/c</v>
      </c>
    </row>
    <row r="619" spans="1:8" x14ac:dyDescent="0.25">
      <c r="A619">
        <v>651862</v>
      </c>
      <c r="B619" t="s">
        <v>1412</v>
      </c>
      <c r="C619" t="s">
        <v>1413</v>
      </c>
      <c r="D619" t="s">
        <v>52</v>
      </c>
      <c r="E619" t="s">
        <v>11</v>
      </c>
      <c r="G619" t="str">
        <f>HYPERLINK(_xlfn.CONCAT("https://tablet.otzar.org/",CHAR(35),"/book/651862/p/-1/t/1/fs/0/start/0/end/0/c"),"בסערה השמימה")</f>
        <v>בסערה השמימה</v>
      </c>
      <c r="H619" t="str">
        <f>_xlfn.CONCAT("https://tablet.otzar.org/",CHAR(35),"/book/651862/p/-1/t/1/fs/0/start/0/end/0/c")</f>
        <v>https://tablet.otzar.org/#/book/651862/p/-1/t/1/fs/0/start/0/end/0/c</v>
      </c>
    </row>
    <row r="620" spans="1:8" x14ac:dyDescent="0.25">
      <c r="A620">
        <v>654213</v>
      </c>
      <c r="B620" t="s">
        <v>1414</v>
      </c>
      <c r="C620" t="s">
        <v>1415</v>
      </c>
      <c r="D620" t="s">
        <v>10</v>
      </c>
      <c r="E620" t="s">
        <v>405</v>
      </c>
      <c r="G620" t="str">
        <f>HYPERLINK(_xlfn.CONCAT("https://tablet.otzar.org/",CHAR(35),"/book/654213/p/-1/t/1/fs/0/start/0/end/0/c"),"בסערה השמימה - הגאון רבי דוד לוי")</f>
        <v>בסערה השמימה - הגאון רבי דוד לוי</v>
      </c>
      <c r="H620" t="str">
        <f>_xlfn.CONCAT("https://tablet.otzar.org/",CHAR(35),"/book/654213/p/-1/t/1/fs/0/start/0/end/0/c")</f>
        <v>https://tablet.otzar.org/#/book/654213/p/-1/t/1/fs/0/start/0/end/0/c</v>
      </c>
    </row>
    <row r="621" spans="1:8" x14ac:dyDescent="0.25">
      <c r="A621">
        <v>650806</v>
      </c>
      <c r="B621" t="s">
        <v>1416</v>
      </c>
      <c r="C621" t="s">
        <v>1417</v>
      </c>
      <c r="D621" t="s">
        <v>34</v>
      </c>
      <c r="E621" t="s">
        <v>70</v>
      </c>
      <c r="G621" t="str">
        <f>HYPERLINK(_xlfn.CONCAT("https://tablet.otzar.org/",CHAR(35),"/exKotar/650806"),"בעד הנפש - 3 כרכים")</f>
        <v>בעד הנפש - 3 כרכים</v>
      </c>
      <c r="H621" t="str">
        <f>_xlfn.CONCAT("https://tablet.otzar.org/",CHAR(35),"/exKotar/650806")</f>
        <v>https://tablet.otzar.org/#/exKotar/650806</v>
      </c>
    </row>
    <row r="622" spans="1:8" x14ac:dyDescent="0.25">
      <c r="A622">
        <v>648049</v>
      </c>
      <c r="B622" t="s">
        <v>1418</v>
      </c>
      <c r="C622" t="s">
        <v>1419</v>
      </c>
      <c r="D622" t="s">
        <v>424</v>
      </c>
      <c r="E622" t="s">
        <v>293</v>
      </c>
      <c r="G622" t="str">
        <f>HYPERLINK(_xlfn.CONCAT("https://tablet.otzar.org/",CHAR(35),"/book/648049/p/-1/t/1/fs/0/start/0/end/0/c"),"בעול העשיה - משה קלמר ופעלו")</f>
        <v>בעול העשיה - משה קלמר ופעלו</v>
      </c>
      <c r="H622" t="str">
        <f>_xlfn.CONCAT("https://tablet.otzar.org/",CHAR(35),"/book/648049/p/-1/t/1/fs/0/start/0/end/0/c")</f>
        <v>https://tablet.otzar.org/#/book/648049/p/-1/t/1/fs/0/start/0/end/0/c</v>
      </c>
    </row>
    <row r="623" spans="1:8" x14ac:dyDescent="0.25">
      <c r="A623">
        <v>654641</v>
      </c>
      <c r="B623" t="s">
        <v>1420</v>
      </c>
      <c r="C623" t="s">
        <v>1421</v>
      </c>
      <c r="D623" t="s">
        <v>34</v>
      </c>
      <c r="E623" t="s">
        <v>29</v>
      </c>
      <c r="G623" t="str">
        <f>HYPERLINK(_xlfn.CONCAT("https://tablet.otzar.org/",CHAR(35),"/book/654641/p/-1/t/1/fs/0/start/0/end/0/c"),"בעידנא דחדוותא")</f>
        <v>בעידנא דחדוותא</v>
      </c>
      <c r="H623" t="str">
        <f>_xlfn.CONCAT("https://tablet.otzar.org/",CHAR(35),"/book/654641/p/-1/t/1/fs/0/start/0/end/0/c")</f>
        <v>https://tablet.otzar.org/#/book/654641/p/-1/t/1/fs/0/start/0/end/0/c</v>
      </c>
    </row>
    <row r="624" spans="1:8" x14ac:dyDescent="0.25">
      <c r="A624">
        <v>649411</v>
      </c>
      <c r="B624" t="s">
        <v>1422</v>
      </c>
      <c r="C624" t="s">
        <v>1423</v>
      </c>
      <c r="D624" t="s">
        <v>34</v>
      </c>
      <c r="E624" t="s">
        <v>11</v>
      </c>
      <c r="G624" t="str">
        <f>HYPERLINK(_xlfn.CONCAT("https://tablet.otzar.org/",CHAR(35),"/exKotar/649411"),"בעין טובה - 2 כרכים")</f>
        <v>בעין טובה - 2 כרכים</v>
      </c>
      <c r="H624" t="str">
        <f>_xlfn.CONCAT("https://tablet.otzar.org/",CHAR(35),"/exKotar/649411")</f>
        <v>https://tablet.otzar.org/#/exKotar/649411</v>
      </c>
    </row>
    <row r="625" spans="1:8" x14ac:dyDescent="0.25">
      <c r="A625">
        <v>649392</v>
      </c>
      <c r="B625" t="s">
        <v>1424</v>
      </c>
      <c r="C625" t="s">
        <v>1425</v>
      </c>
      <c r="D625" t="s">
        <v>34</v>
      </c>
      <c r="E625" t="s">
        <v>45</v>
      </c>
      <c r="G625" t="str">
        <f>HYPERLINK(_xlfn.CONCAT("https://tablet.otzar.org/",CHAR(35),"/exKotar/649392"),"בעלי אסופות - 3 כרכים")</f>
        <v>בעלי אסופות - 3 כרכים</v>
      </c>
      <c r="H625" t="str">
        <f>_xlfn.CONCAT("https://tablet.otzar.org/",CHAR(35),"/exKotar/649392")</f>
        <v>https://tablet.otzar.org/#/exKotar/649392</v>
      </c>
    </row>
    <row r="626" spans="1:8" x14ac:dyDescent="0.25">
      <c r="A626">
        <v>648969</v>
      </c>
      <c r="B626" t="s">
        <v>1426</v>
      </c>
      <c r="C626" t="s">
        <v>1427</v>
      </c>
      <c r="D626" t="s">
        <v>52</v>
      </c>
      <c r="E626" t="s">
        <v>769</v>
      </c>
      <c r="G626" t="str">
        <f>HYPERLINK(_xlfn.CONCAT("https://tablet.otzar.org/",CHAR(35),"/book/648969/p/-1/t/1/fs/0/start/0/end/0/c"),"בענין מצות סיפור יציאת מצרים")</f>
        <v>בענין מצות סיפור יציאת מצרים</v>
      </c>
      <c r="H626" t="str">
        <f>_xlfn.CONCAT("https://tablet.otzar.org/",CHAR(35),"/book/648969/p/-1/t/1/fs/0/start/0/end/0/c")</f>
        <v>https://tablet.otzar.org/#/book/648969/p/-1/t/1/fs/0/start/0/end/0/c</v>
      </c>
    </row>
    <row r="627" spans="1:8" x14ac:dyDescent="0.25">
      <c r="A627">
        <v>650434</v>
      </c>
      <c r="B627" t="s">
        <v>1428</v>
      </c>
      <c r="C627" t="s">
        <v>1429</v>
      </c>
      <c r="D627" t="s">
        <v>1430</v>
      </c>
      <c r="E627" t="s">
        <v>11</v>
      </c>
      <c r="G627" t="str">
        <f>HYPERLINK(_xlfn.CONCAT("https://tablet.otzar.org/",CHAR(35),"/book/650434/p/-1/t/1/fs/0/start/0/end/0/c"),"בעקבות המחבר - ג")</f>
        <v>בעקבות המחבר - ג</v>
      </c>
      <c r="H627" t="str">
        <f>_xlfn.CONCAT("https://tablet.otzar.org/",CHAR(35),"/book/650434/p/-1/t/1/fs/0/start/0/end/0/c")</f>
        <v>https://tablet.otzar.org/#/book/650434/p/-1/t/1/fs/0/start/0/end/0/c</v>
      </c>
    </row>
    <row r="628" spans="1:8" x14ac:dyDescent="0.25">
      <c r="A628">
        <v>647438</v>
      </c>
      <c r="B628" t="s">
        <v>1431</v>
      </c>
      <c r="C628" t="s">
        <v>1432</v>
      </c>
      <c r="D628" t="s">
        <v>52</v>
      </c>
      <c r="E628" t="s">
        <v>70</v>
      </c>
      <c r="G628" t="str">
        <f>HYPERLINK(_xlfn.CONCAT("https://tablet.otzar.org/",CHAR(35),"/book/647438/p/-1/t/1/fs/0/start/0/end/0/c"),"בעקבות לוחמים")</f>
        <v>בעקבות לוחמים</v>
      </c>
      <c r="H628" t="str">
        <f>_xlfn.CONCAT("https://tablet.otzar.org/",CHAR(35),"/book/647438/p/-1/t/1/fs/0/start/0/end/0/c")</f>
        <v>https://tablet.otzar.org/#/book/647438/p/-1/t/1/fs/0/start/0/end/0/c</v>
      </c>
    </row>
    <row r="629" spans="1:8" x14ac:dyDescent="0.25">
      <c r="A629">
        <v>648443</v>
      </c>
      <c r="B629" t="s">
        <v>1433</v>
      </c>
      <c r="C629" t="s">
        <v>1434</v>
      </c>
      <c r="D629" t="s">
        <v>10</v>
      </c>
      <c r="E629" t="s">
        <v>11</v>
      </c>
      <c r="G629" t="str">
        <f>HYPERLINK(_xlfn.CONCAT("https://tablet.otzar.org/",CHAR(35),"/book/648443/p/-1/t/1/fs/0/start/0/end/0/c"),"בעקבי אמונה - שמיטה ויובל")</f>
        <v>בעקבי אמונה - שמיטה ויובל</v>
      </c>
      <c r="H629" t="str">
        <f>_xlfn.CONCAT("https://tablet.otzar.org/",CHAR(35),"/book/648443/p/-1/t/1/fs/0/start/0/end/0/c")</f>
        <v>https://tablet.otzar.org/#/book/648443/p/-1/t/1/fs/0/start/0/end/0/c</v>
      </c>
    </row>
    <row r="630" spans="1:8" x14ac:dyDescent="0.25">
      <c r="A630">
        <v>648236</v>
      </c>
      <c r="B630" t="s">
        <v>1435</v>
      </c>
      <c r="C630" t="s">
        <v>1370</v>
      </c>
      <c r="D630" t="s">
        <v>10</v>
      </c>
      <c r="E630" t="s">
        <v>763</v>
      </c>
      <c r="G630" t="str">
        <f>HYPERLINK(_xlfn.CONCAT("https://tablet.otzar.org/",CHAR(35),"/book/648236/p/-1/t/1/fs/0/start/0/end/0/c"),"בעקבתא דמשיחא")</f>
        <v>בעקבתא דמשיחא</v>
      </c>
      <c r="H630" t="str">
        <f>_xlfn.CONCAT("https://tablet.otzar.org/",CHAR(35),"/book/648236/p/-1/t/1/fs/0/start/0/end/0/c")</f>
        <v>https://tablet.otzar.org/#/book/648236/p/-1/t/1/fs/0/start/0/end/0/c</v>
      </c>
    </row>
    <row r="631" spans="1:8" x14ac:dyDescent="0.25">
      <c r="A631">
        <v>652777</v>
      </c>
      <c r="B631" t="s">
        <v>1436</v>
      </c>
      <c r="C631" t="s">
        <v>1437</v>
      </c>
      <c r="E631" t="s">
        <v>11</v>
      </c>
      <c r="G631" t="str">
        <f>HYPERLINK(_xlfn.CONCAT("https://tablet.otzar.org/",CHAR(35),"/book/652777/p/-1/t/1/fs/0/start/0/end/0/c"),"בערי יהודה - נודע ביהודה או""""ח")</f>
        <v>בערי יהודה - נודע ביהודה או""ח</v>
      </c>
      <c r="H631" t="str">
        <f>_xlfn.CONCAT("https://tablet.otzar.org/",CHAR(35),"/book/652777/p/-1/t/1/fs/0/start/0/end/0/c")</f>
        <v>https://tablet.otzar.org/#/book/652777/p/-1/t/1/fs/0/start/0/end/0/c</v>
      </c>
    </row>
    <row r="632" spans="1:8" x14ac:dyDescent="0.25">
      <c r="A632">
        <v>652096</v>
      </c>
      <c r="B632" t="s">
        <v>1438</v>
      </c>
      <c r="C632" t="s">
        <v>1439</v>
      </c>
      <c r="D632" t="s">
        <v>52</v>
      </c>
      <c r="E632" t="s">
        <v>246</v>
      </c>
      <c r="G632" t="str">
        <f>HYPERLINK(_xlfn.CONCAT("https://tablet.otzar.org/",CHAR(35),"/book/652096/p/-1/t/1/fs/0/start/0/end/0/c"),"בצדק ובמשפט - נזקי שכנים")</f>
        <v>בצדק ובמשפט - נזקי שכנים</v>
      </c>
      <c r="H632" t="str">
        <f>_xlfn.CONCAT("https://tablet.otzar.org/",CHAR(35),"/book/652096/p/-1/t/1/fs/0/start/0/end/0/c")</f>
        <v>https://tablet.otzar.org/#/book/652096/p/-1/t/1/fs/0/start/0/end/0/c</v>
      </c>
    </row>
    <row r="633" spans="1:8" x14ac:dyDescent="0.25">
      <c r="A633">
        <v>647886</v>
      </c>
      <c r="B633" t="s">
        <v>1440</v>
      </c>
      <c r="C633" t="s">
        <v>1441</v>
      </c>
      <c r="D633" t="s">
        <v>1442</v>
      </c>
      <c r="E633" t="s">
        <v>40</v>
      </c>
      <c r="G633" t="str">
        <f>HYPERLINK(_xlfn.CONCAT("https://tablet.otzar.org/",CHAR(35),"/book/647886/p/-1/t/1/fs/0/start/0/end/0/c"),"בצדקה תכונני")</f>
        <v>בצדקה תכונני</v>
      </c>
      <c r="H633" t="str">
        <f>_xlfn.CONCAT("https://tablet.otzar.org/",CHAR(35),"/book/647886/p/-1/t/1/fs/0/start/0/end/0/c")</f>
        <v>https://tablet.otzar.org/#/book/647886/p/-1/t/1/fs/0/start/0/end/0/c</v>
      </c>
    </row>
    <row r="634" spans="1:8" x14ac:dyDescent="0.25">
      <c r="A634">
        <v>649823</v>
      </c>
      <c r="B634" t="s">
        <v>1443</v>
      </c>
      <c r="C634" t="s">
        <v>1444</v>
      </c>
      <c r="D634" t="s">
        <v>609</v>
      </c>
      <c r="E634" t="s">
        <v>45</v>
      </c>
      <c r="G634" t="str">
        <f>HYPERLINK(_xlfn.CONCAT("https://tablet.otzar.org/",CHAR(35),"/book/649823/p/-1/t/1/fs/0/start/0/end/0/c"),"בציצית ראשי")</f>
        <v>בציצית ראשי</v>
      </c>
      <c r="H634" t="str">
        <f>_xlfn.CONCAT("https://tablet.otzar.org/",CHAR(35),"/book/649823/p/-1/t/1/fs/0/start/0/end/0/c")</f>
        <v>https://tablet.otzar.org/#/book/649823/p/-1/t/1/fs/0/start/0/end/0/c</v>
      </c>
    </row>
    <row r="635" spans="1:8" x14ac:dyDescent="0.25">
      <c r="A635">
        <v>656101</v>
      </c>
      <c r="B635" t="s">
        <v>1445</v>
      </c>
      <c r="C635" t="s">
        <v>1446</v>
      </c>
      <c r="D635" t="s">
        <v>52</v>
      </c>
      <c r="E635" t="s">
        <v>312</v>
      </c>
      <c r="G635" t="str">
        <f>HYPERLINK(_xlfn.CONCAT("https://tablet.otzar.org/",CHAR(35),"/book/656101/p/-1/t/1/fs/0/start/0/end/0/c"),"בצל הברכה")</f>
        <v>בצל הברכה</v>
      </c>
      <c r="H635" t="str">
        <f>_xlfn.CONCAT("https://tablet.otzar.org/",CHAR(35),"/book/656101/p/-1/t/1/fs/0/start/0/end/0/c")</f>
        <v>https://tablet.otzar.org/#/book/656101/p/-1/t/1/fs/0/start/0/end/0/c</v>
      </c>
    </row>
    <row r="636" spans="1:8" x14ac:dyDescent="0.25">
      <c r="A636">
        <v>653242</v>
      </c>
      <c r="B636" t="s">
        <v>1447</v>
      </c>
      <c r="C636" t="s">
        <v>1448</v>
      </c>
      <c r="E636" t="s">
        <v>77</v>
      </c>
      <c r="G636" t="str">
        <f>HYPERLINK(_xlfn.CONCAT("https://tablet.otzar.org/",CHAR(35),"/exKotar/653242"),"בצל הטוב - 2 כרכים")</f>
        <v>בצל הטוב - 2 כרכים</v>
      </c>
      <c r="H636" t="str">
        <f>_xlfn.CONCAT("https://tablet.otzar.org/",CHAR(35),"/exKotar/653242")</f>
        <v>https://tablet.otzar.org/#/exKotar/653242</v>
      </c>
    </row>
    <row r="637" spans="1:8" x14ac:dyDescent="0.25">
      <c r="A637">
        <v>652824</v>
      </c>
      <c r="B637" t="s">
        <v>1449</v>
      </c>
      <c r="C637" t="s">
        <v>1450</v>
      </c>
      <c r="D637" t="s">
        <v>52</v>
      </c>
      <c r="E637" t="s">
        <v>35</v>
      </c>
      <c r="G637" t="str">
        <f>HYPERLINK(_xlfn.CONCAT("https://tablet.otzar.org/",CHAR(35),"/book/652824/p/-1/t/1/fs/0/start/0/end/0/c"),"בצל הכתר")</f>
        <v>בצל הכתר</v>
      </c>
      <c r="H637" t="str">
        <f>_xlfn.CONCAT("https://tablet.otzar.org/",CHAR(35),"/book/652824/p/-1/t/1/fs/0/start/0/end/0/c")</f>
        <v>https://tablet.otzar.org/#/book/652824/p/-1/t/1/fs/0/start/0/end/0/c</v>
      </c>
    </row>
    <row r="638" spans="1:8" x14ac:dyDescent="0.25">
      <c r="A638">
        <v>649054</v>
      </c>
      <c r="B638" t="s">
        <v>1451</v>
      </c>
      <c r="C638" t="s">
        <v>1452</v>
      </c>
      <c r="D638" t="s">
        <v>1453</v>
      </c>
      <c r="E638" t="s">
        <v>70</v>
      </c>
      <c r="G638" t="str">
        <f>HYPERLINK(_xlfn.CONCAT("https://tablet.otzar.org/",CHAR(35),"/book/649054/p/-1/t/1/fs/0/start/0/end/0/c"),"בצל העצים בצל הלהבות")</f>
        <v>בצל העצים בצל הלהבות</v>
      </c>
      <c r="H638" t="str">
        <f>_xlfn.CONCAT("https://tablet.otzar.org/",CHAR(35),"/book/649054/p/-1/t/1/fs/0/start/0/end/0/c")</f>
        <v>https://tablet.otzar.org/#/book/649054/p/-1/t/1/fs/0/start/0/end/0/c</v>
      </c>
    </row>
    <row r="639" spans="1:8" x14ac:dyDescent="0.25">
      <c r="A639">
        <v>648466</v>
      </c>
      <c r="B639" t="s">
        <v>1454</v>
      </c>
      <c r="C639" t="s">
        <v>1455</v>
      </c>
      <c r="E639" t="s">
        <v>1456</v>
      </c>
      <c r="G639" t="str">
        <f>HYPERLINK(_xlfn.CONCAT("https://tablet.otzar.org/",CHAR(35),"/book/648466/p/-1/t/1/fs/0/start/0/end/0/c"),"בצל ידך")</f>
        <v>בצל ידך</v>
      </c>
      <c r="H639" t="str">
        <f>_xlfn.CONCAT("https://tablet.otzar.org/",CHAR(35),"/book/648466/p/-1/t/1/fs/0/start/0/end/0/c")</f>
        <v>https://tablet.otzar.org/#/book/648466/p/-1/t/1/fs/0/start/0/end/0/c</v>
      </c>
    </row>
    <row r="640" spans="1:8" x14ac:dyDescent="0.25">
      <c r="A640">
        <v>656031</v>
      </c>
      <c r="B640" t="s">
        <v>1457</v>
      </c>
      <c r="C640" t="s">
        <v>1458</v>
      </c>
      <c r="D640" t="s">
        <v>34</v>
      </c>
      <c r="E640" t="s">
        <v>45</v>
      </c>
      <c r="G640" t="str">
        <f>HYPERLINK(_xlfn.CONCAT("https://tablet.otzar.org/",CHAR(35),"/book/656031/p/-1/t/1/fs/0/start/0/end/0/c"),"בצל כנפיך")</f>
        <v>בצל כנפיך</v>
      </c>
      <c r="H640" t="str">
        <f>_xlfn.CONCAT("https://tablet.otzar.org/",CHAR(35),"/book/656031/p/-1/t/1/fs/0/start/0/end/0/c")</f>
        <v>https://tablet.otzar.org/#/book/656031/p/-1/t/1/fs/0/start/0/end/0/c</v>
      </c>
    </row>
    <row r="641" spans="1:8" x14ac:dyDescent="0.25">
      <c r="A641">
        <v>655005</v>
      </c>
      <c r="B641" t="s">
        <v>1459</v>
      </c>
      <c r="C641" t="s">
        <v>409</v>
      </c>
      <c r="D641" t="s">
        <v>52</v>
      </c>
      <c r="E641" t="s">
        <v>1460</v>
      </c>
      <c r="G641" t="str">
        <f>HYPERLINK(_xlfn.CONCAT("https://tablet.otzar.org/",CHAR(35),"/book/655005/p/-1/t/1/fs/0/start/0/end/0/c"),"בצל נסיונות התקופה")</f>
        <v>בצל נסיונות התקופה</v>
      </c>
      <c r="H641" t="str">
        <f>_xlfn.CONCAT("https://tablet.otzar.org/",CHAR(35),"/book/655005/p/-1/t/1/fs/0/start/0/end/0/c")</f>
        <v>https://tablet.otzar.org/#/book/655005/p/-1/t/1/fs/0/start/0/end/0/c</v>
      </c>
    </row>
    <row r="642" spans="1:8" x14ac:dyDescent="0.25">
      <c r="A642">
        <v>651885</v>
      </c>
      <c r="B642" t="s">
        <v>1461</v>
      </c>
      <c r="C642" t="s">
        <v>1462</v>
      </c>
      <c r="E642" t="s">
        <v>11</v>
      </c>
      <c r="G642" t="str">
        <f>HYPERLINK(_xlfn.CONCAT("https://tablet.otzar.org/",CHAR(35),"/book/651885/p/-1/t/1/fs/0/start/0/end/0/c"),"בצרור החיים")</f>
        <v>בצרור החיים</v>
      </c>
      <c r="H642" t="str">
        <f>_xlfn.CONCAT("https://tablet.otzar.org/",CHAR(35),"/book/651885/p/-1/t/1/fs/0/start/0/end/0/c")</f>
        <v>https://tablet.otzar.org/#/book/651885/p/-1/t/1/fs/0/start/0/end/0/c</v>
      </c>
    </row>
    <row r="643" spans="1:8" x14ac:dyDescent="0.25">
      <c r="A643">
        <v>651997</v>
      </c>
      <c r="B643" t="s">
        <v>1463</v>
      </c>
      <c r="C643" t="s">
        <v>1464</v>
      </c>
      <c r="D643" t="s">
        <v>1465</v>
      </c>
      <c r="E643" t="s">
        <v>35</v>
      </c>
      <c r="G643" t="str">
        <f>HYPERLINK(_xlfn.CONCAT("https://tablet.otzar.org/",CHAR(35),"/exKotar/651997"),"בצרור החיים - 2 כרכים")</f>
        <v>בצרור החיים - 2 כרכים</v>
      </c>
      <c r="H643" t="str">
        <f>_xlfn.CONCAT("https://tablet.otzar.org/",CHAR(35),"/exKotar/651997")</f>
        <v>https://tablet.otzar.org/#/exKotar/651997</v>
      </c>
    </row>
    <row r="644" spans="1:8" x14ac:dyDescent="0.25">
      <c r="A644">
        <v>649998</v>
      </c>
      <c r="B644" t="s">
        <v>1466</v>
      </c>
      <c r="C644" t="s">
        <v>209</v>
      </c>
      <c r="D644" t="s">
        <v>52</v>
      </c>
      <c r="E644" t="s">
        <v>35</v>
      </c>
      <c r="G644" t="str">
        <f>HYPERLINK(_xlfn.CONCAT("https://tablet.otzar.org/",CHAR(35),"/book/649998/p/-1/t/1/fs/0/start/0/end/0/c"),"בקהל קדושים")</f>
        <v>בקהל קדושים</v>
      </c>
      <c r="H644" t="str">
        <f>_xlfn.CONCAT("https://tablet.otzar.org/",CHAR(35),"/book/649998/p/-1/t/1/fs/0/start/0/end/0/c")</f>
        <v>https://tablet.otzar.org/#/book/649998/p/-1/t/1/fs/0/start/0/end/0/c</v>
      </c>
    </row>
    <row r="645" spans="1:8" x14ac:dyDescent="0.25">
      <c r="A645">
        <v>648835</v>
      </c>
      <c r="B645" t="s">
        <v>1467</v>
      </c>
      <c r="C645" t="s">
        <v>1468</v>
      </c>
      <c r="D645" t="s">
        <v>10</v>
      </c>
      <c r="E645" t="s">
        <v>11</v>
      </c>
      <c r="G645" t="str">
        <f>HYPERLINK(_xlfn.CONCAT("https://tablet.otzar.org/",CHAR(35),"/exKotar/648835"),"בקיאות כהלכה - 3 כרכים")</f>
        <v>בקיאות כהלכה - 3 כרכים</v>
      </c>
      <c r="H645" t="str">
        <f>_xlfn.CONCAT("https://tablet.otzar.org/",CHAR(35),"/exKotar/648835")</f>
        <v>https://tablet.otzar.org/#/exKotar/648835</v>
      </c>
    </row>
    <row r="646" spans="1:8" x14ac:dyDescent="0.25">
      <c r="A646">
        <v>648150</v>
      </c>
      <c r="B646" t="s">
        <v>1469</v>
      </c>
      <c r="C646" t="s">
        <v>1470</v>
      </c>
      <c r="D646" t="s">
        <v>609</v>
      </c>
      <c r="E646" t="s">
        <v>84</v>
      </c>
      <c r="G646" t="str">
        <f>HYPERLINK(_xlfn.CONCAT("https://tablet.otzar.org/",CHAR(35),"/book/648150/p/-1/t/1/fs/0/start/0/end/0/c"),"בקיבוץ בניה")</f>
        <v>בקיבוץ בניה</v>
      </c>
      <c r="H646" t="str">
        <f>_xlfn.CONCAT("https://tablet.otzar.org/",CHAR(35),"/book/648150/p/-1/t/1/fs/0/start/0/end/0/c")</f>
        <v>https://tablet.otzar.org/#/book/648150/p/-1/t/1/fs/0/start/0/end/0/c</v>
      </c>
    </row>
    <row r="647" spans="1:8" x14ac:dyDescent="0.25">
      <c r="A647">
        <v>655760</v>
      </c>
      <c r="B647" t="s">
        <v>1471</v>
      </c>
      <c r="C647" t="s">
        <v>382</v>
      </c>
      <c r="D647" t="s">
        <v>181</v>
      </c>
      <c r="E647" t="s">
        <v>11</v>
      </c>
      <c r="G647" t="str">
        <f>HYPERLINK(_xlfn.CONCAT("https://tablet.otzar.org/",CHAR(35),"/book/655760/p/-1/t/1/fs/0/start/0/end/0/c"),"בקנה אחד - ז")</f>
        <v>בקנה אחד - ז</v>
      </c>
      <c r="H647" t="str">
        <f>_xlfn.CONCAT("https://tablet.otzar.org/",CHAR(35),"/book/655760/p/-1/t/1/fs/0/start/0/end/0/c")</f>
        <v>https://tablet.otzar.org/#/book/655760/p/-1/t/1/fs/0/start/0/end/0/c</v>
      </c>
    </row>
    <row r="648" spans="1:8" x14ac:dyDescent="0.25">
      <c r="A648">
        <v>649730</v>
      </c>
      <c r="B648" t="s">
        <v>1472</v>
      </c>
      <c r="C648" t="s">
        <v>1473</v>
      </c>
      <c r="D648" t="s">
        <v>52</v>
      </c>
      <c r="E648" t="s">
        <v>35</v>
      </c>
      <c r="G648" t="str">
        <f>HYPERLINK(_xlfn.CONCAT("https://tablet.otzar.org/",CHAR(35),"/book/649730/p/-1/t/1/fs/0/start/0/end/0/c"),"בקר וידע ה'")</f>
        <v>בקר וידע ה'</v>
      </c>
      <c r="H648" t="str">
        <f>_xlfn.CONCAT("https://tablet.otzar.org/",CHAR(35),"/book/649730/p/-1/t/1/fs/0/start/0/end/0/c")</f>
        <v>https://tablet.otzar.org/#/book/649730/p/-1/t/1/fs/0/start/0/end/0/c</v>
      </c>
    </row>
    <row r="649" spans="1:8" x14ac:dyDescent="0.25">
      <c r="A649">
        <v>656828</v>
      </c>
      <c r="B649" t="s">
        <v>1474</v>
      </c>
      <c r="C649" t="s">
        <v>1475</v>
      </c>
      <c r="D649" t="s">
        <v>10</v>
      </c>
      <c r="E649" t="s">
        <v>1476</v>
      </c>
      <c r="G649" t="str">
        <f>HYPERLINK(_xlfn.CONCAT("https://tablet.otzar.org/",CHAR(35),"/book/656828/p/-1/t/1/fs/0/start/0/end/0/c"),"בקרבך קדוש")</f>
        <v>בקרבך קדוש</v>
      </c>
      <c r="H649" t="str">
        <f>_xlfn.CONCAT("https://tablet.otzar.org/",CHAR(35),"/book/656828/p/-1/t/1/fs/0/start/0/end/0/c")</f>
        <v>https://tablet.otzar.org/#/book/656828/p/-1/t/1/fs/0/start/0/end/0/c</v>
      </c>
    </row>
    <row r="650" spans="1:8" x14ac:dyDescent="0.25">
      <c r="A650">
        <v>653189</v>
      </c>
      <c r="B650" t="s">
        <v>1477</v>
      </c>
      <c r="C650" t="s">
        <v>1478</v>
      </c>
      <c r="D650" t="s">
        <v>1479</v>
      </c>
      <c r="E650" t="s">
        <v>1480</v>
      </c>
      <c r="G650" t="str">
        <f>HYPERLINK(_xlfn.CONCAT("https://tablet.otzar.org/",CHAR(35),"/book/653189/p/-1/t/1/fs/0/start/0/end/0/c"),"בקרת ספרים")</f>
        <v>בקרת ספרים</v>
      </c>
      <c r="H650" t="str">
        <f>_xlfn.CONCAT("https://tablet.otzar.org/",CHAR(35),"/book/653189/p/-1/t/1/fs/0/start/0/end/0/c")</f>
        <v>https://tablet.otzar.org/#/book/653189/p/-1/t/1/fs/0/start/0/end/0/c</v>
      </c>
    </row>
    <row r="651" spans="1:8" x14ac:dyDescent="0.25">
      <c r="A651">
        <v>649950</v>
      </c>
      <c r="B651" t="s">
        <v>1481</v>
      </c>
      <c r="C651" t="s">
        <v>1482</v>
      </c>
      <c r="D651" t="s">
        <v>10</v>
      </c>
      <c r="E651" t="s">
        <v>1483</v>
      </c>
      <c r="G651" t="str">
        <f>HYPERLINK(_xlfn.CONCAT("https://tablet.otzar.org/",CHAR(35),"/book/649950/p/-1/t/1/fs/0/start/0/end/0/c"),"בקשות מהאדרא זוטא קדישא")</f>
        <v>בקשות מהאדרא זוטא קדישא</v>
      </c>
      <c r="H651" t="str">
        <f>_xlfn.CONCAT("https://tablet.otzar.org/",CHAR(35),"/book/649950/p/-1/t/1/fs/0/start/0/end/0/c")</f>
        <v>https://tablet.otzar.org/#/book/649950/p/-1/t/1/fs/0/start/0/end/0/c</v>
      </c>
    </row>
    <row r="652" spans="1:8" x14ac:dyDescent="0.25">
      <c r="A652">
        <v>649256</v>
      </c>
      <c r="B652" t="s">
        <v>1484</v>
      </c>
      <c r="C652" t="s">
        <v>1485</v>
      </c>
      <c r="D652" t="s">
        <v>166</v>
      </c>
      <c r="E652">
        <v>1899</v>
      </c>
      <c r="G652" t="str">
        <f>HYPERLINK(_xlfn.CONCAT("https://tablet.otzar.org/",CHAR(35),"/book/649256/p/-1/t/1/fs/0/start/0/end/0/c"),"בר הדיא")</f>
        <v>בר הדיא</v>
      </c>
      <c r="H652" t="str">
        <f>_xlfn.CONCAT("https://tablet.otzar.org/",CHAR(35),"/book/649256/p/-1/t/1/fs/0/start/0/end/0/c")</f>
        <v>https://tablet.otzar.org/#/book/649256/p/-1/t/1/fs/0/start/0/end/0/c</v>
      </c>
    </row>
    <row r="653" spans="1:8" x14ac:dyDescent="0.25">
      <c r="A653">
        <v>648748</v>
      </c>
      <c r="B653" t="s">
        <v>1486</v>
      </c>
      <c r="C653" t="s">
        <v>1487</v>
      </c>
      <c r="D653" t="s">
        <v>948</v>
      </c>
      <c r="E653" t="s">
        <v>70</v>
      </c>
      <c r="G653" t="str">
        <f>HYPERLINK(_xlfn.CONCAT("https://tablet.otzar.org/",CHAR(35),"/exKotar/648748"),"ברוח הזמן - 6 כרכים")</f>
        <v>ברוח הזמן - 6 כרכים</v>
      </c>
      <c r="H653" t="str">
        <f>_xlfn.CONCAT("https://tablet.otzar.org/",CHAR(35),"/exKotar/648748")</f>
        <v>https://tablet.otzar.org/#/exKotar/648748</v>
      </c>
    </row>
    <row r="654" spans="1:8" x14ac:dyDescent="0.25">
      <c r="A654">
        <v>652560</v>
      </c>
      <c r="B654" t="s">
        <v>1488</v>
      </c>
      <c r="C654" t="s">
        <v>1489</v>
      </c>
      <c r="D654" t="s">
        <v>52</v>
      </c>
      <c r="E654" t="s">
        <v>697</v>
      </c>
      <c r="G654" t="str">
        <f>HYPERLINK(_xlfn.CONCAT("https://tablet.otzar.org/",CHAR(35),"/book/652560/p/-1/t/1/fs/0/start/0/end/0/c"),"ברוך השלחן - ג")</f>
        <v>ברוך השלחן - ג</v>
      </c>
      <c r="H654" t="str">
        <f>_xlfn.CONCAT("https://tablet.otzar.org/",CHAR(35),"/book/652560/p/-1/t/1/fs/0/start/0/end/0/c")</f>
        <v>https://tablet.otzar.org/#/book/652560/p/-1/t/1/fs/0/start/0/end/0/c</v>
      </c>
    </row>
    <row r="655" spans="1:8" x14ac:dyDescent="0.25">
      <c r="A655">
        <v>655067</v>
      </c>
      <c r="B655" t="s">
        <v>1490</v>
      </c>
      <c r="C655" t="s">
        <v>614</v>
      </c>
      <c r="D655" t="s">
        <v>34</v>
      </c>
      <c r="E655" t="s">
        <v>45</v>
      </c>
      <c r="G655" t="str">
        <f>HYPERLINK(_xlfn.CONCAT("https://tablet.otzar.org/",CHAR(35),"/book/655067/p/-1/t/1/fs/0/start/0/end/0/c"),"ברוך פודה ומציל")</f>
        <v>ברוך פודה ומציל</v>
      </c>
      <c r="H655" t="str">
        <f>_xlfn.CONCAT("https://tablet.otzar.org/",CHAR(35),"/book/655067/p/-1/t/1/fs/0/start/0/end/0/c")</f>
        <v>https://tablet.otzar.org/#/book/655067/p/-1/t/1/fs/0/start/0/end/0/c</v>
      </c>
    </row>
    <row r="656" spans="1:8" x14ac:dyDescent="0.25">
      <c r="A656">
        <v>647590</v>
      </c>
      <c r="B656" t="s">
        <v>1491</v>
      </c>
      <c r="C656" t="s">
        <v>1492</v>
      </c>
      <c r="E656" t="s">
        <v>70</v>
      </c>
      <c r="G656" t="str">
        <f>HYPERLINK(_xlfn.CONCAT("https://tablet.otzar.org/",CHAR(35),"/book/647590/p/-1/t/1/fs/0/start/0/end/0/c"),"ברוך צורי - מקור חיים")</f>
        <v>ברוך צורי - מקור חיים</v>
      </c>
      <c r="H656" t="str">
        <f>_xlfn.CONCAT("https://tablet.otzar.org/",CHAR(35),"/book/647590/p/-1/t/1/fs/0/start/0/end/0/c")</f>
        <v>https://tablet.otzar.org/#/book/647590/p/-1/t/1/fs/0/start/0/end/0/c</v>
      </c>
    </row>
    <row r="657" spans="1:8" x14ac:dyDescent="0.25">
      <c r="A657">
        <v>653512</v>
      </c>
      <c r="B657" t="s">
        <v>1493</v>
      </c>
      <c r="C657" t="s">
        <v>1494</v>
      </c>
      <c r="D657" t="s">
        <v>133</v>
      </c>
      <c r="E657" t="s">
        <v>213</v>
      </c>
      <c r="G657" t="str">
        <f>HYPERLINK(_xlfn.CONCAT("https://tablet.otzar.org/",CHAR(35),"/book/653512/p/-1/t/1/fs/0/start/0/end/0/c"),"ברומו של אדם")</f>
        <v>ברומו של אדם</v>
      </c>
      <c r="H657" t="str">
        <f>_xlfn.CONCAT("https://tablet.otzar.org/",CHAR(35),"/book/653512/p/-1/t/1/fs/0/start/0/end/0/c")</f>
        <v>https://tablet.otzar.org/#/book/653512/p/-1/t/1/fs/0/start/0/end/0/c</v>
      </c>
    </row>
    <row r="658" spans="1:8" x14ac:dyDescent="0.25">
      <c r="A658">
        <v>653178</v>
      </c>
      <c r="B658" t="s">
        <v>1495</v>
      </c>
      <c r="C658" t="s">
        <v>1496</v>
      </c>
      <c r="D658" t="s">
        <v>10</v>
      </c>
      <c r="E658" t="s">
        <v>84</v>
      </c>
      <c r="G658" t="str">
        <f>HYPERLINK(_xlfn.CONCAT("https://tablet.otzar.org/",CHAR(35),"/book/653178/p/-1/t/1/fs/0/start/0/end/0/c"),"ברומו של עולם")</f>
        <v>ברומו של עולם</v>
      </c>
      <c r="H658" t="str">
        <f>_xlfn.CONCAT("https://tablet.otzar.org/",CHAR(35),"/book/653178/p/-1/t/1/fs/0/start/0/end/0/c")</f>
        <v>https://tablet.otzar.org/#/book/653178/p/-1/t/1/fs/0/start/0/end/0/c</v>
      </c>
    </row>
    <row r="659" spans="1:8" x14ac:dyDescent="0.25">
      <c r="A659">
        <v>647793</v>
      </c>
      <c r="B659" t="s">
        <v>1497</v>
      </c>
      <c r="C659" t="s">
        <v>1498</v>
      </c>
      <c r="D659" t="s">
        <v>52</v>
      </c>
      <c r="E659" t="s">
        <v>19</v>
      </c>
      <c r="G659" t="str">
        <f>HYPERLINK(_xlfn.CONCAT("https://tablet.otzar.org/",CHAR(35),"/book/647793/p/-1/t/1/fs/0/start/0/end/0/c"),"ברית אברהם - עניני ברית מילה")</f>
        <v>ברית אברהם - עניני ברית מילה</v>
      </c>
      <c r="H659" t="str">
        <f>_xlfn.CONCAT("https://tablet.otzar.org/",CHAR(35),"/book/647793/p/-1/t/1/fs/0/start/0/end/0/c")</f>
        <v>https://tablet.otzar.org/#/book/647793/p/-1/t/1/fs/0/start/0/end/0/c</v>
      </c>
    </row>
    <row r="660" spans="1:8" x14ac:dyDescent="0.25">
      <c r="A660">
        <v>651808</v>
      </c>
      <c r="B660" t="s">
        <v>1499</v>
      </c>
      <c r="C660" t="s">
        <v>1500</v>
      </c>
      <c r="D660" t="s">
        <v>88</v>
      </c>
      <c r="E660" t="s">
        <v>146</v>
      </c>
      <c r="G660" t="str">
        <f>HYPERLINK(_xlfn.CONCAT("https://tablet.otzar.org/",CHAR(35),"/book/651808/p/-1/t/1/fs/0/start/0/end/0/c"),"ברית אליהו")</f>
        <v>ברית אליהו</v>
      </c>
      <c r="H660" t="str">
        <f>_xlfn.CONCAT("https://tablet.otzar.org/",CHAR(35),"/book/651808/p/-1/t/1/fs/0/start/0/end/0/c")</f>
        <v>https://tablet.otzar.org/#/book/651808/p/-1/t/1/fs/0/start/0/end/0/c</v>
      </c>
    </row>
    <row r="661" spans="1:8" x14ac:dyDescent="0.25">
      <c r="A661">
        <v>653640</v>
      </c>
      <c r="B661" t="s">
        <v>1501</v>
      </c>
      <c r="C661" t="s">
        <v>1502</v>
      </c>
      <c r="D661" t="s">
        <v>139</v>
      </c>
      <c r="E661" t="s">
        <v>11</v>
      </c>
      <c r="G661" t="str">
        <f>HYPERLINK(_xlfn.CONCAT("https://tablet.otzar.org/",CHAR(35),"/book/653640/p/-1/t/1/fs/0/start/0/end/0/c"),"ברית יעקב - ריבית")</f>
        <v>ברית יעקב - ריבית</v>
      </c>
      <c r="H661" t="str">
        <f>_xlfn.CONCAT("https://tablet.otzar.org/",CHAR(35),"/book/653640/p/-1/t/1/fs/0/start/0/end/0/c")</f>
        <v>https://tablet.otzar.org/#/book/653640/p/-1/t/1/fs/0/start/0/end/0/c</v>
      </c>
    </row>
    <row r="662" spans="1:8" x14ac:dyDescent="0.25">
      <c r="A662">
        <v>655231</v>
      </c>
      <c r="B662" t="s">
        <v>1503</v>
      </c>
      <c r="C662" t="s">
        <v>911</v>
      </c>
      <c r="D662" t="s">
        <v>10</v>
      </c>
      <c r="E662" t="s">
        <v>45</v>
      </c>
      <c r="G662" t="str">
        <f>HYPERLINK(_xlfn.CONCAT("https://tablet.otzar.org/",CHAR(35),"/book/655231/p/-1/t/1/fs/0/start/0/end/0/c"),"ברית מילה בהלכה ובאגדה")</f>
        <v>ברית מילה בהלכה ובאגדה</v>
      </c>
      <c r="H662" t="str">
        <f>_xlfn.CONCAT("https://tablet.otzar.org/",CHAR(35),"/book/655231/p/-1/t/1/fs/0/start/0/end/0/c")</f>
        <v>https://tablet.otzar.org/#/book/655231/p/-1/t/1/fs/0/start/0/end/0/c</v>
      </c>
    </row>
    <row r="663" spans="1:8" x14ac:dyDescent="0.25">
      <c r="A663">
        <v>643279</v>
      </c>
      <c r="B663" t="s">
        <v>1504</v>
      </c>
      <c r="C663" t="s">
        <v>1505</v>
      </c>
      <c r="D663" t="s">
        <v>10</v>
      </c>
      <c r="E663" t="s">
        <v>1506</v>
      </c>
      <c r="G663" t="str">
        <f>HYPERLINK(_xlfn.CONCAT("https://tablet.otzar.org/",CHAR(35),"/book/643279/p/-1/t/1/fs/0/start/0/end/0/c"),"ברית סיני ודת סינסינטי")</f>
        <v>ברית סיני ודת סינסינטי</v>
      </c>
      <c r="H663" t="str">
        <f>_xlfn.CONCAT("https://tablet.otzar.org/",CHAR(35),"/book/643279/p/-1/t/1/fs/0/start/0/end/0/c")</f>
        <v>https://tablet.otzar.org/#/book/643279/p/-1/t/1/fs/0/start/0/end/0/c</v>
      </c>
    </row>
    <row r="664" spans="1:8" x14ac:dyDescent="0.25">
      <c r="A664">
        <v>654650</v>
      </c>
      <c r="B664" t="s">
        <v>1507</v>
      </c>
      <c r="C664" t="s">
        <v>219</v>
      </c>
      <c r="D664" t="s">
        <v>10</v>
      </c>
      <c r="E664" t="s">
        <v>35</v>
      </c>
      <c r="G664" t="str">
        <f>HYPERLINK(_xlfn.CONCAT("https://tablet.otzar.org/",CHAR(35),"/book/654650/p/-1/t/1/fs/0/start/0/end/0/c"),"ברית עולם - פרשת נח")</f>
        <v>ברית עולם - פרשת נח</v>
      </c>
      <c r="H664" t="str">
        <f>_xlfn.CONCAT("https://tablet.otzar.org/",CHAR(35),"/book/654650/p/-1/t/1/fs/0/start/0/end/0/c")</f>
        <v>https://tablet.otzar.org/#/book/654650/p/-1/t/1/fs/0/start/0/end/0/c</v>
      </c>
    </row>
    <row r="665" spans="1:8" x14ac:dyDescent="0.25">
      <c r="A665">
        <v>654627</v>
      </c>
      <c r="B665" t="s">
        <v>1508</v>
      </c>
      <c r="C665" t="s">
        <v>1509</v>
      </c>
      <c r="D665" t="s">
        <v>10</v>
      </c>
      <c r="E665" t="s">
        <v>544</v>
      </c>
      <c r="G665" t="str">
        <f>HYPERLINK(_xlfn.CONCAT("https://tablet.otzar.org/",CHAR(35),"/book/654627/p/-1/t/1/fs/0/start/0/end/0/c"),"ברית עולם - שמות ב")</f>
        <v>ברית עולם - שמות ב</v>
      </c>
      <c r="H665" t="str">
        <f>_xlfn.CONCAT("https://tablet.otzar.org/",CHAR(35),"/book/654627/p/-1/t/1/fs/0/start/0/end/0/c")</f>
        <v>https://tablet.otzar.org/#/book/654627/p/-1/t/1/fs/0/start/0/end/0/c</v>
      </c>
    </row>
    <row r="666" spans="1:8" x14ac:dyDescent="0.25">
      <c r="A666">
        <v>651910</v>
      </c>
      <c r="B666" t="s">
        <v>1510</v>
      </c>
      <c r="C666" t="s">
        <v>1511</v>
      </c>
      <c r="D666" t="s">
        <v>1512</v>
      </c>
      <c r="E666" t="s">
        <v>1513</v>
      </c>
      <c r="G666" t="str">
        <f>HYPERLINK(_xlfn.CONCAT("https://tablet.otzar.org/",CHAR(35),"/book/651910/p/-1/t/1/fs/0/start/0/end/0/c"),"ברית שלום הוא ספר תורת העמים")</f>
        <v>ברית שלום הוא ספר תורת העמים</v>
      </c>
      <c r="H666" t="str">
        <f>_xlfn.CONCAT("https://tablet.otzar.org/",CHAR(35),"/book/651910/p/-1/t/1/fs/0/start/0/end/0/c")</f>
        <v>https://tablet.otzar.org/#/book/651910/p/-1/t/1/fs/0/start/0/end/0/c</v>
      </c>
    </row>
    <row r="667" spans="1:8" x14ac:dyDescent="0.25">
      <c r="A667">
        <v>648047</v>
      </c>
      <c r="B667" t="s">
        <v>1514</v>
      </c>
      <c r="C667" t="s">
        <v>1515</v>
      </c>
      <c r="D667" t="s">
        <v>52</v>
      </c>
      <c r="E667" t="s">
        <v>35</v>
      </c>
      <c r="G667" t="str">
        <f>HYPERLINK(_xlfn.CONCAT("https://tablet.otzar.org/",CHAR(35),"/exKotar/648047"),"בריתי יצחק - 2 כרכים")</f>
        <v>בריתי יצחק - 2 כרכים</v>
      </c>
      <c r="H667" t="str">
        <f>_xlfn.CONCAT("https://tablet.otzar.org/",CHAR(35),"/exKotar/648047")</f>
        <v>https://tablet.otzar.org/#/exKotar/648047</v>
      </c>
    </row>
    <row r="668" spans="1:8" x14ac:dyDescent="0.25">
      <c r="A668">
        <v>656220</v>
      </c>
      <c r="B668" t="s">
        <v>1516</v>
      </c>
      <c r="C668" t="s">
        <v>1517</v>
      </c>
      <c r="D668" t="s">
        <v>52</v>
      </c>
      <c r="E668" t="s">
        <v>11</v>
      </c>
      <c r="G668" t="str">
        <f>HYPERLINK(_xlfn.CONCAT("https://tablet.otzar.org/",CHAR(35),"/book/656220/p/-1/t/1/fs/0/start/0/end/0/c"),"ברך משה &lt;מהדורה חדשה&gt;")</f>
        <v>ברך משה &lt;מהדורה חדשה&gt;</v>
      </c>
      <c r="H668" t="str">
        <f>_xlfn.CONCAT("https://tablet.otzar.org/",CHAR(35),"/book/656220/p/-1/t/1/fs/0/start/0/end/0/c")</f>
        <v>https://tablet.otzar.org/#/book/656220/p/-1/t/1/fs/0/start/0/end/0/c</v>
      </c>
    </row>
    <row r="669" spans="1:8" x14ac:dyDescent="0.25">
      <c r="A669">
        <v>649346</v>
      </c>
      <c r="B669" t="s">
        <v>1518</v>
      </c>
      <c r="C669" t="s">
        <v>614</v>
      </c>
      <c r="D669" t="s">
        <v>34</v>
      </c>
      <c r="E669" t="s">
        <v>70</v>
      </c>
      <c r="G669" t="str">
        <f>HYPERLINK(_xlfn.CONCAT("https://tablet.otzar.org/",CHAR(35),"/book/649346/p/-1/t/1/fs/0/start/0/end/0/c"),"ברכה בקידושא רבה")</f>
        <v>ברכה בקידושא רבה</v>
      </c>
      <c r="H669" t="str">
        <f>_xlfn.CONCAT("https://tablet.otzar.org/",CHAR(35),"/book/649346/p/-1/t/1/fs/0/start/0/end/0/c")</f>
        <v>https://tablet.otzar.org/#/book/649346/p/-1/t/1/fs/0/start/0/end/0/c</v>
      </c>
    </row>
    <row r="670" spans="1:8" x14ac:dyDescent="0.25">
      <c r="A670">
        <v>653426</v>
      </c>
      <c r="B670" t="s">
        <v>1519</v>
      </c>
      <c r="C670" t="s">
        <v>1520</v>
      </c>
      <c r="E670" t="s">
        <v>574</v>
      </c>
      <c r="G670" t="str">
        <f>HYPERLINK(_xlfn.CONCAT("https://tablet.otzar.org/",CHAR(35),"/book/653426/p/-1/t/1/fs/0/start/0/end/0/c"),"ברכות לראש צדיק")</f>
        <v>ברכות לראש צדיק</v>
      </c>
      <c r="H670" t="str">
        <f>_xlfn.CONCAT("https://tablet.otzar.org/",CHAR(35),"/book/653426/p/-1/t/1/fs/0/start/0/end/0/c")</f>
        <v>https://tablet.otzar.org/#/book/653426/p/-1/t/1/fs/0/start/0/end/0/c</v>
      </c>
    </row>
    <row r="671" spans="1:8" x14ac:dyDescent="0.25">
      <c r="A671">
        <v>650629</v>
      </c>
      <c r="B671" t="s">
        <v>1521</v>
      </c>
      <c r="C671" t="s">
        <v>1522</v>
      </c>
      <c r="E671" t="s">
        <v>117</v>
      </c>
      <c r="G671" t="str">
        <f>HYPERLINK(_xlfn.CONCAT("https://tablet.otzar.org/",CHAR(35),"/book/650629/p/-1/t/1/fs/0/start/0/end/0/c"),"ברכות שמים - בבא קמא א")</f>
        <v>ברכות שמים - בבא קמא א</v>
      </c>
      <c r="H671" t="str">
        <f>_xlfn.CONCAT("https://tablet.otzar.org/",CHAR(35),"/book/650629/p/-1/t/1/fs/0/start/0/end/0/c")</f>
        <v>https://tablet.otzar.org/#/book/650629/p/-1/t/1/fs/0/start/0/end/0/c</v>
      </c>
    </row>
    <row r="672" spans="1:8" x14ac:dyDescent="0.25">
      <c r="A672">
        <v>654778</v>
      </c>
      <c r="B672" t="s">
        <v>1523</v>
      </c>
      <c r="C672" t="s">
        <v>1524</v>
      </c>
      <c r="D672" t="s">
        <v>10</v>
      </c>
      <c r="E672" t="s">
        <v>399</v>
      </c>
      <c r="G672" t="str">
        <f>HYPERLINK(_xlfn.CONCAT("https://tablet.otzar.org/",CHAR(35),"/exKotar/654778"),"ברכת אברהם - 2 כרכים")</f>
        <v>ברכת אברהם - 2 כרכים</v>
      </c>
      <c r="H672" t="str">
        <f>_xlfn.CONCAT("https://tablet.otzar.org/",CHAR(35),"/exKotar/654778")</f>
        <v>https://tablet.otzar.org/#/exKotar/654778</v>
      </c>
    </row>
    <row r="673" spans="1:8" x14ac:dyDescent="0.25">
      <c r="A673">
        <v>638820</v>
      </c>
      <c r="B673" t="s">
        <v>1525</v>
      </c>
      <c r="C673" t="s">
        <v>1526</v>
      </c>
      <c r="D673" t="s">
        <v>88</v>
      </c>
      <c r="E673" t="s">
        <v>89</v>
      </c>
      <c r="G673" t="str">
        <f>HYPERLINK(_xlfn.CONCAT("https://tablet.otzar.org/",CHAR(35),"/book/638820/p/-1/t/1/fs/0/start/0/end/0/c"),"ברכת אברהם - פסח ב")</f>
        <v>ברכת אברהם - פסח ב</v>
      </c>
      <c r="H673" t="str">
        <f>_xlfn.CONCAT("https://tablet.otzar.org/",CHAR(35),"/book/638820/p/-1/t/1/fs/0/start/0/end/0/c")</f>
        <v>https://tablet.otzar.org/#/book/638820/p/-1/t/1/fs/0/start/0/end/0/c</v>
      </c>
    </row>
    <row r="674" spans="1:8" x14ac:dyDescent="0.25">
      <c r="A674">
        <v>655815</v>
      </c>
      <c r="B674" t="s">
        <v>1527</v>
      </c>
      <c r="C674" t="s">
        <v>1528</v>
      </c>
      <c r="D674" t="s">
        <v>10</v>
      </c>
      <c r="E674" t="s">
        <v>399</v>
      </c>
      <c r="G674" t="str">
        <f>HYPERLINK(_xlfn.CONCAT("https://tablet.otzar.org/",CHAR(35),"/exKotar/655815"),"ברכת אברהם - 8 כרכים")</f>
        <v>ברכת אברהם - 8 כרכים</v>
      </c>
      <c r="H674" t="str">
        <f>_xlfn.CONCAT("https://tablet.otzar.org/",CHAR(35),"/exKotar/655815")</f>
        <v>https://tablet.otzar.org/#/exKotar/655815</v>
      </c>
    </row>
    <row r="675" spans="1:8" x14ac:dyDescent="0.25">
      <c r="A675">
        <v>655905</v>
      </c>
      <c r="B675" t="s">
        <v>1529</v>
      </c>
      <c r="C675" t="s">
        <v>1530</v>
      </c>
      <c r="D675" t="s">
        <v>1531</v>
      </c>
      <c r="E675" t="s">
        <v>29</v>
      </c>
      <c r="G675" t="str">
        <f>HYPERLINK(_xlfn.CONCAT("https://tablet.otzar.org/",CHAR(35),"/exKotar/655905"),"ברכת אהרן - 3 כרכים")</f>
        <v>ברכת אהרן - 3 כרכים</v>
      </c>
      <c r="H675" t="str">
        <f>_xlfn.CONCAT("https://tablet.otzar.org/",CHAR(35),"/exKotar/655905")</f>
        <v>https://tablet.otzar.org/#/exKotar/655905</v>
      </c>
    </row>
    <row r="676" spans="1:8" x14ac:dyDescent="0.25">
      <c r="A676">
        <v>652572</v>
      </c>
      <c r="B676" t="s">
        <v>1532</v>
      </c>
      <c r="C676" t="s">
        <v>1533</v>
      </c>
      <c r="D676" t="s">
        <v>1534</v>
      </c>
      <c r="E676" t="s">
        <v>35</v>
      </c>
      <c r="G676" t="str">
        <f>HYPERLINK(_xlfn.CONCAT("https://tablet.otzar.org/",CHAR(35),"/book/652572/p/-1/t/1/fs/0/start/0/end/0/c"),"ברכת אוריאל - ב")</f>
        <v>ברכת אוריאל - ב</v>
      </c>
      <c r="H676" t="str">
        <f>_xlfn.CONCAT("https://tablet.otzar.org/",CHAR(35),"/book/652572/p/-1/t/1/fs/0/start/0/end/0/c")</f>
        <v>https://tablet.otzar.org/#/book/652572/p/-1/t/1/fs/0/start/0/end/0/c</v>
      </c>
    </row>
    <row r="677" spans="1:8" x14ac:dyDescent="0.25">
      <c r="A677">
        <v>654753</v>
      </c>
      <c r="B677" t="s">
        <v>1535</v>
      </c>
      <c r="C677" t="s">
        <v>1536</v>
      </c>
      <c r="D677" t="s">
        <v>10</v>
      </c>
      <c r="E677" t="s">
        <v>11</v>
      </c>
      <c r="G677" t="str">
        <f>HYPERLINK(_xlfn.CONCAT("https://tablet.otzar.org/",CHAR(35),"/book/654753/p/-1/t/1/fs/0/start/0/end/0/c"),"ברכת אליהו - א")</f>
        <v>ברכת אליהו - א</v>
      </c>
      <c r="H677" t="str">
        <f>_xlfn.CONCAT("https://tablet.otzar.org/",CHAR(35),"/book/654753/p/-1/t/1/fs/0/start/0/end/0/c")</f>
        <v>https://tablet.otzar.org/#/book/654753/p/-1/t/1/fs/0/start/0/end/0/c</v>
      </c>
    </row>
    <row r="678" spans="1:8" x14ac:dyDescent="0.25">
      <c r="A678">
        <v>651213</v>
      </c>
      <c r="B678" t="s">
        <v>1537</v>
      </c>
      <c r="C678" t="s">
        <v>1538</v>
      </c>
      <c r="D678" t="s">
        <v>340</v>
      </c>
      <c r="E678" t="s">
        <v>70</v>
      </c>
      <c r="G678" t="str">
        <f>HYPERLINK(_xlfn.CONCAT("https://tablet.otzar.org/",CHAR(35),"/exKotar/651213"),"ברכת אליהו - 2 כרכים")</f>
        <v>ברכת אליהו - 2 כרכים</v>
      </c>
      <c r="H678" t="str">
        <f>_xlfn.CONCAT("https://tablet.otzar.org/",CHAR(35),"/exKotar/651213")</f>
        <v>https://tablet.otzar.org/#/exKotar/651213</v>
      </c>
    </row>
    <row r="679" spans="1:8" x14ac:dyDescent="0.25">
      <c r="A679">
        <v>653523</v>
      </c>
      <c r="B679" t="s">
        <v>1539</v>
      </c>
      <c r="C679" t="s">
        <v>1540</v>
      </c>
      <c r="D679" t="s">
        <v>10</v>
      </c>
      <c r="E679" t="s">
        <v>11</v>
      </c>
      <c r="G679" t="str">
        <f>HYPERLINK(_xlfn.CONCAT("https://tablet.otzar.org/",CHAR(35),"/book/653523/p/-1/t/1/fs/0/start/0/end/0/c"),"ברכת בנימין - אהלות א")</f>
        <v>ברכת בנימין - אהלות א</v>
      </c>
      <c r="H679" t="str">
        <f>_xlfn.CONCAT("https://tablet.otzar.org/",CHAR(35),"/book/653523/p/-1/t/1/fs/0/start/0/end/0/c")</f>
        <v>https://tablet.otzar.org/#/book/653523/p/-1/t/1/fs/0/start/0/end/0/c</v>
      </c>
    </row>
    <row r="680" spans="1:8" x14ac:dyDescent="0.25">
      <c r="A680">
        <v>654361</v>
      </c>
      <c r="B680" t="s">
        <v>1541</v>
      </c>
      <c r="C680" t="s">
        <v>1542</v>
      </c>
      <c r="D680" t="s">
        <v>10</v>
      </c>
      <c r="E680" t="s">
        <v>11</v>
      </c>
      <c r="G680" t="str">
        <f>HYPERLINK(_xlfn.CONCAT("https://tablet.otzar.org/",CHAR(35),"/book/654361/p/-1/t/1/fs/0/start/0/end/0/c"),"ברכת דוד - א - תורה")</f>
        <v>ברכת דוד - א - תורה</v>
      </c>
      <c r="H680" t="str">
        <f>_xlfn.CONCAT("https://tablet.otzar.org/",CHAR(35),"/book/654361/p/-1/t/1/fs/0/start/0/end/0/c")</f>
        <v>https://tablet.otzar.org/#/book/654361/p/-1/t/1/fs/0/start/0/end/0/c</v>
      </c>
    </row>
    <row r="681" spans="1:8" x14ac:dyDescent="0.25">
      <c r="A681">
        <v>653179</v>
      </c>
      <c r="B681" t="s">
        <v>1543</v>
      </c>
      <c r="C681" t="s">
        <v>1544</v>
      </c>
      <c r="D681" t="s">
        <v>340</v>
      </c>
      <c r="E681" t="s">
        <v>11</v>
      </c>
      <c r="G681" t="str">
        <f>HYPERLINK(_xlfn.CONCAT("https://tablet.otzar.org/",CHAR(35),"/exKotar/653179"),"ברכת דוד - 2 כרכים")</f>
        <v>ברכת דוד - 2 כרכים</v>
      </c>
      <c r="H681" t="str">
        <f>_xlfn.CONCAT("https://tablet.otzar.org/",CHAR(35),"/exKotar/653179")</f>
        <v>https://tablet.otzar.org/#/exKotar/653179</v>
      </c>
    </row>
    <row r="682" spans="1:8" x14ac:dyDescent="0.25">
      <c r="A682">
        <v>652099</v>
      </c>
      <c r="B682" t="s">
        <v>1545</v>
      </c>
      <c r="C682" t="s">
        <v>1546</v>
      </c>
      <c r="D682" t="s">
        <v>1547</v>
      </c>
      <c r="E682" t="s">
        <v>117</v>
      </c>
      <c r="G682" t="str">
        <f>HYPERLINK(_xlfn.CONCAT("https://tablet.otzar.org/",CHAR(35),"/exKotar/652099"),"ברכת ה' - 2 כרכים")</f>
        <v>ברכת ה' - 2 כרכים</v>
      </c>
      <c r="H682" t="str">
        <f>_xlfn.CONCAT("https://tablet.otzar.org/",CHAR(35),"/exKotar/652099")</f>
        <v>https://tablet.otzar.org/#/exKotar/652099</v>
      </c>
    </row>
    <row r="683" spans="1:8" x14ac:dyDescent="0.25">
      <c r="A683">
        <v>638109</v>
      </c>
      <c r="B683" t="s">
        <v>1548</v>
      </c>
      <c r="C683" t="s">
        <v>1549</v>
      </c>
      <c r="D683" t="s">
        <v>10</v>
      </c>
      <c r="E683" t="s">
        <v>495</v>
      </c>
      <c r="G683" t="str">
        <f>HYPERLINK(_xlfn.CONCAT("https://tablet.otzar.org/",CHAR(35),"/book/638109/p/-1/t/1/fs/0/start/0/end/0/c"),"ברכת הארץ")</f>
        <v>ברכת הארץ</v>
      </c>
      <c r="H683" t="str">
        <f>_xlfn.CONCAT("https://tablet.otzar.org/",CHAR(35),"/book/638109/p/-1/t/1/fs/0/start/0/end/0/c")</f>
        <v>https://tablet.otzar.org/#/book/638109/p/-1/t/1/fs/0/start/0/end/0/c</v>
      </c>
    </row>
    <row r="684" spans="1:8" x14ac:dyDescent="0.25">
      <c r="A684">
        <v>647972</v>
      </c>
      <c r="B684" t="s">
        <v>1550</v>
      </c>
      <c r="C684" t="s">
        <v>1551</v>
      </c>
      <c r="D684" t="s">
        <v>287</v>
      </c>
      <c r="E684" t="s">
        <v>84</v>
      </c>
      <c r="G684" t="str">
        <f>HYPERLINK(_xlfn.CONCAT("https://tablet.otzar.org/",CHAR(35),"/book/647972/p/-1/t/1/fs/0/start/0/end/0/c"),"ברכת המזון - גינת מגדים")</f>
        <v>ברכת המזון - גינת מגדים</v>
      </c>
      <c r="H684" t="str">
        <f>_xlfn.CONCAT("https://tablet.otzar.org/",CHAR(35),"/book/647972/p/-1/t/1/fs/0/start/0/end/0/c")</f>
        <v>https://tablet.otzar.org/#/book/647972/p/-1/t/1/fs/0/start/0/end/0/c</v>
      </c>
    </row>
    <row r="685" spans="1:8" x14ac:dyDescent="0.25">
      <c r="A685">
        <v>643958</v>
      </c>
      <c r="B685" t="s">
        <v>1552</v>
      </c>
      <c r="C685" t="s">
        <v>1553</v>
      </c>
      <c r="D685" t="s">
        <v>10</v>
      </c>
      <c r="E685" t="s">
        <v>405</v>
      </c>
      <c r="G685" t="str">
        <f>HYPERLINK(_xlfn.CONCAT("https://tablet.otzar.org/",CHAR(35),"/book/643958/p/-1/t/1/fs/0/start/0/end/0/c"),"ברכת המזון ושבע ברכות")</f>
        <v>ברכת המזון ושבע ברכות</v>
      </c>
      <c r="H685" t="str">
        <f>_xlfn.CONCAT("https://tablet.otzar.org/",CHAR(35),"/book/643958/p/-1/t/1/fs/0/start/0/end/0/c")</f>
        <v>https://tablet.otzar.org/#/book/643958/p/-1/t/1/fs/0/start/0/end/0/c</v>
      </c>
    </row>
    <row r="686" spans="1:8" x14ac:dyDescent="0.25">
      <c r="A686">
        <v>653402</v>
      </c>
      <c r="B686" t="s">
        <v>1554</v>
      </c>
      <c r="C686" t="s">
        <v>1555</v>
      </c>
      <c r="D686" t="s">
        <v>1556</v>
      </c>
      <c r="E686" t="s">
        <v>1557</v>
      </c>
      <c r="G686" t="str">
        <f>HYPERLINK(_xlfn.CONCAT("https://tablet.otzar.org/",CHAR(35),"/book/653402/p/-1/t/1/fs/0/start/0/end/0/c"),"ברכת המזון כמנהג אשכנז ופולין")</f>
        <v>ברכת המזון כמנהג אשכנז ופולין</v>
      </c>
      <c r="H686" t="str">
        <f>_xlfn.CONCAT("https://tablet.otzar.org/",CHAR(35),"/book/653402/p/-1/t/1/fs/0/start/0/end/0/c")</f>
        <v>https://tablet.otzar.org/#/book/653402/p/-1/t/1/fs/0/start/0/end/0/c</v>
      </c>
    </row>
    <row r="687" spans="1:8" x14ac:dyDescent="0.25">
      <c r="A687">
        <v>649339</v>
      </c>
      <c r="B687" t="s">
        <v>1558</v>
      </c>
      <c r="C687" t="s">
        <v>1559</v>
      </c>
      <c r="D687" t="s">
        <v>52</v>
      </c>
      <c r="E687" t="s">
        <v>62</v>
      </c>
      <c r="G687" t="str">
        <f>HYPERLINK(_xlfn.CONCAT("https://tablet.otzar.org/",CHAR(35),"/book/649339/p/-1/t/1/fs/0/start/0/end/0/c"),"ברכת המזון עם ביאור ממרן הגר""""ח קנייבסקי")</f>
        <v>ברכת המזון עם ביאור ממרן הגר""ח קנייבסקי</v>
      </c>
      <c r="H687" t="str">
        <f>_xlfn.CONCAT("https://tablet.otzar.org/",CHAR(35),"/book/649339/p/-1/t/1/fs/0/start/0/end/0/c")</f>
        <v>https://tablet.otzar.org/#/book/649339/p/-1/t/1/fs/0/start/0/end/0/c</v>
      </c>
    </row>
    <row r="688" spans="1:8" x14ac:dyDescent="0.25">
      <c r="A688">
        <v>647458</v>
      </c>
      <c r="B688" t="s">
        <v>1560</v>
      </c>
      <c r="C688" t="s">
        <v>1561</v>
      </c>
      <c r="E688" t="s">
        <v>1364</v>
      </c>
      <c r="G688" t="str">
        <f>HYPERLINK(_xlfn.CONCAT("https://tablet.otzar.org/",CHAR(35),"/book/647458/p/-1/t/1/fs/0/start/0/end/0/c"),"ברכת המשנה")</f>
        <v>ברכת המשנה</v>
      </c>
      <c r="H688" t="str">
        <f>_xlfn.CONCAT("https://tablet.otzar.org/",CHAR(35),"/book/647458/p/-1/t/1/fs/0/start/0/end/0/c")</f>
        <v>https://tablet.otzar.org/#/book/647458/p/-1/t/1/fs/0/start/0/end/0/c</v>
      </c>
    </row>
    <row r="689" spans="1:8" x14ac:dyDescent="0.25">
      <c r="A689">
        <v>647633</v>
      </c>
      <c r="B689" t="s">
        <v>1562</v>
      </c>
      <c r="C689" t="s">
        <v>1563</v>
      </c>
      <c r="D689" t="s">
        <v>10</v>
      </c>
      <c r="E689" t="s">
        <v>405</v>
      </c>
      <c r="G689" t="str">
        <f>HYPERLINK(_xlfn.CONCAT("https://tablet.otzar.org/",CHAR(35),"/book/647633/p/-1/t/1/fs/0/start/0/end/0/c"),"ברכת השם - מזוזה")</f>
        <v>ברכת השם - מזוזה</v>
      </c>
      <c r="H689" t="str">
        <f>_xlfn.CONCAT("https://tablet.otzar.org/",CHAR(35),"/book/647633/p/-1/t/1/fs/0/start/0/end/0/c")</f>
        <v>https://tablet.otzar.org/#/book/647633/p/-1/t/1/fs/0/start/0/end/0/c</v>
      </c>
    </row>
    <row r="690" spans="1:8" x14ac:dyDescent="0.25">
      <c r="A690">
        <v>648840</v>
      </c>
      <c r="B690" t="s">
        <v>1564</v>
      </c>
      <c r="C690" t="s">
        <v>1565</v>
      </c>
      <c r="D690" t="s">
        <v>340</v>
      </c>
      <c r="E690" t="s">
        <v>11</v>
      </c>
      <c r="G690" t="str">
        <f>HYPERLINK(_xlfn.CONCAT("https://tablet.otzar.org/",CHAR(35),"/book/648840/p/-1/t/1/fs/0/start/0/end/0/c"),"ברכת זאב - חולין ב")</f>
        <v>ברכת זאב - חולין ב</v>
      </c>
      <c r="H690" t="str">
        <f>_xlfn.CONCAT("https://tablet.otzar.org/",CHAR(35),"/book/648840/p/-1/t/1/fs/0/start/0/end/0/c")</f>
        <v>https://tablet.otzar.org/#/book/648840/p/-1/t/1/fs/0/start/0/end/0/c</v>
      </c>
    </row>
    <row r="691" spans="1:8" x14ac:dyDescent="0.25">
      <c r="A691">
        <v>650586</v>
      </c>
      <c r="B691" t="s">
        <v>1566</v>
      </c>
      <c r="C691" t="s">
        <v>1567</v>
      </c>
      <c r="D691" t="s">
        <v>52</v>
      </c>
      <c r="E691" t="s">
        <v>89</v>
      </c>
      <c r="G691" t="str">
        <f>HYPERLINK(_xlfn.CONCAT("https://tablet.otzar.org/",CHAR(35),"/book/650586/p/-1/t/1/fs/0/start/0/end/0/c"),"ברכת חיים - בבא קמא")</f>
        <v>ברכת חיים - בבא קמא</v>
      </c>
      <c r="H691" t="str">
        <f>_xlfn.CONCAT("https://tablet.otzar.org/",CHAR(35),"/book/650586/p/-1/t/1/fs/0/start/0/end/0/c")</f>
        <v>https://tablet.otzar.org/#/book/650586/p/-1/t/1/fs/0/start/0/end/0/c</v>
      </c>
    </row>
    <row r="692" spans="1:8" x14ac:dyDescent="0.25">
      <c r="A692">
        <v>656025</v>
      </c>
      <c r="B692" t="s">
        <v>1568</v>
      </c>
      <c r="C692" t="s">
        <v>1569</v>
      </c>
      <c r="D692" t="s">
        <v>340</v>
      </c>
      <c r="E692" t="s">
        <v>29</v>
      </c>
      <c r="G692" t="str">
        <f>HYPERLINK(_xlfn.CONCAT("https://tablet.otzar.org/",CHAR(35),"/book/656025/p/-1/t/1/fs/0/start/0/end/0/c"),"ברכת חן - ברכות")</f>
        <v>ברכת חן - ברכות</v>
      </c>
      <c r="H692" t="str">
        <f>_xlfn.CONCAT("https://tablet.otzar.org/",CHAR(35),"/book/656025/p/-1/t/1/fs/0/start/0/end/0/c")</f>
        <v>https://tablet.otzar.org/#/book/656025/p/-1/t/1/fs/0/start/0/end/0/c</v>
      </c>
    </row>
    <row r="693" spans="1:8" x14ac:dyDescent="0.25">
      <c r="A693">
        <v>654644</v>
      </c>
      <c r="B693" t="s">
        <v>1570</v>
      </c>
      <c r="C693" t="s">
        <v>1571</v>
      </c>
      <c r="D693" t="s">
        <v>10</v>
      </c>
      <c r="E693" t="s">
        <v>399</v>
      </c>
      <c r="G693" t="str">
        <f>HYPERLINK(_xlfn.CONCAT("https://tablet.otzar.org/",CHAR(35),"/book/654644/p/-1/t/1/fs/0/start/0/end/0/c"),"ברכת יהודה &lt;שו""""ת &gt; ח")</f>
        <v>ברכת יהודה &lt;שו""ת &gt; ח</v>
      </c>
      <c r="H693" t="str">
        <f>_xlfn.CONCAT("https://tablet.otzar.org/",CHAR(35),"/book/654644/p/-1/t/1/fs/0/start/0/end/0/c")</f>
        <v>https://tablet.otzar.org/#/book/654644/p/-1/t/1/fs/0/start/0/end/0/c</v>
      </c>
    </row>
    <row r="694" spans="1:8" x14ac:dyDescent="0.25">
      <c r="A694">
        <v>652388</v>
      </c>
      <c r="B694" t="s">
        <v>1572</v>
      </c>
      <c r="C694" t="s">
        <v>1573</v>
      </c>
      <c r="D694" t="s">
        <v>88</v>
      </c>
      <c r="E694" t="s">
        <v>11</v>
      </c>
      <c r="G694" t="str">
        <f>HYPERLINK(_xlfn.CONCAT("https://tablet.otzar.org/",CHAR(35),"/exKotar/652388"),"ברכת יהודה - 8 כרכים")</f>
        <v>ברכת יהודה - 8 כרכים</v>
      </c>
      <c r="H694" t="str">
        <f>_xlfn.CONCAT("https://tablet.otzar.org/",CHAR(35),"/exKotar/652388")</f>
        <v>https://tablet.otzar.org/#/exKotar/652388</v>
      </c>
    </row>
    <row r="695" spans="1:8" x14ac:dyDescent="0.25">
      <c r="A695">
        <v>654337</v>
      </c>
      <c r="B695" t="s">
        <v>1574</v>
      </c>
      <c r="C695" t="s">
        <v>1575</v>
      </c>
      <c r="D695" t="s">
        <v>347</v>
      </c>
      <c r="E695" t="s">
        <v>84</v>
      </c>
      <c r="G695" t="str">
        <f>HYPERLINK(_xlfn.CONCAT("https://tablet.otzar.org/",CHAR(35),"/exKotar/654337"),"ברכת יהושע - 3 כרכים")</f>
        <v>ברכת יהושע - 3 כרכים</v>
      </c>
      <c r="H695" t="str">
        <f>_xlfn.CONCAT("https://tablet.otzar.org/",CHAR(35),"/exKotar/654337")</f>
        <v>https://tablet.otzar.org/#/exKotar/654337</v>
      </c>
    </row>
    <row r="696" spans="1:8" x14ac:dyDescent="0.25">
      <c r="A696">
        <v>656235</v>
      </c>
      <c r="B696" t="s">
        <v>1576</v>
      </c>
      <c r="C696" t="s">
        <v>1577</v>
      </c>
      <c r="E696" t="s">
        <v>1578</v>
      </c>
      <c r="G696" t="str">
        <f>HYPERLINK(_xlfn.CONCAT("https://tablet.otzar.org/",CHAR(35),"/book/656235/p/-1/t/1/fs/0/start/0/end/0/c"),"ברכת יוסף ואליהו רבא &lt;מהדורה חדשה&gt;")</f>
        <v>ברכת יוסף ואליהו רבא &lt;מהדורה חדשה&gt;</v>
      </c>
      <c r="H696" t="str">
        <f>_xlfn.CONCAT("https://tablet.otzar.org/",CHAR(35),"/book/656235/p/-1/t/1/fs/0/start/0/end/0/c")</f>
        <v>https://tablet.otzar.org/#/book/656235/p/-1/t/1/fs/0/start/0/end/0/c</v>
      </c>
    </row>
    <row r="697" spans="1:8" x14ac:dyDescent="0.25">
      <c r="A697">
        <v>652504</v>
      </c>
      <c r="B697" t="s">
        <v>1579</v>
      </c>
      <c r="C697" t="s">
        <v>1580</v>
      </c>
      <c r="E697" t="s">
        <v>35</v>
      </c>
      <c r="G697" t="str">
        <f>HYPERLINK(_xlfn.CONCAT("https://tablet.otzar.org/",CHAR(35),"/book/652504/p/-1/t/1/fs/0/start/0/end/0/c"),"ברכת יעקב - ב""""ב א")</f>
        <v>ברכת יעקב - ב""ב א</v>
      </c>
      <c r="H697" t="str">
        <f>_xlfn.CONCAT("https://tablet.otzar.org/",CHAR(35),"/book/652504/p/-1/t/1/fs/0/start/0/end/0/c")</f>
        <v>https://tablet.otzar.org/#/book/652504/p/-1/t/1/fs/0/start/0/end/0/c</v>
      </c>
    </row>
    <row r="698" spans="1:8" x14ac:dyDescent="0.25">
      <c r="A698">
        <v>648882</v>
      </c>
      <c r="B698" t="s">
        <v>1581</v>
      </c>
      <c r="C698" t="s">
        <v>1582</v>
      </c>
      <c r="D698" t="s">
        <v>1583</v>
      </c>
      <c r="E698" t="s">
        <v>200</v>
      </c>
      <c r="G698" t="str">
        <f>HYPERLINK(_xlfn.CONCAT("https://tablet.otzar.org/",CHAR(35),"/book/648882/p/-1/t/1/fs/0/start/0/end/0/c"),"ברכת יצחק - גיטין, קידושין")</f>
        <v>ברכת יצחק - גיטין, קידושין</v>
      </c>
      <c r="H698" t="str">
        <f>_xlfn.CONCAT("https://tablet.otzar.org/",CHAR(35),"/book/648882/p/-1/t/1/fs/0/start/0/end/0/c")</f>
        <v>https://tablet.otzar.org/#/book/648882/p/-1/t/1/fs/0/start/0/end/0/c</v>
      </c>
    </row>
    <row r="699" spans="1:8" x14ac:dyDescent="0.25">
      <c r="A699">
        <v>652836</v>
      </c>
      <c r="B699" t="s">
        <v>1584</v>
      </c>
      <c r="C699" t="s">
        <v>1585</v>
      </c>
      <c r="D699" t="s">
        <v>1586</v>
      </c>
      <c r="E699" t="s">
        <v>11</v>
      </c>
      <c r="G699" t="str">
        <f>HYPERLINK(_xlfn.CONCAT("https://tablet.otzar.org/",CHAR(35),"/book/652836/p/-1/t/1/fs/0/start/0/end/0/c"),"ברכת יצחק - ברכות, שבת")</f>
        <v>ברכת יצחק - ברכות, שבת</v>
      </c>
      <c r="H699" t="str">
        <f>_xlfn.CONCAT("https://tablet.otzar.org/",CHAR(35),"/book/652836/p/-1/t/1/fs/0/start/0/end/0/c")</f>
        <v>https://tablet.otzar.org/#/book/652836/p/-1/t/1/fs/0/start/0/end/0/c</v>
      </c>
    </row>
    <row r="700" spans="1:8" x14ac:dyDescent="0.25">
      <c r="A700">
        <v>654413</v>
      </c>
      <c r="B700" t="s">
        <v>1587</v>
      </c>
      <c r="C700" t="s">
        <v>1588</v>
      </c>
      <c r="D700" t="s">
        <v>52</v>
      </c>
      <c r="E700" t="s">
        <v>11</v>
      </c>
      <c r="G700" t="str">
        <f>HYPERLINK(_xlfn.CONCAT("https://tablet.otzar.org/",CHAR(35),"/exKotar/654413"),"ברכת יצחק - 3 כרכים")</f>
        <v>ברכת יצחק - 3 כרכים</v>
      </c>
      <c r="H700" t="str">
        <f>_xlfn.CONCAT("https://tablet.otzar.org/",CHAR(35),"/exKotar/654413")</f>
        <v>https://tablet.otzar.org/#/exKotar/654413</v>
      </c>
    </row>
    <row r="701" spans="1:8" x14ac:dyDescent="0.25">
      <c r="A701">
        <v>646755</v>
      </c>
      <c r="B701" t="s">
        <v>1589</v>
      </c>
      <c r="C701" t="s">
        <v>1590</v>
      </c>
      <c r="D701" t="s">
        <v>34</v>
      </c>
      <c r="E701" t="s">
        <v>574</v>
      </c>
      <c r="G701" t="str">
        <f>HYPERLINK(_xlfn.CONCAT("https://tablet.otzar.org/",CHAR(35),"/exKotar/646755"),"ברכת ישראל - 2 כרכים")</f>
        <v>ברכת ישראל - 2 כרכים</v>
      </c>
      <c r="H701" t="str">
        <f>_xlfn.CONCAT("https://tablet.otzar.org/",CHAR(35),"/exKotar/646755")</f>
        <v>https://tablet.otzar.org/#/exKotar/646755</v>
      </c>
    </row>
    <row r="702" spans="1:8" x14ac:dyDescent="0.25">
      <c r="A702">
        <v>650866</v>
      </c>
      <c r="B702" t="s">
        <v>1591</v>
      </c>
      <c r="C702" t="s">
        <v>1592</v>
      </c>
      <c r="D702" t="s">
        <v>1593</v>
      </c>
      <c r="E702" t="s">
        <v>117</v>
      </c>
      <c r="G702" t="str">
        <f>HYPERLINK(_xlfn.CONCAT("https://tablet.otzar.org/",CHAR(35),"/exKotar/650866"),"ברכת מאיר - 4 כרכים")</f>
        <v>ברכת מאיר - 4 כרכים</v>
      </c>
      <c r="H702" t="str">
        <f>_xlfn.CONCAT("https://tablet.otzar.org/",CHAR(35),"/exKotar/650866")</f>
        <v>https://tablet.otzar.org/#/exKotar/650866</v>
      </c>
    </row>
    <row r="703" spans="1:8" x14ac:dyDescent="0.25">
      <c r="A703">
        <v>655457</v>
      </c>
      <c r="B703" t="s">
        <v>1594</v>
      </c>
      <c r="C703" t="s">
        <v>1595</v>
      </c>
      <c r="E703" t="s">
        <v>399</v>
      </c>
      <c r="G703" t="str">
        <f>HYPERLINK(_xlfn.CONCAT("https://tablet.otzar.org/",CHAR(35),"/book/655457/p/-1/t/1/fs/0/start/0/end/0/c"),"ברכת מגדים על פרי מגדים - בציעת הפת, סעודה, ברכת המזון")</f>
        <v>ברכת מגדים על פרי מגדים - בציעת הפת, סעודה, ברכת המזון</v>
      </c>
      <c r="H703" t="str">
        <f>_xlfn.CONCAT("https://tablet.otzar.org/",CHAR(35),"/book/655457/p/-1/t/1/fs/0/start/0/end/0/c")</f>
        <v>https://tablet.otzar.org/#/book/655457/p/-1/t/1/fs/0/start/0/end/0/c</v>
      </c>
    </row>
    <row r="704" spans="1:8" x14ac:dyDescent="0.25">
      <c r="A704">
        <v>651420</v>
      </c>
      <c r="B704" t="s">
        <v>1596</v>
      </c>
      <c r="C704" t="s">
        <v>1597</v>
      </c>
      <c r="D704" t="s">
        <v>609</v>
      </c>
      <c r="E704" t="s">
        <v>19</v>
      </c>
      <c r="G704" t="str">
        <f>HYPERLINK(_xlfn.CONCAT("https://tablet.otzar.org/",CHAR(35),"/book/651420/p/-1/t/1/fs/0/start/0/end/0/c"),"ברכת מועדיך - חול המועד")</f>
        <v>ברכת מועדיך - חול המועד</v>
      </c>
      <c r="H704" t="str">
        <f>_xlfn.CONCAT("https://tablet.otzar.org/",CHAR(35),"/book/651420/p/-1/t/1/fs/0/start/0/end/0/c")</f>
        <v>https://tablet.otzar.org/#/book/651420/p/-1/t/1/fs/0/start/0/end/0/c</v>
      </c>
    </row>
    <row r="705" spans="1:8" x14ac:dyDescent="0.25">
      <c r="A705">
        <v>650618</v>
      </c>
      <c r="B705" t="s">
        <v>1598</v>
      </c>
      <c r="C705" t="s">
        <v>1599</v>
      </c>
      <c r="D705" t="s">
        <v>1600</v>
      </c>
      <c r="E705" t="s">
        <v>11</v>
      </c>
      <c r="G705" t="str">
        <f>HYPERLINK(_xlfn.CONCAT("https://tablet.otzar.org/",CHAR(35),"/book/650618/p/-1/t/1/fs/0/start/0/end/0/c"),"ברכת מיכאל")</f>
        <v>ברכת מיכאל</v>
      </c>
      <c r="H705" t="str">
        <f>_xlfn.CONCAT("https://tablet.otzar.org/",CHAR(35),"/book/650618/p/-1/t/1/fs/0/start/0/end/0/c")</f>
        <v>https://tablet.otzar.org/#/book/650618/p/-1/t/1/fs/0/start/0/end/0/c</v>
      </c>
    </row>
    <row r="706" spans="1:8" x14ac:dyDescent="0.25">
      <c r="A706">
        <v>652101</v>
      </c>
      <c r="B706" t="s">
        <v>1601</v>
      </c>
      <c r="C706" t="s">
        <v>1546</v>
      </c>
      <c r="D706" t="s">
        <v>1547</v>
      </c>
      <c r="E706" t="s">
        <v>35</v>
      </c>
      <c r="G706" t="str">
        <f>HYPERLINK(_xlfn.CONCAT("https://tablet.otzar.org/",CHAR(35),"/book/652101/p/-1/t/1/fs/0/start/0/end/0/c"),"ברכת מיכאל - יראת ה'")</f>
        <v>ברכת מיכאל - יראת ה'</v>
      </c>
      <c r="H706" t="str">
        <f>_xlfn.CONCAT("https://tablet.otzar.org/",CHAR(35),"/book/652101/p/-1/t/1/fs/0/start/0/end/0/c")</f>
        <v>https://tablet.otzar.org/#/book/652101/p/-1/t/1/fs/0/start/0/end/0/c</v>
      </c>
    </row>
    <row r="707" spans="1:8" x14ac:dyDescent="0.25">
      <c r="A707">
        <v>648538</v>
      </c>
      <c r="B707" t="s">
        <v>1602</v>
      </c>
      <c r="C707" t="s">
        <v>1603</v>
      </c>
      <c r="D707" t="s">
        <v>10</v>
      </c>
      <c r="E707" t="s">
        <v>891</v>
      </c>
      <c r="G707" t="str">
        <f>HYPERLINK(_xlfn.CONCAT("https://tablet.otzar.org/",CHAR(35),"/exKotar/648538"),"ברכת מרדכי - 2 כרכים")</f>
        <v>ברכת מרדכי - 2 כרכים</v>
      </c>
      <c r="H707" t="str">
        <f>_xlfn.CONCAT("https://tablet.otzar.org/",CHAR(35),"/exKotar/648538")</f>
        <v>https://tablet.otzar.org/#/exKotar/648538</v>
      </c>
    </row>
    <row r="708" spans="1:8" x14ac:dyDescent="0.25">
      <c r="A708">
        <v>653672</v>
      </c>
      <c r="B708" t="s">
        <v>1604</v>
      </c>
      <c r="C708" t="s">
        <v>1605</v>
      </c>
      <c r="D708" t="s">
        <v>10</v>
      </c>
      <c r="E708" t="s">
        <v>11</v>
      </c>
      <c r="G708" t="str">
        <f>HYPERLINK(_xlfn.CONCAT("https://tablet.otzar.org/",CHAR(35),"/book/653672/p/-1/t/1/fs/0/start/0/end/0/c"),"ברכת משה - קידושין, נדרים")</f>
        <v>ברכת משה - קידושין, נדרים</v>
      </c>
      <c r="H708" t="str">
        <f>_xlfn.CONCAT("https://tablet.otzar.org/",CHAR(35),"/book/653672/p/-1/t/1/fs/0/start/0/end/0/c")</f>
        <v>https://tablet.otzar.org/#/book/653672/p/-1/t/1/fs/0/start/0/end/0/c</v>
      </c>
    </row>
    <row r="709" spans="1:8" x14ac:dyDescent="0.25">
      <c r="A709">
        <v>651336</v>
      </c>
      <c r="B709" t="s">
        <v>1606</v>
      </c>
      <c r="C709" t="s">
        <v>1607</v>
      </c>
      <c r="D709" t="s">
        <v>606</v>
      </c>
      <c r="E709" t="s">
        <v>1608</v>
      </c>
      <c r="G709" t="str">
        <f>HYPERLINK(_xlfn.CONCAT("https://tablet.otzar.org/",CHAR(35),"/book/651336/p/-1/t/1/fs/0/start/0/end/0/c"),"ברכת שבת")</f>
        <v>ברכת שבת</v>
      </c>
      <c r="H709" t="str">
        <f>_xlfn.CONCAT("https://tablet.otzar.org/",CHAR(35),"/book/651336/p/-1/t/1/fs/0/start/0/end/0/c")</f>
        <v>https://tablet.otzar.org/#/book/651336/p/-1/t/1/fs/0/start/0/end/0/c</v>
      </c>
    </row>
    <row r="710" spans="1:8" x14ac:dyDescent="0.25">
      <c r="A710">
        <v>647748</v>
      </c>
      <c r="B710" t="s">
        <v>1609</v>
      </c>
      <c r="C710" t="s">
        <v>1610</v>
      </c>
      <c r="E710" t="s">
        <v>205</v>
      </c>
      <c r="G710" t="str">
        <f>HYPERLINK(_xlfn.CONCAT("https://tablet.otzar.org/",CHAR(35),"/book/647748/p/-1/t/1/fs/0/start/0/end/0/c"),"ברכת שלמה אורחות לשון")</f>
        <v>ברכת שלמה אורחות לשון</v>
      </c>
      <c r="H710" t="str">
        <f>_xlfn.CONCAT("https://tablet.otzar.org/",CHAR(35),"/book/647748/p/-1/t/1/fs/0/start/0/end/0/c")</f>
        <v>https://tablet.otzar.org/#/book/647748/p/-1/t/1/fs/0/start/0/end/0/c</v>
      </c>
    </row>
    <row r="711" spans="1:8" x14ac:dyDescent="0.25">
      <c r="A711">
        <v>650472</v>
      </c>
      <c r="B711" t="s">
        <v>1611</v>
      </c>
      <c r="C711" t="s">
        <v>1612</v>
      </c>
      <c r="D711" t="s">
        <v>10</v>
      </c>
      <c r="E711" t="s">
        <v>45</v>
      </c>
      <c r="G711" t="str">
        <f>HYPERLINK(_xlfn.CONCAT("https://tablet.otzar.org/",CHAR(35),"/exKotar/650472"),"ברכתא - 5 כרכים")</f>
        <v>ברכתא - 5 כרכים</v>
      </c>
      <c r="H711" t="str">
        <f>_xlfn.CONCAT("https://tablet.otzar.org/",CHAR(35),"/exKotar/650472")</f>
        <v>https://tablet.otzar.org/#/exKotar/650472</v>
      </c>
    </row>
    <row r="712" spans="1:8" x14ac:dyDescent="0.25">
      <c r="A712">
        <v>648465</v>
      </c>
      <c r="B712" t="s">
        <v>1613</v>
      </c>
      <c r="C712" t="s">
        <v>1614</v>
      </c>
      <c r="D712" t="s">
        <v>34</v>
      </c>
      <c r="E712" t="s">
        <v>704</v>
      </c>
      <c r="G712" t="str">
        <f>HYPERLINK(_xlfn.CONCAT("https://tablet.otzar.org/",CHAR(35),"/book/648465/p/-1/t/1/fs/0/start/0/end/0/c"),"ברכתו של אבא")</f>
        <v>ברכתו של אבא</v>
      </c>
      <c r="H712" t="str">
        <f>_xlfn.CONCAT("https://tablet.otzar.org/",CHAR(35),"/book/648465/p/-1/t/1/fs/0/start/0/end/0/c")</f>
        <v>https://tablet.otzar.org/#/book/648465/p/-1/t/1/fs/0/start/0/end/0/c</v>
      </c>
    </row>
    <row r="713" spans="1:8" x14ac:dyDescent="0.25">
      <c r="A713">
        <v>650869</v>
      </c>
      <c r="B713" t="s">
        <v>1615</v>
      </c>
      <c r="C713" t="s">
        <v>1616</v>
      </c>
      <c r="D713" t="s">
        <v>510</v>
      </c>
      <c r="E713" t="s">
        <v>35</v>
      </c>
      <c r="G713" t="str">
        <f>HYPERLINK(_xlfn.CONCAT("https://tablet.otzar.org/",CHAR(35),"/book/650869/p/-1/t/1/fs/0/start/0/end/0/c"),"ברנה יקצורו")</f>
        <v>ברנה יקצורו</v>
      </c>
      <c r="H713" t="str">
        <f>_xlfn.CONCAT("https://tablet.otzar.org/",CHAR(35),"/book/650869/p/-1/t/1/fs/0/start/0/end/0/c")</f>
        <v>https://tablet.otzar.org/#/book/650869/p/-1/t/1/fs/0/start/0/end/0/c</v>
      </c>
    </row>
    <row r="714" spans="1:8" x14ac:dyDescent="0.25">
      <c r="A714">
        <v>644001</v>
      </c>
      <c r="B714" t="s">
        <v>1617</v>
      </c>
      <c r="C714" t="s">
        <v>1618</v>
      </c>
      <c r="E714" t="s">
        <v>45</v>
      </c>
      <c r="G714" t="str">
        <f>HYPERLINK(_xlfn.CONCAT("https://tablet.otzar.org/",CHAR(35),"/book/644001/p/-1/t/1/fs/0/start/0/end/0/c"),"בשבילי אליעזר")</f>
        <v>בשבילי אליעזר</v>
      </c>
      <c r="H714" t="str">
        <f>_xlfn.CONCAT("https://tablet.otzar.org/",CHAR(35),"/book/644001/p/-1/t/1/fs/0/start/0/end/0/c")</f>
        <v>https://tablet.otzar.org/#/book/644001/p/-1/t/1/fs/0/start/0/end/0/c</v>
      </c>
    </row>
    <row r="715" spans="1:8" x14ac:dyDescent="0.25">
      <c r="A715">
        <v>650748</v>
      </c>
      <c r="B715" t="s">
        <v>1619</v>
      </c>
      <c r="C715" t="s">
        <v>1620</v>
      </c>
      <c r="D715" t="s">
        <v>28</v>
      </c>
      <c r="E715" t="s">
        <v>11</v>
      </c>
      <c r="G715" t="str">
        <f>HYPERLINK(_xlfn.CONCAT("https://tablet.otzar.org/",CHAR(35),"/book/650748/p/-1/t/1/fs/0/start/0/end/0/c"),"בשבילי ההגדה")</f>
        <v>בשבילי ההגדה</v>
      </c>
      <c r="H715" t="str">
        <f>_xlfn.CONCAT("https://tablet.otzar.org/",CHAR(35),"/book/650748/p/-1/t/1/fs/0/start/0/end/0/c")</f>
        <v>https://tablet.otzar.org/#/book/650748/p/-1/t/1/fs/0/start/0/end/0/c</v>
      </c>
    </row>
    <row r="716" spans="1:8" x14ac:dyDescent="0.25">
      <c r="A716">
        <v>650602</v>
      </c>
      <c r="B716" t="s">
        <v>1621</v>
      </c>
      <c r="C716" t="s">
        <v>1622</v>
      </c>
      <c r="D716" t="s">
        <v>10</v>
      </c>
      <c r="E716" t="s">
        <v>200</v>
      </c>
      <c r="G716" t="str">
        <f>HYPERLINK(_xlfn.CONCAT("https://tablet.otzar.org/",CHAR(35),"/book/650602/p/-1/t/1/fs/0/start/0/end/0/c"),"בשבילי ההלכה - ב")</f>
        <v>בשבילי ההלכה - ב</v>
      </c>
      <c r="H716" t="str">
        <f>_xlfn.CONCAT("https://tablet.otzar.org/",CHAR(35),"/book/650602/p/-1/t/1/fs/0/start/0/end/0/c")</f>
        <v>https://tablet.otzar.org/#/book/650602/p/-1/t/1/fs/0/start/0/end/0/c</v>
      </c>
    </row>
    <row r="717" spans="1:8" x14ac:dyDescent="0.25">
      <c r="A717">
        <v>647599</v>
      </c>
      <c r="B717" t="s">
        <v>1623</v>
      </c>
      <c r="C717" t="s">
        <v>1624</v>
      </c>
      <c r="D717" t="s">
        <v>10</v>
      </c>
      <c r="E717" t="s">
        <v>70</v>
      </c>
      <c r="G717" t="str">
        <f>HYPERLINK(_xlfn.CONCAT("https://tablet.otzar.org/",CHAR(35),"/book/647599/p/-1/t/1/fs/0/start/0/end/0/c"),"בשבילי המועד - גלות ונחמה")</f>
        <v>בשבילי המועד - גלות ונחמה</v>
      </c>
      <c r="H717" t="str">
        <f>_xlfn.CONCAT("https://tablet.otzar.org/",CHAR(35),"/book/647599/p/-1/t/1/fs/0/start/0/end/0/c")</f>
        <v>https://tablet.otzar.org/#/book/647599/p/-1/t/1/fs/0/start/0/end/0/c</v>
      </c>
    </row>
    <row r="718" spans="1:8" x14ac:dyDescent="0.25">
      <c r="A718">
        <v>655386</v>
      </c>
      <c r="B718" t="s">
        <v>1625</v>
      </c>
      <c r="C718" t="s">
        <v>1626</v>
      </c>
      <c r="E718" t="s">
        <v>45</v>
      </c>
      <c r="G718" t="str">
        <f>HYPERLINK(_xlfn.CONCAT("https://tablet.otzar.org/",CHAR(35),"/book/655386/p/-1/t/1/fs/0/start/0/end/0/c"),"בשבילי המשפט - ע""""ה - צ""""ו")</f>
        <v>בשבילי המשפט - ע""ה - צ""ו</v>
      </c>
      <c r="H718" t="str">
        <f>_xlfn.CONCAT("https://tablet.otzar.org/",CHAR(35),"/book/655386/p/-1/t/1/fs/0/start/0/end/0/c")</f>
        <v>https://tablet.otzar.org/#/book/655386/p/-1/t/1/fs/0/start/0/end/0/c</v>
      </c>
    </row>
    <row r="719" spans="1:8" x14ac:dyDescent="0.25">
      <c r="A719">
        <v>648924</v>
      </c>
      <c r="B719" t="s">
        <v>1627</v>
      </c>
      <c r="C719" t="s">
        <v>1628</v>
      </c>
      <c r="D719" t="s">
        <v>424</v>
      </c>
      <c r="E719" t="s">
        <v>416</v>
      </c>
      <c r="G719" t="str">
        <f>HYPERLINK(_xlfn.CONCAT("https://tablet.otzar.org/",CHAR(35),"/book/648924/p/-1/t/1/fs/0/start/0/end/0/c"),"בשדה החסידות")</f>
        <v>בשדה החסידות</v>
      </c>
      <c r="H719" t="str">
        <f>_xlfn.CONCAT("https://tablet.otzar.org/",CHAR(35),"/book/648924/p/-1/t/1/fs/0/start/0/end/0/c")</f>
        <v>https://tablet.otzar.org/#/book/648924/p/-1/t/1/fs/0/start/0/end/0/c</v>
      </c>
    </row>
    <row r="720" spans="1:8" x14ac:dyDescent="0.25">
      <c r="A720">
        <v>649253</v>
      </c>
      <c r="B720" t="s">
        <v>1629</v>
      </c>
      <c r="C720" t="s">
        <v>1630</v>
      </c>
      <c r="D720" t="s">
        <v>10</v>
      </c>
      <c r="E720" t="s">
        <v>11</v>
      </c>
      <c r="G720" t="str">
        <f>HYPERLINK(_xlfn.CONCAT("https://tablet.otzar.org/",CHAR(35),"/book/649253/p/-1/t/1/fs/0/start/0/end/0/c"),"בשם מרדכי")</f>
        <v>בשם מרדכי</v>
      </c>
      <c r="H720" t="str">
        <f>_xlfn.CONCAT("https://tablet.otzar.org/",CHAR(35),"/book/649253/p/-1/t/1/fs/0/start/0/end/0/c")</f>
        <v>https://tablet.otzar.org/#/book/649253/p/-1/t/1/fs/0/start/0/end/0/c</v>
      </c>
    </row>
    <row r="721" spans="1:8" x14ac:dyDescent="0.25">
      <c r="A721">
        <v>656194</v>
      </c>
      <c r="B721" t="s">
        <v>1631</v>
      </c>
      <c r="C721" t="s">
        <v>614</v>
      </c>
      <c r="D721" t="s">
        <v>52</v>
      </c>
      <c r="E721" t="s">
        <v>399</v>
      </c>
      <c r="G721" t="str">
        <f>HYPERLINK(_xlfn.CONCAT("https://tablet.otzar.org/",CHAR(35),"/book/656194/p/-1/t/1/fs/0/start/0/end/0/c"),"בשמחת צדיקים - יבמות")</f>
        <v>בשמחת צדיקים - יבמות</v>
      </c>
      <c r="H721" t="str">
        <f>_xlfn.CONCAT("https://tablet.otzar.org/",CHAR(35),"/book/656194/p/-1/t/1/fs/0/start/0/end/0/c")</f>
        <v>https://tablet.otzar.org/#/book/656194/p/-1/t/1/fs/0/start/0/end/0/c</v>
      </c>
    </row>
    <row r="722" spans="1:8" x14ac:dyDescent="0.25">
      <c r="A722">
        <v>653636</v>
      </c>
      <c r="B722" t="s">
        <v>1632</v>
      </c>
      <c r="C722" t="s">
        <v>1108</v>
      </c>
      <c r="D722" t="s">
        <v>10</v>
      </c>
      <c r="E722" t="s">
        <v>11</v>
      </c>
      <c r="G722" t="str">
        <f>HYPERLINK(_xlfn.CONCAT("https://tablet.otzar.org/",CHAR(35),"/book/653636/p/-1/t/1/fs/0/start/0/end/0/c"),"בשמך אשא כפי")</f>
        <v>בשמך אשא כפי</v>
      </c>
      <c r="H722" t="str">
        <f>_xlfn.CONCAT("https://tablet.otzar.org/",CHAR(35),"/book/653636/p/-1/t/1/fs/0/start/0/end/0/c")</f>
        <v>https://tablet.otzar.org/#/book/653636/p/-1/t/1/fs/0/start/0/end/0/c</v>
      </c>
    </row>
    <row r="723" spans="1:8" x14ac:dyDescent="0.25">
      <c r="A723">
        <v>650043</v>
      </c>
      <c r="B723" t="s">
        <v>1633</v>
      </c>
      <c r="C723" t="s">
        <v>1634</v>
      </c>
      <c r="D723" t="s">
        <v>340</v>
      </c>
      <c r="E723" t="s">
        <v>205</v>
      </c>
      <c r="G723" t="str">
        <f>HYPERLINK(_xlfn.CONCAT("https://tablet.otzar.org/",CHAR(35),"/book/650043/p/-1/t/1/fs/0/start/0/end/0/c"),"בשמעתתא דחזקה ורוב")</f>
        <v>בשמעתתא דחזקה ורוב</v>
      </c>
      <c r="H723" t="str">
        <f>_xlfn.CONCAT("https://tablet.otzar.org/",CHAR(35),"/book/650043/p/-1/t/1/fs/0/start/0/end/0/c")</f>
        <v>https://tablet.otzar.org/#/book/650043/p/-1/t/1/fs/0/start/0/end/0/c</v>
      </c>
    </row>
    <row r="724" spans="1:8" x14ac:dyDescent="0.25">
      <c r="A724">
        <v>642702</v>
      </c>
      <c r="B724" t="s">
        <v>1635</v>
      </c>
      <c r="C724" t="s">
        <v>1636</v>
      </c>
      <c r="D724" t="s">
        <v>10</v>
      </c>
      <c r="E724" t="s">
        <v>35</v>
      </c>
      <c r="G724" t="str">
        <f>HYPERLINK(_xlfn.CONCAT("https://tablet.otzar.org/",CHAR(35),"/book/642702/p/-1/t/1/fs/0/start/0/end/0/c"),"בשערי ישכר - תורה ב")</f>
        <v>בשערי ישכר - תורה ב</v>
      </c>
      <c r="H724" t="str">
        <f>_xlfn.CONCAT("https://tablet.otzar.org/",CHAR(35),"/book/642702/p/-1/t/1/fs/0/start/0/end/0/c")</f>
        <v>https://tablet.otzar.org/#/book/642702/p/-1/t/1/fs/0/start/0/end/0/c</v>
      </c>
    </row>
    <row r="725" spans="1:8" x14ac:dyDescent="0.25">
      <c r="A725">
        <v>652974</v>
      </c>
      <c r="B725" t="s">
        <v>1637</v>
      </c>
      <c r="C725" t="s">
        <v>1638</v>
      </c>
      <c r="D725" t="s">
        <v>39</v>
      </c>
      <c r="E725" t="s">
        <v>582</v>
      </c>
      <c r="G725" t="str">
        <f>HYPERLINK(_xlfn.CONCAT("https://tablet.otzar.org/",CHAR(35),"/book/652974/p/-1/t/1/fs/0/start/0/end/0/c"),"בשעריך ירושלים")</f>
        <v>בשעריך ירושלים</v>
      </c>
      <c r="H725" t="str">
        <f>_xlfn.CONCAT("https://tablet.otzar.org/",CHAR(35),"/book/652974/p/-1/t/1/fs/0/start/0/end/0/c")</f>
        <v>https://tablet.otzar.org/#/book/652974/p/-1/t/1/fs/0/start/0/end/0/c</v>
      </c>
    </row>
    <row r="726" spans="1:8" x14ac:dyDescent="0.25">
      <c r="A726">
        <v>650447</v>
      </c>
      <c r="B726" t="s">
        <v>1639</v>
      </c>
      <c r="C726" t="s">
        <v>1640</v>
      </c>
      <c r="D726" t="s">
        <v>39</v>
      </c>
      <c r="E726" t="s">
        <v>1641</v>
      </c>
      <c r="G726" t="str">
        <f>HYPERLINK(_xlfn.CONCAT("https://tablet.otzar.org/",CHAR(35),"/book/650447/p/-1/t/1/fs/0/start/0/end/0/c"),"בת עין")</f>
        <v>בת עין</v>
      </c>
      <c r="H726" t="str">
        <f>_xlfn.CONCAT("https://tablet.otzar.org/",CHAR(35),"/book/650447/p/-1/t/1/fs/0/start/0/end/0/c")</f>
        <v>https://tablet.otzar.org/#/book/650447/p/-1/t/1/fs/0/start/0/end/0/c</v>
      </c>
    </row>
    <row r="727" spans="1:8" x14ac:dyDescent="0.25">
      <c r="A727">
        <v>655828</v>
      </c>
      <c r="B727" t="s">
        <v>1642</v>
      </c>
      <c r="C727" t="s">
        <v>1643</v>
      </c>
      <c r="D727" t="s">
        <v>10</v>
      </c>
      <c r="E727" t="s">
        <v>35</v>
      </c>
      <c r="G727" t="str">
        <f>HYPERLINK(_xlfn.CONCAT("https://tablet.otzar.org/",CHAR(35),"/exKotar/655828"),"בתוככי ירושלים - 3 כרכים")</f>
        <v>בתוככי ירושלים - 3 כרכים</v>
      </c>
      <c r="H727" t="str">
        <f>_xlfn.CONCAT("https://tablet.otzar.org/",CHAR(35),"/exKotar/655828")</f>
        <v>https://tablet.otzar.org/#/exKotar/655828</v>
      </c>
    </row>
    <row r="728" spans="1:8" x14ac:dyDescent="0.25">
      <c r="A728">
        <v>657109</v>
      </c>
      <c r="B728" t="s">
        <v>1644</v>
      </c>
      <c r="C728" t="s">
        <v>1645</v>
      </c>
      <c r="D728" t="s">
        <v>10</v>
      </c>
      <c r="E728" t="s">
        <v>1056</v>
      </c>
      <c r="G728" t="str">
        <f>HYPERLINK(_xlfn.CONCAT("https://tablet.otzar.org/",CHAR(35),"/exKotar/657109"),"בתורתו יהגה &lt;על התורה&gt; - 2 כרכים")</f>
        <v>בתורתו יהגה &lt;על התורה&gt; - 2 כרכים</v>
      </c>
      <c r="H728" t="str">
        <f>_xlfn.CONCAT("https://tablet.otzar.org/",CHAR(35),"/exKotar/657109")</f>
        <v>https://tablet.otzar.org/#/exKotar/657109</v>
      </c>
    </row>
    <row r="729" spans="1:8" x14ac:dyDescent="0.25">
      <c r="A729">
        <v>649712</v>
      </c>
      <c r="B729" t="s">
        <v>1646</v>
      </c>
      <c r="C729" t="s">
        <v>1647</v>
      </c>
      <c r="D729" t="s">
        <v>52</v>
      </c>
      <c r="E729" t="s">
        <v>11</v>
      </c>
      <c r="G729" t="str">
        <f>HYPERLINK(_xlfn.CONCAT("https://tablet.otzar.org/",CHAR(35),"/exKotar/649712"),"בתי אליהו - 2 כרכים")</f>
        <v>בתי אליהו - 2 כרכים</v>
      </c>
      <c r="H729" t="str">
        <f>_xlfn.CONCAT("https://tablet.otzar.org/",CHAR(35),"/exKotar/649712")</f>
        <v>https://tablet.otzar.org/#/exKotar/649712</v>
      </c>
    </row>
    <row r="730" spans="1:8" x14ac:dyDescent="0.25">
      <c r="A730">
        <v>650397</v>
      </c>
      <c r="B730" t="s">
        <v>1648</v>
      </c>
      <c r="C730" t="s">
        <v>1649</v>
      </c>
      <c r="D730" t="s">
        <v>1650</v>
      </c>
      <c r="E730" t="s">
        <v>45</v>
      </c>
      <c r="G730" t="str">
        <f>HYPERLINK(_xlfn.CONCAT("https://tablet.otzar.org/",CHAR(35),"/book/650397/p/-1/t/1/fs/0/start/0/end/0/c"),"בתי התפילין")</f>
        <v>בתי התפילין</v>
      </c>
      <c r="H730" t="str">
        <f>_xlfn.CONCAT("https://tablet.otzar.org/",CHAR(35),"/book/650397/p/-1/t/1/fs/0/start/0/end/0/c")</f>
        <v>https://tablet.otzar.org/#/book/650397/p/-1/t/1/fs/0/start/0/end/0/c</v>
      </c>
    </row>
    <row r="731" spans="1:8" x14ac:dyDescent="0.25">
      <c r="A731">
        <v>651561</v>
      </c>
      <c r="B731" t="s">
        <v>1651</v>
      </c>
      <c r="C731" t="s">
        <v>1652</v>
      </c>
      <c r="D731" t="s">
        <v>1653</v>
      </c>
      <c r="E731" t="s">
        <v>1654</v>
      </c>
      <c r="G731" t="str">
        <f>HYPERLINK(_xlfn.CONCAT("https://tablet.otzar.org/",CHAR(35),"/book/651561/p/-1/t/1/fs/0/start/0/end/0/c"),"בתי כנסיות - בית האסופים")</f>
        <v>בתי כנסיות - בית האסופים</v>
      </c>
      <c r="H731" t="str">
        <f>_xlfn.CONCAT("https://tablet.otzar.org/",CHAR(35),"/book/651561/p/-1/t/1/fs/0/start/0/end/0/c")</f>
        <v>https://tablet.otzar.org/#/book/651561/p/-1/t/1/fs/0/start/0/end/0/c</v>
      </c>
    </row>
    <row r="732" spans="1:8" x14ac:dyDescent="0.25">
      <c r="A732">
        <v>649426</v>
      </c>
      <c r="B732" t="s">
        <v>1655</v>
      </c>
      <c r="C732" t="s">
        <v>1656</v>
      </c>
      <c r="D732" t="s">
        <v>1657</v>
      </c>
      <c r="E732" t="s">
        <v>891</v>
      </c>
      <c r="G732" t="str">
        <f>HYPERLINK(_xlfn.CONCAT("https://tablet.otzar.org/",CHAR(35),"/book/649426/p/-1/t/1/fs/0/start/0/end/0/c"),"בתי כנסת בהודו")</f>
        <v>בתי כנסת בהודו</v>
      </c>
      <c r="H732" t="str">
        <f>_xlfn.CONCAT("https://tablet.otzar.org/",CHAR(35),"/book/649426/p/-1/t/1/fs/0/start/0/end/0/c")</f>
        <v>https://tablet.otzar.org/#/book/649426/p/-1/t/1/fs/0/start/0/end/0/c</v>
      </c>
    </row>
    <row r="733" spans="1:8" x14ac:dyDescent="0.25">
      <c r="A733">
        <v>654276</v>
      </c>
      <c r="B733" t="s">
        <v>1658</v>
      </c>
      <c r="C733" t="s">
        <v>1659</v>
      </c>
      <c r="D733" t="s">
        <v>1660</v>
      </c>
      <c r="E733" t="s">
        <v>84</v>
      </c>
      <c r="G733" t="str">
        <f>HYPERLINK(_xlfn.CONCAT("https://tablet.otzar.org/",CHAR(35),"/book/654276/p/-1/t/1/fs/0/start/0/end/0/c"),"בתי משה - בבא בתרא")</f>
        <v>בתי משה - בבא בתרא</v>
      </c>
      <c r="H733" t="str">
        <f>_xlfn.CONCAT("https://tablet.otzar.org/",CHAR(35),"/book/654276/p/-1/t/1/fs/0/start/0/end/0/c")</f>
        <v>https://tablet.otzar.org/#/book/654276/p/-1/t/1/fs/0/start/0/end/0/c</v>
      </c>
    </row>
    <row r="734" spans="1:8" x14ac:dyDescent="0.25">
      <c r="A734">
        <v>650059</v>
      </c>
      <c r="B734" t="s">
        <v>1661</v>
      </c>
      <c r="C734" t="s">
        <v>712</v>
      </c>
      <c r="E734" t="s">
        <v>507</v>
      </c>
      <c r="G734" t="str">
        <f>HYPERLINK(_xlfn.CONCAT("https://tablet.otzar.org/",CHAR(35),"/book/650059/p/-1/t/1/fs/0/start/0/end/0/c"),"גאולה")</f>
        <v>גאולה</v>
      </c>
      <c r="H734" t="str">
        <f>_xlfn.CONCAT("https://tablet.otzar.org/",CHAR(35),"/book/650059/p/-1/t/1/fs/0/start/0/end/0/c")</f>
        <v>https://tablet.otzar.org/#/book/650059/p/-1/t/1/fs/0/start/0/end/0/c</v>
      </c>
    </row>
    <row r="735" spans="1:8" x14ac:dyDescent="0.25">
      <c r="A735">
        <v>647905</v>
      </c>
      <c r="B735" t="s">
        <v>1662</v>
      </c>
      <c r="C735" t="s">
        <v>1663</v>
      </c>
      <c r="D735" t="s">
        <v>58</v>
      </c>
      <c r="E735" t="s">
        <v>1664</v>
      </c>
      <c r="G735" t="str">
        <f>HYPERLINK(_xlfn.CONCAT("https://tablet.otzar.org/",CHAR(35),"/book/647905/p/-1/t/1/fs/0/start/0/end/0/c"),"גאון יעקב")</f>
        <v>גאון יעקב</v>
      </c>
      <c r="H735" t="str">
        <f>_xlfn.CONCAT("https://tablet.otzar.org/",CHAR(35),"/book/647905/p/-1/t/1/fs/0/start/0/end/0/c")</f>
        <v>https://tablet.otzar.org/#/book/647905/p/-1/t/1/fs/0/start/0/end/0/c</v>
      </c>
    </row>
    <row r="736" spans="1:8" x14ac:dyDescent="0.25">
      <c r="A736">
        <v>656209</v>
      </c>
      <c r="B736" t="s">
        <v>1665</v>
      </c>
      <c r="C736" t="s">
        <v>1666</v>
      </c>
      <c r="D736" t="s">
        <v>10</v>
      </c>
      <c r="E736" t="s">
        <v>507</v>
      </c>
      <c r="G736" t="str">
        <f>HYPERLINK(_xlfn.CONCAT("https://tablet.otzar.org/",CHAR(35),"/book/656209/p/-1/t/1/fs/0/start/0/end/0/c"),"גבורות ארי &lt;מכון כנסת&gt; - מכות")</f>
        <v>גבורות ארי &lt;מכון כנסת&gt; - מכות</v>
      </c>
      <c r="H736" t="str">
        <f>_xlfn.CONCAT("https://tablet.otzar.org/",CHAR(35),"/book/656209/p/-1/t/1/fs/0/start/0/end/0/c")</f>
        <v>https://tablet.otzar.org/#/book/656209/p/-1/t/1/fs/0/start/0/end/0/c</v>
      </c>
    </row>
    <row r="737" spans="1:8" x14ac:dyDescent="0.25">
      <c r="A737">
        <v>651710</v>
      </c>
      <c r="B737" t="s">
        <v>1667</v>
      </c>
      <c r="C737" t="s">
        <v>1668</v>
      </c>
      <c r="D737" t="s">
        <v>10</v>
      </c>
      <c r="E737" t="s">
        <v>11</v>
      </c>
      <c r="G737" t="str">
        <f>HYPERLINK(_xlfn.CONCAT("https://tablet.otzar.org/",CHAR(35),"/exKotar/651710"),"גבורות ה' - 2 כרכים")</f>
        <v>גבורות ה' - 2 כרכים</v>
      </c>
      <c r="H737" t="str">
        <f>_xlfn.CONCAT("https://tablet.otzar.org/",CHAR(35),"/exKotar/651710")</f>
        <v>https://tablet.otzar.org/#/exKotar/651710</v>
      </c>
    </row>
    <row r="738" spans="1:8" x14ac:dyDescent="0.25">
      <c r="A738">
        <v>647267</v>
      </c>
      <c r="B738" t="s">
        <v>1669</v>
      </c>
      <c r="C738" t="s">
        <v>1670</v>
      </c>
      <c r="D738" t="s">
        <v>10</v>
      </c>
      <c r="E738" t="s">
        <v>89</v>
      </c>
      <c r="G738" t="str">
        <f>HYPERLINK(_xlfn.CONCAT("https://tablet.otzar.org/",CHAR(35),"/book/647267/p/-1/t/1/fs/0/start/0/end/0/c"),"גבורות יהודה - פסחים")</f>
        <v>גבורות יהודה - פסחים</v>
      </c>
      <c r="H738" t="str">
        <f>_xlfn.CONCAT("https://tablet.otzar.org/",CHAR(35),"/book/647267/p/-1/t/1/fs/0/start/0/end/0/c")</f>
        <v>https://tablet.otzar.org/#/book/647267/p/-1/t/1/fs/0/start/0/end/0/c</v>
      </c>
    </row>
    <row r="739" spans="1:8" x14ac:dyDescent="0.25">
      <c r="A739">
        <v>655299</v>
      </c>
      <c r="B739" t="s">
        <v>1671</v>
      </c>
      <c r="C739" t="s">
        <v>1672</v>
      </c>
      <c r="E739" t="s">
        <v>399</v>
      </c>
      <c r="G739" t="str">
        <f>HYPERLINK(_xlfn.CONCAT("https://tablet.otzar.org/",CHAR(35),"/book/655299/p/-1/t/1/fs/0/start/0/end/0/c"),"גבורות שמונים &lt;שפת שלמה&gt;")</f>
        <v>גבורות שמונים &lt;שפת שלמה&gt;</v>
      </c>
      <c r="H739" t="str">
        <f>_xlfn.CONCAT("https://tablet.otzar.org/",CHAR(35),"/book/655299/p/-1/t/1/fs/0/start/0/end/0/c")</f>
        <v>https://tablet.otzar.org/#/book/655299/p/-1/t/1/fs/0/start/0/end/0/c</v>
      </c>
    </row>
    <row r="740" spans="1:8" x14ac:dyDescent="0.25">
      <c r="A740">
        <v>654443</v>
      </c>
      <c r="B740" t="s">
        <v>1673</v>
      </c>
      <c r="C740" t="s">
        <v>1674</v>
      </c>
      <c r="D740" t="s">
        <v>88</v>
      </c>
      <c r="E740" t="s">
        <v>11</v>
      </c>
      <c r="G740" t="str">
        <f>HYPERLINK(_xlfn.CONCAT("https://tablet.otzar.org/",CHAR(35),"/book/654443/p/-1/t/1/fs/0/start/0/end/0/c"),"גבורי כח")</f>
        <v>גבורי כח</v>
      </c>
      <c r="H740" t="str">
        <f>_xlfn.CONCAT("https://tablet.otzar.org/",CHAR(35),"/book/654443/p/-1/t/1/fs/0/start/0/end/0/c")</f>
        <v>https://tablet.otzar.org/#/book/654443/p/-1/t/1/fs/0/start/0/end/0/c</v>
      </c>
    </row>
    <row r="741" spans="1:8" x14ac:dyDescent="0.25">
      <c r="A741">
        <v>650904</v>
      </c>
      <c r="B741" t="s">
        <v>1675</v>
      </c>
      <c r="C741" t="s">
        <v>1676</v>
      </c>
      <c r="D741" t="s">
        <v>52</v>
      </c>
      <c r="E741" t="s">
        <v>11</v>
      </c>
      <c r="G741" t="str">
        <f>HYPERLINK(_xlfn.CONCAT("https://tablet.otzar.org/",CHAR(35),"/book/650904/p/-1/t/1/fs/0/start/0/end/0/c"),"גבעות עולם, ברך בנים בקרבך, זמרו לשמו, חכו ממתקים")</f>
        <v>גבעות עולם, ברך בנים בקרבך, זמרו לשמו, חכו ממתקים</v>
      </c>
      <c r="H741" t="str">
        <f>_xlfn.CONCAT("https://tablet.otzar.org/",CHAR(35),"/book/650904/p/-1/t/1/fs/0/start/0/end/0/c")</f>
        <v>https://tablet.otzar.org/#/book/650904/p/-1/t/1/fs/0/start/0/end/0/c</v>
      </c>
    </row>
    <row r="742" spans="1:8" x14ac:dyDescent="0.25">
      <c r="A742">
        <v>655467</v>
      </c>
      <c r="B742" t="s">
        <v>1677</v>
      </c>
      <c r="C742" t="s">
        <v>1678</v>
      </c>
      <c r="D742" t="s">
        <v>10</v>
      </c>
      <c r="E742" t="s">
        <v>35</v>
      </c>
      <c r="G742" t="str">
        <f>HYPERLINK(_xlfn.CONCAT("https://tablet.otzar.org/",CHAR(35),"/book/655467/p/-1/t/1/fs/0/start/0/end/0/c"),"גבעת שאול ושכנותיה")</f>
        <v>גבעת שאול ושכנותיה</v>
      </c>
      <c r="H742" t="str">
        <f>_xlfn.CONCAT("https://tablet.otzar.org/",CHAR(35),"/book/655467/p/-1/t/1/fs/0/start/0/end/0/c")</f>
        <v>https://tablet.otzar.org/#/book/655467/p/-1/t/1/fs/0/start/0/end/0/c</v>
      </c>
    </row>
    <row r="743" spans="1:8" x14ac:dyDescent="0.25">
      <c r="A743">
        <v>650982</v>
      </c>
      <c r="B743" t="s">
        <v>1679</v>
      </c>
      <c r="C743" t="s">
        <v>1680</v>
      </c>
      <c r="D743" t="s">
        <v>34</v>
      </c>
      <c r="E743" t="s">
        <v>405</v>
      </c>
      <c r="G743" t="str">
        <f>HYPERLINK(_xlfn.CONCAT("https://tablet.otzar.org/",CHAR(35),"/exKotar/650982"),"גבר לבי - 2 כרכים")</f>
        <v>גבר לבי - 2 כרכים</v>
      </c>
      <c r="H743" t="str">
        <f>_xlfn.CONCAT("https://tablet.otzar.org/",CHAR(35),"/exKotar/650982")</f>
        <v>https://tablet.otzar.org/#/exKotar/650982</v>
      </c>
    </row>
    <row r="744" spans="1:8" x14ac:dyDescent="0.25">
      <c r="A744">
        <v>649812</v>
      </c>
      <c r="B744" t="s">
        <v>1681</v>
      </c>
      <c r="C744" t="s">
        <v>735</v>
      </c>
      <c r="D744" t="s">
        <v>10</v>
      </c>
      <c r="E744" t="s">
        <v>45</v>
      </c>
      <c r="G744" t="str">
        <f>HYPERLINK(_xlfn.CONCAT("https://tablet.otzar.org/",CHAR(35),"/book/649812/p/-1/t/1/fs/0/start/0/end/0/c"),"גדול קטן קטן גדול - מגילת אסתר")</f>
        <v>גדול קטן קטן גדול - מגילת אסתר</v>
      </c>
      <c r="H744" t="str">
        <f>_xlfn.CONCAT("https://tablet.otzar.org/",CHAR(35),"/book/649812/p/-1/t/1/fs/0/start/0/end/0/c")</f>
        <v>https://tablet.otzar.org/#/book/649812/p/-1/t/1/fs/0/start/0/end/0/c</v>
      </c>
    </row>
    <row r="745" spans="1:8" x14ac:dyDescent="0.25">
      <c r="A745">
        <v>654223</v>
      </c>
      <c r="B745" t="s">
        <v>1682</v>
      </c>
      <c r="C745" t="s">
        <v>1683</v>
      </c>
      <c r="D745" t="s">
        <v>139</v>
      </c>
      <c r="E745" t="s">
        <v>35</v>
      </c>
      <c r="G745" t="str">
        <f>HYPERLINK(_xlfn.CONCAT("https://tablet.otzar.org/",CHAR(35),"/book/654223/p/-1/t/1/fs/0/start/0/end/0/c"),"גדולת מרדכי")</f>
        <v>גדולת מרדכי</v>
      </c>
      <c r="H745" t="str">
        <f>_xlfn.CONCAT("https://tablet.otzar.org/",CHAR(35),"/book/654223/p/-1/t/1/fs/0/start/0/end/0/c")</f>
        <v>https://tablet.otzar.org/#/book/654223/p/-1/t/1/fs/0/start/0/end/0/c</v>
      </c>
    </row>
    <row r="746" spans="1:8" x14ac:dyDescent="0.25">
      <c r="A746">
        <v>656231</v>
      </c>
      <c r="B746" t="s">
        <v>1684</v>
      </c>
      <c r="C746" t="s">
        <v>1685</v>
      </c>
      <c r="D746" t="s">
        <v>52</v>
      </c>
      <c r="E746" t="s">
        <v>35</v>
      </c>
      <c r="G746" t="str">
        <f>HYPERLINK(_xlfn.CONCAT("https://tablet.otzar.org/",CHAR(35),"/book/656231/p/-1/t/1/fs/0/start/0/end/0/c"),"גדולת מרדכי &lt;מהדורה חדשה&gt;")</f>
        <v>גדולת מרדכי &lt;מהדורה חדשה&gt;</v>
      </c>
      <c r="H746" t="str">
        <f>_xlfn.CONCAT("https://tablet.otzar.org/",CHAR(35),"/book/656231/p/-1/t/1/fs/0/start/0/end/0/c")</f>
        <v>https://tablet.otzar.org/#/book/656231/p/-1/t/1/fs/0/start/0/end/0/c</v>
      </c>
    </row>
    <row r="747" spans="1:8" x14ac:dyDescent="0.25">
      <c r="A747">
        <v>652894</v>
      </c>
      <c r="B747" t="s">
        <v>1686</v>
      </c>
      <c r="C747" t="s">
        <v>1687</v>
      </c>
      <c r="D747" t="s">
        <v>10</v>
      </c>
      <c r="E747" t="s">
        <v>77</v>
      </c>
      <c r="G747" t="str">
        <f>HYPERLINK(_xlfn.CONCAT("https://tablet.otzar.org/",CHAR(35),"/book/652894/p/-1/t/1/fs/0/start/0/end/0/c"),"גודל ענין חיוב לימוד ספרי מוסר - חזרת הלימוד")</f>
        <v>גודל ענין חיוב לימוד ספרי מוסר - חזרת הלימוד</v>
      </c>
      <c r="H747" t="str">
        <f>_xlfn.CONCAT("https://tablet.otzar.org/",CHAR(35),"/book/652894/p/-1/t/1/fs/0/start/0/end/0/c")</f>
        <v>https://tablet.otzar.org/#/book/652894/p/-1/t/1/fs/0/start/0/end/0/c</v>
      </c>
    </row>
    <row r="748" spans="1:8" x14ac:dyDescent="0.25">
      <c r="A748">
        <v>647512</v>
      </c>
      <c r="B748" t="s">
        <v>1688</v>
      </c>
      <c r="C748" t="s">
        <v>1689</v>
      </c>
      <c r="D748" t="s">
        <v>424</v>
      </c>
      <c r="E748" t="s">
        <v>1690</v>
      </c>
      <c r="G748" t="str">
        <f>HYPERLINK(_xlfn.CONCAT("https://tablet.otzar.org/",CHAR(35),"/book/647512/p/-1/t/1/fs/0/start/0/end/0/c"),"גוילין - ה")</f>
        <v>גוילין - ה</v>
      </c>
      <c r="H748" t="str">
        <f>_xlfn.CONCAT("https://tablet.otzar.org/",CHAR(35),"/book/647512/p/-1/t/1/fs/0/start/0/end/0/c")</f>
        <v>https://tablet.otzar.org/#/book/647512/p/-1/t/1/fs/0/start/0/end/0/c</v>
      </c>
    </row>
    <row r="749" spans="1:8" x14ac:dyDescent="0.25">
      <c r="A749">
        <v>647185</v>
      </c>
      <c r="B749" t="s">
        <v>1691</v>
      </c>
      <c r="C749" t="s">
        <v>1692</v>
      </c>
      <c r="D749" t="s">
        <v>424</v>
      </c>
      <c r="E749" t="s">
        <v>1693</v>
      </c>
      <c r="G749" t="str">
        <f>HYPERLINK(_xlfn.CONCAT("https://tablet.otzar.org/",CHAR(35),"/exKotar/647185"),"גוילין - 2 כרכים")</f>
        <v>גוילין - 2 כרכים</v>
      </c>
      <c r="H749" t="str">
        <f>_xlfn.CONCAT("https://tablet.otzar.org/",CHAR(35),"/exKotar/647185")</f>
        <v>https://tablet.otzar.org/#/exKotar/647185</v>
      </c>
    </row>
    <row r="750" spans="1:8" x14ac:dyDescent="0.25">
      <c r="A750">
        <v>653336</v>
      </c>
      <c r="B750" t="s">
        <v>1694</v>
      </c>
      <c r="C750" t="s">
        <v>1695</v>
      </c>
      <c r="D750" t="s">
        <v>34</v>
      </c>
      <c r="E750" t="s">
        <v>11</v>
      </c>
      <c r="G750" t="str">
        <f>HYPERLINK(_xlfn.CONCAT("https://tablet.otzar.org/",CHAR(35),"/book/653336/p/-1/t/1/fs/0/start/0/end/0/c"),"גור אריה - קידושין")</f>
        <v>גור אריה - קידושין</v>
      </c>
      <c r="H750" t="str">
        <f>_xlfn.CONCAT("https://tablet.otzar.org/",CHAR(35),"/book/653336/p/-1/t/1/fs/0/start/0/end/0/c")</f>
        <v>https://tablet.otzar.org/#/book/653336/p/-1/t/1/fs/0/start/0/end/0/c</v>
      </c>
    </row>
    <row r="751" spans="1:8" x14ac:dyDescent="0.25">
      <c r="A751">
        <v>655833</v>
      </c>
      <c r="B751" t="s">
        <v>1696</v>
      </c>
      <c r="C751" t="s">
        <v>1697</v>
      </c>
      <c r="D751" t="s">
        <v>340</v>
      </c>
      <c r="E751" t="s">
        <v>84</v>
      </c>
      <c r="G751" t="str">
        <f>HYPERLINK(_xlfn.CONCAT("https://tablet.otzar.org/",CHAR(35),"/book/655833/p/-1/t/1/fs/0/start/0/end/0/c"),"גור אריה יהודה - הלכות תלמוד תורה")</f>
        <v>גור אריה יהודה - הלכות תלמוד תורה</v>
      </c>
      <c r="H751" t="str">
        <f>_xlfn.CONCAT("https://tablet.otzar.org/",CHAR(35),"/book/655833/p/-1/t/1/fs/0/start/0/end/0/c")</f>
        <v>https://tablet.otzar.org/#/book/655833/p/-1/t/1/fs/0/start/0/end/0/c</v>
      </c>
    </row>
    <row r="752" spans="1:8" x14ac:dyDescent="0.25">
      <c r="A752">
        <v>650495</v>
      </c>
      <c r="B752" t="s">
        <v>1698</v>
      </c>
      <c r="C752" t="s">
        <v>1699</v>
      </c>
      <c r="D752" t="s">
        <v>600</v>
      </c>
      <c r="E752" t="s">
        <v>1700</v>
      </c>
      <c r="G752" t="str">
        <f>HYPERLINK(_xlfn.CONCAT("https://tablet.otzar.org/",CHAR(35),"/book/650495/p/-1/t/1/fs/0/start/0/end/0/c"),"גורל לה'")</f>
        <v>גורל לה'</v>
      </c>
      <c r="H752" t="str">
        <f>_xlfn.CONCAT("https://tablet.otzar.org/",CHAR(35),"/book/650495/p/-1/t/1/fs/0/start/0/end/0/c")</f>
        <v>https://tablet.otzar.org/#/book/650495/p/-1/t/1/fs/0/start/0/end/0/c</v>
      </c>
    </row>
    <row r="753" spans="1:8" x14ac:dyDescent="0.25">
      <c r="A753">
        <v>651936</v>
      </c>
      <c r="B753" t="s">
        <v>1701</v>
      </c>
      <c r="C753" t="s">
        <v>1702</v>
      </c>
      <c r="D753" t="s">
        <v>1703</v>
      </c>
      <c r="E753" t="s">
        <v>1704</v>
      </c>
      <c r="G753" t="str">
        <f>HYPERLINK(_xlfn.CONCAT("https://tablet.otzar.org/",CHAR(35),"/book/651936/p/-1/t/1/fs/0/start/0/end/0/c"),"גורן האטד")</f>
        <v>גורן האטד</v>
      </c>
      <c r="H753" t="str">
        <f>_xlfn.CONCAT("https://tablet.otzar.org/",CHAR(35),"/book/651936/p/-1/t/1/fs/0/start/0/end/0/c")</f>
        <v>https://tablet.otzar.org/#/book/651936/p/-1/t/1/fs/0/start/0/end/0/c</v>
      </c>
    </row>
    <row r="754" spans="1:8" x14ac:dyDescent="0.25">
      <c r="A754">
        <v>648507</v>
      </c>
      <c r="B754" t="s">
        <v>1705</v>
      </c>
      <c r="C754" t="s">
        <v>1706</v>
      </c>
      <c r="D754" t="s">
        <v>1707</v>
      </c>
      <c r="E754" t="s">
        <v>77</v>
      </c>
      <c r="G754" t="str">
        <f>HYPERLINK(_xlfn.CONCAT("https://tablet.otzar.org/",CHAR(35),"/book/648507/p/-1/t/1/fs/0/start/0/end/0/c"),"גזע ישי")</f>
        <v>גזע ישי</v>
      </c>
      <c r="H754" t="str">
        <f>_xlfn.CONCAT("https://tablet.otzar.org/",CHAR(35),"/book/648507/p/-1/t/1/fs/0/start/0/end/0/c")</f>
        <v>https://tablet.otzar.org/#/book/648507/p/-1/t/1/fs/0/start/0/end/0/c</v>
      </c>
    </row>
    <row r="755" spans="1:8" x14ac:dyDescent="0.25">
      <c r="A755">
        <v>655705</v>
      </c>
      <c r="B755" t="s">
        <v>1708</v>
      </c>
      <c r="C755" t="s">
        <v>1709</v>
      </c>
      <c r="D755" t="s">
        <v>10</v>
      </c>
      <c r="E755" t="s">
        <v>11</v>
      </c>
      <c r="G755" t="str">
        <f>HYPERLINK(_xlfn.CONCAT("https://tablet.otzar.org/",CHAR(35),"/exKotar/655705"),"גזע ישי &lt;מהדורה חדשה&gt; - 2 כרכים")</f>
        <v>גזע ישי &lt;מהדורה חדשה&gt; - 2 כרכים</v>
      </c>
      <c r="H755" t="str">
        <f>_xlfn.CONCAT("https://tablet.otzar.org/",CHAR(35),"/exKotar/655705")</f>
        <v>https://tablet.otzar.org/#/exKotar/655705</v>
      </c>
    </row>
    <row r="756" spans="1:8" x14ac:dyDescent="0.25">
      <c r="A756">
        <v>647575</v>
      </c>
      <c r="B756" t="s">
        <v>1710</v>
      </c>
      <c r="C756" t="s">
        <v>1711</v>
      </c>
      <c r="D756" t="s">
        <v>52</v>
      </c>
      <c r="E756" t="s">
        <v>1189</v>
      </c>
      <c r="G756" t="str">
        <f>HYPERLINK(_xlfn.CONCAT("https://tablet.otzar.org/",CHAR(35),"/book/647575/p/-1/t/1/fs/0/start/0/end/0/c"),"גחלי אור - 4")</f>
        <v>גחלי אור - 4</v>
      </c>
      <c r="H756" t="str">
        <f>_xlfn.CONCAT("https://tablet.otzar.org/",CHAR(35),"/book/647575/p/-1/t/1/fs/0/start/0/end/0/c")</f>
        <v>https://tablet.otzar.org/#/book/647575/p/-1/t/1/fs/0/start/0/end/0/c</v>
      </c>
    </row>
    <row r="757" spans="1:8" x14ac:dyDescent="0.25">
      <c r="A757">
        <v>655468</v>
      </c>
      <c r="B757" t="s">
        <v>1712</v>
      </c>
      <c r="C757" t="s">
        <v>1713</v>
      </c>
      <c r="D757" t="s">
        <v>1714</v>
      </c>
      <c r="E757" t="s">
        <v>1715</v>
      </c>
      <c r="G757" t="str">
        <f>HYPERLINK(_xlfn.CONCAT("https://tablet.otzar.org/",CHAR(35),"/book/655468/p/-1/t/1/fs/0/start/0/end/0/c"),"גחלי אש")</f>
        <v>גחלי אש</v>
      </c>
      <c r="H757" t="str">
        <f>_xlfn.CONCAT("https://tablet.otzar.org/",CHAR(35),"/book/655468/p/-1/t/1/fs/0/start/0/end/0/c")</f>
        <v>https://tablet.otzar.org/#/book/655468/p/-1/t/1/fs/0/start/0/end/0/c</v>
      </c>
    </row>
    <row r="758" spans="1:8" x14ac:dyDescent="0.25">
      <c r="A758">
        <v>650449</v>
      </c>
      <c r="B758" t="s">
        <v>1716</v>
      </c>
      <c r="C758" t="s">
        <v>1717</v>
      </c>
      <c r="D758" t="s">
        <v>58</v>
      </c>
      <c r="E758" t="s">
        <v>1718</v>
      </c>
      <c r="G758" t="str">
        <f>HYPERLINK(_xlfn.CONCAT("https://tablet.otzar.org/",CHAR(35),"/book/650449/p/-1/t/1/fs/0/start/0/end/0/c"),"גיא חזיון")</f>
        <v>גיא חזיון</v>
      </c>
      <c r="H758" t="str">
        <f>_xlfn.CONCAT("https://tablet.otzar.org/",CHAR(35),"/book/650449/p/-1/t/1/fs/0/start/0/end/0/c")</f>
        <v>https://tablet.otzar.org/#/book/650449/p/-1/t/1/fs/0/start/0/end/0/c</v>
      </c>
    </row>
    <row r="759" spans="1:8" x14ac:dyDescent="0.25">
      <c r="A759">
        <v>618743</v>
      </c>
      <c r="B759" t="s">
        <v>1719</v>
      </c>
      <c r="C759" t="s">
        <v>1720</v>
      </c>
      <c r="D759" t="s">
        <v>10</v>
      </c>
      <c r="E759" t="s">
        <v>146</v>
      </c>
      <c r="G759" t="str">
        <f>HYPERLINK(_xlfn.CONCAT("https://tablet.otzar.org/",CHAR(35),"/exKotar/618743"),"גידולי מוסר - 2 כרכים")</f>
        <v>גידולי מוסר - 2 כרכים</v>
      </c>
      <c r="H759" t="str">
        <f>_xlfn.CONCAT("https://tablet.otzar.org/",CHAR(35),"/exKotar/618743")</f>
        <v>https://tablet.otzar.org/#/exKotar/618743</v>
      </c>
    </row>
    <row r="760" spans="1:8" x14ac:dyDescent="0.25">
      <c r="A760">
        <v>650870</v>
      </c>
      <c r="B760" t="s">
        <v>1721</v>
      </c>
      <c r="C760" t="s">
        <v>1722</v>
      </c>
      <c r="D760" t="s">
        <v>34</v>
      </c>
      <c r="E760" t="s">
        <v>35</v>
      </c>
      <c r="G760" t="str">
        <f>HYPERLINK(_xlfn.CONCAT("https://tablet.otzar.org/",CHAR(35),"/book/650870/p/-1/t/1/fs/0/start/0/end/0/c"),"גידולי שביעית")</f>
        <v>גידולי שביעית</v>
      </c>
      <c r="H760" t="str">
        <f>_xlfn.CONCAT("https://tablet.otzar.org/",CHAR(35),"/book/650870/p/-1/t/1/fs/0/start/0/end/0/c")</f>
        <v>https://tablet.otzar.org/#/book/650870/p/-1/t/1/fs/0/start/0/end/0/c</v>
      </c>
    </row>
    <row r="761" spans="1:8" x14ac:dyDescent="0.25">
      <c r="A761">
        <v>653637</v>
      </c>
      <c r="B761" t="s">
        <v>1723</v>
      </c>
      <c r="C761" t="s">
        <v>1724</v>
      </c>
      <c r="D761" t="s">
        <v>34</v>
      </c>
      <c r="E761" t="s">
        <v>70</v>
      </c>
      <c r="G761" t="str">
        <f>HYPERLINK(_xlfn.CONCAT("https://tablet.otzar.org/",CHAR(35),"/book/653637/p/-1/t/1/fs/0/start/0/end/0/c"),"גידולי שמואל")</f>
        <v>גידולי שמואל</v>
      </c>
      <c r="H761" t="str">
        <f>_xlfn.CONCAT("https://tablet.otzar.org/",CHAR(35),"/book/653637/p/-1/t/1/fs/0/start/0/end/0/c")</f>
        <v>https://tablet.otzar.org/#/book/653637/p/-1/t/1/fs/0/start/0/end/0/c</v>
      </c>
    </row>
    <row r="762" spans="1:8" x14ac:dyDescent="0.25">
      <c r="A762">
        <v>656032</v>
      </c>
      <c r="B762" t="s">
        <v>1725</v>
      </c>
      <c r="C762" t="s">
        <v>1726</v>
      </c>
      <c r="D762" t="s">
        <v>10</v>
      </c>
      <c r="E762" t="s">
        <v>45</v>
      </c>
      <c r="G762" t="str">
        <f>HYPERLINK(_xlfn.CONCAT("https://tablet.otzar.org/",CHAR(35),"/book/656032/p/-1/t/1/fs/0/start/0/end/0/c"),"גיליוני החומש")</f>
        <v>גיליוני החומש</v>
      </c>
      <c r="H762" t="str">
        <f>_xlfn.CONCAT("https://tablet.otzar.org/",CHAR(35),"/book/656032/p/-1/t/1/fs/0/start/0/end/0/c")</f>
        <v>https://tablet.otzar.org/#/book/656032/p/-1/t/1/fs/0/start/0/end/0/c</v>
      </c>
    </row>
    <row r="763" spans="1:8" x14ac:dyDescent="0.25">
      <c r="A763">
        <v>648268</v>
      </c>
      <c r="B763" t="s">
        <v>1727</v>
      </c>
      <c r="C763" t="s">
        <v>1728</v>
      </c>
      <c r="E763" t="s">
        <v>84</v>
      </c>
      <c r="G763" t="str">
        <f>HYPERLINK(_xlfn.CONCAT("https://tablet.otzar.org/",CHAR(35),"/book/648268/p/-1/t/1/fs/0/start/0/end/0/c"),"גינת ורדים - קובץ תורני לענייני הלכה ואגדה - לח")</f>
        <v>גינת ורדים - קובץ תורני לענייני הלכה ואגדה - לח</v>
      </c>
      <c r="H763" t="str">
        <f>_xlfn.CONCAT("https://tablet.otzar.org/",CHAR(35),"/book/648268/p/-1/t/1/fs/0/start/0/end/0/c")</f>
        <v>https://tablet.otzar.org/#/book/648268/p/-1/t/1/fs/0/start/0/end/0/c</v>
      </c>
    </row>
    <row r="764" spans="1:8" x14ac:dyDescent="0.25">
      <c r="A764">
        <v>649988</v>
      </c>
      <c r="B764" t="s">
        <v>1729</v>
      </c>
      <c r="C764" t="s">
        <v>1730</v>
      </c>
      <c r="E764" t="s">
        <v>11</v>
      </c>
      <c r="G764" t="str">
        <f>HYPERLINK(_xlfn.CONCAT("https://tablet.otzar.org/",CHAR(35),"/book/649988/p/-1/t/1/fs/0/start/0/end/0/c"),"גינת ראובן - כלאים א")</f>
        <v>גינת ראובן - כלאים א</v>
      </c>
      <c r="H764" t="str">
        <f>_xlfn.CONCAT("https://tablet.otzar.org/",CHAR(35),"/book/649988/p/-1/t/1/fs/0/start/0/end/0/c")</f>
        <v>https://tablet.otzar.org/#/book/649988/p/-1/t/1/fs/0/start/0/end/0/c</v>
      </c>
    </row>
    <row r="765" spans="1:8" x14ac:dyDescent="0.25">
      <c r="A765">
        <v>655856</v>
      </c>
      <c r="B765" t="s">
        <v>1731</v>
      </c>
      <c r="C765" t="s">
        <v>1732</v>
      </c>
      <c r="D765" t="s">
        <v>10</v>
      </c>
      <c r="E765" t="s">
        <v>84</v>
      </c>
      <c r="G765" t="str">
        <f>HYPERLINK(_xlfn.CONCAT("https://tablet.otzar.org/",CHAR(35),"/exKotar/655856"),"גיצי אורה - 2 כרכים")</f>
        <v>גיצי אורה - 2 כרכים</v>
      </c>
      <c r="H765" t="str">
        <f>_xlfn.CONCAT("https://tablet.otzar.org/",CHAR(35),"/exKotar/655856")</f>
        <v>https://tablet.otzar.org/#/exKotar/655856</v>
      </c>
    </row>
    <row r="766" spans="1:8" x14ac:dyDescent="0.25">
      <c r="A766">
        <v>653696</v>
      </c>
      <c r="B766" t="s">
        <v>1733</v>
      </c>
      <c r="C766" t="s">
        <v>1734</v>
      </c>
      <c r="D766" t="s">
        <v>1735</v>
      </c>
      <c r="E766" t="s">
        <v>11</v>
      </c>
      <c r="G766" t="str">
        <f>HYPERLINK(_xlfn.CONCAT("https://tablet.otzar.org/",CHAR(35),"/book/653696/p/-1/t/1/fs/0/start/0/end/0/c"),"גל עיני - ב (כט)")</f>
        <v>גל עיני - ב (כט)</v>
      </c>
      <c r="H766" t="str">
        <f>_xlfn.CONCAT("https://tablet.otzar.org/",CHAR(35),"/book/653696/p/-1/t/1/fs/0/start/0/end/0/c")</f>
        <v>https://tablet.otzar.org/#/book/653696/p/-1/t/1/fs/0/start/0/end/0/c</v>
      </c>
    </row>
    <row r="767" spans="1:8" x14ac:dyDescent="0.25">
      <c r="A767">
        <v>654649</v>
      </c>
      <c r="B767" t="s">
        <v>1736</v>
      </c>
      <c r="C767" t="s">
        <v>1737</v>
      </c>
      <c r="D767" t="s">
        <v>34</v>
      </c>
      <c r="E767" t="s">
        <v>29</v>
      </c>
      <c r="G767" t="str">
        <f>HYPERLINK(_xlfn.CONCAT("https://tablet.otzar.org/",CHAR(35),"/book/654649/p/-1/t/1/fs/0/start/0/end/0/c"),"גלגולי נשמות לרמ""""ע מפאנו - עם ביאור חסד לאברהם")</f>
        <v>גלגולי נשמות לרמ""ע מפאנו - עם ביאור חסד לאברהם</v>
      </c>
      <c r="H767" t="str">
        <f>_xlfn.CONCAT("https://tablet.otzar.org/",CHAR(35),"/book/654649/p/-1/t/1/fs/0/start/0/end/0/c")</f>
        <v>https://tablet.otzar.org/#/book/654649/p/-1/t/1/fs/0/start/0/end/0/c</v>
      </c>
    </row>
    <row r="768" spans="1:8" x14ac:dyDescent="0.25">
      <c r="A768">
        <v>652602</v>
      </c>
      <c r="B768" t="s">
        <v>1738</v>
      </c>
      <c r="C768" t="s">
        <v>1739</v>
      </c>
      <c r="E768" t="s">
        <v>1740</v>
      </c>
      <c r="G768" t="str">
        <f>HYPERLINK(_xlfn.CONCAT("https://tablet.otzar.org/",CHAR(35),"/book/652602/p/-1/t/1/fs/0/start/0/end/0/c"),"גלגל המזלות של טבריה")</f>
        <v>גלגל המזלות של טבריה</v>
      </c>
      <c r="H768" t="str">
        <f>_xlfn.CONCAT("https://tablet.otzar.org/",CHAR(35),"/book/652602/p/-1/t/1/fs/0/start/0/end/0/c")</f>
        <v>https://tablet.otzar.org/#/book/652602/p/-1/t/1/fs/0/start/0/end/0/c</v>
      </c>
    </row>
    <row r="769" spans="1:8" x14ac:dyDescent="0.25">
      <c r="A769">
        <v>654481</v>
      </c>
      <c r="B769" t="s">
        <v>1741</v>
      </c>
      <c r="C769" t="s">
        <v>1742</v>
      </c>
      <c r="D769" t="s">
        <v>10</v>
      </c>
      <c r="E769" t="s">
        <v>89</v>
      </c>
      <c r="G769" t="str">
        <f>HYPERLINK(_xlfn.CONCAT("https://tablet.otzar.org/",CHAR(35),"/exKotar/654481"),"גלי הים - 3 כרכים")</f>
        <v>גלי הים - 3 כרכים</v>
      </c>
      <c r="H769" t="str">
        <f>_xlfn.CONCAT("https://tablet.otzar.org/",CHAR(35),"/exKotar/654481")</f>
        <v>https://tablet.otzar.org/#/exKotar/654481</v>
      </c>
    </row>
    <row r="770" spans="1:8" x14ac:dyDescent="0.25">
      <c r="A770">
        <v>643246</v>
      </c>
      <c r="B770" t="s">
        <v>1743</v>
      </c>
      <c r="C770" t="s">
        <v>1744</v>
      </c>
      <c r="D770" t="s">
        <v>52</v>
      </c>
      <c r="E770" t="s">
        <v>224</v>
      </c>
      <c r="G770" t="str">
        <f>HYPERLINK(_xlfn.CONCAT("https://tablet.otzar.org/",CHAR(35),"/book/643246/p/-1/t/1/fs/0/start/0/end/0/c"),"גליון אר""""ץ זבת חל'ב - 35-51")</f>
        <v>גליון אר""ץ זבת חל'ב - 35-51</v>
      </c>
      <c r="H770" t="str">
        <f>_xlfn.CONCAT("https://tablet.otzar.org/",CHAR(35),"/book/643246/p/-1/t/1/fs/0/start/0/end/0/c")</f>
        <v>https://tablet.otzar.org/#/book/643246/p/-1/t/1/fs/0/start/0/end/0/c</v>
      </c>
    </row>
    <row r="771" spans="1:8" x14ac:dyDescent="0.25">
      <c r="A771">
        <v>646705</v>
      </c>
      <c r="B771" t="s">
        <v>1745</v>
      </c>
      <c r="C771" t="s">
        <v>1746</v>
      </c>
      <c r="D771" t="s">
        <v>52</v>
      </c>
      <c r="E771" t="s">
        <v>70</v>
      </c>
      <c r="G771" t="str">
        <f>HYPERLINK(_xlfn.CONCAT("https://tablet.otzar.org/",CHAR(35),"/exKotar/646705"),"גליון הלכות מים חיים - 8 כרכים")</f>
        <v>גליון הלכות מים חיים - 8 כרכים</v>
      </c>
      <c r="H771" t="str">
        <f>_xlfn.CONCAT("https://tablet.otzar.org/",CHAR(35),"/exKotar/646705")</f>
        <v>https://tablet.otzar.org/#/exKotar/646705</v>
      </c>
    </row>
    <row r="772" spans="1:8" x14ac:dyDescent="0.25">
      <c r="A772">
        <v>646654</v>
      </c>
      <c r="B772" t="s">
        <v>1747</v>
      </c>
      <c r="C772" t="s">
        <v>1748</v>
      </c>
      <c r="D772" t="s">
        <v>52</v>
      </c>
      <c r="E772" t="s">
        <v>35</v>
      </c>
      <c r="G772" t="str">
        <f>HYPERLINK(_xlfn.CONCAT("https://tablet.otzar.org/",CHAR(35),"/book/646654/p/-1/t/1/fs/0/start/0/end/0/c"),"גליון מנחת העומר")</f>
        <v>גליון מנחת העומר</v>
      </c>
      <c r="H772" t="str">
        <f>_xlfn.CONCAT("https://tablet.otzar.org/",CHAR(35),"/book/646654/p/-1/t/1/fs/0/start/0/end/0/c")</f>
        <v>https://tablet.otzar.org/#/book/646654/p/-1/t/1/fs/0/start/0/end/0/c</v>
      </c>
    </row>
    <row r="773" spans="1:8" x14ac:dyDescent="0.25">
      <c r="A773">
        <v>646656</v>
      </c>
      <c r="B773" t="s">
        <v>1749</v>
      </c>
      <c r="C773" t="s">
        <v>1748</v>
      </c>
      <c r="D773" t="s">
        <v>52</v>
      </c>
      <c r="E773" t="s">
        <v>35</v>
      </c>
      <c r="G773" t="str">
        <f>HYPERLINK(_xlfn.CONCAT("https://tablet.otzar.org/",CHAR(35),"/exKotar/646656"),"גליון תורת הקרבנות - 8 כרכים")</f>
        <v>גליון תורת הקרבנות - 8 כרכים</v>
      </c>
      <c r="H773" t="str">
        <f>_xlfn.CONCAT("https://tablet.otzar.org/",CHAR(35),"/exKotar/646656")</f>
        <v>https://tablet.otzar.org/#/exKotar/646656</v>
      </c>
    </row>
    <row r="774" spans="1:8" x14ac:dyDescent="0.25">
      <c r="A774">
        <v>654534</v>
      </c>
      <c r="B774" t="s">
        <v>1750</v>
      </c>
      <c r="C774" t="s">
        <v>308</v>
      </c>
      <c r="E774" t="s">
        <v>35</v>
      </c>
      <c r="G774" t="str">
        <f>HYPERLINK(_xlfn.CONCAT("https://tablet.otzar.org/",CHAR(35),"/book/654534/p/-1/t/1/fs/0/start/0/end/0/c"),"גליונות באר ההלכה - א-כב")</f>
        <v>גליונות באר ההלכה - א-כב</v>
      </c>
      <c r="H774" t="str">
        <f>_xlfn.CONCAT("https://tablet.otzar.org/",CHAR(35),"/book/654534/p/-1/t/1/fs/0/start/0/end/0/c")</f>
        <v>https://tablet.otzar.org/#/book/654534/p/-1/t/1/fs/0/start/0/end/0/c</v>
      </c>
    </row>
    <row r="775" spans="1:8" x14ac:dyDescent="0.25">
      <c r="A775">
        <v>647621</v>
      </c>
      <c r="B775" t="s">
        <v>1751</v>
      </c>
      <c r="C775" t="s">
        <v>1752</v>
      </c>
      <c r="E775" t="s">
        <v>507</v>
      </c>
      <c r="G775" t="str">
        <f>HYPERLINK(_xlfn.CONCAT("https://tablet.otzar.org/",CHAR(35),"/book/647621/p/-1/t/1/fs/0/start/0/end/0/c"),"גליונות הליכות לבן ישיבה")</f>
        <v>גליונות הליכות לבן ישיבה</v>
      </c>
      <c r="H775" t="str">
        <f>_xlfn.CONCAT("https://tablet.otzar.org/",CHAR(35),"/book/647621/p/-1/t/1/fs/0/start/0/end/0/c")</f>
        <v>https://tablet.otzar.org/#/book/647621/p/-1/t/1/fs/0/start/0/end/0/c</v>
      </c>
    </row>
    <row r="776" spans="1:8" x14ac:dyDescent="0.25">
      <c r="A776">
        <v>650793</v>
      </c>
      <c r="B776" t="s">
        <v>1753</v>
      </c>
      <c r="C776" t="s">
        <v>1754</v>
      </c>
      <c r="D776" t="s">
        <v>10</v>
      </c>
      <c r="E776" t="s">
        <v>11</v>
      </c>
      <c r="G776" t="str">
        <f>HYPERLINK(_xlfn.CONCAT("https://tablet.otzar.org/",CHAR(35),"/book/650793/p/-1/t/1/fs/0/start/0/end/0/c"),"גליונות וחידושי הגרחש""""ק מלינק זצ""""ל")</f>
        <v>גליונות וחידושי הגרחש""ק מלינק זצ""ל</v>
      </c>
      <c r="H776" t="str">
        <f>_xlfn.CONCAT("https://tablet.otzar.org/",CHAR(35),"/book/650793/p/-1/t/1/fs/0/start/0/end/0/c")</f>
        <v>https://tablet.otzar.org/#/book/650793/p/-1/t/1/fs/0/start/0/end/0/c</v>
      </c>
    </row>
    <row r="777" spans="1:8" x14ac:dyDescent="0.25">
      <c r="A777">
        <v>654796</v>
      </c>
      <c r="B777" t="s">
        <v>1755</v>
      </c>
      <c r="C777" t="s">
        <v>1756</v>
      </c>
      <c r="D777" t="s">
        <v>52</v>
      </c>
      <c r="E777" t="s">
        <v>817</v>
      </c>
      <c r="G777" t="str">
        <f>HYPERLINK(_xlfn.CONCAT("https://tablet.otzar.org/",CHAR(35),"/exKotar/654796"),"גליונות רבי דב לנדו - 5 כרכים")</f>
        <v>גליונות רבי דב לנדו - 5 כרכים</v>
      </c>
      <c r="H777" t="str">
        <f>_xlfn.CONCAT("https://tablet.otzar.org/",CHAR(35),"/exKotar/654796")</f>
        <v>https://tablet.otzar.org/#/exKotar/654796</v>
      </c>
    </row>
    <row r="778" spans="1:8" x14ac:dyDescent="0.25">
      <c r="A778">
        <v>648913</v>
      </c>
      <c r="B778" t="s">
        <v>1757</v>
      </c>
      <c r="C778" t="s">
        <v>1758</v>
      </c>
      <c r="D778" t="s">
        <v>10</v>
      </c>
      <c r="E778" t="s">
        <v>126</v>
      </c>
      <c r="G778" t="str">
        <f>HYPERLINK(_xlfn.CONCAT("https://tablet.otzar.org/",CHAR(35),"/book/648913/p/-1/t/1/fs/0/start/0/end/0/c"),"גליוני מהר""""י - יור""""ד ר""""מ-ר""""צ")</f>
        <v>גליוני מהר""י - יור""ד ר""מ-ר""צ</v>
      </c>
      <c r="H778" t="str">
        <f>_xlfn.CONCAT("https://tablet.otzar.org/",CHAR(35),"/book/648913/p/-1/t/1/fs/0/start/0/end/0/c")</f>
        <v>https://tablet.otzar.org/#/book/648913/p/-1/t/1/fs/0/start/0/end/0/c</v>
      </c>
    </row>
    <row r="779" spans="1:8" x14ac:dyDescent="0.25">
      <c r="A779">
        <v>653721</v>
      </c>
      <c r="B779" t="s">
        <v>1759</v>
      </c>
      <c r="C779" t="s">
        <v>1760</v>
      </c>
      <c r="D779" t="s">
        <v>1761</v>
      </c>
      <c r="E779" t="s">
        <v>11</v>
      </c>
      <c r="G779" t="str">
        <f>HYPERLINK(_xlfn.CONCAT("https://tablet.otzar.org/",CHAR(35),"/exKotar/653721"),"גליוני שיעורים - 2 כרכים")</f>
        <v>גליוני שיעורים - 2 כרכים</v>
      </c>
      <c r="H779" t="str">
        <f>_xlfn.CONCAT("https://tablet.otzar.org/",CHAR(35),"/exKotar/653721")</f>
        <v>https://tablet.otzar.org/#/exKotar/653721</v>
      </c>
    </row>
    <row r="780" spans="1:8" x14ac:dyDescent="0.25">
      <c r="A780">
        <v>648387</v>
      </c>
      <c r="B780" t="s">
        <v>1762</v>
      </c>
      <c r="C780" t="s">
        <v>1763</v>
      </c>
      <c r="D780" t="s">
        <v>1763</v>
      </c>
      <c r="E780" t="s">
        <v>161</v>
      </c>
      <c r="G780" t="str">
        <f>HYPERLINK(_xlfn.CONCAT("https://tablet.otzar.org/",CHAR(35),"/exKotar/648387"),"גליוני שלמי שמעון - 2 כרכים")</f>
        <v>גליוני שלמי שמעון - 2 כרכים</v>
      </c>
      <c r="H780" t="str">
        <f>_xlfn.CONCAT("https://tablet.otzar.org/",CHAR(35),"/exKotar/648387")</f>
        <v>https://tablet.otzar.org/#/exKotar/648387</v>
      </c>
    </row>
    <row r="781" spans="1:8" x14ac:dyDescent="0.25">
      <c r="A781">
        <v>648245</v>
      </c>
      <c r="B781" t="s">
        <v>1764</v>
      </c>
      <c r="C781" t="s">
        <v>1765</v>
      </c>
      <c r="D781" t="s">
        <v>1766</v>
      </c>
      <c r="E781" t="s">
        <v>780</v>
      </c>
      <c r="G781" t="str">
        <f>HYPERLINK(_xlfn.CONCAT("https://tablet.otzar.org/",CHAR(35),"/book/648245/p/-1/t/1/fs/0/start/0/end/0/c"),"גלת - ג")</f>
        <v>גלת - ג</v>
      </c>
      <c r="H781" t="str">
        <f>_xlfn.CONCAT("https://tablet.otzar.org/",CHAR(35),"/book/648245/p/-1/t/1/fs/0/start/0/end/0/c")</f>
        <v>https://tablet.otzar.org/#/book/648245/p/-1/t/1/fs/0/start/0/end/0/c</v>
      </c>
    </row>
    <row r="782" spans="1:8" x14ac:dyDescent="0.25">
      <c r="A782">
        <v>654471</v>
      </c>
      <c r="B782" t="s">
        <v>1767</v>
      </c>
      <c r="C782" t="s">
        <v>1038</v>
      </c>
      <c r="D782" t="s">
        <v>52</v>
      </c>
      <c r="E782" t="s">
        <v>19</v>
      </c>
      <c r="G782" t="str">
        <f>HYPERLINK(_xlfn.CONCAT("https://tablet.otzar.org/",CHAR(35),"/exKotar/654471"),"גם אני אודך - 25 כרכים")</f>
        <v>גם אני אודך - 25 כרכים</v>
      </c>
      <c r="H782" t="str">
        <f>_xlfn.CONCAT("https://tablet.otzar.org/",CHAR(35),"/exKotar/654471")</f>
        <v>https://tablet.otzar.org/#/exKotar/654471</v>
      </c>
    </row>
    <row r="783" spans="1:8" x14ac:dyDescent="0.25">
      <c r="A783">
        <v>647613</v>
      </c>
      <c r="B783" t="s">
        <v>1768</v>
      </c>
      <c r="C783" t="s">
        <v>1769</v>
      </c>
      <c r="D783" t="s">
        <v>10</v>
      </c>
      <c r="E783" t="s">
        <v>11</v>
      </c>
      <c r="G783" t="str">
        <f>HYPERLINK(_xlfn.CONCAT("https://tablet.otzar.org/",CHAR(35),"/book/647613/p/-1/t/1/fs/0/start/0/end/0/c"),"גם יכלתי")</f>
        <v>גם יכלתי</v>
      </c>
      <c r="H783" t="str">
        <f>_xlfn.CONCAT("https://tablet.otzar.org/",CHAR(35),"/book/647613/p/-1/t/1/fs/0/start/0/end/0/c")</f>
        <v>https://tablet.otzar.org/#/book/647613/p/-1/t/1/fs/0/start/0/end/0/c</v>
      </c>
    </row>
    <row r="784" spans="1:8" x14ac:dyDescent="0.25">
      <c r="A784">
        <v>650147</v>
      </c>
      <c r="B784" t="s">
        <v>1770</v>
      </c>
      <c r="C784" t="s">
        <v>1771</v>
      </c>
      <c r="D784" t="s">
        <v>10</v>
      </c>
      <c r="E784" t="s">
        <v>1189</v>
      </c>
      <c r="G784" t="str">
        <f>HYPERLINK(_xlfn.CONCAT("https://tablet.otzar.org/",CHAR(35),"/book/650147/p/-1/t/1/fs/0/start/0/end/0/c"),"גמילות חסדים הכללי דחסידי בעלזא")</f>
        <v>גמילות חסדים הכללי דחסידי בעלזא</v>
      </c>
      <c r="H784" t="str">
        <f>_xlfn.CONCAT("https://tablet.otzar.org/",CHAR(35),"/book/650147/p/-1/t/1/fs/0/start/0/end/0/c")</f>
        <v>https://tablet.otzar.org/#/book/650147/p/-1/t/1/fs/0/start/0/end/0/c</v>
      </c>
    </row>
    <row r="785" spans="1:8" x14ac:dyDescent="0.25">
      <c r="A785">
        <v>648967</v>
      </c>
      <c r="B785" t="s">
        <v>1772</v>
      </c>
      <c r="C785" t="s">
        <v>368</v>
      </c>
      <c r="D785" t="s">
        <v>10</v>
      </c>
      <c r="E785" t="s">
        <v>73</v>
      </c>
      <c r="G785" t="str">
        <f>HYPERLINK(_xlfn.CONCAT("https://tablet.otzar.org/",CHAR(35),"/book/648967/p/-1/t/1/fs/0/start/0/end/0/c"),"גמרא לתלמיד - פרק המניח")</f>
        <v>גמרא לתלמיד - פרק המניח</v>
      </c>
      <c r="H785" t="str">
        <f>_xlfn.CONCAT("https://tablet.otzar.org/",CHAR(35),"/book/648967/p/-1/t/1/fs/0/start/0/end/0/c")</f>
        <v>https://tablet.otzar.org/#/book/648967/p/-1/t/1/fs/0/start/0/end/0/c</v>
      </c>
    </row>
    <row r="786" spans="1:8" x14ac:dyDescent="0.25">
      <c r="A786">
        <v>103480</v>
      </c>
      <c r="B786" t="s">
        <v>1773</v>
      </c>
      <c r="C786" t="s">
        <v>1774</v>
      </c>
      <c r="E786" t="s">
        <v>1775</v>
      </c>
      <c r="G786" t="str">
        <f>HYPERLINK(_xlfn.CONCAT("https://tablet.otzar.org/",CHAR(35),"/book/103480/p/-1/t/1/fs/0/start/0/end/0/c"),"גמרא מבוארת - ב""""מ פ""""ג")</f>
        <v>גמרא מבוארת - ב""מ פ""ג</v>
      </c>
      <c r="H786" t="str">
        <f>_xlfn.CONCAT("https://tablet.otzar.org/",CHAR(35),"/book/103480/p/-1/t/1/fs/0/start/0/end/0/c")</f>
        <v>https://tablet.otzar.org/#/book/103480/p/-1/t/1/fs/0/start/0/end/0/c</v>
      </c>
    </row>
    <row r="787" spans="1:8" x14ac:dyDescent="0.25">
      <c r="A787">
        <v>103481</v>
      </c>
      <c r="B787" t="s">
        <v>1776</v>
      </c>
      <c r="C787" t="s">
        <v>1777</v>
      </c>
      <c r="D787" t="s">
        <v>10</v>
      </c>
      <c r="E787" t="s">
        <v>1288</v>
      </c>
      <c r="G787" t="str">
        <f>HYPERLINK(_xlfn.CONCAT("https://tablet.otzar.org/",CHAR(35),"/book/103481/p/-1/t/1/fs/0/start/0/end/0/c"),"גמרא מבוארת - ב""""ק פ""""א")</f>
        <v>גמרא מבוארת - ב""ק פ""א</v>
      </c>
      <c r="H787" t="str">
        <f>_xlfn.CONCAT("https://tablet.otzar.org/",CHAR(35),"/book/103481/p/-1/t/1/fs/0/start/0/end/0/c")</f>
        <v>https://tablet.otzar.org/#/book/103481/p/-1/t/1/fs/0/start/0/end/0/c</v>
      </c>
    </row>
    <row r="788" spans="1:8" x14ac:dyDescent="0.25">
      <c r="A788">
        <v>647790</v>
      </c>
      <c r="B788" t="s">
        <v>1778</v>
      </c>
      <c r="C788" t="s">
        <v>1779</v>
      </c>
      <c r="D788" t="s">
        <v>1453</v>
      </c>
      <c r="E788" t="s">
        <v>817</v>
      </c>
      <c r="G788" t="str">
        <f>HYPERLINK(_xlfn.CONCAT("https://tablet.otzar.org/",CHAR(35),"/book/647790/p/-1/t/1/fs/0/start/0/end/0/c"),"גן ההלכה - ב")</f>
        <v>גן ההלכה - ב</v>
      </c>
      <c r="H788" t="str">
        <f>_xlfn.CONCAT("https://tablet.otzar.org/",CHAR(35),"/book/647790/p/-1/t/1/fs/0/start/0/end/0/c")</f>
        <v>https://tablet.otzar.org/#/book/647790/p/-1/t/1/fs/0/start/0/end/0/c</v>
      </c>
    </row>
    <row r="789" spans="1:8" x14ac:dyDescent="0.25">
      <c r="A789">
        <v>655409</v>
      </c>
      <c r="B789" t="s">
        <v>1780</v>
      </c>
      <c r="C789" t="s">
        <v>1781</v>
      </c>
      <c r="D789" t="s">
        <v>424</v>
      </c>
      <c r="E789" t="s">
        <v>312</v>
      </c>
      <c r="G789" t="str">
        <f>HYPERLINK(_xlfn.CONCAT("https://tablet.otzar.org/",CHAR(35),"/exKotar/655409"),"גן נעול - 2 כרכים")</f>
        <v>גן נעול - 2 כרכים</v>
      </c>
      <c r="H789" t="str">
        <f>_xlfn.CONCAT("https://tablet.otzar.org/",CHAR(35),"/exKotar/655409")</f>
        <v>https://tablet.otzar.org/#/exKotar/655409</v>
      </c>
    </row>
    <row r="790" spans="1:8" x14ac:dyDescent="0.25">
      <c r="A790">
        <v>647041</v>
      </c>
      <c r="B790" t="s">
        <v>1782</v>
      </c>
      <c r="C790" t="s">
        <v>1783</v>
      </c>
      <c r="E790" t="s">
        <v>1784</v>
      </c>
      <c r="G790" t="str">
        <f>HYPERLINK(_xlfn.CONCAT("https://tablet.otzar.org/",CHAR(35),"/book/647041/p/-1/t/1/fs/0/start/0/end/0/c"),"גנזי דרשות ורעיונות - א")</f>
        <v>גנזי דרשות ורעיונות - א</v>
      </c>
      <c r="H790" t="str">
        <f>_xlfn.CONCAT("https://tablet.otzar.org/",CHAR(35),"/book/647041/p/-1/t/1/fs/0/start/0/end/0/c")</f>
        <v>https://tablet.otzar.org/#/book/647041/p/-1/t/1/fs/0/start/0/end/0/c</v>
      </c>
    </row>
    <row r="791" spans="1:8" x14ac:dyDescent="0.25">
      <c r="A791">
        <v>653724</v>
      </c>
      <c r="B791" t="s">
        <v>1785</v>
      </c>
      <c r="C791" t="s">
        <v>909</v>
      </c>
      <c r="D791" t="s">
        <v>10</v>
      </c>
      <c r="E791" t="s">
        <v>35</v>
      </c>
      <c r="G791" t="str">
        <f>HYPERLINK(_xlfn.CONCAT("https://tablet.otzar.org/",CHAR(35),"/book/653724/p/-1/t/1/fs/0/start/0/end/0/c"),"גנזי תפילין")</f>
        <v>גנזי תפילין</v>
      </c>
      <c r="H791" t="str">
        <f>_xlfn.CONCAT("https://tablet.otzar.org/",CHAR(35),"/book/653724/p/-1/t/1/fs/0/start/0/end/0/c")</f>
        <v>https://tablet.otzar.org/#/book/653724/p/-1/t/1/fs/0/start/0/end/0/c</v>
      </c>
    </row>
    <row r="792" spans="1:8" x14ac:dyDescent="0.25">
      <c r="A792">
        <v>653638</v>
      </c>
      <c r="B792" t="s">
        <v>1786</v>
      </c>
      <c r="C792" t="s">
        <v>1787</v>
      </c>
      <c r="D792" t="s">
        <v>52</v>
      </c>
      <c r="E792" t="s">
        <v>11</v>
      </c>
      <c r="G792" t="str">
        <f>HYPERLINK(_xlfn.CONCAT("https://tablet.otzar.org/",CHAR(35),"/book/653638/p/-1/t/1/fs/0/start/0/end/0/c"),"גנת אגוז - תשפ""""ב")</f>
        <v>גנת אגוז - תשפ""ב</v>
      </c>
      <c r="H792" t="str">
        <f>_xlfn.CONCAT("https://tablet.otzar.org/",CHAR(35),"/book/653638/p/-1/t/1/fs/0/start/0/end/0/c")</f>
        <v>https://tablet.otzar.org/#/book/653638/p/-1/t/1/fs/0/start/0/end/0/c</v>
      </c>
    </row>
    <row r="793" spans="1:8" x14ac:dyDescent="0.25">
      <c r="A793">
        <v>653609</v>
      </c>
      <c r="B793" t="s">
        <v>1788</v>
      </c>
      <c r="C793" t="s">
        <v>1789</v>
      </c>
      <c r="D793" t="s">
        <v>10</v>
      </c>
      <c r="E793" t="s">
        <v>11</v>
      </c>
      <c r="G793" t="str">
        <f>HYPERLINK(_xlfn.CONCAT("https://tablet.otzar.org/",CHAR(35),"/book/653609/p/-1/t/1/fs/0/start/0/end/0/c"),"גפן בעצי היער")</f>
        <v>גפן בעצי היער</v>
      </c>
      <c r="H793" t="str">
        <f>_xlfn.CONCAT("https://tablet.otzar.org/",CHAR(35),"/book/653609/p/-1/t/1/fs/0/start/0/end/0/c")</f>
        <v>https://tablet.otzar.org/#/book/653609/p/-1/t/1/fs/0/start/0/end/0/c</v>
      </c>
    </row>
    <row r="794" spans="1:8" x14ac:dyDescent="0.25">
      <c r="A794">
        <v>653181</v>
      </c>
      <c r="B794" t="s">
        <v>1790</v>
      </c>
      <c r="C794" t="s">
        <v>1791</v>
      </c>
      <c r="E794" t="s">
        <v>224</v>
      </c>
      <c r="G794" t="str">
        <f>HYPERLINK(_xlfn.CONCAT("https://tablet.otzar.org/",CHAR(35),"/book/653181/p/-1/t/1/fs/0/start/0/end/0/c"),"גרש ירחים")</f>
        <v>גרש ירחים</v>
      </c>
      <c r="H794" t="str">
        <f>_xlfn.CONCAT("https://tablet.otzar.org/",CHAR(35),"/book/653181/p/-1/t/1/fs/0/start/0/end/0/c")</f>
        <v>https://tablet.otzar.org/#/book/653181/p/-1/t/1/fs/0/start/0/end/0/c</v>
      </c>
    </row>
    <row r="795" spans="1:8" x14ac:dyDescent="0.25">
      <c r="A795">
        <v>649682</v>
      </c>
      <c r="B795" t="s">
        <v>1792</v>
      </c>
      <c r="C795" t="s">
        <v>1793</v>
      </c>
      <c r="D795" t="s">
        <v>440</v>
      </c>
      <c r="E795" t="s">
        <v>1608</v>
      </c>
      <c r="G795" t="str">
        <f>HYPERLINK(_xlfn.CONCAT("https://tablet.otzar.org/",CHAR(35),"/exKotar/649682"),"דאס אידישע ווארט - 63 כרכים")</f>
        <v>דאס אידישע ווארט - 63 כרכים</v>
      </c>
      <c r="H795" t="str">
        <f>_xlfn.CONCAT("https://tablet.otzar.org/",CHAR(35),"/exKotar/649682")</f>
        <v>https://tablet.otzar.org/#/exKotar/649682</v>
      </c>
    </row>
    <row r="796" spans="1:8" x14ac:dyDescent="0.25">
      <c r="A796">
        <v>647460</v>
      </c>
      <c r="B796" t="s">
        <v>1794</v>
      </c>
      <c r="C796" t="s">
        <v>1689</v>
      </c>
      <c r="D796" t="s">
        <v>10</v>
      </c>
      <c r="E796" t="s">
        <v>804</v>
      </c>
      <c r="G796" t="str">
        <f>HYPERLINK(_xlfn.CONCAT("https://tablet.otzar.org/",CHAR(35),"/book/647460/p/-1/t/1/fs/0/start/0/end/0/c"),"דאס אידישע ליכט - תמוז תשל""""ג")</f>
        <v>דאס אידישע ליכט - תמוז תשל""ג</v>
      </c>
      <c r="H796" t="str">
        <f>_xlfn.CONCAT("https://tablet.otzar.org/",CHAR(35),"/book/647460/p/-1/t/1/fs/0/start/0/end/0/c")</f>
        <v>https://tablet.otzar.org/#/book/647460/p/-1/t/1/fs/0/start/0/end/0/c</v>
      </c>
    </row>
    <row r="797" spans="1:8" x14ac:dyDescent="0.25">
      <c r="A797">
        <v>649637</v>
      </c>
      <c r="B797" t="s">
        <v>1795</v>
      </c>
      <c r="C797" t="s">
        <v>1796</v>
      </c>
      <c r="D797" t="s">
        <v>10</v>
      </c>
      <c r="E797" t="s">
        <v>1775</v>
      </c>
      <c r="G797" t="str">
        <f>HYPERLINK(_xlfn.CONCAT("https://tablet.otzar.org/",CHAR(35),"/exKotar/649637"),"דאס אידישע ליכט - 112 כרכים")</f>
        <v>דאס אידישע ליכט - 112 כרכים</v>
      </c>
      <c r="H797" t="str">
        <f>_xlfn.CONCAT("https://tablet.otzar.org/",CHAR(35),"/exKotar/649637")</f>
        <v>https://tablet.otzar.org/#/exKotar/649637</v>
      </c>
    </row>
    <row r="798" spans="1:8" x14ac:dyDescent="0.25">
      <c r="A798">
        <v>647504</v>
      </c>
      <c r="B798" t="s">
        <v>1797</v>
      </c>
      <c r="C798" t="s">
        <v>1798</v>
      </c>
      <c r="E798" t="s">
        <v>1799</v>
      </c>
      <c r="G798" t="str">
        <f>HYPERLINK(_xlfn.CONCAT("https://tablet.otzar.org/",CHAR(35),"/book/647504/p/-1/t/1/fs/0/start/0/end/0/c"),"דאס ליכט פון ישראל")</f>
        <v>דאס ליכט פון ישראל</v>
      </c>
      <c r="H798" t="str">
        <f>_xlfn.CONCAT("https://tablet.otzar.org/",CHAR(35),"/book/647504/p/-1/t/1/fs/0/start/0/end/0/c")</f>
        <v>https://tablet.otzar.org/#/book/647504/p/-1/t/1/fs/0/start/0/end/0/c</v>
      </c>
    </row>
    <row r="799" spans="1:8" x14ac:dyDescent="0.25">
      <c r="A799">
        <v>651782</v>
      </c>
      <c r="B799" t="s">
        <v>1800</v>
      </c>
      <c r="C799" t="s">
        <v>1670</v>
      </c>
      <c r="D799" t="s">
        <v>10</v>
      </c>
      <c r="E799" t="s">
        <v>337</v>
      </c>
      <c r="G799" t="str">
        <f>HYPERLINK(_xlfn.CONCAT("https://tablet.otzar.org/",CHAR(35),"/book/651782/p/-1/t/1/fs/0/start/0/end/0/c"),"דביר מרדכי - חנוכה")</f>
        <v>דביר מרדכי - חנוכה</v>
      </c>
      <c r="H799" t="str">
        <f>_xlfn.CONCAT("https://tablet.otzar.org/",CHAR(35),"/book/651782/p/-1/t/1/fs/0/start/0/end/0/c")</f>
        <v>https://tablet.otzar.org/#/book/651782/p/-1/t/1/fs/0/start/0/end/0/c</v>
      </c>
    </row>
    <row r="800" spans="1:8" x14ac:dyDescent="0.25">
      <c r="A800">
        <v>648094</v>
      </c>
      <c r="B800" t="s">
        <v>1801</v>
      </c>
      <c r="C800" t="s">
        <v>1802</v>
      </c>
      <c r="D800" t="s">
        <v>10</v>
      </c>
      <c r="E800" t="s">
        <v>84</v>
      </c>
      <c r="G800" t="str">
        <f>HYPERLINK(_xlfn.CONCAT("https://tablet.otzar.org/",CHAR(35),"/exKotar/648094"),"דבר גדעון - 2 כרכים")</f>
        <v>דבר גדעון - 2 כרכים</v>
      </c>
      <c r="H800" t="str">
        <f>_xlfn.CONCAT("https://tablet.otzar.org/",CHAR(35),"/exKotar/648094")</f>
        <v>https://tablet.otzar.org/#/exKotar/648094</v>
      </c>
    </row>
    <row r="801" spans="1:8" x14ac:dyDescent="0.25">
      <c r="A801">
        <v>653956</v>
      </c>
      <c r="B801" t="s">
        <v>1803</v>
      </c>
      <c r="C801" t="s">
        <v>1804</v>
      </c>
      <c r="D801" t="s">
        <v>10</v>
      </c>
      <c r="E801" t="s">
        <v>914</v>
      </c>
      <c r="G801" t="str">
        <f>HYPERLINK(_xlfn.CONCAT("https://tablet.otzar.org/",CHAR(35),"/book/653956/p/-1/t/1/fs/0/start/0/end/0/c"),"דבר המלך - א הלכות איסו""""ב")</f>
        <v>דבר המלך - א הלכות איסו""ב</v>
      </c>
      <c r="H801" t="str">
        <f>_xlfn.CONCAT("https://tablet.otzar.org/",CHAR(35),"/book/653956/p/-1/t/1/fs/0/start/0/end/0/c")</f>
        <v>https://tablet.otzar.org/#/book/653956/p/-1/t/1/fs/0/start/0/end/0/c</v>
      </c>
    </row>
    <row r="802" spans="1:8" x14ac:dyDescent="0.25">
      <c r="A802">
        <v>653598</v>
      </c>
      <c r="B802" t="s">
        <v>1805</v>
      </c>
      <c r="C802" t="s">
        <v>1806</v>
      </c>
      <c r="D802" t="s">
        <v>340</v>
      </c>
      <c r="E802" t="s">
        <v>11</v>
      </c>
      <c r="G802" t="str">
        <f>HYPERLINK(_xlfn.CONCAT("https://tablet.otzar.org/",CHAR(35),"/exKotar/653598"),"דבר השם - 3 כרכים")</f>
        <v>דבר השם - 3 כרכים</v>
      </c>
      <c r="H802" t="str">
        <f>_xlfn.CONCAT("https://tablet.otzar.org/",CHAR(35),"/exKotar/653598")</f>
        <v>https://tablet.otzar.org/#/exKotar/653598</v>
      </c>
    </row>
    <row r="803" spans="1:8" x14ac:dyDescent="0.25">
      <c r="A803">
        <v>647645</v>
      </c>
      <c r="B803" t="s">
        <v>1807</v>
      </c>
      <c r="C803" t="s">
        <v>1808</v>
      </c>
      <c r="D803" t="s">
        <v>10</v>
      </c>
      <c r="E803" t="s">
        <v>184</v>
      </c>
      <c r="G803" t="str">
        <f>HYPERLINK(_xlfn.CONCAT("https://tablet.otzar.org/",CHAR(35),"/book/647645/p/-1/t/1/fs/0/start/0/end/0/c"),"דבר השמיטה - מט")</f>
        <v>דבר השמיטה - מט</v>
      </c>
      <c r="H803" t="str">
        <f>_xlfn.CONCAT("https://tablet.otzar.org/",CHAR(35),"/book/647645/p/-1/t/1/fs/0/start/0/end/0/c")</f>
        <v>https://tablet.otzar.org/#/book/647645/p/-1/t/1/fs/0/start/0/end/0/c</v>
      </c>
    </row>
    <row r="804" spans="1:8" x14ac:dyDescent="0.25">
      <c r="A804">
        <v>649348</v>
      </c>
      <c r="B804" t="s">
        <v>1809</v>
      </c>
      <c r="C804" t="s">
        <v>1810</v>
      </c>
      <c r="E804" t="s">
        <v>507</v>
      </c>
      <c r="G804" t="str">
        <f>HYPERLINK(_xlfn.CONCAT("https://tablet.otzar.org/",CHAR(35),"/book/649348/p/-1/t/1/fs/0/start/0/end/0/c"),"דבר השמיטה, גליונות בתי הוראה")</f>
        <v>דבר השמיטה, גליונות בתי הוראה</v>
      </c>
      <c r="H804" t="str">
        <f>_xlfn.CONCAT("https://tablet.otzar.org/",CHAR(35),"/book/649348/p/-1/t/1/fs/0/start/0/end/0/c")</f>
        <v>https://tablet.otzar.org/#/book/649348/p/-1/t/1/fs/0/start/0/end/0/c</v>
      </c>
    </row>
    <row r="805" spans="1:8" x14ac:dyDescent="0.25">
      <c r="A805">
        <v>649119</v>
      </c>
      <c r="B805" t="s">
        <v>1811</v>
      </c>
      <c r="C805" t="s">
        <v>1812</v>
      </c>
      <c r="D805" t="s">
        <v>1813</v>
      </c>
      <c r="E805" t="s">
        <v>405</v>
      </c>
      <c r="G805" t="str">
        <f>HYPERLINK(_xlfn.CONCAT("https://tablet.otzar.org/",CHAR(35),"/exKotar/649119"),"דבר חברון - 8 כרכים")</f>
        <v>דבר חברון - 8 כרכים</v>
      </c>
      <c r="H805" t="str">
        <f>_xlfn.CONCAT("https://tablet.otzar.org/",CHAR(35),"/exKotar/649119")</f>
        <v>https://tablet.otzar.org/#/exKotar/649119</v>
      </c>
    </row>
    <row r="806" spans="1:8" x14ac:dyDescent="0.25">
      <c r="A806">
        <v>656113</v>
      </c>
      <c r="B806" t="s">
        <v>1814</v>
      </c>
      <c r="C806" t="s">
        <v>1815</v>
      </c>
      <c r="D806" t="s">
        <v>193</v>
      </c>
      <c r="E806" t="s">
        <v>29</v>
      </c>
      <c r="G806" t="str">
        <f>HYPERLINK(_xlfn.CONCAT("https://tablet.otzar.org/",CHAR(35),"/book/656113/p/-1/t/1/fs/0/start/0/end/0/c"),"דבר חיים - בבא מציעא")</f>
        <v>דבר חיים - בבא מציעא</v>
      </c>
      <c r="H806" t="str">
        <f>_xlfn.CONCAT("https://tablet.otzar.org/",CHAR(35),"/book/656113/p/-1/t/1/fs/0/start/0/end/0/c")</f>
        <v>https://tablet.otzar.org/#/book/656113/p/-1/t/1/fs/0/start/0/end/0/c</v>
      </c>
    </row>
    <row r="807" spans="1:8" x14ac:dyDescent="0.25">
      <c r="A807">
        <v>654060</v>
      </c>
      <c r="B807" t="s">
        <v>1816</v>
      </c>
      <c r="C807" t="s">
        <v>1817</v>
      </c>
      <c r="D807" t="s">
        <v>1586</v>
      </c>
      <c r="E807" t="s">
        <v>352</v>
      </c>
      <c r="G807" t="str">
        <f>HYPERLINK(_xlfn.CONCAT("https://tablet.otzar.org/",CHAR(35),"/book/654060/p/-1/t/1/fs/0/start/0/end/0/c"),"דבר חן")</f>
        <v>דבר חן</v>
      </c>
      <c r="H807" t="str">
        <f>_xlfn.CONCAT("https://tablet.otzar.org/",CHAR(35),"/book/654060/p/-1/t/1/fs/0/start/0/end/0/c")</f>
        <v>https://tablet.otzar.org/#/book/654060/p/-1/t/1/fs/0/start/0/end/0/c</v>
      </c>
    </row>
    <row r="808" spans="1:8" x14ac:dyDescent="0.25">
      <c r="A808">
        <v>650871</v>
      </c>
      <c r="B808" t="s">
        <v>1818</v>
      </c>
      <c r="C808" t="s">
        <v>1819</v>
      </c>
      <c r="D808" t="s">
        <v>10</v>
      </c>
      <c r="E808" t="s">
        <v>35</v>
      </c>
      <c r="G808" t="str">
        <f>HYPERLINK(_xlfn.CONCAT("https://tablet.otzar.org/",CHAR(35),"/book/650871/p/-1/t/1/fs/0/start/0/end/0/c"),"דבר טוב - ערבי פסחים")</f>
        <v>דבר טוב - ערבי פסחים</v>
      </c>
      <c r="H808" t="str">
        <f>_xlfn.CONCAT("https://tablet.otzar.org/",CHAR(35),"/book/650871/p/-1/t/1/fs/0/start/0/end/0/c")</f>
        <v>https://tablet.otzar.org/#/book/650871/p/-1/t/1/fs/0/start/0/end/0/c</v>
      </c>
    </row>
    <row r="809" spans="1:8" x14ac:dyDescent="0.25">
      <c r="A809">
        <v>656036</v>
      </c>
      <c r="B809" t="s">
        <v>1820</v>
      </c>
      <c r="C809" t="s">
        <v>1821</v>
      </c>
      <c r="D809" t="s">
        <v>52</v>
      </c>
      <c r="E809" t="s">
        <v>1240</v>
      </c>
      <c r="G809" t="str">
        <f>HYPERLINK(_xlfn.CONCAT("https://tablet.otzar.org/",CHAR(35),"/book/656036/p/-1/t/1/fs/0/start/0/end/0/c"),"דבר יום")</f>
        <v>דבר יום</v>
      </c>
      <c r="H809" t="str">
        <f>_xlfn.CONCAT("https://tablet.otzar.org/",CHAR(35),"/book/656036/p/-1/t/1/fs/0/start/0/end/0/c")</f>
        <v>https://tablet.otzar.org/#/book/656036/p/-1/t/1/fs/0/start/0/end/0/c</v>
      </c>
    </row>
    <row r="810" spans="1:8" x14ac:dyDescent="0.25">
      <c r="A810">
        <v>652556</v>
      </c>
      <c r="B810" t="s">
        <v>1822</v>
      </c>
      <c r="C810" t="s">
        <v>1823</v>
      </c>
      <c r="D810" t="s">
        <v>52</v>
      </c>
      <c r="E810" t="s">
        <v>77</v>
      </c>
      <c r="G810" t="str">
        <f>HYPERLINK(_xlfn.CONCAT("https://tablet.otzar.org/",CHAR(35),"/exKotar/652556"),"דבר עובדיה - 3 כרכים")</f>
        <v>דבר עובדיה - 3 כרכים</v>
      </c>
      <c r="H810" t="str">
        <f>_xlfn.CONCAT("https://tablet.otzar.org/",CHAR(35),"/exKotar/652556")</f>
        <v>https://tablet.otzar.org/#/exKotar/652556</v>
      </c>
    </row>
    <row r="811" spans="1:8" x14ac:dyDescent="0.25">
      <c r="A811">
        <v>654986</v>
      </c>
      <c r="B811" t="s">
        <v>1824</v>
      </c>
      <c r="C811" t="s">
        <v>1825</v>
      </c>
      <c r="D811" t="s">
        <v>10</v>
      </c>
      <c r="E811" t="s">
        <v>11</v>
      </c>
      <c r="G811" t="str">
        <f>HYPERLINK(_xlfn.CONCAT("https://tablet.otzar.org/",CHAR(35),"/exKotar/654986"),"דבר שלום - 4 כרכים")</f>
        <v>דבר שלום - 4 כרכים</v>
      </c>
      <c r="H811" t="str">
        <f>_xlfn.CONCAT("https://tablet.otzar.org/",CHAR(35),"/exKotar/654986")</f>
        <v>https://tablet.otzar.org/#/exKotar/654986</v>
      </c>
    </row>
    <row r="812" spans="1:8" x14ac:dyDescent="0.25">
      <c r="A812">
        <v>650991</v>
      </c>
      <c r="B812" t="s">
        <v>1826</v>
      </c>
      <c r="C812" t="s">
        <v>1827</v>
      </c>
      <c r="D812" t="s">
        <v>1593</v>
      </c>
      <c r="E812" t="s">
        <v>45</v>
      </c>
      <c r="G812" t="str">
        <f>HYPERLINK(_xlfn.CONCAT("https://tablet.otzar.org/",CHAR(35),"/book/650991/p/-1/t/1/fs/0/start/0/end/0/c"),"דבר שמואל")</f>
        <v>דבר שמואל</v>
      </c>
      <c r="H812" t="str">
        <f>_xlfn.CONCAT("https://tablet.otzar.org/",CHAR(35),"/book/650991/p/-1/t/1/fs/0/start/0/end/0/c")</f>
        <v>https://tablet.otzar.org/#/book/650991/p/-1/t/1/fs/0/start/0/end/0/c</v>
      </c>
    </row>
    <row r="813" spans="1:8" x14ac:dyDescent="0.25">
      <c r="A813">
        <v>656846</v>
      </c>
      <c r="B813" t="s">
        <v>1828</v>
      </c>
      <c r="C813" t="s">
        <v>1829</v>
      </c>
      <c r="D813" t="s">
        <v>10</v>
      </c>
      <c r="E813" t="s">
        <v>11</v>
      </c>
      <c r="G813" t="str">
        <f>HYPERLINK(_xlfn.CONCAT("https://tablet.otzar.org/",CHAR(35),"/book/656846/p/-1/t/1/fs/0/start/0/end/0/c"),"דבר שמואל - ספר הזכרונות &lt;מהדורת זכרון אהרן&gt;")</f>
        <v>דבר שמואל - ספר הזכרונות &lt;מהדורת זכרון אהרן&gt;</v>
      </c>
      <c r="H813" t="str">
        <f>_xlfn.CONCAT("https://tablet.otzar.org/",CHAR(35),"/book/656846/p/-1/t/1/fs/0/start/0/end/0/c")</f>
        <v>https://tablet.otzar.org/#/book/656846/p/-1/t/1/fs/0/start/0/end/0/c</v>
      </c>
    </row>
    <row r="814" spans="1:8" x14ac:dyDescent="0.25">
      <c r="A814">
        <v>656089</v>
      </c>
      <c r="B814" t="s">
        <v>1830</v>
      </c>
      <c r="C814" t="s">
        <v>1831</v>
      </c>
      <c r="D814" t="s">
        <v>1832</v>
      </c>
      <c r="E814" t="s">
        <v>84</v>
      </c>
      <c r="G814" t="str">
        <f>HYPERLINK(_xlfn.CONCAT("https://tablet.otzar.org/",CHAR(35),"/exKotar/656089"),"דברות אליהו - 2 כרכים")</f>
        <v>דברות אליהו - 2 כרכים</v>
      </c>
      <c r="H814" t="str">
        <f>_xlfn.CONCAT("https://tablet.otzar.org/",CHAR(35),"/exKotar/656089")</f>
        <v>https://tablet.otzar.org/#/exKotar/656089</v>
      </c>
    </row>
    <row r="815" spans="1:8" x14ac:dyDescent="0.25">
      <c r="A815">
        <v>653502</v>
      </c>
      <c r="B815" t="s">
        <v>1833</v>
      </c>
      <c r="C815" t="s">
        <v>1834</v>
      </c>
      <c r="D815" t="s">
        <v>52</v>
      </c>
      <c r="E815" t="s">
        <v>11</v>
      </c>
      <c r="G815" t="str">
        <f>HYPERLINK(_xlfn.CONCAT("https://tablet.otzar.org/",CHAR(35),"/exKotar/653502"),"דברות אריאל - 2 כרכים")</f>
        <v>דברות אריאל - 2 כרכים</v>
      </c>
      <c r="H815" t="str">
        <f>_xlfn.CONCAT("https://tablet.otzar.org/",CHAR(35),"/exKotar/653502")</f>
        <v>https://tablet.otzar.org/#/exKotar/653502</v>
      </c>
    </row>
    <row r="816" spans="1:8" x14ac:dyDescent="0.25">
      <c r="A816">
        <v>651530</v>
      </c>
      <c r="B816" t="s">
        <v>1835</v>
      </c>
      <c r="C816" t="s">
        <v>1836</v>
      </c>
      <c r="D816" t="s">
        <v>10</v>
      </c>
      <c r="E816" t="s">
        <v>11</v>
      </c>
      <c r="G816" t="str">
        <f>HYPERLINK(_xlfn.CONCAT("https://tablet.otzar.org/",CHAR(35),"/book/651530/p/-1/t/1/fs/0/start/0/end/0/c"),"דברות מנחם - הלכות מוקצה")</f>
        <v>דברות מנחם - הלכות מוקצה</v>
      </c>
      <c r="H816" t="str">
        <f>_xlfn.CONCAT("https://tablet.otzar.org/",CHAR(35),"/book/651530/p/-1/t/1/fs/0/start/0/end/0/c")</f>
        <v>https://tablet.otzar.org/#/book/651530/p/-1/t/1/fs/0/start/0/end/0/c</v>
      </c>
    </row>
    <row r="817" spans="1:8" x14ac:dyDescent="0.25">
      <c r="A817">
        <v>654396</v>
      </c>
      <c r="B817" t="s">
        <v>1837</v>
      </c>
      <c r="C817" t="s">
        <v>1838</v>
      </c>
      <c r="D817" t="s">
        <v>10</v>
      </c>
      <c r="E817" t="s">
        <v>11</v>
      </c>
      <c r="G817" t="str">
        <f>HYPERLINK(_xlfn.CONCAT("https://tablet.otzar.org/",CHAR(35),"/book/654396/p/-1/t/1/fs/0/start/0/end/0/c"),"דברות צבי כח &lt;מועדים ד&gt;")</f>
        <v>דברות צבי כח &lt;מועדים ד&gt;</v>
      </c>
      <c r="H817" t="str">
        <f>_xlfn.CONCAT("https://tablet.otzar.org/",CHAR(35),"/book/654396/p/-1/t/1/fs/0/start/0/end/0/c")</f>
        <v>https://tablet.otzar.org/#/book/654396/p/-1/t/1/fs/0/start/0/end/0/c</v>
      </c>
    </row>
    <row r="818" spans="1:8" x14ac:dyDescent="0.25">
      <c r="A818">
        <v>654398</v>
      </c>
      <c r="B818" t="s">
        <v>1839</v>
      </c>
      <c r="C818" t="s">
        <v>1838</v>
      </c>
      <c r="D818" t="s">
        <v>10</v>
      </c>
      <c r="E818" t="s">
        <v>11</v>
      </c>
      <c r="G818" t="str">
        <f>HYPERLINK(_xlfn.CONCAT("https://tablet.otzar.org/",CHAR(35),"/book/654398/p/-1/t/1/fs/0/start/0/end/0/c"),"דברות צבי כט &lt;סוטה&gt;")</f>
        <v>דברות צבי כט &lt;סוטה&gt;</v>
      </c>
      <c r="H818" t="str">
        <f>_xlfn.CONCAT("https://tablet.otzar.org/",CHAR(35),"/book/654398/p/-1/t/1/fs/0/start/0/end/0/c")</f>
        <v>https://tablet.otzar.org/#/book/654398/p/-1/t/1/fs/0/start/0/end/0/c</v>
      </c>
    </row>
    <row r="819" spans="1:8" x14ac:dyDescent="0.25">
      <c r="A819">
        <v>654399</v>
      </c>
      <c r="B819" t="s">
        <v>1840</v>
      </c>
      <c r="C819" t="s">
        <v>1838</v>
      </c>
      <c r="D819" t="s">
        <v>10</v>
      </c>
      <c r="E819" t="s">
        <v>11</v>
      </c>
      <c r="G819" t="str">
        <f>HYPERLINK(_xlfn.CONCAT("https://tablet.otzar.org/",CHAR(35),"/book/654399/p/-1/t/1/fs/0/start/0/end/0/c"),"דברות צבי כז &lt;נזיר&gt;")</f>
        <v>דברות צבי כז &lt;נזיר&gt;</v>
      </c>
      <c r="H819" t="str">
        <f>_xlfn.CONCAT("https://tablet.otzar.org/",CHAR(35),"/book/654399/p/-1/t/1/fs/0/start/0/end/0/c")</f>
        <v>https://tablet.otzar.org/#/book/654399/p/-1/t/1/fs/0/start/0/end/0/c</v>
      </c>
    </row>
    <row r="820" spans="1:8" x14ac:dyDescent="0.25">
      <c r="A820">
        <v>655714</v>
      </c>
      <c r="B820" t="s">
        <v>1841</v>
      </c>
      <c r="C820" t="s">
        <v>1842</v>
      </c>
      <c r="D820" t="s">
        <v>10</v>
      </c>
      <c r="E820" t="s">
        <v>399</v>
      </c>
      <c r="G820" t="str">
        <f>HYPERLINK(_xlfn.CONCAT("https://tablet.otzar.org/",CHAR(35),"/book/655714/p/-1/t/1/fs/0/start/0/end/0/c"),"דברי אור - ה")</f>
        <v>דברי אור - ה</v>
      </c>
      <c r="H820" t="str">
        <f>_xlfn.CONCAT("https://tablet.otzar.org/",CHAR(35),"/book/655714/p/-1/t/1/fs/0/start/0/end/0/c")</f>
        <v>https://tablet.otzar.org/#/book/655714/p/-1/t/1/fs/0/start/0/end/0/c</v>
      </c>
    </row>
    <row r="821" spans="1:8" x14ac:dyDescent="0.25">
      <c r="A821">
        <v>652789</v>
      </c>
      <c r="B821" t="s">
        <v>1843</v>
      </c>
      <c r="C821" t="s">
        <v>1844</v>
      </c>
      <c r="D821" t="s">
        <v>1845</v>
      </c>
      <c r="E821" t="s">
        <v>1846</v>
      </c>
      <c r="G821" t="str">
        <f>HYPERLINK(_xlfn.CONCAT("https://tablet.otzar.org/",CHAR(35),"/book/652789/p/-1/t/1/fs/0/start/0/end/0/c"),"דברי אמת ואהבה")</f>
        <v>דברי אמת ואהבה</v>
      </c>
      <c r="H821" t="str">
        <f>_xlfn.CONCAT("https://tablet.otzar.org/",CHAR(35),"/book/652789/p/-1/t/1/fs/0/start/0/end/0/c")</f>
        <v>https://tablet.otzar.org/#/book/652789/p/-1/t/1/fs/0/start/0/end/0/c</v>
      </c>
    </row>
    <row r="822" spans="1:8" x14ac:dyDescent="0.25">
      <c r="A822">
        <v>656210</v>
      </c>
      <c r="B822" t="s">
        <v>1847</v>
      </c>
      <c r="C822" t="s">
        <v>1848</v>
      </c>
      <c r="D822" t="s">
        <v>10</v>
      </c>
      <c r="E822" t="s">
        <v>507</v>
      </c>
      <c r="G822" t="str">
        <f>HYPERLINK(_xlfn.CONCAT("https://tablet.otzar.org/",CHAR(35),"/book/656210/p/-1/t/1/fs/0/start/0/end/0/c"),"דברי בינה &lt;מכון כנסת&gt; - מכות")</f>
        <v>דברי בינה &lt;מכון כנסת&gt; - מכות</v>
      </c>
      <c r="H822" t="str">
        <f>_xlfn.CONCAT("https://tablet.otzar.org/",CHAR(35),"/book/656210/p/-1/t/1/fs/0/start/0/end/0/c")</f>
        <v>https://tablet.otzar.org/#/book/656210/p/-1/t/1/fs/0/start/0/end/0/c</v>
      </c>
    </row>
    <row r="823" spans="1:8" x14ac:dyDescent="0.25">
      <c r="A823">
        <v>647776</v>
      </c>
      <c r="B823" t="s">
        <v>1849</v>
      </c>
      <c r="C823" t="s">
        <v>1850</v>
      </c>
      <c r="D823" t="s">
        <v>10</v>
      </c>
      <c r="E823" t="s">
        <v>35</v>
      </c>
      <c r="G823" t="str">
        <f>HYPERLINK(_xlfn.CONCAT("https://tablet.otzar.org/",CHAR(35),"/exKotar/647776"),"דברי ברוך - 6 כרכים")</f>
        <v>דברי ברוך - 6 כרכים</v>
      </c>
      <c r="H823" t="str">
        <f>_xlfn.CONCAT("https://tablet.otzar.org/",CHAR(35),"/exKotar/647776")</f>
        <v>https://tablet.otzar.org/#/exKotar/647776</v>
      </c>
    </row>
    <row r="824" spans="1:8" x14ac:dyDescent="0.25">
      <c r="A824">
        <v>650539</v>
      </c>
      <c r="B824" t="s">
        <v>1851</v>
      </c>
      <c r="C824" t="s">
        <v>1852</v>
      </c>
      <c r="D824" t="s">
        <v>34</v>
      </c>
      <c r="E824" t="s">
        <v>70</v>
      </c>
      <c r="G824" t="str">
        <f>HYPERLINK(_xlfn.CONCAT("https://tablet.otzar.org/",CHAR(35),"/book/650539/p/-1/t/1/fs/0/start/0/end/0/c"),"דברי דוד יוסף - א")</f>
        <v>דברי דוד יוסף - א</v>
      </c>
      <c r="H824" t="str">
        <f>_xlfn.CONCAT("https://tablet.otzar.org/",CHAR(35),"/book/650539/p/-1/t/1/fs/0/start/0/end/0/c")</f>
        <v>https://tablet.otzar.org/#/book/650539/p/-1/t/1/fs/0/start/0/end/0/c</v>
      </c>
    </row>
    <row r="825" spans="1:8" x14ac:dyDescent="0.25">
      <c r="A825">
        <v>649995</v>
      </c>
      <c r="B825" t="s">
        <v>1853</v>
      </c>
      <c r="C825" t="s">
        <v>209</v>
      </c>
      <c r="D825" t="s">
        <v>52</v>
      </c>
      <c r="E825" t="s">
        <v>11</v>
      </c>
      <c r="G825" t="str">
        <f>HYPERLINK(_xlfn.CONCAT("https://tablet.otzar.org/",CHAR(35),"/book/649995/p/-1/t/1/fs/0/start/0/end/0/c"),"דברי הברית")</f>
        <v>דברי הברית</v>
      </c>
      <c r="H825" t="str">
        <f>_xlfn.CONCAT("https://tablet.otzar.org/",CHAR(35),"/book/649995/p/-1/t/1/fs/0/start/0/end/0/c")</f>
        <v>https://tablet.otzar.org/#/book/649995/p/-1/t/1/fs/0/start/0/end/0/c</v>
      </c>
    </row>
    <row r="826" spans="1:8" x14ac:dyDescent="0.25">
      <c r="A826">
        <v>649947</v>
      </c>
      <c r="B826" t="s">
        <v>1854</v>
      </c>
      <c r="C826" t="s">
        <v>1855</v>
      </c>
      <c r="D826" t="s">
        <v>1856</v>
      </c>
      <c r="E826" t="s">
        <v>1857</v>
      </c>
      <c r="G826" t="str">
        <f>HYPERLINK(_xlfn.CONCAT("https://tablet.otzar.org/",CHAR(35),"/book/649947/p/-1/t/1/fs/0/start/0/end/0/c"),"דברי הימים לציון ברוסיא - ב")</f>
        <v>דברי הימים לציון ברוסיא - ב</v>
      </c>
      <c r="H826" t="str">
        <f>_xlfn.CONCAT("https://tablet.otzar.org/",CHAR(35),"/book/649947/p/-1/t/1/fs/0/start/0/end/0/c")</f>
        <v>https://tablet.otzar.org/#/book/649947/p/-1/t/1/fs/0/start/0/end/0/c</v>
      </c>
    </row>
    <row r="827" spans="1:8" x14ac:dyDescent="0.25">
      <c r="A827">
        <v>650696</v>
      </c>
      <c r="B827" t="s">
        <v>1858</v>
      </c>
      <c r="C827" t="s">
        <v>1859</v>
      </c>
      <c r="D827" t="s">
        <v>1860</v>
      </c>
      <c r="E827" t="s">
        <v>405</v>
      </c>
      <c r="G827" t="str">
        <f>HYPERLINK(_xlfn.CONCAT("https://tablet.otzar.org/",CHAR(35),"/book/650696/p/-1/t/1/fs/0/start/0/end/0/c"),"דברי השירה - יבמות, קידושין")</f>
        <v>דברי השירה - יבמות, קידושין</v>
      </c>
      <c r="H827" t="str">
        <f>_xlfn.CONCAT("https://tablet.otzar.org/",CHAR(35),"/book/650696/p/-1/t/1/fs/0/start/0/end/0/c")</f>
        <v>https://tablet.otzar.org/#/book/650696/p/-1/t/1/fs/0/start/0/end/0/c</v>
      </c>
    </row>
    <row r="828" spans="1:8" x14ac:dyDescent="0.25">
      <c r="A828">
        <v>650399</v>
      </c>
      <c r="B828" t="s">
        <v>1861</v>
      </c>
      <c r="C828" t="s">
        <v>1862</v>
      </c>
      <c r="D828" t="s">
        <v>52</v>
      </c>
      <c r="E828" t="s">
        <v>11</v>
      </c>
      <c r="G828" t="str">
        <f>HYPERLINK(_xlfn.CONCAT("https://tablet.otzar.org/",CHAR(35),"/book/650399/p/-1/t/1/fs/0/start/0/end/0/c"),"דברי זכרון &lt;אור הזכרון&gt; - ג")</f>
        <v>דברי זכרון &lt;אור הזכרון&gt; - ג</v>
      </c>
      <c r="H828" t="str">
        <f>_xlfn.CONCAT("https://tablet.otzar.org/",CHAR(35),"/book/650399/p/-1/t/1/fs/0/start/0/end/0/c")</f>
        <v>https://tablet.otzar.org/#/book/650399/p/-1/t/1/fs/0/start/0/end/0/c</v>
      </c>
    </row>
    <row r="829" spans="1:8" x14ac:dyDescent="0.25">
      <c r="A829">
        <v>649976</v>
      </c>
      <c r="B829" t="s">
        <v>1863</v>
      </c>
      <c r="C829" t="s">
        <v>1864</v>
      </c>
      <c r="D829" t="s">
        <v>1865</v>
      </c>
      <c r="E829" t="s">
        <v>45</v>
      </c>
      <c r="G829" t="str">
        <f>HYPERLINK(_xlfn.CONCAT("https://tablet.otzar.org/",CHAR(35),"/book/649976/p/-1/t/1/fs/0/start/0/end/0/c"),"דברי זכרון לזכרו של הרב זצ""""ל")</f>
        <v>דברי זכרון לזכרו של הרב זצ""ל</v>
      </c>
      <c r="H829" t="str">
        <f>_xlfn.CONCAT("https://tablet.otzar.org/",CHAR(35),"/book/649976/p/-1/t/1/fs/0/start/0/end/0/c")</f>
        <v>https://tablet.otzar.org/#/book/649976/p/-1/t/1/fs/0/start/0/end/0/c</v>
      </c>
    </row>
    <row r="830" spans="1:8" x14ac:dyDescent="0.25">
      <c r="A830">
        <v>647789</v>
      </c>
      <c r="B830" t="s">
        <v>1866</v>
      </c>
      <c r="C830" t="s">
        <v>1867</v>
      </c>
      <c r="D830" t="s">
        <v>133</v>
      </c>
      <c r="E830" t="s">
        <v>84</v>
      </c>
      <c r="G830" t="str">
        <f>HYPERLINK(_xlfn.CONCAT("https://tablet.otzar.org/",CHAR(35),"/exKotar/647789"),"דברי חיים - 2 כרכים")</f>
        <v>דברי חיים - 2 כרכים</v>
      </c>
      <c r="H830" t="str">
        <f>_xlfn.CONCAT("https://tablet.otzar.org/",CHAR(35),"/exKotar/647789")</f>
        <v>https://tablet.otzar.org/#/exKotar/647789</v>
      </c>
    </row>
    <row r="831" spans="1:8" x14ac:dyDescent="0.25">
      <c r="A831">
        <v>650643</v>
      </c>
      <c r="B831" t="s">
        <v>1868</v>
      </c>
      <c r="C831" t="s">
        <v>1869</v>
      </c>
      <c r="D831" t="s">
        <v>1870</v>
      </c>
      <c r="E831" t="s">
        <v>1364</v>
      </c>
      <c r="G831" t="str">
        <f>HYPERLINK(_xlfn.CONCAT("https://tablet.otzar.org/",CHAR(35),"/book/650643/p/-1/t/1/fs/0/start/0/end/0/c"),"דברי חכמים")</f>
        <v>דברי חכמים</v>
      </c>
      <c r="H831" t="str">
        <f>_xlfn.CONCAT("https://tablet.otzar.org/",CHAR(35),"/book/650643/p/-1/t/1/fs/0/start/0/end/0/c")</f>
        <v>https://tablet.otzar.org/#/book/650643/p/-1/t/1/fs/0/start/0/end/0/c</v>
      </c>
    </row>
    <row r="832" spans="1:8" x14ac:dyDescent="0.25">
      <c r="A832">
        <v>655963</v>
      </c>
      <c r="B832" t="s">
        <v>1871</v>
      </c>
      <c r="C832" t="s">
        <v>1872</v>
      </c>
      <c r="D832" t="s">
        <v>52</v>
      </c>
      <c r="E832" t="s">
        <v>45</v>
      </c>
      <c r="G832" t="str">
        <f>HYPERLINK(_xlfn.CONCAT("https://tablet.otzar.org/",CHAR(35),"/exKotar/655963"),"דברי יהודה - 8 כרכים")</f>
        <v>דברי יהודה - 8 כרכים</v>
      </c>
      <c r="H832" t="str">
        <f>_xlfn.CONCAT("https://tablet.otzar.org/",CHAR(35),"/exKotar/655963")</f>
        <v>https://tablet.otzar.org/#/exKotar/655963</v>
      </c>
    </row>
    <row r="833" spans="1:8" x14ac:dyDescent="0.25">
      <c r="A833">
        <v>650202</v>
      </c>
      <c r="B833" t="s">
        <v>1873</v>
      </c>
      <c r="C833" t="s">
        <v>1874</v>
      </c>
      <c r="D833" t="s">
        <v>10</v>
      </c>
      <c r="E833" t="s">
        <v>84</v>
      </c>
      <c r="G833" t="str">
        <f>HYPERLINK(_xlfn.CONCAT("https://tablet.otzar.org/",CHAR(35),"/book/650202/p/-1/t/1/fs/0/start/0/end/0/c"),"דברי יואל מועדים י &lt;שבועות&gt;")</f>
        <v>דברי יואל מועדים י &lt;שבועות&gt;</v>
      </c>
      <c r="H833" t="str">
        <f>_xlfn.CONCAT("https://tablet.otzar.org/",CHAR(35),"/book/650202/p/-1/t/1/fs/0/start/0/end/0/c")</f>
        <v>https://tablet.otzar.org/#/book/650202/p/-1/t/1/fs/0/start/0/end/0/c</v>
      </c>
    </row>
    <row r="834" spans="1:8" x14ac:dyDescent="0.25">
      <c r="A834">
        <v>650596</v>
      </c>
      <c r="B834" t="s">
        <v>1875</v>
      </c>
      <c r="C834" t="s">
        <v>1876</v>
      </c>
      <c r="D834" t="s">
        <v>573</v>
      </c>
      <c r="E834" t="s">
        <v>780</v>
      </c>
      <c r="G834" t="str">
        <f>HYPERLINK(_xlfn.CONCAT("https://tablet.otzar.org/",CHAR(35),"/book/650596/p/-1/t/1/fs/0/start/0/end/0/c"),"דברי יוסף")</f>
        <v>דברי יוסף</v>
      </c>
      <c r="H834" t="str">
        <f>_xlfn.CONCAT("https://tablet.otzar.org/",CHAR(35),"/book/650596/p/-1/t/1/fs/0/start/0/end/0/c")</f>
        <v>https://tablet.otzar.org/#/book/650596/p/-1/t/1/fs/0/start/0/end/0/c</v>
      </c>
    </row>
    <row r="835" spans="1:8" x14ac:dyDescent="0.25">
      <c r="A835">
        <v>654532</v>
      </c>
      <c r="B835" t="s">
        <v>1877</v>
      </c>
      <c r="C835" t="s">
        <v>308</v>
      </c>
      <c r="E835" t="s">
        <v>45</v>
      </c>
      <c r="G835" t="str">
        <f>HYPERLINK(_xlfn.CONCAT("https://tablet.otzar.org/",CHAR(35),"/exKotar/654532"),"דברי יוסף - 6 כרכים")</f>
        <v>דברי יוסף - 6 כרכים</v>
      </c>
      <c r="H835" t="str">
        <f>_xlfn.CONCAT("https://tablet.otzar.org/",CHAR(35),"/exKotar/654532")</f>
        <v>https://tablet.otzar.org/#/exKotar/654532</v>
      </c>
    </row>
    <row r="836" spans="1:8" x14ac:dyDescent="0.25">
      <c r="A836">
        <v>649252</v>
      </c>
      <c r="B836" t="s">
        <v>1878</v>
      </c>
      <c r="C836" t="s">
        <v>1879</v>
      </c>
      <c r="D836" t="s">
        <v>1880</v>
      </c>
      <c r="E836" t="s">
        <v>1881</v>
      </c>
      <c r="G836" t="str">
        <f>HYPERLINK(_xlfn.CONCAT("https://tablet.otzar.org/",CHAR(35),"/book/649252/p/-1/t/1/fs/0/start/0/end/0/c"),"דברי יחזקאל")</f>
        <v>דברי יחזקאל</v>
      </c>
      <c r="H836" t="str">
        <f>_xlfn.CONCAT("https://tablet.otzar.org/",CHAR(35),"/book/649252/p/-1/t/1/fs/0/start/0/end/0/c")</f>
        <v>https://tablet.otzar.org/#/book/649252/p/-1/t/1/fs/0/start/0/end/0/c</v>
      </c>
    </row>
    <row r="837" spans="1:8" x14ac:dyDescent="0.25">
      <c r="A837">
        <v>648331</v>
      </c>
      <c r="B837" t="s">
        <v>1882</v>
      </c>
      <c r="C837" t="s">
        <v>1883</v>
      </c>
      <c r="D837" t="s">
        <v>1884</v>
      </c>
      <c r="E837" t="s">
        <v>261</v>
      </c>
      <c r="G837" t="str">
        <f>HYPERLINK(_xlfn.CONCAT("https://tablet.otzar.org/",CHAR(35),"/book/648331/p/-1/t/1/fs/0/start/0/end/0/c"),"דברי יעקב")</f>
        <v>דברי יעקב</v>
      </c>
      <c r="H837" t="str">
        <f>_xlfn.CONCAT("https://tablet.otzar.org/",CHAR(35),"/book/648331/p/-1/t/1/fs/0/start/0/end/0/c")</f>
        <v>https://tablet.otzar.org/#/book/648331/p/-1/t/1/fs/0/start/0/end/0/c</v>
      </c>
    </row>
    <row r="838" spans="1:8" x14ac:dyDescent="0.25">
      <c r="A838">
        <v>654016</v>
      </c>
      <c r="B838" t="s">
        <v>1885</v>
      </c>
      <c r="C838" t="s">
        <v>1886</v>
      </c>
      <c r="D838" t="s">
        <v>340</v>
      </c>
      <c r="E838" t="s">
        <v>11</v>
      </c>
      <c r="G838" t="str">
        <f>HYPERLINK(_xlfn.CONCAT("https://tablet.otzar.org/",CHAR(35),"/book/654016/p/-1/t/1/fs/0/start/0/end/0/c"),"דברי יעקב - מ""""ב סי' ל""""ו")</f>
        <v>דברי יעקב - מ""ב סי' ל""ו</v>
      </c>
      <c r="H838" t="str">
        <f>_xlfn.CONCAT("https://tablet.otzar.org/",CHAR(35),"/book/654016/p/-1/t/1/fs/0/start/0/end/0/c")</f>
        <v>https://tablet.otzar.org/#/book/654016/p/-1/t/1/fs/0/start/0/end/0/c</v>
      </c>
    </row>
    <row r="839" spans="1:8" x14ac:dyDescent="0.25">
      <c r="A839">
        <v>656224</v>
      </c>
      <c r="B839" t="s">
        <v>1887</v>
      </c>
      <c r="C839" t="s">
        <v>1888</v>
      </c>
      <c r="D839" t="s">
        <v>52</v>
      </c>
      <c r="E839" t="s">
        <v>11</v>
      </c>
      <c r="G839" t="str">
        <f>HYPERLINK(_xlfn.CONCAT("https://tablet.otzar.org/",CHAR(35),"/exKotar/656224"),"דברי יעקב - 9 כרכים")</f>
        <v>דברי יעקב - 9 כרכים</v>
      </c>
      <c r="H839" t="str">
        <f>_xlfn.CONCAT("https://tablet.otzar.org/",CHAR(35),"/exKotar/656224")</f>
        <v>https://tablet.otzar.org/#/exKotar/656224</v>
      </c>
    </row>
    <row r="840" spans="1:8" x14ac:dyDescent="0.25">
      <c r="A840">
        <v>654836</v>
      </c>
      <c r="B840" t="s">
        <v>1889</v>
      </c>
      <c r="C840" t="s">
        <v>1890</v>
      </c>
      <c r="D840" t="s">
        <v>10</v>
      </c>
      <c r="E840" t="s">
        <v>35</v>
      </c>
      <c r="G840" t="str">
        <f>HYPERLINK(_xlfn.CONCAT("https://tablet.otzar.org/",CHAR(35),"/book/654836/p/-1/t/1/fs/0/start/0/end/0/c"),"דברי כבושין - אוזן שומעת")</f>
        <v>דברי כבושין - אוזן שומעת</v>
      </c>
      <c r="H840" t="str">
        <f>_xlfn.CONCAT("https://tablet.otzar.org/",CHAR(35),"/book/654836/p/-1/t/1/fs/0/start/0/end/0/c")</f>
        <v>https://tablet.otzar.org/#/book/654836/p/-1/t/1/fs/0/start/0/end/0/c</v>
      </c>
    </row>
    <row r="841" spans="1:8" x14ac:dyDescent="0.25">
      <c r="A841">
        <v>647684</v>
      </c>
      <c r="B841" t="s">
        <v>1891</v>
      </c>
      <c r="C841" t="s">
        <v>1892</v>
      </c>
      <c r="D841" t="s">
        <v>1893</v>
      </c>
      <c r="E841" t="s">
        <v>35</v>
      </c>
      <c r="G841" t="str">
        <f>HYPERLINK(_xlfn.CONCAT("https://tablet.otzar.org/",CHAR(35),"/book/647684/p/-1/t/1/fs/0/start/0/end/0/c"),"דברי מיכאל - בבא מציעא (שנים אוחזין), מכות (כיצד העדים)")</f>
        <v>דברי מיכאל - בבא מציעא (שנים אוחזין), מכות (כיצד העדים)</v>
      </c>
      <c r="H841" t="str">
        <f>_xlfn.CONCAT("https://tablet.otzar.org/",CHAR(35),"/book/647684/p/-1/t/1/fs/0/start/0/end/0/c")</f>
        <v>https://tablet.otzar.org/#/book/647684/p/-1/t/1/fs/0/start/0/end/0/c</v>
      </c>
    </row>
    <row r="842" spans="1:8" x14ac:dyDescent="0.25">
      <c r="A842">
        <v>657247</v>
      </c>
      <c r="B842" t="s">
        <v>1894</v>
      </c>
      <c r="C842" t="s">
        <v>1895</v>
      </c>
      <c r="D842" t="s">
        <v>52</v>
      </c>
      <c r="E842" t="s">
        <v>416</v>
      </c>
      <c r="G842" t="str">
        <f>HYPERLINK(_xlfn.CONCAT("https://tablet.otzar.org/",CHAR(35),"/book/657247/p/-1/t/1/fs/0/start/0/end/0/c"),"דברי מרדכי - סוכה")</f>
        <v>דברי מרדכי - סוכה</v>
      </c>
      <c r="H842" t="str">
        <f>_xlfn.CONCAT("https://tablet.otzar.org/",CHAR(35),"/book/657247/p/-1/t/1/fs/0/start/0/end/0/c")</f>
        <v>https://tablet.otzar.org/#/book/657247/p/-1/t/1/fs/0/start/0/end/0/c</v>
      </c>
    </row>
    <row r="843" spans="1:8" x14ac:dyDescent="0.25">
      <c r="A843">
        <v>647632</v>
      </c>
      <c r="B843" t="s">
        <v>1896</v>
      </c>
      <c r="C843" t="s">
        <v>1066</v>
      </c>
      <c r="E843" t="s">
        <v>184</v>
      </c>
      <c r="G843" t="str">
        <f>HYPERLINK(_xlfn.CONCAT("https://tablet.otzar.org/",CHAR(35),"/exKotar/647632"),"דברי מרדכי - 2 כרכים")</f>
        <v>דברי מרדכי - 2 כרכים</v>
      </c>
      <c r="H843" t="str">
        <f>_xlfn.CONCAT("https://tablet.otzar.org/",CHAR(35),"/exKotar/647632")</f>
        <v>https://tablet.otzar.org/#/exKotar/647632</v>
      </c>
    </row>
    <row r="844" spans="1:8" x14ac:dyDescent="0.25">
      <c r="A844">
        <v>643236</v>
      </c>
      <c r="B844" t="s">
        <v>1897</v>
      </c>
      <c r="C844" t="s">
        <v>1898</v>
      </c>
      <c r="D844" t="s">
        <v>10</v>
      </c>
      <c r="E844" t="s">
        <v>25</v>
      </c>
      <c r="G844" t="str">
        <f>HYPERLINK(_xlfn.CONCAT("https://tablet.otzar.org/",CHAR(35),"/book/643236/p/-1/t/1/fs/0/start/0/end/0/c"),"דברי משה")</f>
        <v>דברי משה</v>
      </c>
      <c r="H844" t="str">
        <f>_xlfn.CONCAT("https://tablet.otzar.org/",CHAR(35),"/book/643236/p/-1/t/1/fs/0/start/0/end/0/c")</f>
        <v>https://tablet.otzar.org/#/book/643236/p/-1/t/1/fs/0/start/0/end/0/c</v>
      </c>
    </row>
    <row r="845" spans="1:8" x14ac:dyDescent="0.25">
      <c r="A845">
        <v>655381</v>
      </c>
      <c r="B845" t="s">
        <v>1899</v>
      </c>
      <c r="C845" t="s">
        <v>1900</v>
      </c>
      <c r="D845" t="s">
        <v>10</v>
      </c>
      <c r="E845" t="s">
        <v>312</v>
      </c>
      <c r="G845" t="str">
        <f>HYPERLINK(_xlfn.CONCAT("https://tablet.otzar.org/",CHAR(35),"/exKotar/655381"),"דברי סופרים - 7 כרכים")</f>
        <v>דברי סופרים - 7 כרכים</v>
      </c>
      <c r="H845" t="str">
        <f>_xlfn.CONCAT("https://tablet.otzar.org/",CHAR(35),"/exKotar/655381")</f>
        <v>https://tablet.otzar.org/#/exKotar/655381</v>
      </c>
    </row>
    <row r="846" spans="1:8" x14ac:dyDescent="0.25">
      <c r="A846">
        <v>651813</v>
      </c>
      <c r="B846" t="s">
        <v>1901</v>
      </c>
      <c r="C846" t="s">
        <v>1902</v>
      </c>
      <c r="D846" t="s">
        <v>10</v>
      </c>
      <c r="E846" t="s">
        <v>405</v>
      </c>
      <c r="G846" t="str">
        <f>HYPERLINK(_xlfn.CONCAT("https://tablet.otzar.org/",CHAR(35),"/book/651813/p/-1/t/1/fs/0/start/0/end/0/c"),"דברי סופרים אור אליהו")</f>
        <v>דברי סופרים אור אליהו</v>
      </c>
      <c r="H846" t="str">
        <f>_xlfn.CONCAT("https://tablet.otzar.org/",CHAR(35),"/book/651813/p/-1/t/1/fs/0/start/0/end/0/c")</f>
        <v>https://tablet.otzar.org/#/book/651813/p/-1/t/1/fs/0/start/0/end/0/c</v>
      </c>
    </row>
    <row r="847" spans="1:8" x14ac:dyDescent="0.25">
      <c r="A847">
        <v>653354</v>
      </c>
      <c r="B847" t="s">
        <v>1903</v>
      </c>
      <c r="C847" t="s">
        <v>1904</v>
      </c>
      <c r="D847" t="s">
        <v>10</v>
      </c>
      <c r="E847" t="s">
        <v>161</v>
      </c>
      <c r="G847" t="str">
        <f>HYPERLINK(_xlfn.CONCAT("https://tablet.otzar.org/",CHAR(35),"/book/653354/p/-1/t/1/fs/0/start/0/end/0/c"),"דברי רבותינו הראשונים - בבא קמא")</f>
        <v>דברי רבותינו הראשונים - בבא קמא</v>
      </c>
      <c r="H847" t="str">
        <f>_xlfn.CONCAT("https://tablet.otzar.org/",CHAR(35),"/book/653354/p/-1/t/1/fs/0/start/0/end/0/c")</f>
        <v>https://tablet.otzar.org/#/book/653354/p/-1/t/1/fs/0/start/0/end/0/c</v>
      </c>
    </row>
    <row r="848" spans="1:8" x14ac:dyDescent="0.25">
      <c r="A848">
        <v>650400</v>
      </c>
      <c r="B848" t="s">
        <v>1905</v>
      </c>
      <c r="C848" t="s">
        <v>1906</v>
      </c>
      <c r="D848" t="s">
        <v>52</v>
      </c>
      <c r="E848" t="s">
        <v>213</v>
      </c>
      <c r="G848" t="str">
        <f>HYPERLINK(_xlfn.CONCAT("https://tablet.otzar.org/",CHAR(35),"/book/650400/p/-1/t/1/fs/0/start/0/end/0/c"),"דברי שלום")</f>
        <v>דברי שלום</v>
      </c>
      <c r="H848" t="str">
        <f>_xlfn.CONCAT("https://tablet.otzar.org/",CHAR(35),"/book/650400/p/-1/t/1/fs/0/start/0/end/0/c")</f>
        <v>https://tablet.otzar.org/#/book/650400/p/-1/t/1/fs/0/start/0/end/0/c</v>
      </c>
    </row>
    <row r="849" spans="1:8" x14ac:dyDescent="0.25">
      <c r="A849">
        <v>650622</v>
      </c>
      <c r="B849" t="s">
        <v>1907</v>
      </c>
      <c r="C849" t="s">
        <v>1908</v>
      </c>
      <c r="D849" t="s">
        <v>52</v>
      </c>
      <c r="E849" t="s">
        <v>237</v>
      </c>
      <c r="G849" t="str">
        <f>HYPERLINK(_xlfn.CONCAT("https://tablet.otzar.org/",CHAR(35),"/book/650622/p/-1/t/1/fs/0/start/0/end/0/c"),"דברי שלום - עיונים בש""""ס (תניינא)")</f>
        <v>דברי שלום - עיונים בש""ס (תניינא)</v>
      </c>
      <c r="H849" t="str">
        <f>_xlfn.CONCAT("https://tablet.otzar.org/",CHAR(35),"/book/650622/p/-1/t/1/fs/0/start/0/end/0/c")</f>
        <v>https://tablet.otzar.org/#/book/650622/p/-1/t/1/fs/0/start/0/end/0/c</v>
      </c>
    </row>
    <row r="850" spans="1:8" x14ac:dyDescent="0.25">
      <c r="A850">
        <v>647237</v>
      </c>
      <c r="B850" t="s">
        <v>1909</v>
      </c>
      <c r="C850" t="s">
        <v>1910</v>
      </c>
      <c r="D850" t="s">
        <v>347</v>
      </c>
      <c r="E850" t="s">
        <v>45</v>
      </c>
      <c r="G850" t="str">
        <f>HYPERLINK(_xlfn.CONCAT("https://tablet.otzar.org/",CHAR(35),"/book/647237/p/-1/t/1/fs/0/start/0/end/0/c"),"דברי שלום ואמת")</f>
        <v>דברי שלום ואמת</v>
      </c>
      <c r="H850" t="str">
        <f>_xlfn.CONCAT("https://tablet.otzar.org/",CHAR(35),"/book/647237/p/-1/t/1/fs/0/start/0/end/0/c")</f>
        <v>https://tablet.otzar.org/#/book/647237/p/-1/t/1/fs/0/start/0/end/0/c</v>
      </c>
    </row>
    <row r="851" spans="1:8" x14ac:dyDescent="0.25">
      <c r="A851">
        <v>649909</v>
      </c>
      <c r="B851" t="s">
        <v>1909</v>
      </c>
      <c r="C851" t="s">
        <v>614</v>
      </c>
      <c r="D851" t="s">
        <v>34</v>
      </c>
      <c r="E851" t="s">
        <v>11</v>
      </c>
      <c r="G851" t="str">
        <f>HYPERLINK(_xlfn.CONCAT("https://tablet.otzar.org/",CHAR(35),"/book/649909/p/-1/t/1/fs/0/start/0/end/0/c"),"דברי שלום ואמת")</f>
        <v>דברי שלום ואמת</v>
      </c>
      <c r="H851" t="str">
        <f>_xlfn.CONCAT("https://tablet.otzar.org/",CHAR(35),"/book/649909/p/-1/t/1/fs/0/start/0/end/0/c")</f>
        <v>https://tablet.otzar.org/#/book/649909/p/-1/t/1/fs/0/start/0/end/0/c</v>
      </c>
    </row>
    <row r="852" spans="1:8" x14ac:dyDescent="0.25">
      <c r="A852">
        <v>650221</v>
      </c>
      <c r="B852" t="s">
        <v>1911</v>
      </c>
      <c r="C852" t="s">
        <v>1912</v>
      </c>
      <c r="D852" t="s">
        <v>10</v>
      </c>
      <c r="E852" t="s">
        <v>763</v>
      </c>
      <c r="G852" t="str">
        <f>HYPERLINK(_xlfn.CONCAT("https://tablet.otzar.org/",CHAR(35),"/exKotar/650221"),"דברי שלום ואמת - 2 כרכים")</f>
        <v>דברי שלום ואמת - 2 כרכים</v>
      </c>
      <c r="H852" t="str">
        <f>_xlfn.CONCAT("https://tablet.otzar.org/",CHAR(35),"/exKotar/650221")</f>
        <v>https://tablet.otzar.org/#/exKotar/650221</v>
      </c>
    </row>
    <row r="853" spans="1:8" x14ac:dyDescent="0.25">
      <c r="A853">
        <v>651920</v>
      </c>
      <c r="B853" t="s">
        <v>1913</v>
      </c>
      <c r="C853" t="s">
        <v>1914</v>
      </c>
      <c r="D853" t="s">
        <v>609</v>
      </c>
      <c r="E853" t="s">
        <v>11</v>
      </c>
      <c r="G853" t="str">
        <f>HYPERLINK(_xlfn.CONCAT("https://tablet.otzar.org/",CHAR(35),"/book/651920/p/-1/t/1/fs/0/start/0/end/0/c"),"דברי שלמה ח""""א")</f>
        <v>דברי שלמה ח""א</v>
      </c>
      <c r="H853" t="str">
        <f>_xlfn.CONCAT("https://tablet.otzar.org/",CHAR(35),"/book/651920/p/-1/t/1/fs/0/start/0/end/0/c")</f>
        <v>https://tablet.otzar.org/#/book/651920/p/-1/t/1/fs/0/start/0/end/0/c</v>
      </c>
    </row>
    <row r="854" spans="1:8" x14ac:dyDescent="0.25">
      <c r="A854">
        <v>654248</v>
      </c>
      <c r="B854" t="s">
        <v>1915</v>
      </c>
      <c r="C854" t="s">
        <v>1916</v>
      </c>
      <c r="D854" t="s">
        <v>10</v>
      </c>
      <c r="E854" t="s">
        <v>11</v>
      </c>
      <c r="G854" t="str">
        <f>HYPERLINK(_xlfn.CONCAT("https://tablet.otzar.org/",CHAR(35),"/book/654248/p/-1/t/1/fs/0/start/0/end/0/c"),"דברי תורה ושיחות קודש - בראשית")</f>
        <v>דברי תורה ושיחות קודש - בראשית</v>
      </c>
      <c r="H854" t="str">
        <f>_xlfn.CONCAT("https://tablet.otzar.org/",CHAR(35),"/book/654248/p/-1/t/1/fs/0/start/0/end/0/c")</f>
        <v>https://tablet.otzar.org/#/book/654248/p/-1/t/1/fs/0/start/0/end/0/c</v>
      </c>
    </row>
    <row r="855" spans="1:8" x14ac:dyDescent="0.25">
      <c r="A855">
        <v>653284</v>
      </c>
      <c r="B855" t="s">
        <v>1917</v>
      </c>
      <c r="C855" t="s">
        <v>1918</v>
      </c>
      <c r="D855" t="s">
        <v>10</v>
      </c>
      <c r="E855" t="s">
        <v>1919</v>
      </c>
      <c r="G855" t="str">
        <f>HYPERLINK(_xlfn.CONCAT("https://tablet.otzar.org/",CHAR(35),"/book/653284/p/-1/t/1/fs/0/start/0/end/0/c"),"דברים אחדים אל הקורא")</f>
        <v>דברים אחדים אל הקורא</v>
      </c>
      <c r="H855" t="str">
        <f>_xlfn.CONCAT("https://tablet.otzar.org/",CHAR(35),"/book/653284/p/-1/t/1/fs/0/start/0/end/0/c")</f>
        <v>https://tablet.otzar.org/#/book/653284/p/-1/t/1/fs/0/start/0/end/0/c</v>
      </c>
    </row>
    <row r="856" spans="1:8" x14ac:dyDescent="0.25">
      <c r="A856">
        <v>647442</v>
      </c>
      <c r="B856" t="s">
        <v>1920</v>
      </c>
      <c r="C856" t="s">
        <v>1921</v>
      </c>
      <c r="D856" t="s">
        <v>34</v>
      </c>
      <c r="E856" t="s">
        <v>70</v>
      </c>
      <c r="G856" t="str">
        <f>HYPERLINK(_xlfn.CONCAT("https://tablet.otzar.org/",CHAR(35),"/book/647442/p/-1/t/1/fs/0/start/0/end/0/c"),"דברים בעתם - פסח")</f>
        <v>דברים בעתם - פסח</v>
      </c>
      <c r="H856" t="str">
        <f>_xlfn.CONCAT("https://tablet.otzar.org/",CHAR(35),"/book/647442/p/-1/t/1/fs/0/start/0/end/0/c")</f>
        <v>https://tablet.otzar.org/#/book/647442/p/-1/t/1/fs/0/start/0/end/0/c</v>
      </c>
    </row>
    <row r="857" spans="1:8" x14ac:dyDescent="0.25">
      <c r="A857">
        <v>651043</v>
      </c>
      <c r="B857" t="s">
        <v>1922</v>
      </c>
      <c r="C857" t="s">
        <v>1923</v>
      </c>
      <c r="D857" t="s">
        <v>52</v>
      </c>
      <c r="E857" t="s">
        <v>45</v>
      </c>
      <c r="G857" t="str">
        <f>HYPERLINK(_xlfn.CONCAT("https://tablet.otzar.org/",CHAR(35),"/book/651043/p/-1/t/1/fs/0/start/0/end/0/c"),"דברים היוצאים מן הלב")</f>
        <v>דברים היוצאים מן הלב</v>
      </c>
      <c r="H857" t="str">
        <f>_xlfn.CONCAT("https://tablet.otzar.org/",CHAR(35),"/book/651043/p/-1/t/1/fs/0/start/0/end/0/c")</f>
        <v>https://tablet.otzar.org/#/book/651043/p/-1/t/1/fs/0/start/0/end/0/c</v>
      </c>
    </row>
    <row r="858" spans="1:8" x14ac:dyDescent="0.25">
      <c r="A858">
        <v>647969</v>
      </c>
      <c r="B858" t="s">
        <v>1924</v>
      </c>
      <c r="C858" t="s">
        <v>1925</v>
      </c>
      <c r="D858" t="s">
        <v>34</v>
      </c>
      <c r="E858" t="s">
        <v>11</v>
      </c>
      <c r="G858" t="str">
        <f>HYPERLINK(_xlfn.CONCAT("https://tablet.otzar.org/",CHAR(35),"/book/647969/p/-1/t/1/fs/0/start/0/end/0/c"),"דברים ערבים - ה")</f>
        <v>דברים ערבים - ה</v>
      </c>
      <c r="H858" t="str">
        <f>_xlfn.CONCAT("https://tablet.otzar.org/",CHAR(35),"/book/647969/p/-1/t/1/fs/0/start/0/end/0/c")</f>
        <v>https://tablet.otzar.org/#/book/647969/p/-1/t/1/fs/0/start/0/end/0/c</v>
      </c>
    </row>
    <row r="859" spans="1:8" x14ac:dyDescent="0.25">
      <c r="A859">
        <v>647876</v>
      </c>
      <c r="B859" t="s">
        <v>1926</v>
      </c>
      <c r="C859" t="s">
        <v>1927</v>
      </c>
      <c r="D859" t="s">
        <v>34</v>
      </c>
      <c r="E859" t="s">
        <v>84</v>
      </c>
      <c r="G859" t="str">
        <f>HYPERLINK(_xlfn.CONCAT("https://tablet.otzar.org/",CHAR(35),"/book/647876/p/-1/t/1/fs/0/start/0/end/0/c"),"דברים שבלב")</f>
        <v>דברים שבלב</v>
      </c>
      <c r="H859" t="str">
        <f>_xlfn.CONCAT("https://tablet.otzar.org/",CHAR(35),"/book/647876/p/-1/t/1/fs/0/start/0/end/0/c")</f>
        <v>https://tablet.otzar.org/#/book/647876/p/-1/t/1/fs/0/start/0/end/0/c</v>
      </c>
    </row>
    <row r="860" spans="1:8" x14ac:dyDescent="0.25">
      <c r="A860">
        <v>646846</v>
      </c>
      <c r="B860" t="s">
        <v>1928</v>
      </c>
      <c r="C860" t="s">
        <v>1929</v>
      </c>
      <c r="D860" t="s">
        <v>10</v>
      </c>
      <c r="E860" t="s">
        <v>213</v>
      </c>
      <c r="G860" t="str">
        <f>HYPERLINK(_xlfn.CONCAT("https://tablet.otzar.org/",CHAR(35),"/exKotar/646846"),"דברים שנאמרו - 2 כרכים")</f>
        <v>דברים שנאמרו - 2 כרכים</v>
      </c>
      <c r="H860" t="str">
        <f>_xlfn.CONCAT("https://tablet.otzar.org/",CHAR(35),"/exKotar/646846")</f>
        <v>https://tablet.otzar.org/#/exKotar/646846</v>
      </c>
    </row>
    <row r="861" spans="1:8" x14ac:dyDescent="0.25">
      <c r="A861">
        <v>654501</v>
      </c>
      <c r="B861" t="s">
        <v>1930</v>
      </c>
      <c r="C861" t="s">
        <v>1931</v>
      </c>
      <c r="E861" t="s">
        <v>117</v>
      </c>
      <c r="G861" t="str">
        <f>HYPERLINK(_xlfn.CONCAT("https://tablet.otzar.org/",CHAR(35),"/book/654501/p/-1/t/1/fs/0/start/0/end/0/c"),"דבש צבי")</f>
        <v>דבש צבי</v>
      </c>
      <c r="H861" t="str">
        <f>_xlfn.CONCAT("https://tablet.otzar.org/",CHAR(35),"/book/654501/p/-1/t/1/fs/0/start/0/end/0/c")</f>
        <v>https://tablet.otzar.org/#/book/654501/p/-1/t/1/fs/0/start/0/end/0/c</v>
      </c>
    </row>
    <row r="862" spans="1:8" x14ac:dyDescent="0.25">
      <c r="A862">
        <v>649030</v>
      </c>
      <c r="B862" t="s">
        <v>1932</v>
      </c>
      <c r="C862" t="s">
        <v>1933</v>
      </c>
      <c r="D862" t="s">
        <v>10</v>
      </c>
      <c r="E862" t="s">
        <v>352</v>
      </c>
      <c r="G862" t="str">
        <f>HYPERLINK(_xlfn.CONCAT("https://tablet.otzar.org/",CHAR(35),"/exKotar/649030"),"דבשה של תורה - 3 כרכים")</f>
        <v>דבשה של תורה - 3 כרכים</v>
      </c>
      <c r="H862" t="str">
        <f>_xlfn.CONCAT("https://tablet.otzar.org/",CHAR(35),"/exKotar/649030")</f>
        <v>https://tablet.otzar.org/#/exKotar/649030</v>
      </c>
    </row>
    <row r="863" spans="1:8" x14ac:dyDescent="0.25">
      <c r="A863">
        <v>655110</v>
      </c>
      <c r="B863" t="s">
        <v>1934</v>
      </c>
      <c r="C863" t="s">
        <v>382</v>
      </c>
      <c r="D863" t="s">
        <v>10</v>
      </c>
      <c r="E863" t="s">
        <v>11</v>
      </c>
      <c r="G863" t="str">
        <f>HYPERLINK(_xlfn.CONCAT("https://tablet.otzar.org/",CHAR(35),"/book/655110/p/-1/t/1/fs/0/start/0/end/0/c"),"דגל ירושלים - ט")</f>
        <v>דגל ירושלים - ט</v>
      </c>
      <c r="H863" t="str">
        <f>_xlfn.CONCAT("https://tablet.otzar.org/",CHAR(35),"/book/655110/p/-1/t/1/fs/0/start/0/end/0/c")</f>
        <v>https://tablet.otzar.org/#/book/655110/p/-1/t/1/fs/0/start/0/end/0/c</v>
      </c>
    </row>
    <row r="864" spans="1:8" x14ac:dyDescent="0.25">
      <c r="A864">
        <v>647647</v>
      </c>
      <c r="B864" t="s">
        <v>1935</v>
      </c>
      <c r="C864" t="s">
        <v>1936</v>
      </c>
      <c r="D864" t="s">
        <v>52</v>
      </c>
      <c r="E864" t="s">
        <v>1937</v>
      </c>
      <c r="G864" t="str">
        <f>HYPERLINK(_xlfn.CONCAT("https://tablet.otzar.org/",CHAR(35),"/book/647647/p/-1/t/1/fs/0/start/0/end/0/c"),"דגל ישראל סבא - א")</f>
        <v>דגל ישראל סבא - א</v>
      </c>
      <c r="H864" t="str">
        <f>_xlfn.CONCAT("https://tablet.otzar.org/",CHAR(35),"/book/647647/p/-1/t/1/fs/0/start/0/end/0/c")</f>
        <v>https://tablet.otzar.org/#/book/647647/p/-1/t/1/fs/0/start/0/end/0/c</v>
      </c>
    </row>
    <row r="865" spans="1:8" x14ac:dyDescent="0.25">
      <c r="A865">
        <v>650992</v>
      </c>
      <c r="B865" t="s">
        <v>1938</v>
      </c>
      <c r="C865" t="s">
        <v>1939</v>
      </c>
      <c r="D865" t="s">
        <v>52</v>
      </c>
      <c r="E865" t="s">
        <v>11</v>
      </c>
      <c r="G865" t="str">
        <f>HYPERLINK(_xlfn.CONCAT("https://tablet.otzar.org/",CHAR(35),"/book/650992/p/-1/t/1/fs/0/start/0/end/0/c"),"דגן שמים")</f>
        <v>דגן שמים</v>
      </c>
      <c r="H865" t="str">
        <f>_xlfn.CONCAT("https://tablet.otzar.org/",CHAR(35),"/book/650992/p/-1/t/1/fs/0/start/0/end/0/c")</f>
        <v>https://tablet.otzar.org/#/book/650992/p/-1/t/1/fs/0/start/0/end/0/c</v>
      </c>
    </row>
    <row r="866" spans="1:8" x14ac:dyDescent="0.25">
      <c r="A866">
        <v>648886</v>
      </c>
      <c r="B866" t="s">
        <v>1940</v>
      </c>
      <c r="C866" t="s">
        <v>1941</v>
      </c>
      <c r="D866" t="s">
        <v>10</v>
      </c>
      <c r="E866" t="s">
        <v>293</v>
      </c>
      <c r="G866" t="str">
        <f>HYPERLINK(_xlfn.CONCAT("https://tablet.otzar.org/",CHAR(35),"/exKotar/648886"),"דובבות יעקב - 2 כרכים")</f>
        <v>דובבות יעקב - 2 כרכים</v>
      </c>
      <c r="H866" t="str">
        <f>_xlfn.CONCAT("https://tablet.otzar.org/",CHAR(35),"/exKotar/648886")</f>
        <v>https://tablet.otzar.org/#/exKotar/648886</v>
      </c>
    </row>
    <row r="867" spans="1:8" x14ac:dyDescent="0.25">
      <c r="A867">
        <v>648933</v>
      </c>
      <c r="B867" t="s">
        <v>1942</v>
      </c>
      <c r="C867" t="s">
        <v>1943</v>
      </c>
      <c r="E867">
        <v>1988</v>
      </c>
      <c r="G867" t="str">
        <f>HYPERLINK(_xlfn.CONCAT("https://tablet.otzar.org/",CHAR(35),"/exKotar/648933"),"דובבות יעקב - 5 כרכים")</f>
        <v>דובבות יעקב - 5 כרכים</v>
      </c>
      <c r="H867" t="str">
        <f>_xlfn.CONCAT("https://tablet.otzar.org/",CHAR(35),"/exKotar/648933")</f>
        <v>https://tablet.otzar.org/#/exKotar/648933</v>
      </c>
    </row>
    <row r="868" spans="1:8" x14ac:dyDescent="0.25">
      <c r="A868">
        <v>648936</v>
      </c>
      <c r="B868" t="s">
        <v>1940</v>
      </c>
      <c r="C868" t="s">
        <v>1944</v>
      </c>
      <c r="E868" t="s">
        <v>70</v>
      </c>
      <c r="G868" t="str">
        <f>HYPERLINK(_xlfn.CONCAT("https://tablet.otzar.org/",CHAR(35),"/exKotar/648936"),"דובבות יעקב - 2 כרכים")</f>
        <v>דובבות יעקב - 2 כרכים</v>
      </c>
      <c r="H868" t="str">
        <f>_xlfn.CONCAT("https://tablet.otzar.org/",CHAR(35),"/exKotar/648936")</f>
        <v>https://tablet.otzar.org/#/exKotar/648936</v>
      </c>
    </row>
    <row r="869" spans="1:8" x14ac:dyDescent="0.25">
      <c r="A869">
        <v>648524</v>
      </c>
      <c r="B869" t="s">
        <v>1945</v>
      </c>
      <c r="C869" t="s">
        <v>1946</v>
      </c>
      <c r="D869" t="s">
        <v>10</v>
      </c>
      <c r="E869" t="s">
        <v>582</v>
      </c>
      <c r="G869" t="str">
        <f>HYPERLINK(_xlfn.CONCAT("https://tablet.otzar.org/",CHAR(35),"/book/648524/p/-1/t/1/fs/0/start/0/end/0/c"),"דודאי ראובן - א")</f>
        <v>דודאי ראובן - א</v>
      </c>
      <c r="H869" t="str">
        <f>_xlfn.CONCAT("https://tablet.otzar.org/",CHAR(35),"/book/648524/p/-1/t/1/fs/0/start/0/end/0/c")</f>
        <v>https://tablet.otzar.org/#/book/648524/p/-1/t/1/fs/0/start/0/end/0/c</v>
      </c>
    </row>
    <row r="870" spans="1:8" x14ac:dyDescent="0.25">
      <c r="A870">
        <v>654360</v>
      </c>
      <c r="B870" t="s">
        <v>1947</v>
      </c>
      <c r="C870" t="s">
        <v>1948</v>
      </c>
      <c r="D870" t="s">
        <v>52</v>
      </c>
      <c r="E870" t="s">
        <v>11</v>
      </c>
      <c r="G870" t="str">
        <f>HYPERLINK(_xlfn.CONCAT("https://tablet.otzar.org/",CHAR(35),"/book/654360/p/-1/t/1/fs/0/start/0/end/0/c"),"דודאי ראובן - ברכות, שבת, ביצה, כתובות, גיטין, חולין, נדה,")</f>
        <v>דודאי ראובן - ברכות, שבת, ביצה, כתובות, גיטין, חולין, נדה,</v>
      </c>
      <c r="H870" t="str">
        <f>_xlfn.CONCAT("https://tablet.otzar.org/",CHAR(35),"/book/654360/p/-1/t/1/fs/0/start/0/end/0/c")</f>
        <v>https://tablet.otzar.org/#/book/654360/p/-1/t/1/fs/0/start/0/end/0/c</v>
      </c>
    </row>
    <row r="871" spans="1:8" x14ac:dyDescent="0.25">
      <c r="A871">
        <v>649027</v>
      </c>
      <c r="B871" t="s">
        <v>1949</v>
      </c>
      <c r="C871" t="s">
        <v>1950</v>
      </c>
      <c r="D871" t="s">
        <v>10</v>
      </c>
      <c r="E871" t="s">
        <v>1364</v>
      </c>
      <c r="G871" t="str">
        <f>HYPERLINK(_xlfn.CONCAT("https://tablet.otzar.org/",CHAR(35),"/book/649027/p/-1/t/1/fs/0/start/0/end/0/c"),"דור דור")</f>
        <v>דור דור</v>
      </c>
      <c r="H871" t="str">
        <f>_xlfn.CONCAT("https://tablet.otzar.org/",CHAR(35),"/book/649027/p/-1/t/1/fs/0/start/0/end/0/c")</f>
        <v>https://tablet.otzar.org/#/book/649027/p/-1/t/1/fs/0/start/0/end/0/c</v>
      </c>
    </row>
    <row r="872" spans="1:8" x14ac:dyDescent="0.25">
      <c r="A872">
        <v>649581</v>
      </c>
      <c r="B872" t="s">
        <v>1951</v>
      </c>
      <c r="C872" t="s">
        <v>1952</v>
      </c>
      <c r="D872" t="s">
        <v>10</v>
      </c>
      <c r="E872" t="s">
        <v>45</v>
      </c>
      <c r="G872" t="str">
        <f>HYPERLINK(_xlfn.CONCAT("https://tablet.otzar.org/",CHAR(35),"/exKotar/649581"),"דור המלקטים - 2 כרכים")</f>
        <v>דור המלקטים - 2 כרכים</v>
      </c>
      <c r="H872" t="str">
        <f>_xlfn.CONCAT("https://tablet.otzar.org/",CHAR(35),"/exKotar/649581")</f>
        <v>https://tablet.otzar.org/#/exKotar/649581</v>
      </c>
    </row>
    <row r="873" spans="1:8" x14ac:dyDescent="0.25">
      <c r="A873">
        <v>655707</v>
      </c>
      <c r="B873" t="s">
        <v>1953</v>
      </c>
      <c r="C873" t="s">
        <v>1954</v>
      </c>
      <c r="D873" t="s">
        <v>34</v>
      </c>
      <c r="E873" t="s">
        <v>84</v>
      </c>
      <c r="G873" t="str">
        <f>HYPERLINK(_xlfn.CONCAT("https://tablet.otzar.org/",CHAR(35),"/book/655707/p/-1/t/1/fs/0/start/0/end/0/c"),"דור ודורשיו - א")</f>
        <v>דור ודורשיו - א</v>
      </c>
      <c r="H873" t="str">
        <f>_xlfn.CONCAT("https://tablet.otzar.org/",CHAR(35),"/book/655707/p/-1/t/1/fs/0/start/0/end/0/c")</f>
        <v>https://tablet.otzar.org/#/book/655707/p/-1/t/1/fs/0/start/0/end/0/c</v>
      </c>
    </row>
    <row r="874" spans="1:8" x14ac:dyDescent="0.25">
      <c r="A874">
        <v>648587</v>
      </c>
      <c r="B874" t="s">
        <v>1955</v>
      </c>
      <c r="C874" t="s">
        <v>1956</v>
      </c>
      <c r="D874" t="s">
        <v>1957</v>
      </c>
      <c r="E874" t="s">
        <v>1958</v>
      </c>
      <c r="G874" t="str">
        <f>HYPERLINK(_xlfn.CONCAT("https://tablet.otzar.org/",CHAR(35),"/book/648587/p/-1/t/1/fs/0/start/0/end/0/c"),"דור רביעי - חולין")</f>
        <v>דור רביעי - חולין</v>
      </c>
      <c r="H874" t="str">
        <f>_xlfn.CONCAT("https://tablet.otzar.org/",CHAR(35),"/book/648587/p/-1/t/1/fs/0/start/0/end/0/c")</f>
        <v>https://tablet.otzar.org/#/book/648587/p/-1/t/1/fs/0/start/0/end/0/c</v>
      </c>
    </row>
    <row r="875" spans="1:8" x14ac:dyDescent="0.25">
      <c r="A875">
        <v>653530</v>
      </c>
      <c r="B875" t="s">
        <v>1959</v>
      </c>
      <c r="C875" t="s">
        <v>1960</v>
      </c>
      <c r="D875" t="s">
        <v>1961</v>
      </c>
      <c r="E875" t="s">
        <v>1962</v>
      </c>
      <c r="G875" t="str">
        <f>HYPERLINK(_xlfn.CONCAT("https://tablet.otzar.org/",CHAR(35),"/book/653530/p/-1/t/1/fs/0/start/0/end/0/c"),"דור רבניו וסופריו - א")</f>
        <v>דור רבניו וסופריו - א</v>
      </c>
      <c r="H875" t="str">
        <f>_xlfn.CONCAT("https://tablet.otzar.org/",CHAR(35),"/book/653530/p/-1/t/1/fs/0/start/0/end/0/c")</f>
        <v>https://tablet.otzar.org/#/book/653530/p/-1/t/1/fs/0/start/0/end/0/c</v>
      </c>
    </row>
    <row r="876" spans="1:8" x14ac:dyDescent="0.25">
      <c r="A876">
        <v>653104</v>
      </c>
      <c r="B876" t="s">
        <v>1963</v>
      </c>
      <c r="C876" t="s">
        <v>1964</v>
      </c>
      <c r="D876" t="s">
        <v>34</v>
      </c>
      <c r="E876" t="s">
        <v>70</v>
      </c>
      <c r="G876" t="str">
        <f>HYPERLINK(_xlfn.CONCAT("https://tablet.otzar.org/",CHAR(35),"/book/653104/p/-1/t/1/fs/0/start/0/end/0/c"),"דורון דרשה")</f>
        <v>דורון דרשה</v>
      </c>
      <c r="H876" t="str">
        <f>_xlfn.CONCAT("https://tablet.otzar.org/",CHAR(35),"/book/653104/p/-1/t/1/fs/0/start/0/end/0/c")</f>
        <v>https://tablet.otzar.org/#/book/653104/p/-1/t/1/fs/0/start/0/end/0/c</v>
      </c>
    </row>
    <row r="877" spans="1:8" x14ac:dyDescent="0.25">
      <c r="A877">
        <v>655635</v>
      </c>
      <c r="B877" t="s">
        <v>1965</v>
      </c>
      <c r="C877" t="s">
        <v>1966</v>
      </c>
      <c r="D877" t="s">
        <v>10</v>
      </c>
      <c r="E877" t="s">
        <v>11</v>
      </c>
      <c r="G877" t="str">
        <f>HYPERLINK(_xlfn.CONCAT("https://tablet.otzar.org/",CHAR(35),"/exKotar/655635"),"דורות - 42 כרכים")</f>
        <v>דורות - 42 כרכים</v>
      </c>
      <c r="H877" t="str">
        <f>_xlfn.CONCAT("https://tablet.otzar.org/",CHAR(35),"/exKotar/655635")</f>
        <v>https://tablet.otzar.org/#/exKotar/655635</v>
      </c>
    </row>
    <row r="878" spans="1:8" x14ac:dyDescent="0.25">
      <c r="A878">
        <v>649462</v>
      </c>
      <c r="B878" t="s">
        <v>1967</v>
      </c>
      <c r="C878" t="s">
        <v>1968</v>
      </c>
      <c r="D878" t="s">
        <v>58</v>
      </c>
      <c r="E878" t="s">
        <v>1969</v>
      </c>
      <c r="G878" t="str">
        <f>HYPERLINK(_xlfn.CONCAT("https://tablet.otzar.org/",CHAR(35),"/book/649462/p/-1/t/1/fs/0/start/0/end/0/c"),"דורש לציון")</f>
        <v>דורש לציון</v>
      </c>
      <c r="H878" t="str">
        <f>_xlfn.CONCAT("https://tablet.otzar.org/",CHAR(35),"/book/649462/p/-1/t/1/fs/0/start/0/end/0/c")</f>
        <v>https://tablet.otzar.org/#/book/649462/p/-1/t/1/fs/0/start/0/end/0/c</v>
      </c>
    </row>
    <row r="879" spans="1:8" x14ac:dyDescent="0.25">
      <c r="A879">
        <v>649965</v>
      </c>
      <c r="B879" t="s">
        <v>1970</v>
      </c>
      <c r="C879" t="s">
        <v>1971</v>
      </c>
      <c r="D879" t="s">
        <v>58</v>
      </c>
      <c r="E879" t="s">
        <v>1972</v>
      </c>
      <c r="G879" t="str">
        <f>HYPERLINK(_xlfn.CONCAT("https://tablet.otzar.org/",CHAR(35),"/book/649965/p/-1/t/1/fs/0/start/0/end/0/c"),"דורש ציון")</f>
        <v>דורש ציון</v>
      </c>
      <c r="H879" t="str">
        <f>_xlfn.CONCAT("https://tablet.otzar.org/",CHAR(35),"/book/649965/p/-1/t/1/fs/0/start/0/end/0/c")</f>
        <v>https://tablet.otzar.org/#/book/649965/p/-1/t/1/fs/0/start/0/end/0/c</v>
      </c>
    </row>
    <row r="880" spans="1:8" x14ac:dyDescent="0.25">
      <c r="A880">
        <v>643148</v>
      </c>
      <c r="B880" t="s">
        <v>1973</v>
      </c>
      <c r="C880" t="s">
        <v>1974</v>
      </c>
      <c r="D880" t="s">
        <v>10</v>
      </c>
      <c r="E880" t="s">
        <v>213</v>
      </c>
      <c r="G880" t="str">
        <f>HYPERLINK(_xlfn.CONCAT("https://tablet.otzar.org/",CHAR(35),"/book/643148/p/-1/t/1/fs/0/start/0/end/0/c"),"דורשי תורה - תשע""""ו")</f>
        <v>דורשי תורה - תשע""ו</v>
      </c>
      <c r="H880" t="str">
        <f>_xlfn.CONCAT("https://tablet.otzar.org/",CHAR(35),"/book/643148/p/-1/t/1/fs/0/start/0/end/0/c")</f>
        <v>https://tablet.otzar.org/#/book/643148/p/-1/t/1/fs/0/start/0/end/0/c</v>
      </c>
    </row>
    <row r="881" spans="1:8" x14ac:dyDescent="0.25">
      <c r="A881">
        <v>641230</v>
      </c>
      <c r="B881" t="s">
        <v>1975</v>
      </c>
      <c r="C881" t="s">
        <v>1976</v>
      </c>
      <c r="D881" t="s">
        <v>424</v>
      </c>
      <c r="E881" t="s">
        <v>903</v>
      </c>
      <c r="G881" t="str">
        <f>HYPERLINK(_xlfn.CONCAT("https://tablet.otzar.org/",CHAR(35),"/book/641230/p/-1/t/1/fs/0/start/0/end/0/c"),"די אויסראטונג פון לאדזשער יידן")</f>
        <v>די אויסראטונג פון לאדזשער יידן</v>
      </c>
      <c r="H881" t="str">
        <f>_xlfn.CONCAT("https://tablet.otzar.org/",CHAR(35),"/book/641230/p/-1/t/1/fs/0/start/0/end/0/c")</f>
        <v>https://tablet.otzar.org/#/book/641230/p/-1/t/1/fs/0/start/0/end/0/c</v>
      </c>
    </row>
    <row r="882" spans="1:8" x14ac:dyDescent="0.25">
      <c r="A882">
        <v>652559</v>
      </c>
      <c r="B882" t="s">
        <v>1977</v>
      </c>
      <c r="C882" t="s">
        <v>1978</v>
      </c>
      <c r="E882" t="s">
        <v>710</v>
      </c>
      <c r="G882" t="str">
        <f>HYPERLINK(_xlfn.CONCAT("https://tablet.otzar.org/",CHAR(35),"/exKotar/652559"),"די אידישע היים - 2 כרכים")</f>
        <v>די אידישע היים - 2 כרכים</v>
      </c>
      <c r="H882" t="str">
        <f>_xlfn.CONCAT("https://tablet.otzar.org/",CHAR(35),"/exKotar/652559")</f>
        <v>https://tablet.otzar.org/#/exKotar/652559</v>
      </c>
    </row>
    <row r="883" spans="1:8" x14ac:dyDescent="0.25">
      <c r="A883">
        <v>650179</v>
      </c>
      <c r="B883" t="s">
        <v>1979</v>
      </c>
      <c r="C883" t="s">
        <v>1980</v>
      </c>
      <c r="D883" t="s">
        <v>510</v>
      </c>
      <c r="E883" t="s">
        <v>526</v>
      </c>
      <c r="G883" t="str">
        <f>HYPERLINK(_xlfn.CONCAT("https://tablet.otzar.org/",CHAR(35),"/book/650179/p/-1/t/1/fs/0/start/0/end/0/c"),"די אידישע פרוי")</f>
        <v>די אידישע פרוי</v>
      </c>
      <c r="H883" t="str">
        <f>_xlfn.CONCAT("https://tablet.otzar.org/",CHAR(35),"/book/650179/p/-1/t/1/fs/0/start/0/end/0/c")</f>
        <v>https://tablet.otzar.org/#/book/650179/p/-1/t/1/fs/0/start/0/end/0/c</v>
      </c>
    </row>
    <row r="884" spans="1:8" x14ac:dyDescent="0.25">
      <c r="A884">
        <v>650180</v>
      </c>
      <c r="B884" t="s">
        <v>1979</v>
      </c>
      <c r="C884" t="s">
        <v>614</v>
      </c>
      <c r="D884" t="s">
        <v>510</v>
      </c>
      <c r="E884" t="s">
        <v>1981</v>
      </c>
      <c r="G884" t="str">
        <f>HYPERLINK(_xlfn.CONCAT("https://tablet.otzar.org/",CHAR(35),"/book/650180/p/-1/t/1/fs/0/start/0/end/0/c"),"די אידישע פרוי")</f>
        <v>די אידישע פרוי</v>
      </c>
      <c r="H884" t="str">
        <f>_xlfn.CONCAT("https://tablet.otzar.org/",CHAR(35),"/book/650180/p/-1/t/1/fs/0/start/0/end/0/c")</f>
        <v>https://tablet.otzar.org/#/book/650180/p/-1/t/1/fs/0/start/0/end/0/c</v>
      </c>
    </row>
    <row r="885" spans="1:8" x14ac:dyDescent="0.25">
      <c r="A885">
        <v>653374</v>
      </c>
      <c r="B885" t="s">
        <v>1982</v>
      </c>
      <c r="C885" t="s">
        <v>1983</v>
      </c>
      <c r="D885" t="s">
        <v>10</v>
      </c>
      <c r="E885" t="s">
        <v>891</v>
      </c>
      <c r="G885" t="str">
        <f>HYPERLINK(_xlfn.CONCAT("https://tablet.otzar.org/",CHAR(35),"/exKotar/653374"),"די ברכה אין שטוב - 38 כרכים")</f>
        <v>די ברכה אין שטוב - 38 כרכים</v>
      </c>
      <c r="H885" t="str">
        <f>_xlfn.CONCAT("https://tablet.otzar.org/",CHAR(35),"/exKotar/653374")</f>
        <v>https://tablet.otzar.org/#/exKotar/653374</v>
      </c>
    </row>
    <row r="886" spans="1:8" x14ac:dyDescent="0.25">
      <c r="A886">
        <v>646946</v>
      </c>
      <c r="B886" t="s">
        <v>1984</v>
      </c>
      <c r="C886" t="s">
        <v>1985</v>
      </c>
      <c r="E886" t="s">
        <v>1881</v>
      </c>
      <c r="G886" t="str">
        <f>HYPERLINK(_xlfn.CONCAT("https://tablet.otzar.org/",CHAR(35),"/exKotar/646946"),"די סדרה און הפטרה - 3 כרכים")</f>
        <v>די סדרה און הפטרה - 3 כרכים</v>
      </c>
      <c r="H886" t="str">
        <f>_xlfn.CONCAT("https://tablet.otzar.org/",CHAR(35),"/exKotar/646946")</f>
        <v>https://tablet.otzar.org/#/exKotar/646946</v>
      </c>
    </row>
    <row r="887" spans="1:8" x14ac:dyDescent="0.25">
      <c r="A887">
        <v>637377</v>
      </c>
      <c r="B887" t="s">
        <v>1986</v>
      </c>
      <c r="C887" t="s">
        <v>1980</v>
      </c>
      <c r="D887" t="s">
        <v>1987</v>
      </c>
      <c r="E887" t="s">
        <v>1288</v>
      </c>
      <c r="G887" t="str">
        <f>HYPERLINK(_xlfn.CONCAT("https://tablet.otzar.org/",CHAR(35),"/book/637377/p/-1/t/1/fs/0/start/0/end/0/c"),"די תורה וועלט")</f>
        <v>די תורה וועלט</v>
      </c>
      <c r="H887" t="str">
        <f>_xlfn.CONCAT("https://tablet.otzar.org/",CHAR(35),"/book/637377/p/-1/t/1/fs/0/start/0/end/0/c")</f>
        <v>https://tablet.otzar.org/#/book/637377/p/-1/t/1/fs/0/start/0/end/0/c</v>
      </c>
    </row>
    <row r="888" spans="1:8" x14ac:dyDescent="0.25">
      <c r="A888">
        <v>643179</v>
      </c>
      <c r="B888" t="s">
        <v>1988</v>
      </c>
      <c r="C888" t="s">
        <v>1989</v>
      </c>
      <c r="D888" t="s">
        <v>10</v>
      </c>
      <c r="E888" t="s">
        <v>106</v>
      </c>
      <c r="G888" t="str">
        <f>HYPERLINK(_xlfn.CONCAT("https://tablet.otzar.org/",CHAR(35),"/book/643179/p/-1/t/1/fs/0/start/0/end/0/c"),"דידקטיקה לתלמוד - ב")</f>
        <v>דידקטיקה לתלמוד - ב</v>
      </c>
      <c r="H888" t="str">
        <f>_xlfn.CONCAT("https://tablet.otzar.org/",CHAR(35),"/book/643179/p/-1/t/1/fs/0/start/0/end/0/c")</f>
        <v>https://tablet.otzar.org/#/book/643179/p/-1/t/1/fs/0/start/0/end/0/c</v>
      </c>
    </row>
    <row r="889" spans="1:8" x14ac:dyDescent="0.25">
      <c r="A889">
        <v>651799</v>
      </c>
      <c r="B889" t="s">
        <v>1990</v>
      </c>
      <c r="C889" t="s">
        <v>1991</v>
      </c>
      <c r="D889" t="s">
        <v>1660</v>
      </c>
      <c r="E889" t="s">
        <v>763</v>
      </c>
      <c r="G889" t="str">
        <f>HYPERLINK(_xlfn.CONCAT("https://tablet.otzar.org/",CHAR(35),"/book/651799/p/-1/t/1/fs/0/start/0/end/0/c"),"דיוקים ודקדוקים בתורה")</f>
        <v>דיוקים ודקדוקים בתורה</v>
      </c>
      <c r="H889" t="str">
        <f>_xlfn.CONCAT("https://tablet.otzar.org/",CHAR(35),"/book/651799/p/-1/t/1/fs/0/start/0/end/0/c")</f>
        <v>https://tablet.otzar.org/#/book/651799/p/-1/t/1/fs/0/start/0/end/0/c</v>
      </c>
    </row>
    <row r="890" spans="1:8" x14ac:dyDescent="0.25">
      <c r="A890">
        <v>651650</v>
      </c>
      <c r="B890" t="s">
        <v>1992</v>
      </c>
      <c r="C890" t="s">
        <v>1993</v>
      </c>
      <c r="D890" t="s">
        <v>34</v>
      </c>
      <c r="E890" t="s">
        <v>11</v>
      </c>
      <c r="G890" t="str">
        <f>HYPERLINK(_xlfn.CONCAT("https://tablet.otzar.org/",CHAR(35),"/book/651650/p/-1/t/1/fs/0/start/0/end/0/c"),"דיני איסור והיתר על פי נושאים וסדר שו""""ע")</f>
        <v>דיני איסור והיתר על פי נושאים וסדר שו""ע</v>
      </c>
      <c r="H890" t="str">
        <f>_xlfn.CONCAT("https://tablet.otzar.org/",CHAR(35),"/book/651650/p/-1/t/1/fs/0/start/0/end/0/c")</f>
        <v>https://tablet.otzar.org/#/book/651650/p/-1/t/1/fs/0/start/0/end/0/c</v>
      </c>
    </row>
    <row r="891" spans="1:8" x14ac:dyDescent="0.25">
      <c r="A891">
        <v>649309</v>
      </c>
      <c r="B891" t="s">
        <v>1994</v>
      </c>
      <c r="C891" t="s">
        <v>1995</v>
      </c>
      <c r="D891" t="s">
        <v>28</v>
      </c>
      <c r="E891" t="s">
        <v>84</v>
      </c>
      <c r="G891" t="str">
        <f>HYPERLINK(_xlfn.CONCAT("https://tablet.otzar.org/",CHAR(35),"/book/649309/p/-1/t/1/fs/0/start/0/end/0/c"),"דיני בציעת הפת")</f>
        <v>דיני בציעת הפת</v>
      </c>
      <c r="H891" t="str">
        <f>_xlfn.CONCAT("https://tablet.otzar.org/",CHAR(35),"/book/649309/p/-1/t/1/fs/0/start/0/end/0/c")</f>
        <v>https://tablet.otzar.org/#/book/649309/p/-1/t/1/fs/0/start/0/end/0/c</v>
      </c>
    </row>
    <row r="892" spans="1:8" x14ac:dyDescent="0.25">
      <c r="A892">
        <v>656093</v>
      </c>
      <c r="B892" t="s">
        <v>1996</v>
      </c>
      <c r="C892" t="s">
        <v>1997</v>
      </c>
      <c r="D892" t="s">
        <v>34</v>
      </c>
      <c r="E892" t="s">
        <v>29</v>
      </c>
      <c r="G892" t="str">
        <f>HYPERLINK(_xlfn.CONCAT("https://tablet.otzar.org/",CHAR(35),"/book/656093/p/-1/t/1/fs/0/start/0/end/0/c"),"דיני גמ""""ח כספים")</f>
        <v>דיני גמ""ח כספים</v>
      </c>
      <c r="H892" t="str">
        <f>_xlfn.CONCAT("https://tablet.otzar.org/",CHAR(35),"/book/656093/p/-1/t/1/fs/0/start/0/end/0/c")</f>
        <v>https://tablet.otzar.org/#/book/656093/p/-1/t/1/fs/0/start/0/end/0/c</v>
      </c>
    </row>
    <row r="893" spans="1:8" x14ac:dyDescent="0.25">
      <c r="A893">
        <v>651063</v>
      </c>
      <c r="B893" t="s">
        <v>1998</v>
      </c>
      <c r="C893" t="s">
        <v>1999</v>
      </c>
      <c r="D893" t="s">
        <v>70</v>
      </c>
      <c r="E893" t="s">
        <v>34</v>
      </c>
      <c r="G893" t="str">
        <f>HYPERLINK(_xlfn.CONCAT("https://tablet.otzar.org/",CHAR(35),"/book/651063/p/-1/t/1/fs/0/start/0/end/0/c"),"דיני ומנהגי בין המצרים")</f>
        <v>דיני ומנהגי בין המצרים</v>
      </c>
      <c r="H893" t="str">
        <f>_xlfn.CONCAT("https://tablet.otzar.org/",CHAR(35),"/book/651063/p/-1/t/1/fs/0/start/0/end/0/c")</f>
        <v>https://tablet.otzar.org/#/book/651063/p/-1/t/1/fs/0/start/0/end/0/c</v>
      </c>
    </row>
    <row r="894" spans="1:8" x14ac:dyDescent="0.25">
      <c r="A894">
        <v>651066</v>
      </c>
      <c r="B894" t="s">
        <v>2000</v>
      </c>
      <c r="C894" t="s">
        <v>1999</v>
      </c>
      <c r="D894" t="s">
        <v>70</v>
      </c>
      <c r="E894" t="s">
        <v>34</v>
      </c>
      <c r="G894" t="str">
        <f>HYPERLINK(_xlfn.CONCAT("https://tablet.otzar.org/",CHAR(35),"/book/651066/p/-1/t/1/fs/0/start/0/end/0/c"),"דיני ומנהגי הימים הנוראים")</f>
        <v>דיני ומנהגי הימים הנוראים</v>
      </c>
      <c r="H894" t="str">
        <f>_xlfn.CONCAT("https://tablet.otzar.org/",CHAR(35),"/book/651066/p/-1/t/1/fs/0/start/0/end/0/c")</f>
        <v>https://tablet.otzar.org/#/book/651066/p/-1/t/1/fs/0/start/0/end/0/c</v>
      </c>
    </row>
    <row r="895" spans="1:8" x14ac:dyDescent="0.25">
      <c r="A895">
        <v>651065</v>
      </c>
      <c r="B895" t="s">
        <v>2001</v>
      </c>
      <c r="C895" t="s">
        <v>1999</v>
      </c>
      <c r="D895" t="s">
        <v>70</v>
      </c>
      <c r="E895" t="s">
        <v>34</v>
      </c>
      <c r="G895" t="str">
        <f>HYPERLINK(_xlfn.CONCAT("https://tablet.otzar.org/",CHAR(35),"/book/651065/p/-1/t/1/fs/0/start/0/end/0/c"),"דיני ומנהגי חג החנוכה")</f>
        <v>דיני ומנהגי חג החנוכה</v>
      </c>
      <c r="H895" t="str">
        <f>_xlfn.CONCAT("https://tablet.otzar.org/",CHAR(35),"/book/651065/p/-1/t/1/fs/0/start/0/end/0/c")</f>
        <v>https://tablet.otzar.org/#/book/651065/p/-1/t/1/fs/0/start/0/end/0/c</v>
      </c>
    </row>
    <row r="896" spans="1:8" x14ac:dyDescent="0.25">
      <c r="A896">
        <v>651068</v>
      </c>
      <c r="B896" t="s">
        <v>2002</v>
      </c>
      <c r="C896" t="s">
        <v>1999</v>
      </c>
      <c r="D896" t="s">
        <v>70</v>
      </c>
      <c r="E896" t="s">
        <v>34</v>
      </c>
      <c r="G896" t="str">
        <f>HYPERLINK(_xlfn.CONCAT("https://tablet.otzar.org/",CHAR(35),"/book/651068/p/-1/t/1/fs/0/start/0/end/0/c"),"דיני ומנהגי חג הסוכות וחול המועד")</f>
        <v>דיני ומנהגי חג הסוכות וחול המועד</v>
      </c>
      <c r="H896" t="str">
        <f>_xlfn.CONCAT("https://tablet.otzar.org/",CHAR(35),"/book/651068/p/-1/t/1/fs/0/start/0/end/0/c")</f>
        <v>https://tablet.otzar.org/#/book/651068/p/-1/t/1/fs/0/start/0/end/0/c</v>
      </c>
    </row>
    <row r="897" spans="1:8" x14ac:dyDescent="0.25">
      <c r="A897">
        <v>651070</v>
      </c>
      <c r="B897" t="s">
        <v>2003</v>
      </c>
      <c r="C897" t="s">
        <v>1999</v>
      </c>
      <c r="D897" t="s">
        <v>70</v>
      </c>
      <c r="E897" t="s">
        <v>34</v>
      </c>
      <c r="G897" t="str">
        <f>HYPERLINK(_xlfn.CONCAT("https://tablet.otzar.org/",CHAR(35),"/book/651070/p/-1/t/1/fs/0/start/0/end/0/c"),"דיני ומנהגי חג הפורים")</f>
        <v>דיני ומנהגי חג הפורים</v>
      </c>
      <c r="H897" t="str">
        <f>_xlfn.CONCAT("https://tablet.otzar.org/",CHAR(35),"/book/651070/p/-1/t/1/fs/0/start/0/end/0/c")</f>
        <v>https://tablet.otzar.org/#/book/651070/p/-1/t/1/fs/0/start/0/end/0/c</v>
      </c>
    </row>
    <row r="898" spans="1:8" x14ac:dyDescent="0.25">
      <c r="A898">
        <v>651071</v>
      </c>
      <c r="B898" t="s">
        <v>2004</v>
      </c>
      <c r="C898" t="s">
        <v>1999</v>
      </c>
      <c r="D898" t="s">
        <v>70</v>
      </c>
      <c r="E898" t="s">
        <v>34</v>
      </c>
      <c r="G898" t="str">
        <f>HYPERLINK(_xlfn.CONCAT("https://tablet.otzar.org/",CHAR(35),"/book/651071/p/-1/t/1/fs/0/start/0/end/0/c"),"דיני ומנהגי חג הפסח")</f>
        <v>דיני ומנהגי חג הפסח</v>
      </c>
      <c r="H898" t="str">
        <f>_xlfn.CONCAT("https://tablet.otzar.org/",CHAR(35),"/book/651071/p/-1/t/1/fs/0/start/0/end/0/c")</f>
        <v>https://tablet.otzar.org/#/book/651071/p/-1/t/1/fs/0/start/0/end/0/c</v>
      </c>
    </row>
    <row r="899" spans="1:8" x14ac:dyDescent="0.25">
      <c r="A899">
        <v>651069</v>
      </c>
      <c r="B899" t="s">
        <v>2005</v>
      </c>
      <c r="C899" t="s">
        <v>1999</v>
      </c>
      <c r="D899" t="s">
        <v>70</v>
      </c>
      <c r="E899" t="s">
        <v>34</v>
      </c>
      <c r="G899" t="str">
        <f>HYPERLINK(_xlfn.CONCAT("https://tablet.otzar.org/",CHAR(35),"/book/651069/p/-1/t/1/fs/0/start/0/end/0/c"),"דיני ומנהגי ספירת העומר וחג השבועות")</f>
        <v>דיני ומנהגי ספירת העומר וחג השבועות</v>
      </c>
      <c r="H899" t="str">
        <f>_xlfn.CONCAT("https://tablet.otzar.org/",CHAR(35),"/book/651069/p/-1/t/1/fs/0/start/0/end/0/c")</f>
        <v>https://tablet.otzar.org/#/book/651069/p/-1/t/1/fs/0/start/0/end/0/c</v>
      </c>
    </row>
    <row r="900" spans="1:8" x14ac:dyDescent="0.25">
      <c r="A900">
        <v>652445</v>
      </c>
      <c r="B900" t="s">
        <v>2006</v>
      </c>
      <c r="C900" t="s">
        <v>2007</v>
      </c>
      <c r="D900" t="s">
        <v>340</v>
      </c>
      <c r="E900" t="s">
        <v>11</v>
      </c>
      <c r="G900" t="str">
        <f>HYPERLINK(_xlfn.CONCAT("https://tablet.otzar.org/",CHAR(35),"/book/652445/p/-1/t/1/fs/0/start/0/end/0/c"),"דיני חג השבועות שחל ביום א'")</f>
        <v>דיני חג השבועות שחל ביום א'</v>
      </c>
      <c r="H900" t="str">
        <f>_xlfn.CONCAT("https://tablet.otzar.org/",CHAR(35),"/book/652445/p/-1/t/1/fs/0/start/0/end/0/c")</f>
        <v>https://tablet.otzar.org/#/book/652445/p/-1/t/1/fs/0/start/0/end/0/c</v>
      </c>
    </row>
    <row r="901" spans="1:8" x14ac:dyDescent="0.25">
      <c r="A901">
        <v>652901</v>
      </c>
      <c r="B901" t="s">
        <v>2008</v>
      </c>
      <c r="C901" t="s">
        <v>617</v>
      </c>
      <c r="D901" t="s">
        <v>424</v>
      </c>
      <c r="E901" t="s">
        <v>106</v>
      </c>
      <c r="G901" t="str">
        <f>HYPERLINK(_xlfn.CONCAT("https://tablet.otzar.org/",CHAR(35),"/book/652901/p/-1/t/1/fs/0/start/0/end/0/c"),"דיני ישראל - ז")</f>
        <v>דיני ישראל - ז</v>
      </c>
      <c r="H901" t="str">
        <f>_xlfn.CONCAT("https://tablet.otzar.org/",CHAR(35),"/book/652901/p/-1/t/1/fs/0/start/0/end/0/c")</f>
        <v>https://tablet.otzar.org/#/book/652901/p/-1/t/1/fs/0/start/0/end/0/c</v>
      </c>
    </row>
    <row r="902" spans="1:8" x14ac:dyDescent="0.25">
      <c r="A902">
        <v>651067</v>
      </c>
      <c r="B902" t="s">
        <v>2009</v>
      </c>
      <c r="C902" t="s">
        <v>1999</v>
      </c>
      <c r="D902" t="s">
        <v>70</v>
      </c>
      <c r="E902" t="s">
        <v>34</v>
      </c>
      <c r="G902" t="str">
        <f>HYPERLINK(_xlfn.CONCAT("https://tablet.otzar.org/",CHAR(35),"/book/651067/p/-1/t/1/fs/0/start/0/end/0/c"),"דיני כשרות המטבח")</f>
        <v>דיני כשרות המטבח</v>
      </c>
      <c r="H902" t="str">
        <f>_xlfn.CONCAT("https://tablet.otzar.org/",CHAR(35),"/book/651067/p/-1/t/1/fs/0/start/0/end/0/c")</f>
        <v>https://tablet.otzar.org/#/book/651067/p/-1/t/1/fs/0/start/0/end/0/c</v>
      </c>
    </row>
    <row r="903" spans="1:8" x14ac:dyDescent="0.25">
      <c r="A903">
        <v>654024</v>
      </c>
      <c r="B903" t="s">
        <v>2010</v>
      </c>
      <c r="C903" t="s">
        <v>2011</v>
      </c>
      <c r="D903" t="s">
        <v>34</v>
      </c>
      <c r="E903" t="s">
        <v>11</v>
      </c>
      <c r="G903" t="str">
        <f>HYPERLINK(_xlfn.CONCAT("https://tablet.otzar.org/",CHAR(35),"/book/654024/p/-1/t/1/fs/0/start/0/end/0/c"),"דיני מנחת העומר")</f>
        <v>דיני מנחת העומר</v>
      </c>
      <c r="H903" t="str">
        <f>_xlfn.CONCAT("https://tablet.otzar.org/",CHAR(35),"/book/654024/p/-1/t/1/fs/0/start/0/end/0/c")</f>
        <v>https://tablet.otzar.org/#/book/654024/p/-1/t/1/fs/0/start/0/end/0/c</v>
      </c>
    </row>
    <row r="904" spans="1:8" x14ac:dyDescent="0.25">
      <c r="A904">
        <v>648145</v>
      </c>
      <c r="B904" t="s">
        <v>2012</v>
      </c>
      <c r="C904" t="s">
        <v>2013</v>
      </c>
      <c r="D904" t="s">
        <v>10</v>
      </c>
      <c r="E904" t="s">
        <v>495</v>
      </c>
      <c r="G904" t="str">
        <f>HYPERLINK(_xlfn.CONCAT("https://tablet.otzar.org/",CHAR(35),"/book/648145/p/-1/t/1/fs/0/start/0/end/0/c"),"דיני סוכה וארבעת המינים")</f>
        <v>דיני סוכה וארבעת המינים</v>
      </c>
      <c r="H904" t="str">
        <f>_xlfn.CONCAT("https://tablet.otzar.org/",CHAR(35),"/book/648145/p/-1/t/1/fs/0/start/0/end/0/c")</f>
        <v>https://tablet.otzar.org/#/book/648145/p/-1/t/1/fs/0/start/0/end/0/c</v>
      </c>
    </row>
    <row r="905" spans="1:8" x14ac:dyDescent="0.25">
      <c r="A905">
        <v>650435</v>
      </c>
      <c r="B905" t="s">
        <v>2014</v>
      </c>
      <c r="C905" t="s">
        <v>2007</v>
      </c>
      <c r="D905" t="s">
        <v>340</v>
      </c>
      <c r="E905" t="s">
        <v>11</v>
      </c>
      <c r="G905" t="str">
        <f>HYPERLINK(_xlfn.CONCAT("https://tablet.otzar.org/",CHAR(35),"/book/650435/p/-1/t/1/fs/0/start/0/end/0/c"),"דיני ערב פסח שחל בערב שבת")</f>
        <v>דיני ערב פסח שחל בערב שבת</v>
      </c>
      <c r="H905" t="str">
        <f>_xlfn.CONCAT("https://tablet.otzar.org/",CHAR(35),"/book/650435/p/-1/t/1/fs/0/start/0/end/0/c")</f>
        <v>https://tablet.otzar.org/#/book/650435/p/-1/t/1/fs/0/start/0/end/0/c</v>
      </c>
    </row>
    <row r="906" spans="1:8" x14ac:dyDescent="0.25">
      <c r="A906">
        <v>647463</v>
      </c>
      <c r="B906" t="s">
        <v>2015</v>
      </c>
      <c r="C906" t="s">
        <v>2016</v>
      </c>
      <c r="D906" t="s">
        <v>10</v>
      </c>
      <c r="E906" t="s">
        <v>184</v>
      </c>
      <c r="G906" t="str">
        <f>HYPERLINK(_xlfn.CONCAT("https://tablet.otzar.org/",CHAR(35),"/book/647463/p/-1/t/1/fs/0/start/0/end/0/c"),"דיני ערב פסח שחל בשבת")</f>
        <v>דיני ערב פסח שחל בשבת</v>
      </c>
      <c r="H906" t="str">
        <f>_xlfn.CONCAT("https://tablet.otzar.org/",CHAR(35),"/book/647463/p/-1/t/1/fs/0/start/0/end/0/c")</f>
        <v>https://tablet.otzar.org/#/book/647463/p/-1/t/1/fs/0/start/0/end/0/c</v>
      </c>
    </row>
    <row r="907" spans="1:8" x14ac:dyDescent="0.25">
      <c r="A907">
        <v>639741</v>
      </c>
      <c r="B907" t="s">
        <v>2015</v>
      </c>
      <c r="C907" t="s">
        <v>2007</v>
      </c>
      <c r="D907" t="s">
        <v>340</v>
      </c>
      <c r="E907" t="s">
        <v>35</v>
      </c>
      <c r="G907" t="str">
        <f>HYPERLINK(_xlfn.CONCAT("https://tablet.otzar.org/",CHAR(35),"/book/639741/p/-1/t/1/fs/0/start/0/end/0/c"),"דיני ערב פסח שחל בשבת")</f>
        <v>דיני ערב פסח שחל בשבת</v>
      </c>
      <c r="H907" t="str">
        <f>_xlfn.CONCAT("https://tablet.otzar.org/",CHAR(35),"/book/639741/p/-1/t/1/fs/0/start/0/end/0/c")</f>
        <v>https://tablet.otzar.org/#/book/639741/p/-1/t/1/fs/0/start/0/end/0/c</v>
      </c>
    </row>
    <row r="908" spans="1:8" x14ac:dyDescent="0.25">
      <c r="A908">
        <v>656134</v>
      </c>
      <c r="B908" t="s">
        <v>2017</v>
      </c>
      <c r="C908" t="s">
        <v>614</v>
      </c>
      <c r="D908" t="s">
        <v>193</v>
      </c>
      <c r="E908" t="s">
        <v>29</v>
      </c>
      <c r="G908" t="str">
        <f>HYPERLINK(_xlfn.CONCAT("https://tablet.otzar.org/",CHAR(35),"/book/656134/p/-1/t/1/fs/0/start/0/end/0/c"),"דיני פרוז ומוקף בן יומו")</f>
        <v>דיני פרוז ומוקף בן יומו</v>
      </c>
      <c r="H908" t="str">
        <f>_xlfn.CONCAT("https://tablet.otzar.org/",CHAR(35),"/book/656134/p/-1/t/1/fs/0/start/0/end/0/c")</f>
        <v>https://tablet.otzar.org/#/book/656134/p/-1/t/1/fs/0/start/0/end/0/c</v>
      </c>
    </row>
    <row r="909" spans="1:8" x14ac:dyDescent="0.25">
      <c r="A909">
        <v>649014</v>
      </c>
      <c r="B909" t="s">
        <v>2018</v>
      </c>
      <c r="C909" t="s">
        <v>2019</v>
      </c>
      <c r="D909" t="s">
        <v>10</v>
      </c>
      <c r="E909" t="s">
        <v>11</v>
      </c>
      <c r="G909" t="str">
        <f>HYPERLINK(_xlfn.CONCAT("https://tablet.otzar.org/",CHAR(35),"/book/649014/p/-1/t/1/fs/0/start/0/end/0/c"),"דיני תרומות ומעשרות לרבינו האר""""י")</f>
        <v>דיני תרומות ומעשרות לרבינו האר""י</v>
      </c>
      <c r="H909" t="str">
        <f>_xlfn.CONCAT("https://tablet.otzar.org/",CHAR(35),"/book/649014/p/-1/t/1/fs/0/start/0/end/0/c")</f>
        <v>https://tablet.otzar.org/#/book/649014/p/-1/t/1/fs/0/start/0/end/0/c</v>
      </c>
    </row>
    <row r="910" spans="1:8" x14ac:dyDescent="0.25">
      <c r="A910">
        <v>653771</v>
      </c>
      <c r="B910" t="s">
        <v>2020</v>
      </c>
      <c r="C910" t="s">
        <v>2007</v>
      </c>
      <c r="D910" t="s">
        <v>340</v>
      </c>
      <c r="E910" t="s">
        <v>11</v>
      </c>
      <c r="G910" t="str">
        <f>HYPERLINK(_xlfn.CONCAT("https://tablet.otzar.org/",CHAR(35),"/book/653771/p/-1/t/1/fs/0/start/0/end/0/c"),"דיני תשעה באב שחל בשבת")</f>
        <v>דיני תשעה באב שחל בשבת</v>
      </c>
      <c r="H910" t="str">
        <f>_xlfn.CONCAT("https://tablet.otzar.org/",CHAR(35),"/book/653771/p/-1/t/1/fs/0/start/0/end/0/c")</f>
        <v>https://tablet.otzar.org/#/book/653771/p/-1/t/1/fs/0/start/0/end/0/c</v>
      </c>
    </row>
    <row r="911" spans="1:8" x14ac:dyDescent="0.25">
      <c r="A911">
        <v>649367</v>
      </c>
      <c r="B911" t="s">
        <v>2021</v>
      </c>
      <c r="C911" t="s">
        <v>2022</v>
      </c>
      <c r="E911" t="s">
        <v>2023</v>
      </c>
      <c r="G911" t="str">
        <f>HYPERLINK(_xlfn.CONCAT("https://tablet.otzar.org/",CHAR(35),"/book/649367/p/-1/t/1/fs/0/start/0/end/0/c"),"דינים פון קאנטרי")</f>
        <v>דינים פון קאנטרי</v>
      </c>
      <c r="H911" t="str">
        <f>_xlfn.CONCAT("https://tablet.otzar.org/",CHAR(35),"/book/649367/p/-1/t/1/fs/0/start/0/end/0/c")</f>
        <v>https://tablet.otzar.org/#/book/649367/p/-1/t/1/fs/0/start/0/end/0/c</v>
      </c>
    </row>
    <row r="912" spans="1:8" x14ac:dyDescent="0.25">
      <c r="A912">
        <v>653547</v>
      </c>
      <c r="B912" t="s">
        <v>2024</v>
      </c>
      <c r="C912" t="s">
        <v>2025</v>
      </c>
      <c r="D912" t="s">
        <v>10</v>
      </c>
      <c r="E912" t="s">
        <v>1056</v>
      </c>
      <c r="G912" t="str">
        <f>HYPERLINK(_xlfn.CONCAT("https://tablet.otzar.org/",CHAR(35),"/book/653547/p/-1/t/1/fs/0/start/0/end/0/c"),"דליות דוד - שביעית")</f>
        <v>דליות דוד - שביעית</v>
      </c>
      <c r="H912" t="str">
        <f>_xlfn.CONCAT("https://tablet.otzar.org/",CHAR(35),"/book/653547/p/-1/t/1/fs/0/start/0/end/0/c")</f>
        <v>https://tablet.otzar.org/#/book/653547/p/-1/t/1/fs/0/start/0/end/0/c</v>
      </c>
    </row>
    <row r="913" spans="1:8" x14ac:dyDescent="0.25">
      <c r="A913">
        <v>653513</v>
      </c>
      <c r="B913" t="s">
        <v>2026</v>
      </c>
      <c r="C913" t="s">
        <v>2027</v>
      </c>
      <c r="D913" t="s">
        <v>52</v>
      </c>
      <c r="E913" t="s">
        <v>11</v>
      </c>
      <c r="G913" t="str">
        <f>HYPERLINK(_xlfn.CONCAT("https://tablet.otzar.org/",CHAR(35),"/book/653513/p/-1/t/1/fs/0/start/0/end/0/c"),"דם ונפש")</f>
        <v>דם ונפש</v>
      </c>
      <c r="H913" t="str">
        <f>_xlfn.CONCAT("https://tablet.otzar.org/",CHAR(35),"/book/653513/p/-1/t/1/fs/0/start/0/end/0/c")</f>
        <v>https://tablet.otzar.org/#/book/653513/p/-1/t/1/fs/0/start/0/end/0/c</v>
      </c>
    </row>
    <row r="914" spans="1:8" x14ac:dyDescent="0.25">
      <c r="A914">
        <v>649906</v>
      </c>
      <c r="B914" t="s">
        <v>2028</v>
      </c>
      <c r="C914" t="s">
        <v>2029</v>
      </c>
      <c r="D914" t="s">
        <v>10</v>
      </c>
      <c r="E914" t="s">
        <v>11</v>
      </c>
      <c r="G914" t="str">
        <f>HYPERLINK(_xlfn.CONCAT("https://tablet.otzar.org/",CHAR(35),"/book/649906/p/-1/t/1/fs/0/start/0/end/0/c"),"דם ענבים - אהלות")</f>
        <v>דם ענבים - אהלות</v>
      </c>
      <c r="H914" t="str">
        <f>_xlfn.CONCAT("https://tablet.otzar.org/",CHAR(35),"/book/649906/p/-1/t/1/fs/0/start/0/end/0/c")</f>
        <v>https://tablet.otzar.org/#/book/649906/p/-1/t/1/fs/0/start/0/end/0/c</v>
      </c>
    </row>
    <row r="915" spans="1:8" x14ac:dyDescent="0.25">
      <c r="A915">
        <v>649945</v>
      </c>
      <c r="B915" t="s">
        <v>2030</v>
      </c>
      <c r="C915" t="s">
        <v>2031</v>
      </c>
      <c r="D915" t="s">
        <v>58</v>
      </c>
      <c r="E915" t="s">
        <v>2032</v>
      </c>
      <c r="G915" t="str">
        <f>HYPERLINK(_xlfn.CONCAT("https://tablet.otzar.org/",CHAR(35),"/book/649945/p/-1/t/1/fs/0/start/0/end/0/c"),"דמעת עשוקים")</f>
        <v>דמעת עשוקים</v>
      </c>
      <c r="H915" t="str">
        <f>_xlfn.CONCAT("https://tablet.otzar.org/",CHAR(35),"/book/649945/p/-1/t/1/fs/0/start/0/end/0/c")</f>
        <v>https://tablet.otzar.org/#/book/649945/p/-1/t/1/fs/0/start/0/end/0/c</v>
      </c>
    </row>
    <row r="916" spans="1:8" x14ac:dyDescent="0.25">
      <c r="A916">
        <v>643260</v>
      </c>
      <c r="B916" t="s">
        <v>2033</v>
      </c>
      <c r="C916" t="s">
        <v>382</v>
      </c>
      <c r="E916" t="s">
        <v>763</v>
      </c>
      <c r="G916" t="str">
        <f>HYPERLINK(_xlfn.CONCAT("https://tablet.otzar.org/",CHAR(35),"/exKotar/643260"),"דמתה לתמר - 5 כרכים")</f>
        <v>דמתה לתמר - 5 כרכים</v>
      </c>
      <c r="H916" t="str">
        <f>_xlfn.CONCAT("https://tablet.otzar.org/",CHAR(35),"/exKotar/643260")</f>
        <v>https://tablet.otzar.org/#/exKotar/643260</v>
      </c>
    </row>
    <row r="917" spans="1:8" x14ac:dyDescent="0.25">
      <c r="A917">
        <v>655837</v>
      </c>
      <c r="B917" t="s">
        <v>2034</v>
      </c>
      <c r="C917" t="s">
        <v>1697</v>
      </c>
      <c r="D917" t="s">
        <v>340</v>
      </c>
      <c r="E917" t="s">
        <v>35</v>
      </c>
      <c r="G917" t="str">
        <f>HYPERLINK(_xlfn.CONCAT("https://tablet.otzar.org/",CHAR(35),"/book/655837/p/-1/t/1/fs/0/start/0/end/0/c"),"דניאל איש חמודות - הלכות תלמוד תורה")</f>
        <v>דניאל איש חמודות - הלכות תלמוד תורה</v>
      </c>
      <c r="H917" t="str">
        <f>_xlfn.CONCAT("https://tablet.otzar.org/",CHAR(35),"/book/655837/p/-1/t/1/fs/0/start/0/end/0/c")</f>
        <v>https://tablet.otzar.org/#/book/655837/p/-1/t/1/fs/0/start/0/end/0/c</v>
      </c>
    </row>
    <row r="918" spans="1:8" x14ac:dyDescent="0.25">
      <c r="A918">
        <v>648346</v>
      </c>
      <c r="B918" t="s">
        <v>2035</v>
      </c>
      <c r="C918" t="s">
        <v>2036</v>
      </c>
      <c r="D918" t="s">
        <v>2037</v>
      </c>
      <c r="E918" t="s">
        <v>526</v>
      </c>
      <c r="G918" t="str">
        <f>HYPERLINK(_xlfn.CONCAT("https://tablet.otzar.org/",CHAR(35),"/book/648346/p/-1/t/1/fs/0/start/0/end/0/c"),"דניאל עזרא ונחמיה עם תרגום אשכנזי ובאור")</f>
        <v>דניאל עזרא ונחמיה עם תרגום אשכנזי ובאור</v>
      </c>
      <c r="H918" t="str">
        <f>_xlfn.CONCAT("https://tablet.otzar.org/",CHAR(35),"/book/648346/p/-1/t/1/fs/0/start/0/end/0/c")</f>
        <v>https://tablet.otzar.org/#/book/648346/p/-1/t/1/fs/0/start/0/end/0/c</v>
      </c>
    </row>
    <row r="919" spans="1:8" x14ac:dyDescent="0.25">
      <c r="A919">
        <v>648931</v>
      </c>
      <c r="B919" t="s">
        <v>2038</v>
      </c>
      <c r="C919" t="s">
        <v>2039</v>
      </c>
      <c r="E919" t="s">
        <v>507</v>
      </c>
      <c r="G919" t="str">
        <f>HYPERLINK(_xlfn.CONCAT("https://tablet.otzar.org/",CHAR(35),"/book/648931/p/-1/t/1/fs/0/start/0/end/0/c"),"דע את נפשך")</f>
        <v>דע את נפשך</v>
      </c>
      <c r="H919" t="str">
        <f>_xlfn.CONCAT("https://tablet.otzar.org/",CHAR(35),"/book/648931/p/-1/t/1/fs/0/start/0/end/0/c")</f>
        <v>https://tablet.otzar.org/#/book/648931/p/-1/t/1/fs/0/start/0/end/0/c</v>
      </c>
    </row>
    <row r="920" spans="1:8" x14ac:dyDescent="0.25">
      <c r="A920">
        <v>655761</v>
      </c>
      <c r="B920" t="s">
        <v>2040</v>
      </c>
      <c r="C920" t="s">
        <v>2041</v>
      </c>
      <c r="D920" t="s">
        <v>328</v>
      </c>
      <c r="E920" t="s">
        <v>35</v>
      </c>
      <c r="G920" t="str">
        <f>HYPERLINK(_xlfn.CONCAT("https://tablet.otzar.org/",CHAR(35),"/exKotar/655761"),"דעה ברורה - 3 כרכים")</f>
        <v>דעה ברורה - 3 כרכים</v>
      </c>
      <c r="H920" t="str">
        <f>_xlfn.CONCAT("https://tablet.otzar.org/",CHAR(35),"/exKotar/655761")</f>
        <v>https://tablet.otzar.org/#/exKotar/655761</v>
      </c>
    </row>
    <row r="921" spans="1:8" x14ac:dyDescent="0.25">
      <c r="A921">
        <v>654165</v>
      </c>
      <c r="B921" t="s">
        <v>2042</v>
      </c>
      <c r="C921" t="s">
        <v>2043</v>
      </c>
      <c r="D921" t="s">
        <v>10</v>
      </c>
      <c r="E921" t="s">
        <v>383</v>
      </c>
      <c r="G921" t="str">
        <f>HYPERLINK(_xlfn.CONCAT("https://tablet.otzar.org/",CHAR(35),"/exKotar/654165"),"דעה חכמה לנפשך - 14 כרכים")</f>
        <v>דעה חכמה לנפשך - 14 כרכים</v>
      </c>
      <c r="H921" t="str">
        <f>_xlfn.CONCAT("https://tablet.otzar.org/",CHAR(35),"/exKotar/654165")</f>
        <v>https://tablet.otzar.org/#/exKotar/654165</v>
      </c>
    </row>
    <row r="922" spans="1:8" x14ac:dyDescent="0.25">
      <c r="A922">
        <v>654425</v>
      </c>
      <c r="B922" t="s">
        <v>2044</v>
      </c>
      <c r="C922" t="s">
        <v>2045</v>
      </c>
      <c r="D922" t="s">
        <v>52</v>
      </c>
      <c r="E922" t="s">
        <v>45</v>
      </c>
      <c r="G922" t="str">
        <f>HYPERLINK(_xlfn.CONCAT("https://tablet.otzar.org/",CHAR(35),"/book/654425/p/-1/t/1/fs/0/start/0/end/0/c"),"דעה ערוכה - ריבית")</f>
        <v>דעה ערוכה - ריבית</v>
      </c>
      <c r="H922" t="str">
        <f>_xlfn.CONCAT("https://tablet.otzar.org/",CHAR(35),"/book/654425/p/-1/t/1/fs/0/start/0/end/0/c")</f>
        <v>https://tablet.otzar.org/#/book/654425/p/-1/t/1/fs/0/start/0/end/0/c</v>
      </c>
    </row>
    <row r="923" spans="1:8" x14ac:dyDescent="0.25">
      <c r="A923">
        <v>649364</v>
      </c>
      <c r="B923" t="s">
        <v>2046</v>
      </c>
      <c r="C923" t="s">
        <v>617</v>
      </c>
      <c r="E923">
        <v>1978</v>
      </c>
      <c r="G923" t="str">
        <f>HYPERLINK(_xlfn.CONCAT("https://tablet.otzar.org/",CHAR(35),"/book/649364/p/-1/t/1/fs/0/start/0/end/0/c"),"דער אויפשטאנד אין ווארשעווער געטא")</f>
        <v>דער אויפשטאנד אין ווארשעווער געטא</v>
      </c>
      <c r="H923" t="str">
        <f>_xlfn.CONCAT("https://tablet.otzar.org/",CHAR(35),"/book/649364/p/-1/t/1/fs/0/start/0/end/0/c")</f>
        <v>https://tablet.otzar.org/#/book/649364/p/-1/t/1/fs/0/start/0/end/0/c</v>
      </c>
    </row>
    <row r="924" spans="1:8" x14ac:dyDescent="0.25">
      <c r="A924">
        <v>652714</v>
      </c>
      <c r="B924" t="s">
        <v>2047</v>
      </c>
      <c r="C924" t="s">
        <v>2048</v>
      </c>
      <c r="E924">
        <v>1926</v>
      </c>
      <c r="G924" t="str">
        <f>HYPERLINK(_xlfn.CONCAT("https://tablet.otzar.org/",CHAR(35),"/exKotar/652714"),"דער אוצר פון אלע מדרשים - 4 כרכים")</f>
        <v>דער אוצר פון אלע מדרשים - 4 כרכים</v>
      </c>
      <c r="H924" t="str">
        <f>_xlfn.CONCAT("https://tablet.otzar.org/",CHAR(35),"/exKotar/652714")</f>
        <v>https://tablet.otzar.org/#/exKotar/652714</v>
      </c>
    </row>
    <row r="925" spans="1:8" x14ac:dyDescent="0.25">
      <c r="A925">
        <v>652669</v>
      </c>
      <c r="B925" t="s">
        <v>2049</v>
      </c>
      <c r="C925" t="s">
        <v>2050</v>
      </c>
      <c r="E925" t="s">
        <v>2051</v>
      </c>
      <c r="G925" t="str">
        <f>HYPERLINK(_xlfn.CONCAT("https://tablet.otzar.org/",CHAR(35),"/exKotar/652669"),"דער אידיש אמעריקאנער רעדנער - 2 כרכים")</f>
        <v>דער אידיש אמעריקאנער רעדנער - 2 כרכים</v>
      </c>
      <c r="H925" t="str">
        <f>_xlfn.CONCAT("https://tablet.otzar.org/",CHAR(35),"/exKotar/652669")</f>
        <v>https://tablet.otzar.org/#/exKotar/652669</v>
      </c>
    </row>
    <row r="926" spans="1:8" x14ac:dyDescent="0.25">
      <c r="A926">
        <v>651174</v>
      </c>
      <c r="B926" t="s">
        <v>2052</v>
      </c>
      <c r="C926" t="s">
        <v>2053</v>
      </c>
      <c r="D926" t="s">
        <v>10</v>
      </c>
      <c r="E926" t="s">
        <v>1101</v>
      </c>
      <c r="G926" t="str">
        <f>HYPERLINK(_xlfn.CONCAT("https://tablet.otzar.org/",CHAR(35),"/exKotar/651174"),"דער אידישער שטראל - 5 כרכים")</f>
        <v>דער אידישער שטראל - 5 כרכים</v>
      </c>
      <c r="H926" t="str">
        <f>_xlfn.CONCAT("https://tablet.otzar.org/",CHAR(35),"/exKotar/651174")</f>
        <v>https://tablet.otzar.org/#/exKotar/651174</v>
      </c>
    </row>
    <row r="927" spans="1:8" x14ac:dyDescent="0.25">
      <c r="A927">
        <v>641677</v>
      </c>
      <c r="B927" t="s">
        <v>2054</v>
      </c>
      <c r="C927" t="s">
        <v>2055</v>
      </c>
      <c r="D927" t="s">
        <v>2056</v>
      </c>
      <c r="E927" t="s">
        <v>2057</v>
      </c>
      <c r="G927" t="str">
        <f>HYPERLINK(_xlfn.CONCAT("https://tablet.otzar.org/",CHAR(35),"/book/641677/p/-1/t/1/fs/0/start/0/end/0/c"),"דער וועג צו קדוש השם")</f>
        <v>דער וועג צו קדוש השם</v>
      </c>
      <c r="H927" t="str">
        <f>_xlfn.CONCAT("https://tablet.otzar.org/",CHAR(35),"/book/641677/p/-1/t/1/fs/0/start/0/end/0/c")</f>
        <v>https://tablet.otzar.org/#/book/641677/p/-1/t/1/fs/0/start/0/end/0/c</v>
      </c>
    </row>
    <row r="928" spans="1:8" x14ac:dyDescent="0.25">
      <c r="A928">
        <v>641676</v>
      </c>
      <c r="B928" t="s">
        <v>2058</v>
      </c>
      <c r="C928" t="s">
        <v>2059</v>
      </c>
      <c r="E928" t="s">
        <v>425</v>
      </c>
      <c r="G928" t="str">
        <f>HYPERLINK(_xlfn.CONCAT("https://tablet.otzar.org/",CHAR(35),"/book/641676/p/-1/t/1/fs/0/start/0/end/0/c"),"דער חפץ חיים")</f>
        <v>דער חפץ חיים</v>
      </c>
      <c r="H928" t="str">
        <f>_xlfn.CONCAT("https://tablet.otzar.org/",CHAR(35),"/book/641676/p/-1/t/1/fs/0/start/0/end/0/c")</f>
        <v>https://tablet.otzar.org/#/book/641676/p/-1/t/1/fs/0/start/0/end/0/c</v>
      </c>
    </row>
    <row r="929" spans="1:8" x14ac:dyDescent="0.25">
      <c r="A929">
        <v>641648</v>
      </c>
      <c r="B929" t="s">
        <v>2060</v>
      </c>
      <c r="C929" t="s">
        <v>2061</v>
      </c>
      <c r="E929" t="s">
        <v>2062</v>
      </c>
      <c r="G929" t="str">
        <f>HYPERLINK(_xlfn.CONCAT("https://tablet.otzar.org/",CHAR(35),"/exKotar/641648"),"דער יוד (שבועון) - 11 כרכים")</f>
        <v>דער יוד (שבועון) - 11 כרכים</v>
      </c>
      <c r="H929" t="str">
        <f>_xlfn.CONCAT("https://tablet.otzar.org/",CHAR(35),"/exKotar/641648")</f>
        <v>https://tablet.otzar.org/#/exKotar/641648</v>
      </c>
    </row>
    <row r="930" spans="1:8" x14ac:dyDescent="0.25">
      <c r="A930">
        <v>641966</v>
      </c>
      <c r="B930" t="s">
        <v>2063</v>
      </c>
      <c r="C930" t="s">
        <v>2064</v>
      </c>
      <c r="E930" t="s">
        <v>682</v>
      </c>
      <c r="G930" t="str">
        <f>HYPERLINK(_xlfn.CONCAT("https://tablet.otzar.org/",CHAR(35),"/book/641966/p/-1/t/1/fs/0/start/0/end/0/c"),"דער שלחן ערוך")</f>
        <v>דער שלחן ערוך</v>
      </c>
      <c r="H930" t="str">
        <f>_xlfn.CONCAT("https://tablet.otzar.org/",CHAR(35),"/book/641966/p/-1/t/1/fs/0/start/0/end/0/c")</f>
        <v>https://tablet.otzar.org/#/book/641966/p/-1/t/1/fs/0/start/0/end/0/c</v>
      </c>
    </row>
    <row r="931" spans="1:8" x14ac:dyDescent="0.25">
      <c r="A931">
        <v>652893</v>
      </c>
      <c r="B931" t="s">
        <v>2065</v>
      </c>
      <c r="C931" t="s">
        <v>2066</v>
      </c>
      <c r="E931" t="s">
        <v>35</v>
      </c>
      <c r="G931" t="str">
        <f>HYPERLINK(_xlfn.CONCAT("https://tablet.otzar.org/",CHAR(35),"/book/652893/p/-1/t/1/fs/0/start/0/end/0/c"),"דעת אלקים - א")</f>
        <v>דעת אלקים - א</v>
      </c>
      <c r="H931" t="str">
        <f>_xlfn.CONCAT("https://tablet.otzar.org/",CHAR(35),"/book/652893/p/-1/t/1/fs/0/start/0/end/0/c")</f>
        <v>https://tablet.otzar.org/#/book/652893/p/-1/t/1/fs/0/start/0/end/0/c</v>
      </c>
    </row>
    <row r="932" spans="1:8" x14ac:dyDescent="0.25">
      <c r="A932">
        <v>656097</v>
      </c>
      <c r="B932" t="s">
        <v>2067</v>
      </c>
      <c r="C932" t="s">
        <v>2068</v>
      </c>
      <c r="D932" t="s">
        <v>2069</v>
      </c>
      <c r="E932" t="s">
        <v>35</v>
      </c>
      <c r="G932" t="str">
        <f>HYPERLINK(_xlfn.CONCAT("https://tablet.otzar.org/",CHAR(35),"/book/656097/p/-1/t/1/fs/0/start/0/end/0/c"),"דעת האיסור")</f>
        <v>דעת האיסור</v>
      </c>
      <c r="H932" t="str">
        <f>_xlfn.CONCAT("https://tablet.otzar.org/",CHAR(35),"/book/656097/p/-1/t/1/fs/0/start/0/end/0/c")</f>
        <v>https://tablet.otzar.org/#/book/656097/p/-1/t/1/fs/0/start/0/end/0/c</v>
      </c>
    </row>
    <row r="933" spans="1:8" x14ac:dyDescent="0.25">
      <c r="A933">
        <v>652002</v>
      </c>
      <c r="B933" t="s">
        <v>2070</v>
      </c>
      <c r="C933" t="s">
        <v>2071</v>
      </c>
      <c r="D933" t="s">
        <v>424</v>
      </c>
      <c r="E933" t="s">
        <v>2072</v>
      </c>
      <c r="G933" t="str">
        <f>HYPERLINK(_xlfn.CONCAT("https://tablet.otzar.org/",CHAR(35),"/book/652002/p/-1/t/1/fs/0/start/0/end/0/c"),"דעת הסופר - ב ד")</f>
        <v>דעת הסופר - ב ד</v>
      </c>
      <c r="H933" t="str">
        <f>_xlfn.CONCAT("https://tablet.otzar.org/",CHAR(35),"/book/652002/p/-1/t/1/fs/0/start/0/end/0/c")</f>
        <v>https://tablet.otzar.org/#/book/652002/p/-1/t/1/fs/0/start/0/end/0/c</v>
      </c>
    </row>
    <row r="934" spans="1:8" x14ac:dyDescent="0.25">
      <c r="A934">
        <v>647360</v>
      </c>
      <c r="B934" t="s">
        <v>2073</v>
      </c>
      <c r="C934" t="s">
        <v>857</v>
      </c>
      <c r="D934" t="s">
        <v>858</v>
      </c>
      <c r="E934" t="s">
        <v>70</v>
      </c>
      <c r="G934" t="str">
        <f>HYPERLINK(_xlfn.CONCAT("https://tablet.otzar.org/",CHAR(35),"/book/647360/p/-1/t/1/fs/0/start/0/end/0/c"),"דעת ותורה")</f>
        <v>דעת ותורה</v>
      </c>
      <c r="H934" t="str">
        <f>_xlfn.CONCAT("https://tablet.otzar.org/",CHAR(35),"/book/647360/p/-1/t/1/fs/0/start/0/end/0/c")</f>
        <v>https://tablet.otzar.org/#/book/647360/p/-1/t/1/fs/0/start/0/end/0/c</v>
      </c>
    </row>
    <row r="935" spans="1:8" x14ac:dyDescent="0.25">
      <c r="A935">
        <v>649004</v>
      </c>
      <c r="B935" t="s">
        <v>2074</v>
      </c>
      <c r="C935" t="s">
        <v>2075</v>
      </c>
      <c r="D935" t="s">
        <v>10</v>
      </c>
      <c r="E935" t="s">
        <v>11</v>
      </c>
      <c r="G935" t="str">
        <f>HYPERLINK(_xlfn.CONCAT("https://tablet.otzar.org/",CHAR(35),"/exKotar/649004"),"דעת יחזקאל - 2 כרכים")</f>
        <v>דעת יחזקאל - 2 כרכים</v>
      </c>
      <c r="H935" t="str">
        <f>_xlfn.CONCAT("https://tablet.otzar.org/",CHAR(35),"/exKotar/649004")</f>
        <v>https://tablet.otzar.org/#/exKotar/649004</v>
      </c>
    </row>
    <row r="936" spans="1:8" x14ac:dyDescent="0.25">
      <c r="A936">
        <v>647767</v>
      </c>
      <c r="B936" t="s">
        <v>2076</v>
      </c>
      <c r="C936" t="s">
        <v>482</v>
      </c>
      <c r="D936" t="s">
        <v>10</v>
      </c>
      <c r="E936" t="s">
        <v>11</v>
      </c>
      <c r="G936" t="str">
        <f>HYPERLINK(_xlfn.CONCAT("https://tablet.otzar.org/",CHAR(35),"/book/647767/p/-1/t/1/fs/0/start/0/end/0/c"),"דעת ישראל - השכמת הבוקר וציצית")</f>
        <v>דעת ישראל - השכמת הבוקר וציצית</v>
      </c>
      <c r="H936" t="str">
        <f>_xlfn.CONCAT("https://tablet.otzar.org/",CHAR(35),"/book/647767/p/-1/t/1/fs/0/start/0/end/0/c")</f>
        <v>https://tablet.otzar.org/#/book/647767/p/-1/t/1/fs/0/start/0/end/0/c</v>
      </c>
    </row>
    <row r="937" spans="1:8" x14ac:dyDescent="0.25">
      <c r="A937">
        <v>655214</v>
      </c>
      <c r="B937" t="s">
        <v>2077</v>
      </c>
      <c r="C937" t="s">
        <v>2078</v>
      </c>
      <c r="D937" t="s">
        <v>52</v>
      </c>
      <c r="E937" t="s">
        <v>1336</v>
      </c>
      <c r="G937" t="str">
        <f>HYPERLINK(_xlfn.CONCAT("https://tablet.otzar.org/",CHAR(35),"/exKotar/655214"),"דעת כשרות - 9 כרכים")</f>
        <v>דעת כשרות - 9 כרכים</v>
      </c>
      <c r="H937" t="str">
        <f>_xlfn.CONCAT("https://tablet.otzar.org/",CHAR(35),"/exKotar/655214")</f>
        <v>https://tablet.otzar.org/#/exKotar/655214</v>
      </c>
    </row>
    <row r="938" spans="1:8" x14ac:dyDescent="0.25">
      <c r="A938">
        <v>649057</v>
      </c>
      <c r="B938" t="s">
        <v>2079</v>
      </c>
      <c r="C938" t="s">
        <v>2080</v>
      </c>
      <c r="D938" t="s">
        <v>52</v>
      </c>
      <c r="E938" t="s">
        <v>45</v>
      </c>
      <c r="G938" t="str">
        <f>HYPERLINK(_xlfn.CONCAT("https://tablet.otzar.org/",CHAR(35),"/book/649057/p/-1/t/1/fs/0/start/0/end/0/c"),"דעת מרן - א")</f>
        <v>דעת מרן - א</v>
      </c>
      <c r="H938" t="str">
        <f>_xlfn.CONCAT("https://tablet.otzar.org/",CHAR(35),"/book/649057/p/-1/t/1/fs/0/start/0/end/0/c")</f>
        <v>https://tablet.otzar.org/#/book/649057/p/-1/t/1/fs/0/start/0/end/0/c</v>
      </c>
    </row>
    <row r="939" spans="1:8" x14ac:dyDescent="0.25">
      <c r="A939">
        <v>652455</v>
      </c>
      <c r="B939" t="s">
        <v>2081</v>
      </c>
      <c r="C939" t="s">
        <v>2082</v>
      </c>
      <c r="D939" t="s">
        <v>52</v>
      </c>
      <c r="E939" t="s">
        <v>11</v>
      </c>
      <c r="G939" t="str">
        <f>HYPERLINK(_xlfn.CONCAT("https://tablet.otzar.org/",CHAR(35),"/book/652455/p/-1/t/1/fs/0/start/0/end/0/c"),"דעת נוטה - על התורה במדבר")</f>
        <v>דעת נוטה - על התורה במדבר</v>
      </c>
      <c r="H939" t="str">
        <f>_xlfn.CONCAT("https://tablet.otzar.org/",CHAR(35),"/book/652455/p/-1/t/1/fs/0/start/0/end/0/c")</f>
        <v>https://tablet.otzar.org/#/book/652455/p/-1/t/1/fs/0/start/0/end/0/c</v>
      </c>
    </row>
    <row r="940" spans="1:8" x14ac:dyDescent="0.25">
      <c r="A940">
        <v>650515</v>
      </c>
      <c r="B940" t="s">
        <v>2083</v>
      </c>
      <c r="C940" t="s">
        <v>2084</v>
      </c>
      <c r="D940" t="s">
        <v>10</v>
      </c>
      <c r="E940" t="s">
        <v>84</v>
      </c>
      <c r="G940" t="str">
        <f>HYPERLINK(_xlfn.CONCAT("https://tablet.otzar.org/",CHAR(35),"/book/650515/p/-1/t/1/fs/0/start/0/end/0/c"),"דעת עזרא &lt;על פירוש ראב""""ע&gt; - ב ב (שמות)")</f>
        <v>דעת עזרא &lt;על פירוש ראב""ע&gt; - ב ב (שמות)</v>
      </c>
      <c r="H940" t="str">
        <f>_xlfn.CONCAT("https://tablet.otzar.org/",CHAR(35),"/book/650515/p/-1/t/1/fs/0/start/0/end/0/c")</f>
        <v>https://tablet.otzar.org/#/book/650515/p/-1/t/1/fs/0/start/0/end/0/c</v>
      </c>
    </row>
    <row r="941" spans="1:8" x14ac:dyDescent="0.25">
      <c r="A941">
        <v>649173</v>
      </c>
      <c r="B941" t="s">
        <v>2085</v>
      </c>
      <c r="C941" t="s">
        <v>2086</v>
      </c>
      <c r="D941" t="s">
        <v>2087</v>
      </c>
      <c r="E941" t="s">
        <v>11</v>
      </c>
      <c r="G941" t="str">
        <f>HYPERLINK(_xlfn.CONCAT("https://tablet.otzar.org/",CHAR(35),"/book/649173/p/-1/t/1/fs/0/start/0/end/0/c"),"דעת שלמה - עניני הש""""ס והלכה")</f>
        <v>דעת שלמה - עניני הש""ס והלכה</v>
      </c>
      <c r="H941" t="str">
        <f>_xlfn.CONCAT("https://tablet.otzar.org/",CHAR(35),"/book/649173/p/-1/t/1/fs/0/start/0/end/0/c")</f>
        <v>https://tablet.otzar.org/#/book/649173/p/-1/t/1/fs/0/start/0/end/0/c</v>
      </c>
    </row>
    <row r="942" spans="1:8" x14ac:dyDescent="0.25">
      <c r="A942">
        <v>652677</v>
      </c>
      <c r="B942" t="s">
        <v>2088</v>
      </c>
      <c r="C942" t="s">
        <v>614</v>
      </c>
      <c r="E942" t="s">
        <v>507</v>
      </c>
      <c r="G942" t="str">
        <f>HYPERLINK(_xlfn.CONCAT("https://tablet.otzar.org/",CHAR(35),"/book/652677/p/-1/t/1/fs/0/start/0/end/0/c"),"דעת שמואל - ביעור שביעית")</f>
        <v>דעת שמואל - ביעור שביעית</v>
      </c>
      <c r="H942" t="str">
        <f>_xlfn.CONCAT("https://tablet.otzar.org/",CHAR(35),"/book/652677/p/-1/t/1/fs/0/start/0/end/0/c")</f>
        <v>https://tablet.otzar.org/#/book/652677/p/-1/t/1/fs/0/start/0/end/0/c</v>
      </c>
    </row>
    <row r="943" spans="1:8" x14ac:dyDescent="0.25">
      <c r="A943">
        <v>647444</v>
      </c>
      <c r="B943" t="s">
        <v>2089</v>
      </c>
      <c r="C943" t="s">
        <v>2090</v>
      </c>
      <c r="D943" t="s">
        <v>328</v>
      </c>
      <c r="E943" t="s">
        <v>70</v>
      </c>
      <c r="G943" t="str">
        <f>HYPERLINK(_xlfn.CONCAT("https://tablet.otzar.org/",CHAR(35),"/book/647444/p/-1/t/1/fs/0/start/0/end/0/c"),"דעתן עלך - סוטה")</f>
        <v>דעתן עלך - סוטה</v>
      </c>
      <c r="H943" t="str">
        <f>_xlfn.CONCAT("https://tablet.otzar.org/",CHAR(35),"/book/647444/p/-1/t/1/fs/0/start/0/end/0/c")</f>
        <v>https://tablet.otzar.org/#/book/647444/p/-1/t/1/fs/0/start/0/end/0/c</v>
      </c>
    </row>
    <row r="944" spans="1:8" x14ac:dyDescent="0.25">
      <c r="A944">
        <v>651837</v>
      </c>
      <c r="B944" t="s">
        <v>2091</v>
      </c>
      <c r="C944" t="s">
        <v>2092</v>
      </c>
      <c r="D944" t="s">
        <v>10</v>
      </c>
      <c r="E944" t="s">
        <v>1775</v>
      </c>
      <c r="G944" t="str">
        <f>HYPERLINK(_xlfn.CONCAT("https://tablet.otzar.org/",CHAR(35),"/book/651837/p/-1/t/1/fs/0/start/0/end/0/c"),"דף לפרשת השבוע")</f>
        <v>דף לפרשת השבוע</v>
      </c>
      <c r="H944" t="str">
        <f>_xlfn.CONCAT("https://tablet.otzar.org/",CHAR(35),"/book/651837/p/-1/t/1/fs/0/start/0/end/0/c")</f>
        <v>https://tablet.otzar.org/#/book/651837/p/-1/t/1/fs/0/start/0/end/0/c</v>
      </c>
    </row>
    <row r="945" spans="1:8" x14ac:dyDescent="0.25">
      <c r="A945">
        <v>653452</v>
      </c>
      <c r="B945" t="s">
        <v>2093</v>
      </c>
      <c r="C945" t="s">
        <v>2094</v>
      </c>
      <c r="D945" t="s">
        <v>10</v>
      </c>
      <c r="E945" t="s">
        <v>73</v>
      </c>
      <c r="G945" t="str">
        <f>HYPERLINK(_xlfn.CONCAT("https://tablet.otzar.org/",CHAR(35),"/exKotar/653452"),"דף לתרבות יהודית - 15 כרכים")</f>
        <v>דף לתרבות יהודית - 15 כרכים</v>
      </c>
      <c r="H945" t="str">
        <f>_xlfn.CONCAT("https://tablet.otzar.org/",CHAR(35),"/exKotar/653452")</f>
        <v>https://tablet.otzar.org/#/exKotar/653452</v>
      </c>
    </row>
    <row r="946" spans="1:8" x14ac:dyDescent="0.25">
      <c r="A946">
        <v>650139</v>
      </c>
      <c r="B946" t="s">
        <v>2095</v>
      </c>
      <c r="C946" t="s">
        <v>2096</v>
      </c>
      <c r="D946" t="s">
        <v>39</v>
      </c>
      <c r="E946" t="s">
        <v>2097</v>
      </c>
      <c r="G946" t="str">
        <f>HYPERLINK(_xlfn.CONCAT("https://tablet.otzar.org/",CHAR(35),"/book/650139/p/-1/t/1/fs/0/start/0/end/0/c"),"דפים לפורים")</f>
        <v>דפים לפורים</v>
      </c>
      <c r="H946" t="str">
        <f>_xlfn.CONCAT("https://tablet.otzar.org/",CHAR(35),"/book/650139/p/-1/t/1/fs/0/start/0/end/0/c")</f>
        <v>https://tablet.otzar.org/#/book/650139/p/-1/t/1/fs/0/start/0/end/0/c</v>
      </c>
    </row>
    <row r="947" spans="1:8" x14ac:dyDescent="0.25">
      <c r="A947">
        <v>651263</v>
      </c>
      <c r="B947" t="s">
        <v>2098</v>
      </c>
      <c r="C947" t="s">
        <v>2099</v>
      </c>
      <c r="D947" t="s">
        <v>2100</v>
      </c>
      <c r="E947" t="s">
        <v>769</v>
      </c>
      <c r="G947" t="str">
        <f>HYPERLINK(_xlfn.CONCAT("https://tablet.otzar.org/",CHAR(35),"/book/651263/p/-1/t/1/fs/0/start/0/end/0/c"),"דר ודר אמונתו")</f>
        <v>דר ודר אמונתו</v>
      </c>
      <c r="H947" t="str">
        <f>_xlfn.CONCAT("https://tablet.otzar.org/",CHAR(35),"/book/651263/p/-1/t/1/fs/0/start/0/end/0/c")</f>
        <v>https://tablet.otzar.org/#/book/651263/p/-1/t/1/fs/0/start/0/end/0/c</v>
      </c>
    </row>
    <row r="948" spans="1:8" x14ac:dyDescent="0.25">
      <c r="A948">
        <v>649932</v>
      </c>
      <c r="B948" t="s">
        <v>2101</v>
      </c>
      <c r="C948" t="s">
        <v>2102</v>
      </c>
      <c r="D948" t="s">
        <v>10</v>
      </c>
      <c r="E948" t="s">
        <v>1857</v>
      </c>
      <c r="G948" t="str">
        <f>HYPERLINK(_xlfn.CONCAT("https://tablet.otzar.org/",CHAR(35),"/book/649932/p/-1/t/1/fs/0/start/0/end/0/c"),"דרוש יד ושם טוב")</f>
        <v>דרוש יד ושם טוב</v>
      </c>
      <c r="H948" t="str">
        <f>_xlfn.CONCAT("https://tablet.otzar.org/",CHAR(35),"/book/649932/p/-1/t/1/fs/0/start/0/end/0/c")</f>
        <v>https://tablet.otzar.org/#/book/649932/p/-1/t/1/fs/0/start/0/end/0/c</v>
      </c>
    </row>
    <row r="949" spans="1:8" x14ac:dyDescent="0.25">
      <c r="A949">
        <v>648869</v>
      </c>
      <c r="B949" t="s">
        <v>2103</v>
      </c>
      <c r="C949" t="s">
        <v>2104</v>
      </c>
      <c r="D949" t="s">
        <v>52</v>
      </c>
      <c r="E949" t="s">
        <v>558</v>
      </c>
      <c r="G949" t="str">
        <f>HYPERLINK(_xlfn.CONCAT("https://tablet.otzar.org/",CHAR(35),"/book/648869/p/-1/t/1/fs/0/start/0/end/0/c"),"דרוש לחודש ניסן")</f>
        <v>דרוש לחודש ניסן</v>
      </c>
      <c r="H949" t="str">
        <f>_xlfn.CONCAT("https://tablet.otzar.org/",CHAR(35),"/book/648869/p/-1/t/1/fs/0/start/0/end/0/c")</f>
        <v>https://tablet.otzar.org/#/book/648869/p/-1/t/1/fs/0/start/0/end/0/c</v>
      </c>
    </row>
    <row r="950" spans="1:8" x14ac:dyDescent="0.25">
      <c r="A950">
        <v>654785</v>
      </c>
      <c r="B950" t="s">
        <v>2105</v>
      </c>
      <c r="C950" t="s">
        <v>2106</v>
      </c>
      <c r="D950" t="s">
        <v>52</v>
      </c>
      <c r="E950" t="s">
        <v>1336</v>
      </c>
      <c r="G950" t="str">
        <f>HYPERLINK(_xlfn.CONCAT("https://tablet.otzar.org/",CHAR(35),"/book/654785/p/-1/t/1/fs/0/start/0/end/0/c"),"דרוש לתשובה - מהדורה חדשה")</f>
        <v>דרוש לתשובה - מהדורה חדשה</v>
      </c>
      <c r="H950" t="str">
        <f>_xlfn.CONCAT("https://tablet.otzar.org/",CHAR(35),"/book/654785/p/-1/t/1/fs/0/start/0/end/0/c")</f>
        <v>https://tablet.otzar.org/#/book/654785/p/-1/t/1/fs/0/start/0/end/0/c</v>
      </c>
    </row>
    <row r="951" spans="1:8" x14ac:dyDescent="0.25">
      <c r="A951">
        <v>647389</v>
      </c>
      <c r="B951" t="s">
        <v>2107</v>
      </c>
      <c r="C951" t="s">
        <v>2108</v>
      </c>
      <c r="D951" t="s">
        <v>10</v>
      </c>
      <c r="E951" t="s">
        <v>1608</v>
      </c>
      <c r="G951" t="str">
        <f>HYPERLINK(_xlfn.CONCAT("https://tablet.otzar.org/",CHAR(35),"/book/647389/p/-1/t/1/fs/0/start/0/end/0/c"),"דרוש נאה - 2")</f>
        <v>דרוש נאה - 2</v>
      </c>
      <c r="H951" t="str">
        <f>_xlfn.CONCAT("https://tablet.otzar.org/",CHAR(35),"/book/647389/p/-1/t/1/fs/0/start/0/end/0/c")</f>
        <v>https://tablet.otzar.org/#/book/647389/p/-1/t/1/fs/0/start/0/end/0/c</v>
      </c>
    </row>
    <row r="952" spans="1:8" x14ac:dyDescent="0.25">
      <c r="A952">
        <v>647843</v>
      </c>
      <c r="B952" t="s">
        <v>2109</v>
      </c>
      <c r="C952" t="s">
        <v>2110</v>
      </c>
      <c r="D952" t="s">
        <v>2111</v>
      </c>
      <c r="E952" t="s">
        <v>11</v>
      </c>
      <c r="G952" t="str">
        <f>HYPERLINK(_xlfn.CONCAT("https://tablet.otzar.org/",CHAR(35),"/book/647843/p/-1/t/1/fs/0/start/0/end/0/c"),"דרושי המועדים")</f>
        <v>דרושי המועדים</v>
      </c>
      <c r="H952" t="str">
        <f>_xlfn.CONCAT("https://tablet.otzar.org/",CHAR(35),"/book/647843/p/-1/t/1/fs/0/start/0/end/0/c")</f>
        <v>https://tablet.otzar.org/#/book/647843/p/-1/t/1/fs/0/start/0/end/0/c</v>
      </c>
    </row>
    <row r="953" spans="1:8" x14ac:dyDescent="0.25">
      <c r="A953">
        <v>641663</v>
      </c>
      <c r="B953" t="s">
        <v>2112</v>
      </c>
      <c r="C953" t="s">
        <v>2113</v>
      </c>
      <c r="D953" t="s">
        <v>166</v>
      </c>
      <c r="E953" t="s">
        <v>2114</v>
      </c>
      <c r="G953" t="str">
        <f>HYPERLINK(_xlfn.CONCAT("https://tablet.otzar.org/",CHAR(35),"/book/641663/p/-1/t/1/fs/0/start/0/end/0/c"),"דרושים יקרים")</f>
        <v>דרושים יקרים</v>
      </c>
      <c r="H953" t="str">
        <f>_xlfn.CONCAT("https://tablet.otzar.org/",CHAR(35),"/book/641663/p/-1/t/1/fs/0/start/0/end/0/c")</f>
        <v>https://tablet.otzar.org/#/book/641663/p/-1/t/1/fs/0/start/0/end/0/c</v>
      </c>
    </row>
    <row r="954" spans="1:8" x14ac:dyDescent="0.25">
      <c r="A954">
        <v>654774</v>
      </c>
      <c r="B954" t="s">
        <v>2115</v>
      </c>
      <c r="C954" t="s">
        <v>2116</v>
      </c>
      <c r="D954" t="s">
        <v>340</v>
      </c>
      <c r="E954" t="s">
        <v>45</v>
      </c>
      <c r="G954" t="str">
        <f>HYPERLINK(_xlfn.CONCAT("https://tablet.otzar.org/",CHAR(35),"/book/654774/p/-1/t/1/fs/0/start/0/end/0/c"),"דרישה וחקירה - א")</f>
        <v>דרישה וחקירה - א</v>
      </c>
      <c r="H954" t="str">
        <f>_xlfn.CONCAT("https://tablet.otzar.org/",CHAR(35),"/book/654774/p/-1/t/1/fs/0/start/0/end/0/c")</f>
        <v>https://tablet.otzar.org/#/book/654774/p/-1/t/1/fs/0/start/0/end/0/c</v>
      </c>
    </row>
    <row r="955" spans="1:8" x14ac:dyDescent="0.25">
      <c r="A955">
        <v>654402</v>
      </c>
      <c r="B955" t="s">
        <v>2117</v>
      </c>
      <c r="C955" t="s">
        <v>2118</v>
      </c>
      <c r="D955" t="s">
        <v>340</v>
      </c>
      <c r="E955" t="s">
        <v>45</v>
      </c>
      <c r="G955" t="str">
        <f>HYPERLINK(_xlfn.CONCAT("https://tablet.otzar.org/",CHAR(35),"/exKotar/654402"),"דרישה וחקירה - 3 כרכים")</f>
        <v>דרישה וחקירה - 3 כרכים</v>
      </c>
      <c r="H955" t="str">
        <f>_xlfn.CONCAT("https://tablet.otzar.org/",CHAR(35),"/exKotar/654402")</f>
        <v>https://tablet.otzar.org/#/exKotar/654402</v>
      </c>
    </row>
    <row r="956" spans="1:8" x14ac:dyDescent="0.25">
      <c r="A956">
        <v>650439</v>
      </c>
      <c r="B956" t="s">
        <v>2119</v>
      </c>
      <c r="C956" t="s">
        <v>2120</v>
      </c>
      <c r="D956" t="s">
        <v>58</v>
      </c>
      <c r="E956" t="s">
        <v>2121</v>
      </c>
      <c r="G956" t="str">
        <f>HYPERLINK(_xlfn.CONCAT("https://tablet.otzar.org/",CHAR(35),"/book/650439/p/-1/t/1/fs/0/start/0/end/0/c"),"דרישת כבוד חכמי התורה")</f>
        <v>דרישת כבוד חכמי התורה</v>
      </c>
      <c r="H956" t="str">
        <f>_xlfn.CONCAT("https://tablet.otzar.org/",CHAR(35),"/book/650439/p/-1/t/1/fs/0/start/0/end/0/c")</f>
        <v>https://tablet.otzar.org/#/book/650439/p/-1/t/1/fs/0/start/0/end/0/c</v>
      </c>
    </row>
    <row r="957" spans="1:8" x14ac:dyDescent="0.25">
      <c r="A957">
        <v>649956</v>
      </c>
      <c r="B957" t="s">
        <v>2122</v>
      </c>
      <c r="C957" t="s">
        <v>2123</v>
      </c>
      <c r="D957" t="s">
        <v>2124</v>
      </c>
      <c r="E957" t="s">
        <v>1654</v>
      </c>
      <c r="G957" t="str">
        <f>HYPERLINK(_xlfn.CONCAT("https://tablet.otzar.org/",CHAR(35),"/book/649956/p/-1/t/1/fs/0/start/0/end/0/c"),"דרישת ציון")</f>
        <v>דרישת ציון</v>
      </c>
      <c r="H957" t="str">
        <f>_xlfn.CONCAT("https://tablet.otzar.org/",CHAR(35),"/book/649956/p/-1/t/1/fs/0/start/0/end/0/c")</f>
        <v>https://tablet.otzar.org/#/book/649956/p/-1/t/1/fs/0/start/0/end/0/c</v>
      </c>
    </row>
    <row r="958" spans="1:8" x14ac:dyDescent="0.25">
      <c r="A958">
        <v>649700</v>
      </c>
      <c r="B958" t="s">
        <v>2122</v>
      </c>
      <c r="C958" t="s">
        <v>714</v>
      </c>
      <c r="D958" t="s">
        <v>2125</v>
      </c>
      <c r="E958" t="s">
        <v>802</v>
      </c>
      <c r="G958" t="str">
        <f>HYPERLINK(_xlfn.CONCAT("https://tablet.otzar.org/",CHAR(35),"/book/649700/p/-1/t/1/fs/0/start/0/end/0/c"),"דרישת ציון")</f>
        <v>דרישת ציון</v>
      </c>
      <c r="H958" t="str">
        <f>_xlfn.CONCAT("https://tablet.otzar.org/",CHAR(35),"/book/649700/p/-1/t/1/fs/0/start/0/end/0/c")</f>
        <v>https://tablet.otzar.org/#/book/649700/p/-1/t/1/fs/0/start/0/end/0/c</v>
      </c>
    </row>
    <row r="959" spans="1:8" x14ac:dyDescent="0.25">
      <c r="A959">
        <v>649064</v>
      </c>
      <c r="B959" t="s">
        <v>2126</v>
      </c>
      <c r="C959" t="s">
        <v>2127</v>
      </c>
      <c r="D959" t="s">
        <v>10</v>
      </c>
      <c r="E959" t="s">
        <v>45</v>
      </c>
      <c r="G959" t="str">
        <f>HYPERLINK(_xlfn.CONCAT("https://tablet.otzar.org/",CHAR(35),"/book/649064/p/-1/t/1/fs/0/start/0/end/0/c"),"דרך אמונה &lt;פותח שערים&gt;")</f>
        <v>דרך אמונה &lt;פותח שערים&gt;</v>
      </c>
      <c r="H959" t="str">
        <f>_xlfn.CONCAT("https://tablet.otzar.org/",CHAR(35),"/book/649064/p/-1/t/1/fs/0/start/0/end/0/c")</f>
        <v>https://tablet.otzar.org/#/book/649064/p/-1/t/1/fs/0/start/0/end/0/c</v>
      </c>
    </row>
    <row r="960" spans="1:8" x14ac:dyDescent="0.25">
      <c r="A960">
        <v>653245</v>
      </c>
      <c r="B960" t="s">
        <v>2128</v>
      </c>
      <c r="C960" t="s">
        <v>2082</v>
      </c>
      <c r="D960" t="s">
        <v>52</v>
      </c>
      <c r="E960" t="s">
        <v>11</v>
      </c>
      <c r="G960" t="str">
        <f>HYPERLINK(_xlfn.CONCAT("https://tablet.otzar.org/",CHAR(35),"/book/653245/p/-1/t/1/fs/0/start/0/end/0/c"),"דרך אמונה &lt;שיח אמונה&gt; - שמיטה ויובל")</f>
        <v>דרך אמונה &lt;שיח אמונה&gt; - שמיטה ויובל</v>
      </c>
      <c r="H960" t="str">
        <f>_xlfn.CONCAT("https://tablet.otzar.org/",CHAR(35),"/book/653245/p/-1/t/1/fs/0/start/0/end/0/c")</f>
        <v>https://tablet.otzar.org/#/book/653245/p/-1/t/1/fs/0/start/0/end/0/c</v>
      </c>
    </row>
    <row r="961" spans="1:8" x14ac:dyDescent="0.25">
      <c r="A961">
        <v>648786</v>
      </c>
      <c r="B961" t="s">
        <v>2129</v>
      </c>
      <c r="C961" t="s">
        <v>2127</v>
      </c>
      <c r="D961" t="s">
        <v>10</v>
      </c>
      <c r="E961" t="s">
        <v>45</v>
      </c>
      <c r="G961" t="str">
        <f>HYPERLINK(_xlfn.CONCAT("https://tablet.otzar.org/",CHAR(35),"/book/648786/p/-1/t/1/fs/0/start/0/end/0/c"),"דרך אמונה - מהדורה חדשה")</f>
        <v>דרך אמונה - מהדורה חדשה</v>
      </c>
      <c r="H961" t="str">
        <f>_xlfn.CONCAT("https://tablet.otzar.org/",CHAR(35),"/book/648786/p/-1/t/1/fs/0/start/0/end/0/c")</f>
        <v>https://tablet.otzar.org/#/book/648786/p/-1/t/1/fs/0/start/0/end/0/c</v>
      </c>
    </row>
    <row r="962" spans="1:8" x14ac:dyDescent="0.25">
      <c r="A962">
        <v>653743</v>
      </c>
      <c r="B962" t="s">
        <v>2130</v>
      </c>
      <c r="C962" t="s">
        <v>2131</v>
      </c>
      <c r="D962" t="s">
        <v>2132</v>
      </c>
      <c r="E962" t="s">
        <v>11</v>
      </c>
      <c r="G962" t="str">
        <f>HYPERLINK(_xlfn.CONCAT("https://tablet.otzar.org/",CHAR(35),"/book/653743/p/-1/t/1/fs/0/start/0/end/0/c"),"דרך אמונה בחרתי")</f>
        <v>דרך אמונה בחרתי</v>
      </c>
      <c r="H962" t="str">
        <f>_xlfn.CONCAT("https://tablet.otzar.org/",CHAR(35),"/book/653743/p/-1/t/1/fs/0/start/0/end/0/c")</f>
        <v>https://tablet.otzar.org/#/book/653743/p/-1/t/1/fs/0/start/0/end/0/c</v>
      </c>
    </row>
    <row r="963" spans="1:8" x14ac:dyDescent="0.25">
      <c r="A963">
        <v>651495</v>
      </c>
      <c r="B963" t="s">
        <v>2133</v>
      </c>
      <c r="C963" t="s">
        <v>2134</v>
      </c>
      <c r="D963" t="s">
        <v>10</v>
      </c>
      <c r="E963" t="s">
        <v>405</v>
      </c>
      <c r="G963" t="str">
        <f>HYPERLINK(_xlfn.CONCAT("https://tablet.otzar.org/",CHAR(35),"/book/651495/p/-1/t/1/fs/0/start/0/end/0/c"),"דרך ברורה - בורר")</f>
        <v>דרך ברורה - בורר</v>
      </c>
      <c r="H963" t="str">
        <f>_xlfn.CONCAT("https://tablet.otzar.org/",CHAR(35),"/book/651495/p/-1/t/1/fs/0/start/0/end/0/c")</f>
        <v>https://tablet.otzar.org/#/book/651495/p/-1/t/1/fs/0/start/0/end/0/c</v>
      </c>
    </row>
    <row r="964" spans="1:8" x14ac:dyDescent="0.25">
      <c r="A964">
        <v>654495</v>
      </c>
      <c r="B964" t="s">
        <v>2135</v>
      </c>
      <c r="C964" t="s">
        <v>2136</v>
      </c>
      <c r="D964" t="s">
        <v>10</v>
      </c>
      <c r="E964" t="s">
        <v>11</v>
      </c>
      <c r="G964" t="str">
        <f>HYPERLINK(_xlfn.CONCAT("https://tablet.otzar.org/",CHAR(35),"/book/654495/p/-1/t/1/fs/0/start/0/end/0/c"),"דרך ה' - ג (פרקים א-ה)")</f>
        <v>דרך ה' - ג (פרקים א-ה)</v>
      </c>
      <c r="H964" t="str">
        <f>_xlfn.CONCAT("https://tablet.otzar.org/",CHAR(35),"/book/654495/p/-1/t/1/fs/0/start/0/end/0/c")</f>
        <v>https://tablet.otzar.org/#/book/654495/p/-1/t/1/fs/0/start/0/end/0/c</v>
      </c>
    </row>
    <row r="965" spans="1:8" x14ac:dyDescent="0.25">
      <c r="A965">
        <v>651898</v>
      </c>
      <c r="B965" t="s">
        <v>2137</v>
      </c>
      <c r="C965" t="s">
        <v>2138</v>
      </c>
      <c r="D965" t="s">
        <v>2139</v>
      </c>
      <c r="E965" t="s">
        <v>2140</v>
      </c>
      <c r="G965" t="str">
        <f>HYPERLINK(_xlfn.CONCAT("https://tablet.otzar.org/",CHAR(35),"/book/651898/p/-1/t/1/fs/0/start/0/end/0/c"),"דרך החיים")</f>
        <v>דרך החיים</v>
      </c>
      <c r="H965" t="str">
        <f>_xlfn.CONCAT("https://tablet.otzar.org/",CHAR(35),"/book/651898/p/-1/t/1/fs/0/start/0/end/0/c")</f>
        <v>https://tablet.otzar.org/#/book/651898/p/-1/t/1/fs/0/start/0/end/0/c</v>
      </c>
    </row>
    <row r="966" spans="1:8" x14ac:dyDescent="0.25">
      <c r="A966">
        <v>649439</v>
      </c>
      <c r="B966" t="s">
        <v>2141</v>
      </c>
      <c r="C966" t="s">
        <v>2142</v>
      </c>
      <c r="D966" t="s">
        <v>10</v>
      </c>
      <c r="E966" t="s">
        <v>2143</v>
      </c>
      <c r="G966" t="str">
        <f>HYPERLINK(_xlfn.CONCAT("https://tablet.otzar.org/",CHAR(35),"/book/649439/p/-1/t/1/fs/0/start/0/end/0/c"),"דרך הישר להילדים")</f>
        <v>דרך הישר להילדים</v>
      </c>
      <c r="H966" t="str">
        <f>_xlfn.CONCAT("https://tablet.otzar.org/",CHAR(35),"/book/649439/p/-1/t/1/fs/0/start/0/end/0/c")</f>
        <v>https://tablet.otzar.org/#/book/649439/p/-1/t/1/fs/0/start/0/end/0/c</v>
      </c>
    </row>
    <row r="967" spans="1:8" x14ac:dyDescent="0.25">
      <c r="A967">
        <v>655345</v>
      </c>
      <c r="B967" t="s">
        <v>2144</v>
      </c>
      <c r="C967" t="s">
        <v>2145</v>
      </c>
      <c r="D967" t="s">
        <v>10</v>
      </c>
      <c r="E967" t="s">
        <v>657</v>
      </c>
      <c r="G967" t="str">
        <f>HYPERLINK(_xlfn.CONCAT("https://tablet.otzar.org/",CHAR(35),"/book/655345/p/-1/t/1/fs/0/start/0/end/0/c"),"דרך המלך")</f>
        <v>דרך המלך</v>
      </c>
      <c r="H967" t="str">
        <f>_xlfn.CONCAT("https://tablet.otzar.org/",CHAR(35),"/book/655345/p/-1/t/1/fs/0/start/0/end/0/c")</f>
        <v>https://tablet.otzar.org/#/book/655345/p/-1/t/1/fs/0/start/0/end/0/c</v>
      </c>
    </row>
    <row r="968" spans="1:8" x14ac:dyDescent="0.25">
      <c r="A968">
        <v>651607</v>
      </c>
      <c r="B968" t="s">
        <v>2146</v>
      </c>
      <c r="C968" t="s">
        <v>1406</v>
      </c>
      <c r="D968" t="s">
        <v>951</v>
      </c>
      <c r="E968" t="s">
        <v>704</v>
      </c>
      <c r="G968" t="str">
        <f>HYPERLINK(_xlfn.CONCAT("https://tablet.otzar.org/",CHAR(35),"/book/651607/p/-1/t/1/fs/0/start/0/end/0/c"),"דרך הקודש")</f>
        <v>דרך הקודש</v>
      </c>
      <c r="H968" t="str">
        <f>_xlfn.CONCAT("https://tablet.otzar.org/",CHAR(35),"/book/651607/p/-1/t/1/fs/0/start/0/end/0/c")</f>
        <v>https://tablet.otzar.org/#/book/651607/p/-1/t/1/fs/0/start/0/end/0/c</v>
      </c>
    </row>
    <row r="969" spans="1:8" x14ac:dyDescent="0.25">
      <c r="A969">
        <v>656103</v>
      </c>
      <c r="B969" t="s">
        <v>2147</v>
      </c>
      <c r="C969" t="s">
        <v>2148</v>
      </c>
      <c r="D969" t="s">
        <v>10</v>
      </c>
      <c r="E969" t="s">
        <v>312</v>
      </c>
      <c r="G969" t="str">
        <f>HYPERLINK(_xlfn.CONCAT("https://tablet.otzar.org/",CHAR(35),"/book/656103/p/-1/t/1/fs/0/start/0/end/0/c"),"דרך זו אלך")</f>
        <v>דרך זו אלך</v>
      </c>
      <c r="H969" t="str">
        <f>_xlfn.CONCAT("https://tablet.otzar.org/",CHAR(35),"/book/656103/p/-1/t/1/fs/0/start/0/end/0/c")</f>
        <v>https://tablet.otzar.org/#/book/656103/p/-1/t/1/fs/0/start/0/end/0/c</v>
      </c>
    </row>
    <row r="970" spans="1:8" x14ac:dyDescent="0.25">
      <c r="A970">
        <v>656104</v>
      </c>
      <c r="B970" t="s">
        <v>2149</v>
      </c>
      <c r="C970" t="s">
        <v>2150</v>
      </c>
      <c r="D970" t="s">
        <v>10</v>
      </c>
      <c r="E970" t="s">
        <v>399</v>
      </c>
      <c r="G970" t="str">
        <f>HYPERLINK(_xlfn.CONCAT("https://tablet.otzar.org/",CHAR(35),"/book/656104/p/-1/t/1/fs/0/start/0/end/0/c"),"דרך חדשה")</f>
        <v>דרך חדשה</v>
      </c>
      <c r="H970" t="str">
        <f>_xlfn.CONCAT("https://tablet.otzar.org/",CHAR(35),"/book/656104/p/-1/t/1/fs/0/start/0/end/0/c")</f>
        <v>https://tablet.otzar.org/#/book/656104/p/-1/t/1/fs/0/start/0/end/0/c</v>
      </c>
    </row>
    <row r="971" spans="1:8" x14ac:dyDescent="0.25">
      <c r="A971">
        <v>653623</v>
      </c>
      <c r="B971" t="s">
        <v>2151</v>
      </c>
      <c r="C971" t="s">
        <v>1668</v>
      </c>
      <c r="D971" t="s">
        <v>2152</v>
      </c>
      <c r="E971" t="s">
        <v>117</v>
      </c>
      <c r="G971" t="str">
        <f>HYPERLINK(_xlfn.CONCAT("https://tablet.otzar.org/",CHAR(35),"/book/653623/p/-1/t/1/fs/0/start/0/end/0/c"),"דרך חיים &lt;אלף בינה&gt; - א")</f>
        <v>דרך חיים &lt;אלף בינה&gt; - א</v>
      </c>
      <c r="H971" t="str">
        <f>_xlfn.CONCAT("https://tablet.otzar.org/",CHAR(35),"/book/653623/p/-1/t/1/fs/0/start/0/end/0/c")</f>
        <v>https://tablet.otzar.org/#/book/653623/p/-1/t/1/fs/0/start/0/end/0/c</v>
      </c>
    </row>
    <row r="972" spans="1:8" x14ac:dyDescent="0.25">
      <c r="A972">
        <v>650657</v>
      </c>
      <c r="B972" t="s">
        <v>2153</v>
      </c>
      <c r="C972" t="s">
        <v>2154</v>
      </c>
      <c r="D972" t="s">
        <v>52</v>
      </c>
      <c r="E972" t="s">
        <v>84</v>
      </c>
      <c r="G972" t="str">
        <f>HYPERLINK(_xlfn.CONCAT("https://tablet.otzar.org/",CHAR(35),"/exKotar/650657"),"דרך חיים - 10 כרכים")</f>
        <v>דרך חיים - 10 כרכים</v>
      </c>
      <c r="H972" t="str">
        <f>_xlfn.CONCAT("https://tablet.otzar.org/",CHAR(35),"/exKotar/650657")</f>
        <v>https://tablet.otzar.org/#/exKotar/650657</v>
      </c>
    </row>
    <row r="973" spans="1:8" x14ac:dyDescent="0.25">
      <c r="A973">
        <v>648237</v>
      </c>
      <c r="B973" t="s">
        <v>2155</v>
      </c>
      <c r="C973" t="s">
        <v>2156</v>
      </c>
      <c r="D973" t="s">
        <v>52</v>
      </c>
      <c r="E973" t="s">
        <v>146</v>
      </c>
      <c r="G973" t="str">
        <f>HYPERLINK(_xlfn.CONCAT("https://tablet.otzar.org/",CHAR(35),"/book/648237/p/-1/t/1/fs/0/start/0/end/0/c"),"דרך ישרה - עניני שחיטה")</f>
        <v>דרך ישרה - עניני שחיטה</v>
      </c>
      <c r="H973" t="str">
        <f>_xlfn.CONCAT("https://tablet.otzar.org/",CHAR(35),"/book/648237/p/-1/t/1/fs/0/start/0/end/0/c")</f>
        <v>https://tablet.otzar.org/#/book/648237/p/-1/t/1/fs/0/start/0/end/0/c</v>
      </c>
    </row>
    <row r="974" spans="1:8" x14ac:dyDescent="0.25">
      <c r="A974">
        <v>652345</v>
      </c>
      <c r="B974" t="s">
        <v>2157</v>
      </c>
      <c r="C974" t="s">
        <v>2158</v>
      </c>
      <c r="E974" t="s">
        <v>84</v>
      </c>
      <c r="G974" t="str">
        <f>HYPERLINK(_xlfn.CONCAT("https://tablet.otzar.org/",CHAR(35),"/exKotar/652345"),"דרך מצותיך המבואר - 2 כרכים")</f>
        <v>דרך מצותיך המבואר - 2 כרכים</v>
      </c>
      <c r="H974" t="str">
        <f>_xlfn.CONCAT("https://tablet.otzar.org/",CHAR(35),"/exKotar/652345")</f>
        <v>https://tablet.otzar.org/#/exKotar/652345</v>
      </c>
    </row>
    <row r="975" spans="1:8" x14ac:dyDescent="0.25">
      <c r="A975">
        <v>652909</v>
      </c>
      <c r="B975" t="s">
        <v>2159</v>
      </c>
      <c r="C975" t="s">
        <v>2160</v>
      </c>
      <c r="E975" t="s">
        <v>337</v>
      </c>
      <c r="G975" t="str">
        <f>HYPERLINK(_xlfn.CONCAT("https://tablet.otzar.org/",CHAR(35),"/book/652909/p/-1/t/1/fs/0/start/0/end/0/c"),"דרך נתיבה - א")</f>
        <v>דרך נתיבה - א</v>
      </c>
      <c r="H975" t="str">
        <f>_xlfn.CONCAT("https://tablet.otzar.org/",CHAR(35),"/book/652909/p/-1/t/1/fs/0/start/0/end/0/c")</f>
        <v>https://tablet.otzar.org/#/book/652909/p/-1/t/1/fs/0/start/0/end/0/c</v>
      </c>
    </row>
    <row r="976" spans="1:8" x14ac:dyDescent="0.25">
      <c r="A976">
        <v>652573</v>
      </c>
      <c r="B976" t="s">
        <v>2161</v>
      </c>
      <c r="C976" t="s">
        <v>2162</v>
      </c>
      <c r="D976" t="s">
        <v>10</v>
      </c>
      <c r="E976" t="s">
        <v>70</v>
      </c>
      <c r="G976" t="str">
        <f>HYPERLINK(_xlfn.CONCAT("https://tablet.otzar.org/",CHAR(35),"/book/652573/p/-1/t/1/fs/0/start/0/end/0/c"),"דרך עדותיך - ראש השנה")</f>
        <v>דרך עדותיך - ראש השנה</v>
      </c>
      <c r="H976" t="str">
        <f>_xlfn.CONCAT("https://tablet.otzar.org/",CHAR(35),"/book/652573/p/-1/t/1/fs/0/start/0/end/0/c")</f>
        <v>https://tablet.otzar.org/#/book/652573/p/-1/t/1/fs/0/start/0/end/0/c</v>
      </c>
    </row>
    <row r="977" spans="1:8" x14ac:dyDescent="0.25">
      <c r="A977">
        <v>653184</v>
      </c>
      <c r="B977" t="s">
        <v>2163</v>
      </c>
      <c r="C977" t="s">
        <v>2164</v>
      </c>
      <c r="D977" t="s">
        <v>10</v>
      </c>
      <c r="E977" t="s">
        <v>77</v>
      </c>
      <c r="G977" t="str">
        <f>HYPERLINK(_xlfn.CONCAT("https://tablet.otzar.org/",CHAR(35),"/exKotar/653184"),"דרך עץ החיים - 14 כרכים")</f>
        <v>דרך עץ החיים - 14 כרכים</v>
      </c>
      <c r="H977" t="str">
        <f>_xlfn.CONCAT("https://tablet.otzar.org/",CHAR(35),"/exKotar/653184")</f>
        <v>https://tablet.otzar.org/#/exKotar/653184</v>
      </c>
    </row>
    <row r="978" spans="1:8" x14ac:dyDescent="0.25">
      <c r="A978">
        <v>655661</v>
      </c>
      <c r="B978" t="s">
        <v>2165</v>
      </c>
      <c r="C978" t="s">
        <v>143</v>
      </c>
      <c r="D978" t="s">
        <v>52</v>
      </c>
      <c r="E978" t="s">
        <v>45</v>
      </c>
      <c r="G978" t="str">
        <f>HYPERLINK(_xlfn.CONCAT("https://tablet.otzar.org/",CHAR(35),"/book/655661/p/-1/t/1/fs/0/start/0/end/0/c"),"דרך פקודיך &lt;הגהות הצבי והצדק&gt;")</f>
        <v>דרך פקודיך &lt;הגהות הצבי והצדק&gt;</v>
      </c>
      <c r="H978" t="str">
        <f>_xlfn.CONCAT("https://tablet.otzar.org/",CHAR(35),"/book/655661/p/-1/t/1/fs/0/start/0/end/0/c")</f>
        <v>https://tablet.otzar.org/#/book/655661/p/-1/t/1/fs/0/start/0/end/0/c</v>
      </c>
    </row>
    <row r="979" spans="1:8" x14ac:dyDescent="0.25">
      <c r="A979">
        <v>654323</v>
      </c>
      <c r="B979" t="s">
        <v>2166</v>
      </c>
      <c r="C979" t="s">
        <v>1850</v>
      </c>
      <c r="D979" t="s">
        <v>10</v>
      </c>
      <c r="E979" t="s">
        <v>11</v>
      </c>
      <c r="G979" t="str">
        <f>HYPERLINK(_xlfn.CONCAT("https://tablet.otzar.org/",CHAR(35),"/book/654323/p/-1/t/1/fs/0/start/0/end/0/c"),"דרכי אבות")</f>
        <v>דרכי אבות</v>
      </c>
      <c r="H979" t="str">
        <f>_xlfn.CONCAT("https://tablet.otzar.org/",CHAR(35),"/book/654323/p/-1/t/1/fs/0/start/0/end/0/c")</f>
        <v>https://tablet.otzar.org/#/book/654323/p/-1/t/1/fs/0/start/0/end/0/c</v>
      </c>
    </row>
    <row r="980" spans="1:8" x14ac:dyDescent="0.25">
      <c r="A980">
        <v>647765</v>
      </c>
      <c r="B980" t="s">
        <v>2167</v>
      </c>
      <c r="C980" t="s">
        <v>2168</v>
      </c>
      <c r="D980" t="s">
        <v>52</v>
      </c>
      <c r="E980" t="s">
        <v>35</v>
      </c>
      <c r="G980" t="str">
        <f>HYPERLINK(_xlfn.CONCAT("https://tablet.otzar.org/",CHAR(35),"/exKotar/647765"),"דרכי ברוך - 2 כרכים")</f>
        <v>דרכי ברוך - 2 כרכים</v>
      </c>
      <c r="H980" t="str">
        <f>_xlfn.CONCAT("https://tablet.otzar.org/",CHAR(35),"/exKotar/647765")</f>
        <v>https://tablet.otzar.org/#/exKotar/647765</v>
      </c>
    </row>
    <row r="981" spans="1:8" x14ac:dyDescent="0.25">
      <c r="A981">
        <v>654030</v>
      </c>
      <c r="B981" t="s">
        <v>2169</v>
      </c>
      <c r="C981" t="s">
        <v>2170</v>
      </c>
      <c r="D981" t="s">
        <v>10</v>
      </c>
      <c r="E981" t="s">
        <v>35</v>
      </c>
      <c r="G981" t="str">
        <f>HYPERLINK(_xlfn.CONCAT("https://tablet.otzar.org/",CHAR(35),"/book/654030/p/-1/t/1/fs/0/start/0/end/0/c"),"דרכי ברכות")</f>
        <v>דרכי ברכות</v>
      </c>
      <c r="H981" t="str">
        <f>_xlfn.CONCAT("https://tablet.otzar.org/",CHAR(35),"/book/654030/p/-1/t/1/fs/0/start/0/end/0/c")</f>
        <v>https://tablet.otzar.org/#/book/654030/p/-1/t/1/fs/0/start/0/end/0/c</v>
      </c>
    </row>
    <row r="982" spans="1:8" x14ac:dyDescent="0.25">
      <c r="A982">
        <v>650535</v>
      </c>
      <c r="B982" t="s">
        <v>2171</v>
      </c>
      <c r="C982" t="s">
        <v>2172</v>
      </c>
      <c r="D982" t="s">
        <v>52</v>
      </c>
      <c r="E982" t="s">
        <v>89</v>
      </c>
      <c r="G982" t="str">
        <f>HYPERLINK(_xlfn.CONCAT("https://tablet.otzar.org/",CHAR(35),"/exKotar/650535"),"דרכי דעה - 2 כרכים")</f>
        <v>דרכי דעה - 2 כרכים</v>
      </c>
      <c r="H982" t="str">
        <f>_xlfn.CONCAT("https://tablet.otzar.org/",CHAR(35),"/exKotar/650535")</f>
        <v>https://tablet.otzar.org/#/exKotar/650535</v>
      </c>
    </row>
    <row r="983" spans="1:8" x14ac:dyDescent="0.25">
      <c r="A983">
        <v>651893</v>
      </c>
      <c r="B983" t="s">
        <v>2173</v>
      </c>
      <c r="C983" t="s">
        <v>2174</v>
      </c>
      <c r="D983" t="s">
        <v>1200</v>
      </c>
      <c r="E983" t="s">
        <v>35</v>
      </c>
      <c r="G983" t="str">
        <f>HYPERLINK(_xlfn.CONCAT("https://tablet.otzar.org/",CHAR(35),"/book/651893/p/-1/t/1/fs/0/start/0/end/0/c"),"דרכי ההוראה")</f>
        <v>דרכי ההוראה</v>
      </c>
      <c r="H983" t="str">
        <f>_xlfn.CONCAT("https://tablet.otzar.org/",CHAR(35),"/book/651893/p/-1/t/1/fs/0/start/0/end/0/c")</f>
        <v>https://tablet.otzar.org/#/book/651893/p/-1/t/1/fs/0/start/0/end/0/c</v>
      </c>
    </row>
    <row r="984" spans="1:8" x14ac:dyDescent="0.25">
      <c r="A984">
        <v>652924</v>
      </c>
      <c r="B984" t="s">
        <v>2175</v>
      </c>
      <c r="C984" t="s">
        <v>2176</v>
      </c>
      <c r="E984" t="s">
        <v>19</v>
      </c>
      <c r="G984" t="str">
        <f>HYPERLINK(_xlfn.CONCAT("https://tablet.otzar.org/",CHAR(35),"/book/652924/p/-1/t/1/fs/0/start/0/end/0/c"),"דרכי החינוך")</f>
        <v>דרכי החינוך</v>
      </c>
      <c r="H984" t="str">
        <f>_xlfn.CONCAT("https://tablet.otzar.org/",CHAR(35),"/book/652924/p/-1/t/1/fs/0/start/0/end/0/c")</f>
        <v>https://tablet.otzar.org/#/book/652924/p/-1/t/1/fs/0/start/0/end/0/c</v>
      </c>
    </row>
    <row r="985" spans="1:8" x14ac:dyDescent="0.25">
      <c r="A985">
        <v>648779</v>
      </c>
      <c r="B985" t="s">
        <v>2177</v>
      </c>
      <c r="C985" t="s">
        <v>2178</v>
      </c>
      <c r="D985" t="s">
        <v>52</v>
      </c>
      <c r="E985" t="s">
        <v>11</v>
      </c>
      <c r="G985" t="str">
        <f>HYPERLINK(_xlfn.CONCAT("https://tablet.otzar.org/",CHAR(35),"/book/648779/p/-1/t/1/fs/0/start/0/end/0/c"),"דרכי הנחמה למעשה")</f>
        <v>דרכי הנחמה למעשה</v>
      </c>
      <c r="H985" t="str">
        <f>_xlfn.CONCAT("https://tablet.otzar.org/",CHAR(35),"/book/648779/p/-1/t/1/fs/0/start/0/end/0/c")</f>
        <v>https://tablet.otzar.org/#/book/648779/p/-1/t/1/fs/0/start/0/end/0/c</v>
      </c>
    </row>
    <row r="986" spans="1:8" x14ac:dyDescent="0.25">
      <c r="A986">
        <v>651332</v>
      </c>
      <c r="B986" t="s">
        <v>2179</v>
      </c>
      <c r="C986" t="s">
        <v>2180</v>
      </c>
      <c r="D986" t="s">
        <v>10</v>
      </c>
      <c r="E986" t="s">
        <v>35</v>
      </c>
      <c r="G986" t="str">
        <f>HYPERLINK(_xlfn.CONCAT("https://tablet.otzar.org/",CHAR(35),"/book/651332/p/-1/t/1/fs/0/start/0/end/0/c"),"דרכי השביעית")</f>
        <v>דרכי השביעית</v>
      </c>
      <c r="H986" t="str">
        <f>_xlfn.CONCAT("https://tablet.otzar.org/",CHAR(35),"/book/651332/p/-1/t/1/fs/0/start/0/end/0/c")</f>
        <v>https://tablet.otzar.org/#/book/651332/p/-1/t/1/fs/0/start/0/end/0/c</v>
      </c>
    </row>
    <row r="987" spans="1:8" x14ac:dyDescent="0.25">
      <c r="A987">
        <v>649741</v>
      </c>
      <c r="B987" t="s">
        <v>2181</v>
      </c>
      <c r="C987" t="s">
        <v>2182</v>
      </c>
      <c r="E987" t="s">
        <v>35</v>
      </c>
      <c r="G987" t="str">
        <f>HYPERLINK(_xlfn.CONCAT("https://tablet.otzar.org/",CHAR(35),"/book/649741/p/-1/t/1/fs/0/start/0/end/0/c"),"דרכי טוהר - נדה")</f>
        <v>דרכי טוהר - נדה</v>
      </c>
      <c r="H987" t="str">
        <f>_xlfn.CONCAT("https://tablet.otzar.org/",CHAR(35),"/book/649741/p/-1/t/1/fs/0/start/0/end/0/c")</f>
        <v>https://tablet.otzar.org/#/book/649741/p/-1/t/1/fs/0/start/0/end/0/c</v>
      </c>
    </row>
    <row r="988" spans="1:8" x14ac:dyDescent="0.25">
      <c r="A988">
        <v>656108</v>
      </c>
      <c r="B988" t="s">
        <v>2183</v>
      </c>
      <c r="C988" t="s">
        <v>2170</v>
      </c>
      <c r="D988" t="s">
        <v>34</v>
      </c>
      <c r="E988" t="s">
        <v>29</v>
      </c>
      <c r="G988" t="str">
        <f>HYPERLINK(_xlfn.CONCAT("https://tablet.otzar.org/",CHAR(35),"/exKotar/656108"),"דרכי יצחק - 3 כרכים")</f>
        <v>דרכי יצחק - 3 כרכים</v>
      </c>
      <c r="H988" t="str">
        <f>_xlfn.CONCAT("https://tablet.otzar.org/",CHAR(35),"/exKotar/656108")</f>
        <v>https://tablet.otzar.org/#/exKotar/656108</v>
      </c>
    </row>
    <row r="989" spans="1:8" x14ac:dyDescent="0.25">
      <c r="A989">
        <v>650807</v>
      </c>
      <c r="B989" t="s">
        <v>2184</v>
      </c>
      <c r="C989" t="s">
        <v>2185</v>
      </c>
      <c r="D989" t="s">
        <v>52</v>
      </c>
      <c r="E989" t="s">
        <v>11</v>
      </c>
      <c r="G989" t="str">
        <f>HYPERLINK(_xlfn.CONCAT("https://tablet.otzar.org/",CHAR(35),"/book/650807/p/-1/t/1/fs/0/start/0/end/0/c"),"דרכי ישרים - עירובין מחיצות")</f>
        <v>דרכי ישרים - עירובין מחיצות</v>
      </c>
      <c r="H989" t="str">
        <f>_xlfn.CONCAT("https://tablet.otzar.org/",CHAR(35),"/book/650807/p/-1/t/1/fs/0/start/0/end/0/c")</f>
        <v>https://tablet.otzar.org/#/book/650807/p/-1/t/1/fs/0/start/0/end/0/c</v>
      </c>
    </row>
    <row r="990" spans="1:8" x14ac:dyDescent="0.25">
      <c r="A990">
        <v>643257</v>
      </c>
      <c r="B990" t="s">
        <v>2186</v>
      </c>
      <c r="C990" t="s">
        <v>2187</v>
      </c>
      <c r="D990" t="s">
        <v>10</v>
      </c>
      <c r="E990" t="s">
        <v>1693</v>
      </c>
      <c r="G990" t="str">
        <f>HYPERLINK(_xlfn.CONCAT("https://tablet.otzar.org/",CHAR(35),"/book/643257/p/-1/t/1/fs/0/start/0/end/0/c"),"דרכי משה עקבות יצחק")</f>
        <v>דרכי משה עקבות יצחק</v>
      </c>
      <c r="H990" t="str">
        <f>_xlfn.CONCAT("https://tablet.otzar.org/",CHAR(35),"/book/643257/p/-1/t/1/fs/0/start/0/end/0/c")</f>
        <v>https://tablet.otzar.org/#/book/643257/p/-1/t/1/fs/0/start/0/end/0/c</v>
      </c>
    </row>
    <row r="991" spans="1:8" x14ac:dyDescent="0.25">
      <c r="A991">
        <v>648016</v>
      </c>
      <c r="B991" t="s">
        <v>2188</v>
      </c>
      <c r="C991" t="s">
        <v>2189</v>
      </c>
      <c r="D991" t="s">
        <v>2190</v>
      </c>
      <c r="E991" t="s">
        <v>2191</v>
      </c>
      <c r="G991" t="str">
        <f>HYPERLINK(_xlfn.CONCAT("https://tablet.otzar.org/",CHAR(35),"/book/648016/p/-1/t/1/fs/0/start/0/end/0/c"),"דרכי נועם")</f>
        <v>דרכי נועם</v>
      </c>
      <c r="H991" t="str">
        <f>_xlfn.CONCAT("https://tablet.otzar.org/",CHAR(35),"/book/648016/p/-1/t/1/fs/0/start/0/end/0/c")</f>
        <v>https://tablet.otzar.org/#/book/648016/p/-1/t/1/fs/0/start/0/end/0/c</v>
      </c>
    </row>
    <row r="992" spans="1:8" x14ac:dyDescent="0.25">
      <c r="A992">
        <v>650511</v>
      </c>
      <c r="B992" t="s">
        <v>2188</v>
      </c>
      <c r="C992" t="s">
        <v>1699</v>
      </c>
      <c r="D992" t="s">
        <v>2192</v>
      </c>
      <c r="E992" t="s">
        <v>2193</v>
      </c>
      <c r="G992" t="str">
        <f>HYPERLINK(_xlfn.CONCAT("https://tablet.otzar.org/",CHAR(35),"/book/650511/p/-1/t/1/fs/0/start/0/end/0/c"),"דרכי נועם")</f>
        <v>דרכי נועם</v>
      </c>
      <c r="H992" t="str">
        <f>_xlfn.CONCAT("https://tablet.otzar.org/",CHAR(35),"/book/650511/p/-1/t/1/fs/0/start/0/end/0/c")</f>
        <v>https://tablet.otzar.org/#/book/650511/p/-1/t/1/fs/0/start/0/end/0/c</v>
      </c>
    </row>
    <row r="993" spans="1:8" x14ac:dyDescent="0.25">
      <c r="A993">
        <v>648742</v>
      </c>
      <c r="B993" t="s">
        <v>2194</v>
      </c>
      <c r="C993" t="s">
        <v>2195</v>
      </c>
      <c r="D993" t="s">
        <v>440</v>
      </c>
      <c r="E993" t="s">
        <v>1775</v>
      </c>
      <c r="G993" t="str">
        <f>HYPERLINK(_xlfn.CONCAT("https://tablet.otzar.org/",CHAR(35),"/book/648742/p/-1/t/1/fs/0/start/0/end/0/c"),"דרכי נעם - ב")</f>
        <v>דרכי נעם - ב</v>
      </c>
      <c r="H993" t="str">
        <f>_xlfn.CONCAT("https://tablet.otzar.org/",CHAR(35),"/book/648742/p/-1/t/1/fs/0/start/0/end/0/c")</f>
        <v>https://tablet.otzar.org/#/book/648742/p/-1/t/1/fs/0/start/0/end/0/c</v>
      </c>
    </row>
    <row r="994" spans="1:8" x14ac:dyDescent="0.25">
      <c r="A994">
        <v>654616</v>
      </c>
      <c r="B994" t="s">
        <v>2196</v>
      </c>
      <c r="C994" t="s">
        <v>2197</v>
      </c>
      <c r="D994" t="s">
        <v>52</v>
      </c>
      <c r="E994" t="s">
        <v>29</v>
      </c>
      <c r="G994" t="str">
        <f>HYPERLINK(_xlfn.CONCAT("https://tablet.otzar.org/",CHAR(35),"/exKotar/654616"),"דרכי צבי - 8 כרכים")</f>
        <v>דרכי צבי - 8 כרכים</v>
      </c>
      <c r="H994" t="str">
        <f>_xlfn.CONCAT("https://tablet.otzar.org/",CHAR(35),"/exKotar/654616")</f>
        <v>https://tablet.otzar.org/#/exKotar/654616</v>
      </c>
    </row>
    <row r="995" spans="1:8" x14ac:dyDescent="0.25">
      <c r="A995">
        <v>647735</v>
      </c>
      <c r="B995" t="s">
        <v>2198</v>
      </c>
      <c r="C995" t="s">
        <v>2199</v>
      </c>
      <c r="D995" t="s">
        <v>52</v>
      </c>
      <c r="E995" t="s">
        <v>704</v>
      </c>
      <c r="G995" t="str">
        <f>HYPERLINK(_xlfn.CONCAT("https://tablet.otzar.org/",CHAR(35),"/book/647735/p/-1/t/1/fs/0/start/0/end/0/c"),"דרכי צדק השלם")</f>
        <v>דרכי צדק השלם</v>
      </c>
      <c r="H995" t="str">
        <f>_xlfn.CONCAT("https://tablet.otzar.org/",CHAR(35),"/book/647735/p/-1/t/1/fs/0/start/0/end/0/c")</f>
        <v>https://tablet.otzar.org/#/book/647735/p/-1/t/1/fs/0/start/0/end/0/c</v>
      </c>
    </row>
    <row r="996" spans="1:8" x14ac:dyDescent="0.25">
      <c r="A996">
        <v>651086</v>
      </c>
      <c r="B996" t="s">
        <v>2200</v>
      </c>
      <c r="C996" t="s">
        <v>614</v>
      </c>
      <c r="D996" t="s">
        <v>10</v>
      </c>
      <c r="E996" t="s">
        <v>45</v>
      </c>
      <c r="G996" t="str">
        <f>HYPERLINK(_xlfn.CONCAT("https://tablet.otzar.org/",CHAR(35),"/book/651086/p/-1/t/1/fs/0/start/0/end/0/c"),"דרכי שלום")</f>
        <v>דרכי שלום</v>
      </c>
      <c r="H996" t="str">
        <f>_xlfn.CONCAT("https://tablet.otzar.org/",CHAR(35),"/book/651086/p/-1/t/1/fs/0/start/0/end/0/c")</f>
        <v>https://tablet.otzar.org/#/book/651086/p/-1/t/1/fs/0/start/0/end/0/c</v>
      </c>
    </row>
    <row r="997" spans="1:8" x14ac:dyDescent="0.25">
      <c r="A997">
        <v>652597</v>
      </c>
      <c r="B997" t="s">
        <v>2200</v>
      </c>
      <c r="C997" t="s">
        <v>2201</v>
      </c>
      <c r="D997" t="s">
        <v>52</v>
      </c>
      <c r="E997" t="s">
        <v>114</v>
      </c>
      <c r="G997" t="str">
        <f>HYPERLINK(_xlfn.CONCAT("https://tablet.otzar.org/",CHAR(35),"/book/652597/p/-1/t/1/fs/0/start/0/end/0/c"),"דרכי שלום")</f>
        <v>דרכי שלום</v>
      </c>
      <c r="H997" t="str">
        <f>_xlfn.CONCAT("https://tablet.otzar.org/",CHAR(35),"/book/652597/p/-1/t/1/fs/0/start/0/end/0/c")</f>
        <v>https://tablet.otzar.org/#/book/652597/p/-1/t/1/fs/0/start/0/end/0/c</v>
      </c>
    </row>
    <row r="998" spans="1:8" x14ac:dyDescent="0.25">
      <c r="A998">
        <v>654659</v>
      </c>
      <c r="B998" t="s">
        <v>2202</v>
      </c>
      <c r="C998" t="s">
        <v>2203</v>
      </c>
      <c r="D998" t="s">
        <v>34</v>
      </c>
      <c r="E998" t="s">
        <v>29</v>
      </c>
      <c r="G998" t="str">
        <f>HYPERLINK(_xlfn.CONCAT("https://tablet.otzar.org/",CHAR(35),"/exKotar/654659"),"דרכי תורה - 5 כרכים")</f>
        <v>דרכי תורה - 5 כרכים</v>
      </c>
      <c r="H998" t="str">
        <f>_xlfn.CONCAT("https://tablet.otzar.org/",CHAR(35),"/exKotar/654659")</f>
        <v>https://tablet.otzar.org/#/exKotar/654659</v>
      </c>
    </row>
    <row r="999" spans="1:8" x14ac:dyDescent="0.25">
      <c r="A999">
        <v>655387</v>
      </c>
      <c r="B999" t="s">
        <v>2204</v>
      </c>
      <c r="C999" t="s">
        <v>2205</v>
      </c>
      <c r="D999" t="s">
        <v>10</v>
      </c>
      <c r="E999" t="s">
        <v>657</v>
      </c>
      <c r="G999" t="str">
        <f>HYPERLINK(_xlfn.CONCAT("https://tablet.otzar.org/",CHAR(35),"/book/655387/p/-1/t/1/fs/0/start/0/end/0/c"),"דרש יהודה - פרקי אבות")</f>
        <v>דרש יהודה - פרקי אבות</v>
      </c>
      <c r="H999" t="str">
        <f>_xlfn.CONCAT("https://tablet.otzar.org/",CHAR(35),"/book/655387/p/-1/t/1/fs/0/start/0/end/0/c")</f>
        <v>https://tablet.otzar.org/#/book/655387/p/-1/t/1/fs/0/start/0/end/0/c</v>
      </c>
    </row>
    <row r="1000" spans="1:8" x14ac:dyDescent="0.25">
      <c r="A1000">
        <v>647391</v>
      </c>
      <c r="B1000" t="s">
        <v>2206</v>
      </c>
      <c r="C1000" t="s">
        <v>2207</v>
      </c>
      <c r="D1000" t="s">
        <v>10</v>
      </c>
      <c r="E1000" t="s">
        <v>914</v>
      </c>
      <c r="G1000" t="str">
        <f>HYPERLINK(_xlfn.CONCAT("https://tablet.otzar.org/",CHAR(35),"/book/647391/p/-1/t/1/fs/0/start/0/end/0/c"),"דרשה")</f>
        <v>דרשה</v>
      </c>
      <c r="H1000" t="str">
        <f>_xlfn.CONCAT("https://tablet.otzar.org/",CHAR(35),"/book/647391/p/-1/t/1/fs/0/start/0/end/0/c")</f>
        <v>https://tablet.otzar.org/#/book/647391/p/-1/t/1/fs/0/start/0/end/0/c</v>
      </c>
    </row>
    <row r="1001" spans="1:8" x14ac:dyDescent="0.25">
      <c r="A1001">
        <v>649133</v>
      </c>
      <c r="B1001" t="s">
        <v>2208</v>
      </c>
      <c r="C1001" t="s">
        <v>2209</v>
      </c>
      <c r="D1001" t="s">
        <v>34</v>
      </c>
      <c r="E1001" t="s">
        <v>77</v>
      </c>
      <c r="G1001" t="str">
        <f>HYPERLINK(_xlfn.CONCAT("https://tablet.otzar.org/",CHAR(35),"/exKotar/649133"),"דרשה לישראל - 2 כרכים")</f>
        <v>דרשה לישראל - 2 כרכים</v>
      </c>
      <c r="H1001" t="str">
        <f>_xlfn.CONCAT("https://tablet.otzar.org/",CHAR(35),"/exKotar/649133")</f>
        <v>https://tablet.otzar.org/#/exKotar/649133</v>
      </c>
    </row>
    <row r="1002" spans="1:8" x14ac:dyDescent="0.25">
      <c r="A1002">
        <v>652958</v>
      </c>
      <c r="B1002" t="s">
        <v>2210</v>
      </c>
      <c r="C1002" t="s">
        <v>814</v>
      </c>
      <c r="E1002" t="s">
        <v>117</v>
      </c>
      <c r="G1002" t="str">
        <f>HYPERLINK(_xlfn.CONCAT("https://tablet.otzar.org/",CHAR(35),"/exKotar/652958"),"דרשות אמרי סופר - 2 כרכים")</f>
        <v>דרשות אמרי סופר - 2 כרכים</v>
      </c>
      <c r="H1002" t="str">
        <f>_xlfn.CONCAT("https://tablet.otzar.org/",CHAR(35),"/exKotar/652958")</f>
        <v>https://tablet.otzar.org/#/exKotar/652958</v>
      </c>
    </row>
    <row r="1003" spans="1:8" x14ac:dyDescent="0.25">
      <c r="A1003">
        <v>649258</v>
      </c>
      <c r="B1003" t="s">
        <v>2211</v>
      </c>
      <c r="C1003" t="s">
        <v>2212</v>
      </c>
      <c r="E1003" t="s">
        <v>70</v>
      </c>
      <c r="G1003" t="str">
        <f>HYPERLINK(_xlfn.CONCAT("https://tablet.otzar.org/",CHAR(35),"/exKotar/649258"),"דרשות בגדי כהן - 2 כרכים")</f>
        <v>דרשות בגדי כהן - 2 כרכים</v>
      </c>
      <c r="H1003" t="str">
        <f>_xlfn.CONCAT("https://tablet.otzar.org/",CHAR(35),"/exKotar/649258")</f>
        <v>https://tablet.otzar.org/#/exKotar/649258</v>
      </c>
    </row>
    <row r="1004" spans="1:8" x14ac:dyDescent="0.25">
      <c r="A1004">
        <v>654455</v>
      </c>
      <c r="B1004" t="s">
        <v>2213</v>
      </c>
      <c r="C1004" t="s">
        <v>2214</v>
      </c>
      <c r="D1004" t="s">
        <v>52</v>
      </c>
      <c r="E1004" t="s">
        <v>11</v>
      </c>
      <c r="G1004" t="str">
        <f>HYPERLINK(_xlfn.CONCAT("https://tablet.otzar.org/",CHAR(35),"/book/654455/p/-1/t/1/fs/0/start/0/end/0/c"),"דרשות התורה - ויקרא")</f>
        <v>דרשות התורה - ויקרא</v>
      </c>
      <c r="H1004" t="str">
        <f>_xlfn.CONCAT("https://tablet.otzar.org/",CHAR(35),"/book/654455/p/-1/t/1/fs/0/start/0/end/0/c")</f>
        <v>https://tablet.otzar.org/#/book/654455/p/-1/t/1/fs/0/start/0/end/0/c</v>
      </c>
    </row>
    <row r="1005" spans="1:8" x14ac:dyDescent="0.25">
      <c r="A1005">
        <v>648809</v>
      </c>
      <c r="B1005" t="s">
        <v>2215</v>
      </c>
      <c r="C1005" t="s">
        <v>2216</v>
      </c>
      <c r="D1005" t="s">
        <v>10</v>
      </c>
      <c r="E1005" t="s">
        <v>11</v>
      </c>
      <c r="G1005" t="str">
        <f>HYPERLINK(_xlfn.CONCAT("https://tablet.otzar.org/",CHAR(35),"/book/648809/p/-1/t/1/fs/0/start/0/end/0/c"),"דרשות וחידושי רבי בנימין וידאל עדו")</f>
        <v>דרשות וחידושי רבי בנימין וידאל עדו</v>
      </c>
      <c r="H1005" t="str">
        <f>_xlfn.CONCAT("https://tablet.otzar.org/",CHAR(35),"/book/648809/p/-1/t/1/fs/0/start/0/end/0/c")</f>
        <v>https://tablet.otzar.org/#/book/648809/p/-1/t/1/fs/0/start/0/end/0/c</v>
      </c>
    </row>
    <row r="1006" spans="1:8" x14ac:dyDescent="0.25">
      <c r="A1006">
        <v>647050</v>
      </c>
      <c r="B1006" t="s">
        <v>2217</v>
      </c>
      <c r="C1006" t="s">
        <v>2218</v>
      </c>
      <c r="E1006" t="s">
        <v>1784</v>
      </c>
      <c r="G1006" t="str">
        <f>HYPERLINK(_xlfn.CONCAT("https://tablet.otzar.org/",CHAR(35),"/book/647050/p/-1/t/1/fs/0/start/0/end/0/c"),"דרשות מהחיים והטבע")</f>
        <v>דרשות מהחיים והטבע</v>
      </c>
      <c r="H1006" t="str">
        <f>_xlfn.CONCAT("https://tablet.otzar.org/",CHAR(35),"/book/647050/p/-1/t/1/fs/0/start/0/end/0/c")</f>
        <v>https://tablet.otzar.org/#/book/647050/p/-1/t/1/fs/0/start/0/end/0/c</v>
      </c>
    </row>
    <row r="1007" spans="1:8" x14ac:dyDescent="0.25">
      <c r="A1007">
        <v>657227</v>
      </c>
      <c r="B1007" t="s">
        <v>2219</v>
      </c>
      <c r="C1007" t="s">
        <v>2220</v>
      </c>
      <c r="D1007" t="s">
        <v>10</v>
      </c>
      <c r="E1007" t="s">
        <v>35</v>
      </c>
      <c r="G1007" t="str">
        <f>HYPERLINK(_xlfn.CONCAT("https://tablet.otzar.org/",CHAR(35),"/exKotar/657227"),"דרשות נודע ביהודה השלם - 2 כרכים")</f>
        <v>דרשות נודע ביהודה השלם - 2 כרכים</v>
      </c>
      <c r="H1007" t="str">
        <f>_xlfn.CONCAT("https://tablet.otzar.org/",CHAR(35),"/exKotar/657227")</f>
        <v>https://tablet.otzar.org/#/exKotar/657227</v>
      </c>
    </row>
    <row r="1008" spans="1:8" x14ac:dyDescent="0.25">
      <c r="A1008">
        <v>643181</v>
      </c>
      <c r="B1008" t="s">
        <v>2221</v>
      </c>
      <c r="C1008" t="s">
        <v>775</v>
      </c>
      <c r="D1008" t="s">
        <v>34</v>
      </c>
      <c r="E1008" t="s">
        <v>70</v>
      </c>
      <c r="G1008" t="str">
        <f>HYPERLINK(_xlfn.CONCAT("https://tablet.otzar.org/",CHAR(35),"/book/643181/p/-1/t/1/fs/0/start/0/end/0/c"),"דרשות רבינו בעל האמרי יהודה מסעקלהיד - ימים נוראים וחג הסוכות")</f>
        <v>דרשות רבינו בעל האמרי יהודה מסעקלהיד - ימים נוראים וחג הסוכות</v>
      </c>
      <c r="H1008" t="str">
        <f>_xlfn.CONCAT("https://tablet.otzar.org/",CHAR(35),"/book/643181/p/-1/t/1/fs/0/start/0/end/0/c")</f>
        <v>https://tablet.otzar.org/#/book/643181/p/-1/t/1/fs/0/start/0/end/0/c</v>
      </c>
    </row>
    <row r="1009" spans="1:8" x14ac:dyDescent="0.25">
      <c r="A1009">
        <v>642857</v>
      </c>
      <c r="B1009" t="s">
        <v>2222</v>
      </c>
      <c r="C1009" t="s">
        <v>2223</v>
      </c>
      <c r="D1009" t="s">
        <v>52</v>
      </c>
      <c r="E1009" t="s">
        <v>690</v>
      </c>
      <c r="G1009" t="str">
        <f>HYPERLINK(_xlfn.CONCAT("https://tablet.otzar.org/",CHAR(35),"/book/642857/p/-1/t/1/fs/0/start/0/end/0/c"),"דרשת בר מצוה")</f>
        <v>דרשת בר מצוה</v>
      </c>
      <c r="H1009" t="str">
        <f>_xlfn.CONCAT("https://tablet.otzar.org/",CHAR(35),"/book/642857/p/-1/t/1/fs/0/start/0/end/0/c")</f>
        <v>https://tablet.otzar.org/#/book/642857/p/-1/t/1/fs/0/start/0/end/0/c</v>
      </c>
    </row>
    <row r="1010" spans="1:8" x14ac:dyDescent="0.25">
      <c r="A1010">
        <v>651218</v>
      </c>
      <c r="B1010" t="s">
        <v>2224</v>
      </c>
      <c r="C1010" t="s">
        <v>2225</v>
      </c>
      <c r="D1010" t="s">
        <v>34</v>
      </c>
      <c r="E1010" t="s">
        <v>763</v>
      </c>
      <c r="G1010" t="str">
        <f>HYPERLINK(_xlfn.CONCAT("https://tablet.otzar.org/",CHAR(35),"/book/651218/p/-1/t/1/fs/0/start/0/end/0/c"),"דרשת הבר מצוה")</f>
        <v>דרשת הבר מצוה</v>
      </c>
      <c r="H1010" t="str">
        <f>_xlfn.CONCAT("https://tablet.otzar.org/",CHAR(35),"/book/651218/p/-1/t/1/fs/0/start/0/end/0/c")</f>
        <v>https://tablet.otzar.org/#/book/651218/p/-1/t/1/fs/0/start/0/end/0/c</v>
      </c>
    </row>
    <row r="1011" spans="1:8" x14ac:dyDescent="0.25">
      <c r="A1011">
        <v>651709</v>
      </c>
      <c r="B1011" t="s">
        <v>2226</v>
      </c>
      <c r="C1011" t="s">
        <v>1668</v>
      </c>
      <c r="D1011" t="s">
        <v>10</v>
      </c>
      <c r="E1011" t="s">
        <v>11</v>
      </c>
      <c r="G1011" t="str">
        <f>HYPERLINK(_xlfn.CONCAT("https://tablet.otzar.org/",CHAR(35),"/book/651709/p/-1/t/1/fs/0/start/0/end/0/c"),"דרשת שבת הגדול")</f>
        <v>דרשת שבת הגדול</v>
      </c>
      <c r="H1011" t="str">
        <f>_xlfn.CONCAT("https://tablet.otzar.org/",CHAR(35),"/book/651709/p/-1/t/1/fs/0/start/0/end/0/c")</f>
        <v>https://tablet.otzar.org/#/book/651709/p/-1/t/1/fs/0/start/0/end/0/c</v>
      </c>
    </row>
    <row r="1012" spans="1:8" x14ac:dyDescent="0.25">
      <c r="A1012">
        <v>649554</v>
      </c>
      <c r="B1012" t="s">
        <v>2227</v>
      </c>
      <c r="C1012" t="s">
        <v>2228</v>
      </c>
      <c r="D1012" t="s">
        <v>166</v>
      </c>
      <c r="E1012" t="s">
        <v>2229</v>
      </c>
      <c r="G1012" t="str">
        <f>HYPERLINK(_xlfn.CONCAT("https://tablet.otzar.org/",CHAR(35),"/book/649554/p/-1/t/1/fs/0/start/0/end/0/c"),"דרשת שדרש הרמב""""ן &lt;תורת ה' תמימה&gt;")</f>
        <v>דרשת שדרש הרמב""ן &lt;תורת ה' תמימה&gt;</v>
      </c>
      <c r="H1012" t="str">
        <f>_xlfn.CONCAT("https://tablet.otzar.org/",CHAR(35),"/book/649554/p/-1/t/1/fs/0/start/0/end/0/c")</f>
        <v>https://tablet.otzar.org/#/book/649554/p/-1/t/1/fs/0/start/0/end/0/c</v>
      </c>
    </row>
    <row r="1013" spans="1:8" x14ac:dyDescent="0.25">
      <c r="A1013">
        <v>641685</v>
      </c>
      <c r="B1013" t="s">
        <v>2230</v>
      </c>
      <c r="C1013" t="s">
        <v>2231</v>
      </c>
      <c r="E1013" t="s">
        <v>70</v>
      </c>
      <c r="G1013" t="str">
        <f>HYPERLINK(_xlfn.CONCAT("https://tablet.otzar.org/",CHAR(35),"/exKotar/641685"),"דת ודעת - 4 כרכים")</f>
        <v>דת ודעת - 4 כרכים</v>
      </c>
      <c r="H1013" t="str">
        <f>_xlfn.CONCAT("https://tablet.otzar.org/",CHAR(35),"/exKotar/641685")</f>
        <v>https://tablet.otzar.org/#/exKotar/641685</v>
      </c>
    </row>
    <row r="1014" spans="1:8" x14ac:dyDescent="0.25">
      <c r="A1014">
        <v>647374</v>
      </c>
      <c r="B1014" t="s">
        <v>2232</v>
      </c>
      <c r="C1014" t="s">
        <v>2233</v>
      </c>
      <c r="D1014" t="s">
        <v>2234</v>
      </c>
      <c r="E1014" t="s">
        <v>1981</v>
      </c>
      <c r="G1014" t="str">
        <f>HYPERLINK(_xlfn.CONCAT("https://tablet.otzar.org/",CHAR(35),"/book/647374/p/-1/t/1/fs/0/start/0/end/0/c"),"דת ומדינה")</f>
        <v>דת ומדינה</v>
      </c>
      <c r="H1014" t="str">
        <f>_xlfn.CONCAT("https://tablet.otzar.org/",CHAR(35),"/book/647374/p/-1/t/1/fs/0/start/0/end/0/c")</f>
        <v>https://tablet.otzar.org/#/book/647374/p/-1/t/1/fs/0/start/0/end/0/c</v>
      </c>
    </row>
    <row r="1015" spans="1:8" x14ac:dyDescent="0.25">
      <c r="A1015">
        <v>654416</v>
      </c>
      <c r="B1015" t="s">
        <v>2235</v>
      </c>
      <c r="C1015" t="s">
        <v>2236</v>
      </c>
      <c r="D1015" t="s">
        <v>52</v>
      </c>
      <c r="E1015" t="s">
        <v>11</v>
      </c>
      <c r="G1015" t="str">
        <f>HYPERLINK(_xlfn.CONCAT("https://tablet.otzar.org/",CHAR(35),"/book/654416/p/-1/t/1/fs/0/start/0/end/0/c"),"ה' אוהב אותי תמיד")</f>
        <v>ה' אוהב אותי תמיד</v>
      </c>
      <c r="H1015" t="str">
        <f>_xlfn.CONCAT("https://tablet.otzar.org/",CHAR(35),"/book/654416/p/-1/t/1/fs/0/start/0/end/0/c")</f>
        <v>https://tablet.otzar.org/#/book/654416/p/-1/t/1/fs/0/start/0/end/0/c</v>
      </c>
    </row>
    <row r="1016" spans="1:8" x14ac:dyDescent="0.25">
      <c r="A1016">
        <v>649060</v>
      </c>
      <c r="B1016" t="s">
        <v>2237</v>
      </c>
      <c r="C1016" t="s">
        <v>2080</v>
      </c>
      <c r="D1016" t="s">
        <v>52</v>
      </c>
      <c r="E1016" t="s">
        <v>117</v>
      </c>
      <c r="G1016" t="str">
        <f>HYPERLINK(_xlfn.CONCAT("https://tablet.otzar.org/",CHAR(35),"/book/649060/p/-1/t/1/fs/0/start/0/end/0/c"),"ה' רועי - א")</f>
        <v>ה' רועי - א</v>
      </c>
      <c r="H1016" t="str">
        <f>_xlfn.CONCAT("https://tablet.otzar.org/",CHAR(35),"/book/649060/p/-1/t/1/fs/0/start/0/end/0/c")</f>
        <v>https://tablet.otzar.org/#/book/649060/p/-1/t/1/fs/0/start/0/end/0/c</v>
      </c>
    </row>
    <row r="1017" spans="1:8" x14ac:dyDescent="0.25">
      <c r="A1017">
        <v>649059</v>
      </c>
      <c r="B1017" t="s">
        <v>2238</v>
      </c>
      <c r="C1017" t="s">
        <v>2239</v>
      </c>
      <c r="D1017" t="s">
        <v>1162</v>
      </c>
      <c r="E1017" t="s">
        <v>35</v>
      </c>
      <c r="G1017" t="str">
        <f>HYPERLINK(_xlfn.CONCAT("https://tablet.otzar.org/",CHAR(35),"/book/649059/p/-1/t/1/fs/0/start/0/end/0/c"),"ה'יום יום' לעם")</f>
        <v>ה'יום יום' לעם</v>
      </c>
      <c r="H1017" t="str">
        <f>_xlfn.CONCAT("https://tablet.otzar.org/",CHAR(35),"/book/649059/p/-1/t/1/fs/0/start/0/end/0/c")</f>
        <v>https://tablet.otzar.org/#/book/649059/p/-1/t/1/fs/0/start/0/end/0/c</v>
      </c>
    </row>
    <row r="1018" spans="1:8" x14ac:dyDescent="0.25">
      <c r="A1018">
        <v>651582</v>
      </c>
      <c r="B1018" t="s">
        <v>2240</v>
      </c>
      <c r="C1018" t="s">
        <v>2241</v>
      </c>
      <c r="D1018" t="s">
        <v>1593</v>
      </c>
      <c r="E1018" t="s">
        <v>11</v>
      </c>
      <c r="G1018" t="str">
        <f>HYPERLINK(_xlfn.CONCAT("https://tablet.otzar.org/",CHAR(35),"/book/651582/p/-1/t/1/fs/0/start/0/end/0/c"),"האדם ועולמו בראי היהדות והקבלה")</f>
        <v>האדם ועולמו בראי היהדות והקבלה</v>
      </c>
      <c r="H1018" t="str">
        <f>_xlfn.CONCAT("https://tablet.otzar.org/",CHAR(35),"/book/651582/p/-1/t/1/fs/0/start/0/end/0/c")</f>
        <v>https://tablet.otzar.org/#/book/651582/p/-1/t/1/fs/0/start/0/end/0/c</v>
      </c>
    </row>
    <row r="1019" spans="1:8" x14ac:dyDescent="0.25">
      <c r="A1019">
        <v>648132</v>
      </c>
      <c r="B1019" t="s">
        <v>2242</v>
      </c>
      <c r="C1019" t="s">
        <v>2243</v>
      </c>
      <c r="D1019" t="s">
        <v>10</v>
      </c>
      <c r="E1019" t="s">
        <v>117</v>
      </c>
      <c r="G1019" t="str">
        <f>HYPERLINK(_xlfn.CONCAT("https://tablet.otzar.org/",CHAR(35),"/book/648132/p/-1/t/1/fs/0/start/0/end/0/c"),"האדרת והאמונה")</f>
        <v>האדרת והאמונה</v>
      </c>
      <c r="H1019" t="str">
        <f>_xlfn.CONCAT("https://tablet.otzar.org/",CHAR(35),"/book/648132/p/-1/t/1/fs/0/start/0/end/0/c")</f>
        <v>https://tablet.otzar.org/#/book/648132/p/-1/t/1/fs/0/start/0/end/0/c</v>
      </c>
    </row>
    <row r="1020" spans="1:8" x14ac:dyDescent="0.25">
      <c r="A1020">
        <v>647950</v>
      </c>
      <c r="B1020" t="s">
        <v>2244</v>
      </c>
      <c r="C1020" t="s">
        <v>2245</v>
      </c>
      <c r="D1020" t="s">
        <v>10</v>
      </c>
      <c r="E1020" t="s">
        <v>19</v>
      </c>
      <c r="G1020" t="str">
        <f>HYPERLINK(_xlfn.CONCAT("https://tablet.otzar.org/",CHAR(35),"/exKotar/647950"),"האהל - 13 כרכים")</f>
        <v>האהל - 13 כרכים</v>
      </c>
      <c r="H1020" t="str">
        <f>_xlfn.CONCAT("https://tablet.otzar.org/",CHAR(35),"/exKotar/647950")</f>
        <v>https://tablet.otzar.org/#/exKotar/647950</v>
      </c>
    </row>
    <row r="1021" spans="1:8" x14ac:dyDescent="0.25">
      <c r="A1021">
        <v>649377</v>
      </c>
      <c r="B1021" t="s">
        <v>2246</v>
      </c>
      <c r="C1021" t="s">
        <v>2247</v>
      </c>
      <c r="D1021" t="s">
        <v>866</v>
      </c>
      <c r="E1021">
        <v>1991</v>
      </c>
      <c r="G1021" t="str">
        <f>HYPERLINK(_xlfn.CONCAT("https://tablet.otzar.org/",CHAR(35),"/book/649377/p/-1/t/1/fs/0/start/0/end/0/c"),"האומה היהודית של ליוורנו - מסלולי חיים")</f>
        <v>האומה היהודית של ליוורנו - מסלולי חיים</v>
      </c>
      <c r="H1021" t="str">
        <f>_xlfn.CONCAT("https://tablet.otzar.org/",CHAR(35),"/book/649377/p/-1/t/1/fs/0/start/0/end/0/c")</f>
        <v>https://tablet.otzar.org/#/book/649377/p/-1/t/1/fs/0/start/0/end/0/c</v>
      </c>
    </row>
    <row r="1022" spans="1:8" x14ac:dyDescent="0.25">
      <c r="A1022">
        <v>652813</v>
      </c>
      <c r="B1022" t="s">
        <v>2248</v>
      </c>
      <c r="C1022" t="s">
        <v>851</v>
      </c>
      <c r="D1022" t="s">
        <v>129</v>
      </c>
      <c r="E1022" t="s">
        <v>2249</v>
      </c>
      <c r="G1022" t="str">
        <f>HYPERLINK(_xlfn.CONCAT("https://tablet.otzar.org/",CHAR(35),"/book/652813/p/-1/t/1/fs/0/start/0/end/0/c"),"האוניברסליות של היהדות")</f>
        <v>האוניברסליות של היהדות</v>
      </c>
      <c r="H1022" t="str">
        <f>_xlfn.CONCAT("https://tablet.otzar.org/",CHAR(35),"/book/652813/p/-1/t/1/fs/0/start/0/end/0/c")</f>
        <v>https://tablet.otzar.org/#/book/652813/p/-1/t/1/fs/0/start/0/end/0/c</v>
      </c>
    </row>
    <row r="1023" spans="1:8" x14ac:dyDescent="0.25">
      <c r="A1023">
        <v>647480</v>
      </c>
      <c r="B1023" t="s">
        <v>2250</v>
      </c>
      <c r="C1023" t="s">
        <v>2251</v>
      </c>
      <c r="D1023" t="s">
        <v>10</v>
      </c>
      <c r="E1023" t="s">
        <v>70</v>
      </c>
      <c r="G1023" t="str">
        <f>HYPERLINK(_xlfn.CONCAT("https://tablet.otzar.org/",CHAR(35),"/book/647480/p/-1/t/1/fs/0/start/0/end/0/c"),"האושר שבמועדים")</f>
        <v>האושר שבמועדים</v>
      </c>
      <c r="H1023" t="str">
        <f>_xlfn.CONCAT("https://tablet.otzar.org/",CHAR(35),"/book/647480/p/-1/t/1/fs/0/start/0/end/0/c")</f>
        <v>https://tablet.otzar.org/#/book/647480/p/-1/t/1/fs/0/start/0/end/0/c</v>
      </c>
    </row>
    <row r="1024" spans="1:8" x14ac:dyDescent="0.25">
      <c r="A1024">
        <v>654453</v>
      </c>
      <c r="B1024" t="s">
        <v>2252</v>
      </c>
      <c r="C1024" t="s">
        <v>2253</v>
      </c>
      <c r="D1024" t="s">
        <v>52</v>
      </c>
      <c r="E1024" t="s">
        <v>11</v>
      </c>
      <c r="G1024" t="str">
        <f>HYPERLINK(_xlfn.CONCAT("https://tablet.otzar.org/",CHAR(35),"/book/654453/p/-1/t/1/fs/0/start/0/end/0/c"),"האושר שבנישואין")</f>
        <v>האושר שבנישואין</v>
      </c>
      <c r="H1024" t="str">
        <f>_xlfn.CONCAT("https://tablet.otzar.org/",CHAR(35),"/book/654453/p/-1/t/1/fs/0/start/0/end/0/c")</f>
        <v>https://tablet.otzar.org/#/book/654453/p/-1/t/1/fs/0/start/0/end/0/c</v>
      </c>
    </row>
    <row r="1025" spans="1:8" x14ac:dyDescent="0.25">
      <c r="A1025">
        <v>648920</v>
      </c>
      <c r="B1025" t="s">
        <v>2254</v>
      </c>
      <c r="C1025" t="s">
        <v>2255</v>
      </c>
      <c r="D1025" t="s">
        <v>10</v>
      </c>
      <c r="E1025" t="s">
        <v>1364</v>
      </c>
      <c r="G1025" t="str">
        <f>HYPERLINK(_xlfn.CONCAT("https://tablet.otzar.org/",CHAR(35),"/book/648920/p/-1/t/1/fs/0/start/0/end/0/c"),"האותיות וסודותיהן")</f>
        <v>האותיות וסודותיהן</v>
      </c>
      <c r="H1025" t="str">
        <f>_xlfn.CONCAT("https://tablet.otzar.org/",CHAR(35),"/book/648920/p/-1/t/1/fs/0/start/0/end/0/c")</f>
        <v>https://tablet.otzar.org/#/book/648920/p/-1/t/1/fs/0/start/0/end/0/c</v>
      </c>
    </row>
    <row r="1026" spans="1:8" x14ac:dyDescent="0.25">
      <c r="A1026">
        <v>651339</v>
      </c>
      <c r="B1026" t="s">
        <v>2256</v>
      </c>
      <c r="C1026" t="s">
        <v>2257</v>
      </c>
      <c r="D1026" t="s">
        <v>1707</v>
      </c>
      <c r="E1026" t="s">
        <v>293</v>
      </c>
      <c r="G1026" t="str">
        <f>HYPERLINK(_xlfn.CONCAT("https://tablet.otzar.org/",CHAR(35),"/exKotar/651339"),"האיגוד - 2 כרכים")</f>
        <v>האיגוד - 2 כרכים</v>
      </c>
      <c r="H1026" t="str">
        <f>_xlfn.CONCAT("https://tablet.otzar.org/",CHAR(35),"/exKotar/651339")</f>
        <v>https://tablet.otzar.org/#/exKotar/651339</v>
      </c>
    </row>
    <row r="1027" spans="1:8" x14ac:dyDescent="0.25">
      <c r="A1027">
        <v>652943</v>
      </c>
      <c r="B1027" t="s">
        <v>2258</v>
      </c>
      <c r="C1027" t="s">
        <v>2259</v>
      </c>
      <c r="D1027" t="s">
        <v>10</v>
      </c>
      <c r="E1027" t="s">
        <v>146</v>
      </c>
      <c r="G1027" t="str">
        <f>HYPERLINK(_xlfn.CONCAT("https://tablet.otzar.org/",CHAR(35),"/book/652943/p/-1/t/1/fs/0/start/0/end/0/c"),"האיחוד - יב")</f>
        <v>האיחוד - יב</v>
      </c>
      <c r="H1027" t="str">
        <f>_xlfn.CONCAT("https://tablet.otzar.org/",CHAR(35),"/book/652943/p/-1/t/1/fs/0/start/0/end/0/c")</f>
        <v>https://tablet.otzar.org/#/book/652943/p/-1/t/1/fs/0/start/0/end/0/c</v>
      </c>
    </row>
    <row r="1028" spans="1:8" x14ac:dyDescent="0.25">
      <c r="A1028">
        <v>655712</v>
      </c>
      <c r="B1028" t="s">
        <v>2260</v>
      </c>
      <c r="C1028" t="s">
        <v>2261</v>
      </c>
      <c r="D1028" t="s">
        <v>10</v>
      </c>
      <c r="E1028" t="s">
        <v>89</v>
      </c>
      <c r="G1028" t="str">
        <f>HYPERLINK(_xlfn.CONCAT("https://tablet.otzar.org/",CHAR(35),"/book/655712/p/-1/t/1/fs/0/start/0/end/0/c"),"האיש על העדה - רבי עזרא עטיה זצ""""ל")</f>
        <v>האיש על העדה - רבי עזרא עטיה זצ""ל</v>
      </c>
      <c r="H1028" t="str">
        <f>_xlfn.CONCAT("https://tablet.otzar.org/",CHAR(35),"/book/655712/p/-1/t/1/fs/0/start/0/end/0/c")</f>
        <v>https://tablet.otzar.org/#/book/655712/p/-1/t/1/fs/0/start/0/end/0/c</v>
      </c>
    </row>
    <row r="1029" spans="1:8" x14ac:dyDescent="0.25">
      <c r="A1029">
        <v>646759</v>
      </c>
      <c r="B1029" t="s">
        <v>2262</v>
      </c>
      <c r="C1029" t="s">
        <v>2263</v>
      </c>
      <c r="D1029" t="s">
        <v>52</v>
      </c>
      <c r="E1029" t="s">
        <v>213</v>
      </c>
      <c r="G1029" t="str">
        <f>HYPERLINK(_xlfn.CONCAT("https://tablet.otzar.org/",CHAR(35),"/book/646759/p/-1/t/1/fs/0/start/0/end/0/c"),"האלף לך שלמה &lt;מהדורה מוערת&gt; - א")</f>
        <v>האלף לך שלמה &lt;מהדורה מוערת&gt; - א</v>
      </c>
      <c r="H1029" t="str">
        <f>_xlfn.CONCAT("https://tablet.otzar.org/",CHAR(35),"/book/646759/p/-1/t/1/fs/0/start/0/end/0/c")</f>
        <v>https://tablet.otzar.org/#/book/646759/p/-1/t/1/fs/0/start/0/end/0/c</v>
      </c>
    </row>
    <row r="1030" spans="1:8" x14ac:dyDescent="0.25">
      <c r="A1030">
        <v>642185</v>
      </c>
      <c r="B1030" t="s">
        <v>2264</v>
      </c>
      <c r="C1030" t="s">
        <v>2265</v>
      </c>
      <c r="D1030" t="s">
        <v>609</v>
      </c>
      <c r="E1030" t="s">
        <v>35</v>
      </c>
      <c r="G1030" t="str">
        <f>HYPERLINK(_xlfn.CONCAT("https://tablet.otzar.org/",CHAR(35),"/book/642185/p/-1/t/1/fs/0/start/0/end/0/c"),"האמנתי ואברכה")</f>
        <v>האמנתי ואברכה</v>
      </c>
      <c r="H1030" t="str">
        <f>_xlfn.CONCAT("https://tablet.otzar.org/",CHAR(35),"/book/642185/p/-1/t/1/fs/0/start/0/end/0/c")</f>
        <v>https://tablet.otzar.org/#/book/642185/p/-1/t/1/fs/0/start/0/end/0/c</v>
      </c>
    </row>
    <row r="1031" spans="1:8" x14ac:dyDescent="0.25">
      <c r="A1031">
        <v>649280</v>
      </c>
      <c r="B1031" t="s">
        <v>2266</v>
      </c>
      <c r="C1031" t="s">
        <v>2267</v>
      </c>
      <c r="D1031" t="s">
        <v>10</v>
      </c>
      <c r="E1031" t="s">
        <v>2268</v>
      </c>
      <c r="G1031" t="str">
        <f>HYPERLINK(_xlfn.CONCAT("https://tablet.otzar.org/",CHAR(35),"/book/649280/p/-1/t/1/fs/0/start/0/end/0/c"),"האספיטאל")</f>
        <v>האספיטאל</v>
      </c>
      <c r="H1031" t="str">
        <f>_xlfn.CONCAT("https://tablet.otzar.org/",CHAR(35),"/book/649280/p/-1/t/1/fs/0/start/0/end/0/c")</f>
        <v>https://tablet.otzar.org/#/book/649280/p/-1/t/1/fs/0/start/0/end/0/c</v>
      </c>
    </row>
    <row r="1032" spans="1:8" x14ac:dyDescent="0.25">
      <c r="A1032">
        <v>649980</v>
      </c>
      <c r="B1032" t="s">
        <v>2269</v>
      </c>
      <c r="C1032" t="s">
        <v>1730</v>
      </c>
      <c r="E1032" t="s">
        <v>11</v>
      </c>
      <c r="G1032" t="str">
        <f>HYPERLINK(_xlfn.CONCAT("https://tablet.otzar.org/",CHAR(35),"/book/649980/p/-1/t/1/fs/0/start/0/end/0/c"),"הארה דפוריא")</f>
        <v>הארה דפוריא</v>
      </c>
      <c r="H1032" t="str">
        <f>_xlfn.CONCAT("https://tablet.otzar.org/",CHAR(35),"/book/649980/p/-1/t/1/fs/0/start/0/end/0/c")</f>
        <v>https://tablet.otzar.org/#/book/649980/p/-1/t/1/fs/0/start/0/end/0/c</v>
      </c>
    </row>
    <row r="1033" spans="1:8" x14ac:dyDescent="0.25">
      <c r="A1033">
        <v>655882</v>
      </c>
      <c r="B1033" t="s">
        <v>2270</v>
      </c>
      <c r="C1033" t="s">
        <v>2271</v>
      </c>
      <c r="D1033" t="s">
        <v>52</v>
      </c>
      <c r="E1033" t="s">
        <v>35</v>
      </c>
      <c r="G1033" t="str">
        <f>HYPERLINK(_xlfn.CONCAT("https://tablet.otzar.org/",CHAR(35),"/exKotar/655882"),"הארות חיים - 4 כרכים")</f>
        <v>הארות חיים - 4 כרכים</v>
      </c>
      <c r="H1033" t="str">
        <f>_xlfn.CONCAT("https://tablet.otzar.org/",CHAR(35),"/exKotar/655882")</f>
        <v>https://tablet.otzar.org/#/exKotar/655882</v>
      </c>
    </row>
    <row r="1034" spans="1:8" x14ac:dyDescent="0.25">
      <c r="A1034">
        <v>643957</v>
      </c>
      <c r="B1034" t="s">
        <v>2272</v>
      </c>
      <c r="C1034" t="s">
        <v>2273</v>
      </c>
      <c r="E1034" t="s">
        <v>507</v>
      </c>
      <c r="G1034" t="str">
        <f>HYPERLINK(_xlfn.CONCAT("https://tablet.otzar.org/",CHAR(35),"/book/643957/p/-1/t/1/fs/0/start/0/end/0/c"),"הארץ ומצוותיה")</f>
        <v>הארץ ומצוותיה</v>
      </c>
      <c r="H1034" t="str">
        <f>_xlfn.CONCAT("https://tablet.otzar.org/",CHAR(35),"/book/643957/p/-1/t/1/fs/0/start/0/end/0/c")</f>
        <v>https://tablet.otzar.org/#/book/643957/p/-1/t/1/fs/0/start/0/end/0/c</v>
      </c>
    </row>
    <row r="1035" spans="1:8" x14ac:dyDescent="0.25">
      <c r="A1035">
        <v>654806</v>
      </c>
      <c r="B1035" t="s">
        <v>2274</v>
      </c>
      <c r="C1035" t="s">
        <v>2275</v>
      </c>
      <c r="D1035" t="s">
        <v>340</v>
      </c>
      <c r="E1035" t="s">
        <v>11</v>
      </c>
      <c r="G1035" t="str">
        <f>HYPERLINK(_xlfn.CONCAT("https://tablet.otzar.org/",CHAR(35),"/book/654806/p/-1/t/1/fs/0/start/0/end/0/c"),"הארת שבת")</f>
        <v>הארת שבת</v>
      </c>
      <c r="H1035" t="str">
        <f>_xlfn.CONCAT("https://tablet.otzar.org/",CHAR(35),"/book/654806/p/-1/t/1/fs/0/start/0/end/0/c")</f>
        <v>https://tablet.otzar.org/#/book/654806/p/-1/t/1/fs/0/start/0/end/0/c</v>
      </c>
    </row>
    <row r="1036" spans="1:8" x14ac:dyDescent="0.25">
      <c r="A1036">
        <v>653717</v>
      </c>
      <c r="B1036" t="s">
        <v>2276</v>
      </c>
      <c r="C1036" t="s">
        <v>2277</v>
      </c>
      <c r="E1036" t="s">
        <v>817</v>
      </c>
      <c r="G1036" t="str">
        <f>HYPERLINK(_xlfn.CONCAT("https://tablet.otzar.org/",CHAR(35),"/book/653717/p/-1/t/1/fs/0/start/0/end/0/c"),"הארת תורה - ויקרא")</f>
        <v>הארת תורה - ויקרא</v>
      </c>
      <c r="H1036" t="str">
        <f>_xlfn.CONCAT("https://tablet.otzar.org/",CHAR(35),"/book/653717/p/-1/t/1/fs/0/start/0/end/0/c")</f>
        <v>https://tablet.otzar.org/#/book/653717/p/-1/t/1/fs/0/start/0/end/0/c</v>
      </c>
    </row>
    <row r="1037" spans="1:8" x14ac:dyDescent="0.25">
      <c r="A1037">
        <v>650616</v>
      </c>
      <c r="B1037" t="s">
        <v>2278</v>
      </c>
      <c r="C1037" t="s">
        <v>2279</v>
      </c>
      <c r="D1037" t="s">
        <v>52</v>
      </c>
      <c r="E1037" t="s">
        <v>84</v>
      </c>
      <c r="G1037" t="str">
        <f>HYPERLINK(_xlfn.CONCAT("https://tablet.otzar.org/",CHAR(35),"/book/650616/p/-1/t/1/fs/0/start/0/end/0/c"),"האשכולות")</f>
        <v>האשכולות</v>
      </c>
      <c r="H1037" t="str">
        <f>_xlfn.CONCAT("https://tablet.otzar.org/",CHAR(35),"/book/650616/p/-1/t/1/fs/0/start/0/end/0/c")</f>
        <v>https://tablet.otzar.org/#/book/650616/p/-1/t/1/fs/0/start/0/end/0/c</v>
      </c>
    </row>
    <row r="1038" spans="1:8" x14ac:dyDescent="0.25">
      <c r="A1038">
        <v>651202</v>
      </c>
      <c r="B1038" t="s">
        <v>2280</v>
      </c>
      <c r="C1038" t="s">
        <v>2281</v>
      </c>
      <c r="D1038" t="s">
        <v>10</v>
      </c>
      <c r="E1038" t="s">
        <v>70</v>
      </c>
      <c r="G1038" t="str">
        <f>HYPERLINK(_xlfn.CONCAT("https://tablet.otzar.org/",CHAR(35),"/book/651202/p/-1/t/1/fs/0/start/0/end/0/c"),"האשנב - א")</f>
        <v>האשנב - א</v>
      </c>
      <c r="H1038" t="str">
        <f>_xlfn.CONCAT("https://tablet.otzar.org/",CHAR(35),"/book/651202/p/-1/t/1/fs/0/start/0/end/0/c")</f>
        <v>https://tablet.otzar.org/#/book/651202/p/-1/t/1/fs/0/start/0/end/0/c</v>
      </c>
    </row>
    <row r="1039" spans="1:8" x14ac:dyDescent="0.25">
      <c r="A1039">
        <v>649420</v>
      </c>
      <c r="B1039" t="s">
        <v>2282</v>
      </c>
      <c r="C1039" t="s">
        <v>2283</v>
      </c>
      <c r="D1039" t="s">
        <v>2284</v>
      </c>
      <c r="E1039" t="s">
        <v>2285</v>
      </c>
      <c r="G1039" t="str">
        <f>HYPERLINK(_xlfn.CONCAT("https://tablet.otzar.org/",CHAR(35),"/book/649420/p/-1/t/1/fs/0/start/0/end/0/c"),"הבאר - שנה ג")</f>
        <v>הבאר - שנה ג</v>
      </c>
      <c r="H1039" t="str">
        <f>_xlfn.CONCAT("https://tablet.otzar.org/",CHAR(35),"/book/649420/p/-1/t/1/fs/0/start/0/end/0/c")</f>
        <v>https://tablet.otzar.org/#/book/649420/p/-1/t/1/fs/0/start/0/end/0/c</v>
      </c>
    </row>
    <row r="1040" spans="1:8" x14ac:dyDescent="0.25">
      <c r="A1040">
        <v>652037</v>
      </c>
      <c r="B1040" t="s">
        <v>2286</v>
      </c>
      <c r="C1040" t="s">
        <v>2287</v>
      </c>
      <c r="E1040" t="s">
        <v>2288</v>
      </c>
      <c r="G1040" t="str">
        <f>HYPERLINK(_xlfn.CONCAT("https://tablet.otzar.org/",CHAR(35),"/book/652037/p/-1/t/1/fs/0/start/0/end/0/c"),"הבוגד בוגד")</f>
        <v>הבוגד בוגד</v>
      </c>
      <c r="H1040" t="str">
        <f>_xlfn.CONCAT("https://tablet.otzar.org/",CHAR(35),"/book/652037/p/-1/t/1/fs/0/start/0/end/0/c")</f>
        <v>https://tablet.otzar.org/#/book/652037/p/-1/t/1/fs/0/start/0/end/0/c</v>
      </c>
    </row>
    <row r="1041" spans="1:8" x14ac:dyDescent="0.25">
      <c r="A1041">
        <v>651777</v>
      </c>
      <c r="B1041" t="s">
        <v>2289</v>
      </c>
      <c r="C1041" t="s">
        <v>2290</v>
      </c>
      <c r="D1041" t="s">
        <v>10</v>
      </c>
      <c r="E1041" t="s">
        <v>11</v>
      </c>
      <c r="G1041" t="str">
        <f>HYPERLINK(_xlfn.CONCAT("https://tablet.otzar.org/",CHAR(35),"/book/651777/p/-1/t/1/fs/0/start/0/end/0/c"),"הבינני ואשיחה")</f>
        <v>הבינני ואשיחה</v>
      </c>
      <c r="H1041" t="str">
        <f>_xlfn.CONCAT("https://tablet.otzar.org/",CHAR(35),"/book/651777/p/-1/t/1/fs/0/start/0/end/0/c")</f>
        <v>https://tablet.otzar.org/#/book/651777/p/-1/t/1/fs/0/start/0/end/0/c</v>
      </c>
    </row>
    <row r="1042" spans="1:8" x14ac:dyDescent="0.25">
      <c r="A1042">
        <v>652855</v>
      </c>
      <c r="B1042" t="s">
        <v>2291</v>
      </c>
      <c r="C1042" t="s">
        <v>2292</v>
      </c>
      <c r="D1042" t="s">
        <v>2293</v>
      </c>
      <c r="E1042" t="s">
        <v>2294</v>
      </c>
      <c r="G1042" t="str">
        <f>HYPERLINK(_xlfn.CONCAT("https://tablet.otzar.org/",CHAR(35),"/book/652855/p/-1/t/1/fs/0/start/0/end/0/c"),"הבן האובד")</f>
        <v>הבן האובד</v>
      </c>
      <c r="H1042" t="str">
        <f>_xlfn.CONCAT("https://tablet.otzar.org/",CHAR(35),"/book/652855/p/-1/t/1/fs/0/start/0/end/0/c")</f>
        <v>https://tablet.otzar.org/#/book/652855/p/-1/t/1/fs/0/start/0/end/0/c</v>
      </c>
    </row>
    <row r="1043" spans="1:8" x14ac:dyDescent="0.25">
      <c r="A1043">
        <v>650948</v>
      </c>
      <c r="B1043" t="s">
        <v>2295</v>
      </c>
      <c r="C1043" t="s">
        <v>2296</v>
      </c>
      <c r="D1043" t="s">
        <v>573</v>
      </c>
      <c r="E1043" t="s">
        <v>191</v>
      </c>
      <c r="G1043" t="str">
        <f>HYPERLINK(_xlfn.CONCAT("https://tablet.otzar.org/",CHAR(35),"/book/650948/p/-1/t/1/fs/0/start/0/end/0/c"),"הברכה והמצוה")</f>
        <v>הברכה והמצוה</v>
      </c>
      <c r="H1043" t="str">
        <f>_xlfn.CONCAT("https://tablet.otzar.org/",CHAR(35),"/book/650948/p/-1/t/1/fs/0/start/0/end/0/c")</f>
        <v>https://tablet.otzar.org/#/book/650948/p/-1/t/1/fs/0/start/0/end/0/c</v>
      </c>
    </row>
    <row r="1044" spans="1:8" x14ac:dyDescent="0.25">
      <c r="A1044">
        <v>651599</v>
      </c>
      <c r="B1044" t="s">
        <v>2297</v>
      </c>
      <c r="C1044" t="s">
        <v>2298</v>
      </c>
      <c r="D1044" t="s">
        <v>52</v>
      </c>
      <c r="E1044" t="s">
        <v>35</v>
      </c>
      <c r="G1044" t="str">
        <f>HYPERLINK(_xlfn.CONCAT("https://tablet.otzar.org/",CHAR(35),"/book/651599/p/-1/t/1/fs/0/start/0/end/0/c"),"הברכות כהלכתן")</f>
        <v>הברכות כהלכתן</v>
      </c>
      <c r="H1044" t="str">
        <f>_xlfn.CONCAT("https://tablet.otzar.org/",CHAR(35),"/book/651599/p/-1/t/1/fs/0/start/0/end/0/c")</f>
        <v>https://tablet.otzar.org/#/book/651599/p/-1/t/1/fs/0/start/0/end/0/c</v>
      </c>
    </row>
    <row r="1045" spans="1:8" x14ac:dyDescent="0.25">
      <c r="A1045">
        <v>650640</v>
      </c>
      <c r="B1045" t="s">
        <v>2299</v>
      </c>
      <c r="C1045" t="s">
        <v>2255</v>
      </c>
      <c r="D1045" t="s">
        <v>424</v>
      </c>
      <c r="E1045" t="s">
        <v>25</v>
      </c>
      <c r="G1045" t="str">
        <f>HYPERLINK(_xlfn.CONCAT("https://tablet.otzar.org/",CHAR(35),"/book/650640/p/-1/t/1/fs/0/start/0/end/0/c"),"הגאולה בסוד חודשי השנה")</f>
        <v>הגאולה בסוד חודשי השנה</v>
      </c>
      <c r="H1045" t="str">
        <f>_xlfn.CONCAT("https://tablet.otzar.org/",CHAR(35),"/book/650640/p/-1/t/1/fs/0/start/0/end/0/c")</f>
        <v>https://tablet.otzar.org/#/book/650640/p/-1/t/1/fs/0/start/0/end/0/c</v>
      </c>
    </row>
    <row r="1046" spans="1:8" x14ac:dyDescent="0.25">
      <c r="A1046">
        <v>643170</v>
      </c>
      <c r="B1046" t="s">
        <v>2300</v>
      </c>
      <c r="C1046" t="s">
        <v>2301</v>
      </c>
      <c r="D1046" t="s">
        <v>10</v>
      </c>
      <c r="E1046" t="s">
        <v>1187</v>
      </c>
      <c r="G1046" t="str">
        <f>HYPERLINK(_xlfn.CONCAT("https://tablet.otzar.org/",CHAR(35),"/book/643170/p/-1/t/1/fs/0/start/0/end/0/c"),"הגאון החסיד מוילנא - השלמות ותיקונים למהדורה ראשונה")</f>
        <v>הגאון החסיד מוילנא - השלמות ותיקונים למהדורה ראשונה</v>
      </c>
      <c r="H1046" t="str">
        <f>_xlfn.CONCAT("https://tablet.otzar.org/",CHAR(35),"/book/643170/p/-1/t/1/fs/0/start/0/end/0/c")</f>
        <v>https://tablet.otzar.org/#/book/643170/p/-1/t/1/fs/0/start/0/end/0/c</v>
      </c>
    </row>
    <row r="1047" spans="1:8" x14ac:dyDescent="0.25">
      <c r="A1047">
        <v>647764</v>
      </c>
      <c r="B1047" t="s">
        <v>2302</v>
      </c>
      <c r="C1047" t="s">
        <v>2303</v>
      </c>
      <c r="D1047" t="s">
        <v>34</v>
      </c>
      <c r="E1047" t="s">
        <v>35</v>
      </c>
      <c r="G1047" t="str">
        <f>HYPERLINK(_xlfn.CONCAT("https://tablet.otzar.org/",CHAR(35),"/book/647764/p/-1/t/1/fs/0/start/0/end/0/c"),"הגאון רבי אליעזר עוזר")</f>
        <v>הגאון רבי אליעזר עוזר</v>
      </c>
      <c r="H1047" t="str">
        <f>_xlfn.CONCAT("https://tablet.otzar.org/",CHAR(35),"/book/647764/p/-1/t/1/fs/0/start/0/end/0/c")</f>
        <v>https://tablet.otzar.org/#/book/647764/p/-1/t/1/fs/0/start/0/end/0/c</v>
      </c>
    </row>
    <row r="1048" spans="1:8" x14ac:dyDescent="0.25">
      <c r="A1048">
        <v>652814</v>
      </c>
      <c r="B1048" t="s">
        <v>2304</v>
      </c>
      <c r="C1048" t="s">
        <v>851</v>
      </c>
      <c r="D1048" t="s">
        <v>129</v>
      </c>
      <c r="E1048" t="s">
        <v>2305</v>
      </c>
      <c r="G1048" t="str">
        <f>HYPERLINK(_xlfn.CONCAT("https://tablet.otzar.org/",CHAR(35),"/book/652814/p/-1/t/1/fs/0/start/0/end/0/c"),"הגבורה והנבואה")</f>
        <v>הגבורה והנבואה</v>
      </c>
      <c r="H1048" t="str">
        <f>_xlfn.CONCAT("https://tablet.otzar.org/",CHAR(35),"/book/652814/p/-1/t/1/fs/0/start/0/end/0/c")</f>
        <v>https://tablet.otzar.org/#/book/652814/p/-1/t/1/fs/0/start/0/end/0/c</v>
      </c>
    </row>
    <row r="1049" spans="1:8" x14ac:dyDescent="0.25">
      <c r="A1049">
        <v>652794</v>
      </c>
      <c r="B1049" t="s">
        <v>2306</v>
      </c>
      <c r="C1049" t="s">
        <v>2307</v>
      </c>
      <c r="D1049" t="s">
        <v>2308</v>
      </c>
      <c r="E1049" t="s">
        <v>2309</v>
      </c>
      <c r="G1049" t="str">
        <f>HYPERLINK(_xlfn.CONCAT("https://tablet.otzar.org/",CHAR(35),"/book/652794/p/-1/t/1/fs/0/start/0/end/0/c"),"הגדה לפרחות")</f>
        <v>הגדה לפרחות</v>
      </c>
      <c r="H1049" t="str">
        <f>_xlfn.CONCAT("https://tablet.otzar.org/",CHAR(35),"/book/652794/p/-1/t/1/fs/0/start/0/end/0/c")</f>
        <v>https://tablet.otzar.org/#/book/652794/p/-1/t/1/fs/0/start/0/end/0/c</v>
      </c>
    </row>
    <row r="1050" spans="1:8" x14ac:dyDescent="0.25">
      <c r="A1050">
        <v>647963</v>
      </c>
      <c r="B1050" t="s">
        <v>2310</v>
      </c>
      <c r="C1050" t="s">
        <v>2311</v>
      </c>
      <c r="D1050" t="s">
        <v>52</v>
      </c>
      <c r="E1050" t="s">
        <v>11</v>
      </c>
      <c r="G1050" t="str">
        <f>HYPERLINK(_xlfn.CONCAT("https://tablet.otzar.org/",CHAR(35),"/book/647963/p/-1/t/1/fs/0/start/0/end/0/c"),"הגדה של יום טוב - סוכות")</f>
        <v>הגדה של יום טוב - סוכות</v>
      </c>
      <c r="H1050" t="str">
        <f>_xlfn.CONCAT("https://tablet.otzar.org/",CHAR(35),"/book/647963/p/-1/t/1/fs/0/start/0/end/0/c")</f>
        <v>https://tablet.otzar.org/#/book/647963/p/-1/t/1/fs/0/start/0/end/0/c</v>
      </c>
    </row>
    <row r="1051" spans="1:8" x14ac:dyDescent="0.25">
      <c r="A1051">
        <v>7134</v>
      </c>
      <c r="B1051" t="s">
        <v>2312</v>
      </c>
      <c r="C1051" t="s">
        <v>2313</v>
      </c>
      <c r="D1051" t="s">
        <v>2314</v>
      </c>
      <c r="E1051" t="s">
        <v>1937</v>
      </c>
      <c r="G1051" t="str">
        <f>HYPERLINK(_xlfn.CONCAT("https://tablet.otzar.org/",CHAR(35),"/book/7134/p/-1/t/1/fs/0/start/0/end/0/c"),"הגדה של פסח &lt;לפי מנהגי ויזניץ&gt;")</f>
        <v>הגדה של פסח &lt;לפי מנהגי ויזניץ&gt;</v>
      </c>
      <c r="H1051" t="str">
        <f>_xlfn.CONCAT("https://tablet.otzar.org/",CHAR(35),"/book/7134/p/-1/t/1/fs/0/start/0/end/0/c")</f>
        <v>https://tablet.otzar.org/#/book/7134/p/-1/t/1/fs/0/start/0/end/0/c</v>
      </c>
    </row>
    <row r="1052" spans="1:8" x14ac:dyDescent="0.25">
      <c r="A1052">
        <v>648183</v>
      </c>
      <c r="B1052" t="s">
        <v>2315</v>
      </c>
      <c r="C1052" t="s">
        <v>2316</v>
      </c>
      <c r="D1052" t="s">
        <v>10</v>
      </c>
      <c r="E1052" t="s">
        <v>697</v>
      </c>
      <c r="G1052" t="str">
        <f>HYPERLINK(_xlfn.CONCAT("https://tablet.otzar.org/",CHAR(35),"/book/648183/p/-1/t/1/fs/0/start/0/end/0/c"),"הגדה של פסח &lt;משא גיא חזיון&gt;")</f>
        <v>הגדה של פסח &lt;משא גיא חזיון&gt;</v>
      </c>
      <c r="H1052" t="str">
        <f>_xlfn.CONCAT("https://tablet.otzar.org/",CHAR(35),"/book/648183/p/-1/t/1/fs/0/start/0/end/0/c")</f>
        <v>https://tablet.otzar.org/#/book/648183/p/-1/t/1/fs/0/start/0/end/0/c</v>
      </c>
    </row>
    <row r="1053" spans="1:8" x14ac:dyDescent="0.25">
      <c r="A1053">
        <v>648286</v>
      </c>
      <c r="B1053" t="s">
        <v>2317</v>
      </c>
      <c r="C1053" t="s">
        <v>2318</v>
      </c>
      <c r="D1053" t="s">
        <v>510</v>
      </c>
      <c r="E1053" t="s">
        <v>73</v>
      </c>
      <c r="G1053" t="str">
        <f>HYPERLINK(_xlfn.CONCAT("https://tablet.otzar.org/",CHAR(35),"/book/648286/p/-1/t/1/fs/0/start/0/end/0/c"),"הגדה של פסח &lt;שירת יהודה&gt;")</f>
        <v>הגדה של פסח &lt;שירת יהודה&gt;</v>
      </c>
      <c r="H1053" t="str">
        <f>_xlfn.CONCAT("https://tablet.otzar.org/",CHAR(35),"/book/648286/p/-1/t/1/fs/0/start/0/end/0/c")</f>
        <v>https://tablet.otzar.org/#/book/648286/p/-1/t/1/fs/0/start/0/end/0/c</v>
      </c>
    </row>
    <row r="1054" spans="1:8" x14ac:dyDescent="0.25">
      <c r="A1054">
        <v>650713</v>
      </c>
      <c r="B1054" t="s">
        <v>2319</v>
      </c>
      <c r="C1054" t="s">
        <v>2320</v>
      </c>
      <c r="D1054" t="s">
        <v>10</v>
      </c>
      <c r="E1054" t="s">
        <v>117</v>
      </c>
      <c r="G1054" t="str">
        <f>HYPERLINK(_xlfn.CONCAT("https://tablet.otzar.org/",CHAR(35),"/book/650713/p/-1/t/1/fs/0/start/0/end/0/c"),"הגדה של פסח &lt;ברכת נתנאל&gt;")</f>
        <v>הגדה של פסח &lt;ברכת נתנאל&gt;</v>
      </c>
      <c r="H1054" t="str">
        <f>_xlfn.CONCAT("https://tablet.otzar.org/",CHAR(35),"/book/650713/p/-1/t/1/fs/0/start/0/end/0/c")</f>
        <v>https://tablet.otzar.org/#/book/650713/p/-1/t/1/fs/0/start/0/end/0/c</v>
      </c>
    </row>
    <row r="1055" spans="1:8" x14ac:dyDescent="0.25">
      <c r="A1055">
        <v>650763</v>
      </c>
      <c r="B1055" t="s">
        <v>2321</v>
      </c>
      <c r="C1055" t="s">
        <v>2322</v>
      </c>
      <c r="D1055" t="s">
        <v>34</v>
      </c>
      <c r="E1055" t="s">
        <v>35</v>
      </c>
      <c r="G1055" t="str">
        <f>HYPERLINK(_xlfn.CONCAT("https://tablet.otzar.org/",CHAR(35),"/book/650763/p/-1/t/1/fs/0/start/0/end/0/c"),"הגדה של פסח - הפוך בה")</f>
        <v>הגדה של פסח - הפוך בה</v>
      </c>
      <c r="H1055" t="str">
        <f>_xlfn.CONCAT("https://tablet.otzar.org/",CHAR(35),"/book/650763/p/-1/t/1/fs/0/start/0/end/0/c")</f>
        <v>https://tablet.otzar.org/#/book/650763/p/-1/t/1/fs/0/start/0/end/0/c</v>
      </c>
    </row>
    <row r="1056" spans="1:8" x14ac:dyDescent="0.25">
      <c r="A1056">
        <v>651094</v>
      </c>
      <c r="B1056" t="s">
        <v>2323</v>
      </c>
      <c r="C1056" t="s">
        <v>2324</v>
      </c>
      <c r="D1056" t="s">
        <v>606</v>
      </c>
      <c r="E1056" t="s">
        <v>11</v>
      </c>
      <c r="G1056" t="str">
        <f>HYPERLINK(_xlfn.CONCAT("https://tablet.otzar.org/",CHAR(35),"/book/651094/p/-1/t/1/fs/0/start/0/end/0/c"),"הגדה של פסח - נהורא דהגדתא")</f>
        <v>הגדה של פסח - נהורא דהגדתא</v>
      </c>
      <c r="H1056" t="str">
        <f>_xlfn.CONCAT("https://tablet.otzar.org/",CHAR(35),"/book/651094/p/-1/t/1/fs/0/start/0/end/0/c")</f>
        <v>https://tablet.otzar.org/#/book/651094/p/-1/t/1/fs/0/start/0/end/0/c</v>
      </c>
    </row>
    <row r="1057" spans="1:8" x14ac:dyDescent="0.25">
      <c r="A1057">
        <v>651621</v>
      </c>
      <c r="B1057" t="s">
        <v>2325</v>
      </c>
      <c r="C1057" t="s">
        <v>2326</v>
      </c>
      <c r="D1057" t="s">
        <v>10</v>
      </c>
      <c r="E1057" t="s">
        <v>11</v>
      </c>
      <c r="G1057" t="str">
        <f>HYPERLINK(_xlfn.CONCAT("https://tablet.otzar.org/",CHAR(35),"/book/651621/p/-1/t/1/fs/0/start/0/end/0/c"),"הגדה של פסח - אוצרות אברהם")</f>
        <v>הגדה של פסח - אוצרות אברהם</v>
      </c>
      <c r="H1057" t="str">
        <f>_xlfn.CONCAT("https://tablet.otzar.org/",CHAR(35),"/book/651621/p/-1/t/1/fs/0/start/0/end/0/c")</f>
        <v>https://tablet.otzar.org/#/book/651621/p/-1/t/1/fs/0/start/0/end/0/c</v>
      </c>
    </row>
    <row r="1058" spans="1:8" x14ac:dyDescent="0.25">
      <c r="A1058">
        <v>651890</v>
      </c>
      <c r="B1058" t="s">
        <v>2327</v>
      </c>
      <c r="C1058" t="s">
        <v>2328</v>
      </c>
      <c r="D1058" t="s">
        <v>1200</v>
      </c>
      <c r="E1058" t="s">
        <v>11</v>
      </c>
      <c r="G1058" t="str">
        <f>HYPERLINK(_xlfn.CONCAT("https://tablet.otzar.org/",CHAR(35),"/book/651890/p/-1/t/1/fs/0/start/0/end/0/c"),"הגדה של פסח &lt;עיוני ההגדה&gt;")</f>
        <v>הגדה של פסח &lt;עיוני ההגדה&gt;</v>
      </c>
      <c r="H1058" t="str">
        <f>_xlfn.CONCAT("https://tablet.otzar.org/",CHAR(35),"/book/651890/p/-1/t/1/fs/0/start/0/end/0/c")</f>
        <v>https://tablet.otzar.org/#/book/651890/p/-1/t/1/fs/0/start/0/end/0/c</v>
      </c>
    </row>
    <row r="1059" spans="1:8" x14ac:dyDescent="0.25">
      <c r="A1059">
        <v>652661</v>
      </c>
      <c r="B1059" t="s">
        <v>2329</v>
      </c>
      <c r="C1059" t="s">
        <v>2330</v>
      </c>
      <c r="E1059" t="s">
        <v>11</v>
      </c>
      <c r="G1059" t="str">
        <f>HYPERLINK(_xlfn.CONCAT("https://tablet.otzar.org/",CHAR(35),"/book/652661/p/-1/t/1/fs/0/start/0/end/0/c"),"הגדה של פסח &lt;מלחמות ה'&gt;")</f>
        <v>הגדה של פסח &lt;מלחמות ה'&gt;</v>
      </c>
      <c r="H1059" t="str">
        <f>_xlfn.CONCAT("https://tablet.otzar.org/",CHAR(35),"/book/652661/p/-1/t/1/fs/0/start/0/end/0/c")</f>
        <v>https://tablet.otzar.org/#/book/652661/p/-1/t/1/fs/0/start/0/end/0/c</v>
      </c>
    </row>
    <row r="1060" spans="1:8" x14ac:dyDescent="0.25">
      <c r="A1060">
        <v>653815</v>
      </c>
      <c r="B1060" t="s">
        <v>2331</v>
      </c>
      <c r="D1060" t="s">
        <v>52</v>
      </c>
      <c r="E1060" t="s">
        <v>161</v>
      </c>
      <c r="G1060" t="str">
        <f>HYPERLINK(_xlfn.CONCAT("https://tablet.otzar.org/",CHAR(35),"/book/653815/p/-1/t/1/fs/0/start/0/end/0/c"),"הגדה של פסח &lt;אור החיים הקדוש&gt;")</f>
        <v>הגדה של פסח &lt;אור החיים הקדוש&gt;</v>
      </c>
      <c r="H1060" t="str">
        <f>_xlfn.CONCAT("https://tablet.otzar.org/",CHAR(35),"/book/653815/p/-1/t/1/fs/0/start/0/end/0/c")</f>
        <v>https://tablet.otzar.org/#/book/653815/p/-1/t/1/fs/0/start/0/end/0/c</v>
      </c>
    </row>
    <row r="1061" spans="1:8" x14ac:dyDescent="0.25">
      <c r="A1061">
        <v>653984</v>
      </c>
      <c r="B1061" t="s">
        <v>2332</v>
      </c>
      <c r="C1061" t="s">
        <v>2333</v>
      </c>
      <c r="D1061" t="s">
        <v>273</v>
      </c>
      <c r="E1061" t="s">
        <v>11</v>
      </c>
      <c r="G1061" t="str">
        <f>HYPERLINK(_xlfn.CONCAT("https://tablet.otzar.org/",CHAR(35),"/book/653984/p/-1/t/1/fs/0/start/0/end/0/c"),"הגדה של פסח &lt;אוצרות יהודה&gt;")</f>
        <v>הגדה של פסח &lt;אוצרות יהודה&gt;</v>
      </c>
      <c r="H1061" t="str">
        <f>_xlfn.CONCAT("https://tablet.otzar.org/",CHAR(35),"/book/653984/p/-1/t/1/fs/0/start/0/end/0/c")</f>
        <v>https://tablet.otzar.org/#/book/653984/p/-1/t/1/fs/0/start/0/end/0/c</v>
      </c>
    </row>
    <row r="1062" spans="1:8" x14ac:dyDescent="0.25">
      <c r="A1062">
        <v>654405</v>
      </c>
      <c r="B1062" t="s">
        <v>2334</v>
      </c>
      <c r="C1062" t="s">
        <v>2335</v>
      </c>
      <c r="D1062" t="s">
        <v>2336</v>
      </c>
      <c r="E1062" t="s">
        <v>11</v>
      </c>
      <c r="G1062" t="str">
        <f>HYPERLINK(_xlfn.CONCAT("https://tablet.otzar.org/",CHAR(35),"/book/654405/p/-1/t/1/fs/0/start/0/end/0/c"),"הגדה של פסח - שירת דוד")</f>
        <v>הגדה של פסח - שירת דוד</v>
      </c>
      <c r="H1062" t="str">
        <f>_xlfn.CONCAT("https://tablet.otzar.org/",CHAR(35),"/book/654405/p/-1/t/1/fs/0/start/0/end/0/c")</f>
        <v>https://tablet.otzar.org/#/book/654405/p/-1/t/1/fs/0/start/0/end/0/c</v>
      </c>
    </row>
    <row r="1063" spans="1:8" x14ac:dyDescent="0.25">
      <c r="A1063">
        <v>654920</v>
      </c>
      <c r="B1063" t="s">
        <v>2337</v>
      </c>
      <c r="C1063" t="s">
        <v>305</v>
      </c>
      <c r="D1063" t="s">
        <v>10</v>
      </c>
      <c r="E1063" t="s">
        <v>45</v>
      </c>
      <c r="G1063" t="str">
        <f>HYPERLINK(_xlfn.CONCAT("https://tablet.otzar.org/",CHAR(35),"/book/654920/p/-1/t/1/fs/0/start/0/end/0/c"),"הגדה של פסח - מגיד דבריו, דברי שיר")</f>
        <v>הגדה של פסח - מגיד דבריו, דברי שיר</v>
      </c>
      <c r="H1063" t="str">
        <f>_xlfn.CONCAT("https://tablet.otzar.org/",CHAR(35),"/book/654920/p/-1/t/1/fs/0/start/0/end/0/c")</f>
        <v>https://tablet.otzar.org/#/book/654920/p/-1/t/1/fs/0/start/0/end/0/c</v>
      </c>
    </row>
    <row r="1064" spans="1:8" x14ac:dyDescent="0.25">
      <c r="A1064">
        <v>650633</v>
      </c>
      <c r="B1064" t="s">
        <v>2338</v>
      </c>
      <c r="C1064" t="s">
        <v>2339</v>
      </c>
      <c r="D1064" t="s">
        <v>52</v>
      </c>
      <c r="E1064" t="s">
        <v>11</v>
      </c>
      <c r="G1064" t="str">
        <f>HYPERLINK(_xlfn.CONCAT("https://tablet.otzar.org/",CHAR(35),"/book/650633/p/-1/t/1/fs/0/start/0/end/0/c"),"הגדה של פסח &lt;מעשה כהן&gt;")</f>
        <v>הגדה של פסח &lt;מעשה כהן&gt;</v>
      </c>
      <c r="H1064" t="str">
        <f>_xlfn.CONCAT("https://tablet.otzar.org/",CHAR(35),"/book/650633/p/-1/t/1/fs/0/start/0/end/0/c")</f>
        <v>https://tablet.otzar.org/#/book/650633/p/-1/t/1/fs/0/start/0/end/0/c</v>
      </c>
    </row>
    <row r="1065" spans="1:8" x14ac:dyDescent="0.25">
      <c r="A1065">
        <v>654341</v>
      </c>
      <c r="B1065" t="s">
        <v>2340</v>
      </c>
      <c r="C1065" t="s">
        <v>2341</v>
      </c>
      <c r="D1065" t="s">
        <v>10</v>
      </c>
      <c r="E1065" t="s">
        <v>45</v>
      </c>
      <c r="G1065" t="str">
        <f>HYPERLINK(_xlfn.CONCAT("https://tablet.otzar.org/",CHAR(35),"/book/654341/p/-1/t/1/fs/0/start/0/end/0/c"),"הגדה של פסח {משחת שמן)")</f>
        <v>הגדה של פסח {משחת שמן)</v>
      </c>
      <c r="H1065" t="str">
        <f>_xlfn.CONCAT("https://tablet.otzar.org/",CHAR(35),"/book/654341/p/-1/t/1/fs/0/start/0/end/0/c")</f>
        <v>https://tablet.otzar.org/#/book/654341/p/-1/t/1/fs/0/start/0/end/0/c</v>
      </c>
    </row>
    <row r="1066" spans="1:8" x14ac:dyDescent="0.25">
      <c r="A1066">
        <v>651335</v>
      </c>
      <c r="B1066" t="s">
        <v>2342</v>
      </c>
      <c r="C1066" t="s">
        <v>2343</v>
      </c>
      <c r="D1066" t="s">
        <v>52</v>
      </c>
      <c r="E1066" t="s">
        <v>780</v>
      </c>
      <c r="G1066" t="str">
        <f>HYPERLINK(_xlfn.CONCAT("https://tablet.otzar.org/",CHAR(35),"/book/651335/p/-1/t/1/fs/0/start/0/end/0/c"),"הגדה של פסח אמרי רפאל")</f>
        <v>הגדה של פסח אמרי רפאל</v>
      </c>
      <c r="H1066" t="str">
        <f>_xlfn.CONCAT("https://tablet.otzar.org/",CHAR(35),"/book/651335/p/-1/t/1/fs/0/start/0/end/0/c")</f>
        <v>https://tablet.otzar.org/#/book/651335/p/-1/t/1/fs/0/start/0/end/0/c</v>
      </c>
    </row>
    <row r="1067" spans="1:8" x14ac:dyDescent="0.25">
      <c r="A1067">
        <v>649140</v>
      </c>
      <c r="B1067" t="s">
        <v>2344</v>
      </c>
      <c r="C1067" t="s">
        <v>2345</v>
      </c>
      <c r="D1067" t="s">
        <v>2346</v>
      </c>
      <c r="E1067" t="s">
        <v>636</v>
      </c>
      <c r="G1067" t="str">
        <f>HYPERLINK(_xlfn.CONCAT("https://tablet.otzar.org/",CHAR(35),"/book/649140/p/-1/t/1/fs/0/start/0/end/0/c"),"הגדה של פסח גבורת יצחק")</f>
        <v>הגדה של פסח גבורת יצחק</v>
      </c>
      <c r="H1067" t="str">
        <f>_xlfn.CONCAT("https://tablet.otzar.org/",CHAR(35),"/book/649140/p/-1/t/1/fs/0/start/0/end/0/c")</f>
        <v>https://tablet.otzar.org/#/book/649140/p/-1/t/1/fs/0/start/0/end/0/c</v>
      </c>
    </row>
    <row r="1068" spans="1:8" x14ac:dyDescent="0.25">
      <c r="A1068">
        <v>647274</v>
      </c>
      <c r="B1068" t="s">
        <v>2347</v>
      </c>
      <c r="C1068" t="s">
        <v>2348</v>
      </c>
      <c r="D1068" t="s">
        <v>424</v>
      </c>
      <c r="E1068" t="s">
        <v>126</v>
      </c>
      <c r="G1068" t="str">
        <f>HYPERLINK(_xlfn.CONCAT("https://tablet.otzar.org/",CHAR(35),"/book/647274/p/-1/t/1/fs/0/start/0/end/0/c"),"הגדה של פסח גדולי ישראל")</f>
        <v>הגדה של פסח גדולי ישראל</v>
      </c>
      <c r="H1068" t="str">
        <f>_xlfn.CONCAT("https://tablet.otzar.org/",CHAR(35),"/book/647274/p/-1/t/1/fs/0/start/0/end/0/c")</f>
        <v>https://tablet.otzar.org/#/book/647274/p/-1/t/1/fs/0/start/0/end/0/c</v>
      </c>
    </row>
    <row r="1069" spans="1:8" x14ac:dyDescent="0.25">
      <c r="A1069">
        <v>650475</v>
      </c>
      <c r="B1069" t="s">
        <v>2349</v>
      </c>
      <c r="C1069" t="s">
        <v>1230</v>
      </c>
      <c r="D1069" t="s">
        <v>10</v>
      </c>
      <c r="E1069" t="s">
        <v>35</v>
      </c>
      <c r="G1069" t="str">
        <f>HYPERLINK(_xlfn.CONCAT("https://tablet.otzar.org/",CHAR(35),"/book/650475/p/-1/t/1/fs/0/start/0/end/0/c"),"הגדה של פסח מבית אב")</f>
        <v>הגדה של פסח מבית אב</v>
      </c>
      <c r="H1069" t="str">
        <f>_xlfn.CONCAT("https://tablet.otzar.org/",CHAR(35),"/book/650475/p/-1/t/1/fs/0/start/0/end/0/c")</f>
        <v>https://tablet.otzar.org/#/book/650475/p/-1/t/1/fs/0/start/0/end/0/c</v>
      </c>
    </row>
    <row r="1070" spans="1:8" x14ac:dyDescent="0.25">
      <c r="A1070">
        <v>651529</v>
      </c>
      <c r="B1070" t="s">
        <v>2350</v>
      </c>
      <c r="C1070" t="s">
        <v>2351</v>
      </c>
      <c r="D1070" t="s">
        <v>10</v>
      </c>
      <c r="E1070" t="s">
        <v>45</v>
      </c>
      <c r="G1070" t="str">
        <f>HYPERLINK(_xlfn.CONCAT("https://tablet.otzar.org/",CHAR(35),"/book/651529/p/-1/t/1/fs/0/start/0/end/0/c"),"הגדה של פסח נפש יהודי")</f>
        <v>הגדה של פסח נפש יהודי</v>
      </c>
      <c r="H1070" t="str">
        <f>_xlfn.CONCAT("https://tablet.otzar.org/",CHAR(35),"/book/651529/p/-1/t/1/fs/0/start/0/end/0/c")</f>
        <v>https://tablet.otzar.org/#/book/651529/p/-1/t/1/fs/0/start/0/end/0/c</v>
      </c>
    </row>
    <row r="1071" spans="1:8" x14ac:dyDescent="0.25">
      <c r="A1071">
        <v>648987</v>
      </c>
      <c r="B1071" t="s">
        <v>2352</v>
      </c>
      <c r="C1071" t="s">
        <v>1695</v>
      </c>
      <c r="D1071" t="s">
        <v>10</v>
      </c>
      <c r="E1071" t="s">
        <v>383</v>
      </c>
      <c r="G1071" t="str">
        <f>HYPERLINK(_xlfn.CONCAT("https://tablet.otzar.org/",CHAR(35),"/book/648987/p/-1/t/1/fs/0/start/0/end/0/c"),"הגדה של פסח ע""""פ ברכת השיר")</f>
        <v>הגדה של פסח ע""פ ברכת השיר</v>
      </c>
      <c r="H1071" t="str">
        <f>_xlfn.CONCAT("https://tablet.otzar.org/",CHAR(35),"/book/648987/p/-1/t/1/fs/0/start/0/end/0/c")</f>
        <v>https://tablet.otzar.org/#/book/648987/p/-1/t/1/fs/0/start/0/end/0/c</v>
      </c>
    </row>
    <row r="1072" spans="1:8" x14ac:dyDescent="0.25">
      <c r="A1072">
        <v>652627</v>
      </c>
      <c r="B1072" t="s">
        <v>2353</v>
      </c>
      <c r="C1072" t="s">
        <v>620</v>
      </c>
      <c r="D1072" t="s">
        <v>621</v>
      </c>
      <c r="E1072" t="s">
        <v>35</v>
      </c>
      <c r="G1072" t="str">
        <f>HYPERLINK(_xlfn.CONCAT("https://tablet.otzar.org/",CHAR(35),"/book/652627/p/-1/t/1/fs/0/start/0/end/0/c"),"הגדה של פסח עם איי הים")</f>
        <v>הגדה של פסח עם איי הים</v>
      </c>
      <c r="H1072" t="str">
        <f>_xlfn.CONCAT("https://tablet.otzar.org/",CHAR(35),"/book/652627/p/-1/t/1/fs/0/start/0/end/0/c")</f>
        <v>https://tablet.otzar.org/#/book/652627/p/-1/t/1/fs/0/start/0/end/0/c</v>
      </c>
    </row>
    <row r="1073" spans="1:8" x14ac:dyDescent="0.25">
      <c r="A1073">
        <v>647451</v>
      </c>
      <c r="B1073" t="s">
        <v>2354</v>
      </c>
      <c r="C1073" t="s">
        <v>2263</v>
      </c>
      <c r="D1073" t="s">
        <v>10</v>
      </c>
      <c r="E1073" t="s">
        <v>257</v>
      </c>
      <c r="G1073" t="str">
        <f>HYPERLINK(_xlfn.CONCAT("https://tablet.otzar.org/",CHAR(35),"/book/647451/p/-1/t/1/fs/0/start/0/end/0/c"),"הגדה של פסח תפארת יעקב &lt;נהורא השלם יריעות שלמה&gt;")</f>
        <v>הגדה של פסח תפארת יעקב &lt;נהורא השלם יריעות שלמה&gt;</v>
      </c>
      <c r="H1073" t="str">
        <f>_xlfn.CONCAT("https://tablet.otzar.org/",CHAR(35),"/book/647451/p/-1/t/1/fs/0/start/0/end/0/c")</f>
        <v>https://tablet.otzar.org/#/book/647451/p/-1/t/1/fs/0/start/0/end/0/c</v>
      </c>
    </row>
    <row r="1074" spans="1:8" x14ac:dyDescent="0.25">
      <c r="A1074">
        <v>654436</v>
      </c>
      <c r="B1074" t="s">
        <v>2355</v>
      </c>
      <c r="C1074" t="s">
        <v>2311</v>
      </c>
      <c r="D1074" t="s">
        <v>52</v>
      </c>
      <c r="E1074" t="s">
        <v>11</v>
      </c>
      <c r="G1074" t="str">
        <f>HYPERLINK(_xlfn.CONCAT("https://tablet.otzar.org/",CHAR(35),"/book/654436/p/-1/t/1/fs/0/start/0/end/0/c"),"הגדה של פרשה")</f>
        <v>הגדה של פרשה</v>
      </c>
      <c r="H1074" t="str">
        <f>_xlfn.CONCAT("https://tablet.otzar.org/",CHAR(35),"/book/654436/p/-1/t/1/fs/0/start/0/end/0/c")</f>
        <v>https://tablet.otzar.org/#/book/654436/p/-1/t/1/fs/0/start/0/end/0/c</v>
      </c>
    </row>
    <row r="1075" spans="1:8" x14ac:dyDescent="0.25">
      <c r="A1075">
        <v>651050</v>
      </c>
      <c r="B1075" t="s">
        <v>2356</v>
      </c>
      <c r="C1075" t="s">
        <v>2357</v>
      </c>
      <c r="D1075" t="s">
        <v>731</v>
      </c>
      <c r="E1075" t="s">
        <v>84</v>
      </c>
      <c r="G1075" t="str">
        <f>HYPERLINK(_xlfn.CONCAT("https://tablet.otzar.org/",CHAR(35),"/book/651050/p/-1/t/1/fs/0/start/0/end/0/c"),"הגדולות אשר עשה אלישע - שיעורים")</f>
        <v>הגדולות אשר עשה אלישע - שיעורים</v>
      </c>
      <c r="H1075" t="str">
        <f>_xlfn.CONCAT("https://tablet.otzar.org/",CHAR(35),"/book/651050/p/-1/t/1/fs/0/start/0/end/0/c")</f>
        <v>https://tablet.otzar.org/#/book/651050/p/-1/t/1/fs/0/start/0/end/0/c</v>
      </c>
    </row>
    <row r="1076" spans="1:8" x14ac:dyDescent="0.25">
      <c r="A1076">
        <v>655522</v>
      </c>
      <c r="B1076" t="s">
        <v>2358</v>
      </c>
      <c r="C1076" t="s">
        <v>2359</v>
      </c>
      <c r="D1076" t="s">
        <v>287</v>
      </c>
      <c r="E1076" t="s">
        <v>11</v>
      </c>
      <c r="G1076" t="str">
        <f>HYPERLINK(_xlfn.CONCAT("https://tablet.otzar.org/",CHAR(35),"/book/655522/p/-1/t/1/fs/0/start/0/end/0/c"),"הגדת העתיד")</f>
        <v>הגדת העתיד</v>
      </c>
      <c r="H1076" t="str">
        <f>_xlfn.CONCAT("https://tablet.otzar.org/",CHAR(35),"/book/655522/p/-1/t/1/fs/0/start/0/end/0/c")</f>
        <v>https://tablet.otzar.org/#/book/655522/p/-1/t/1/fs/0/start/0/end/0/c</v>
      </c>
    </row>
    <row r="1077" spans="1:8" x14ac:dyDescent="0.25">
      <c r="A1077">
        <v>649764</v>
      </c>
      <c r="B1077" t="s">
        <v>2360</v>
      </c>
      <c r="C1077" t="s">
        <v>2361</v>
      </c>
      <c r="D1077" t="s">
        <v>10</v>
      </c>
      <c r="E1077" t="s">
        <v>558</v>
      </c>
      <c r="G1077" t="str">
        <f>HYPERLINK(_xlfn.CONCAT("https://tablet.otzar.org/",CHAR(35),"/book/649764/p/-1/t/1/fs/0/start/0/end/0/c"),"הגדת מהרש""""ם")</f>
        <v>הגדת מהרש""ם</v>
      </c>
      <c r="H1077" t="str">
        <f>_xlfn.CONCAT("https://tablet.otzar.org/",CHAR(35),"/book/649764/p/-1/t/1/fs/0/start/0/end/0/c")</f>
        <v>https://tablet.otzar.org/#/book/649764/p/-1/t/1/fs/0/start/0/end/0/c</v>
      </c>
    </row>
    <row r="1078" spans="1:8" x14ac:dyDescent="0.25">
      <c r="A1078">
        <v>647342</v>
      </c>
      <c r="B1078" t="s">
        <v>2362</v>
      </c>
      <c r="C1078" t="s">
        <v>2363</v>
      </c>
      <c r="D1078" t="s">
        <v>921</v>
      </c>
      <c r="E1078" t="s">
        <v>425</v>
      </c>
      <c r="G1078" t="str">
        <f>HYPERLINK(_xlfn.CONCAT("https://tablet.otzar.org/",CHAR(35),"/book/647342/p/-1/t/1/fs/0/start/0/end/0/c"),"הגה רא""""ם")</f>
        <v>הגה רא""ם</v>
      </c>
      <c r="H1078" t="str">
        <f>_xlfn.CONCAT("https://tablet.otzar.org/",CHAR(35),"/book/647342/p/-1/t/1/fs/0/start/0/end/0/c")</f>
        <v>https://tablet.otzar.org/#/book/647342/p/-1/t/1/fs/0/start/0/end/0/c</v>
      </c>
    </row>
    <row r="1079" spans="1:8" x14ac:dyDescent="0.25">
      <c r="A1079">
        <v>649457</v>
      </c>
      <c r="B1079" t="s">
        <v>2364</v>
      </c>
      <c r="C1079" t="s">
        <v>2365</v>
      </c>
      <c r="D1079" t="s">
        <v>58</v>
      </c>
      <c r="E1079" t="s">
        <v>802</v>
      </c>
      <c r="G1079" t="str">
        <f>HYPERLINK(_xlfn.CONCAT("https://tablet.otzar.org/",CHAR(35),"/book/649457/p/-1/t/1/fs/0/start/0/end/0/c"),"הגורלות לאחיתופל")</f>
        <v>הגורלות לאחיתופל</v>
      </c>
      <c r="H1079" t="str">
        <f>_xlfn.CONCAT("https://tablet.otzar.org/",CHAR(35),"/book/649457/p/-1/t/1/fs/0/start/0/end/0/c")</f>
        <v>https://tablet.otzar.org/#/book/649457/p/-1/t/1/fs/0/start/0/end/0/c</v>
      </c>
    </row>
    <row r="1080" spans="1:8" x14ac:dyDescent="0.25">
      <c r="A1080">
        <v>653424</v>
      </c>
      <c r="B1080" t="s">
        <v>2366</v>
      </c>
      <c r="C1080" t="s">
        <v>2367</v>
      </c>
      <c r="D1080" t="s">
        <v>10</v>
      </c>
      <c r="E1080" t="s">
        <v>2368</v>
      </c>
      <c r="G1080" t="str">
        <f>HYPERLINK(_xlfn.CONCAT("https://tablet.otzar.org/",CHAR(35),"/book/653424/p/-1/t/1/fs/0/start/0/end/0/c"),"הגות - בין ישראל לעמים")</f>
        <v>הגות - בין ישראל לעמים</v>
      </c>
      <c r="H1080" t="str">
        <f>_xlfn.CONCAT("https://tablet.otzar.org/",CHAR(35),"/book/653424/p/-1/t/1/fs/0/start/0/end/0/c")</f>
        <v>https://tablet.otzar.org/#/book/653424/p/-1/t/1/fs/0/start/0/end/0/c</v>
      </c>
    </row>
    <row r="1081" spans="1:8" x14ac:dyDescent="0.25">
      <c r="A1081">
        <v>652628</v>
      </c>
      <c r="B1081" t="s">
        <v>2369</v>
      </c>
      <c r="C1081" t="s">
        <v>2370</v>
      </c>
      <c r="D1081" t="s">
        <v>621</v>
      </c>
      <c r="E1081" t="s">
        <v>184</v>
      </c>
      <c r="G1081" t="str">
        <f>HYPERLINK(_xlfn.CONCAT("https://tablet.otzar.org/",CHAR(35),"/book/652628/p/-1/t/1/fs/0/start/0/end/0/c"),"הגות תשובה")</f>
        <v>הגות תשובה</v>
      </c>
      <c r="H1081" t="str">
        <f>_xlfn.CONCAT("https://tablet.otzar.org/",CHAR(35),"/book/652628/p/-1/t/1/fs/0/start/0/end/0/c")</f>
        <v>https://tablet.otzar.org/#/book/652628/p/-1/t/1/fs/0/start/0/end/0/c</v>
      </c>
    </row>
    <row r="1082" spans="1:8" x14ac:dyDescent="0.25">
      <c r="A1082">
        <v>650572</v>
      </c>
      <c r="B1082" t="s">
        <v>2371</v>
      </c>
      <c r="C1082" t="s">
        <v>2372</v>
      </c>
      <c r="D1082" t="s">
        <v>2373</v>
      </c>
      <c r="E1082" t="s">
        <v>416</v>
      </c>
      <c r="G1082" t="str">
        <f>HYPERLINK(_xlfn.CONCAT("https://tablet.otzar.org/",CHAR(35),"/book/650572/p/-1/t/1/fs/0/start/0/end/0/c"),"הגיגים על העם התורה והמדינה")</f>
        <v>הגיגים על העם התורה והמדינה</v>
      </c>
      <c r="H1082" t="str">
        <f>_xlfn.CONCAT("https://tablet.otzar.org/",CHAR(35),"/book/650572/p/-1/t/1/fs/0/start/0/end/0/c")</f>
        <v>https://tablet.otzar.org/#/book/650572/p/-1/t/1/fs/0/start/0/end/0/c</v>
      </c>
    </row>
    <row r="1083" spans="1:8" x14ac:dyDescent="0.25">
      <c r="A1083">
        <v>651074</v>
      </c>
      <c r="B1083" t="s">
        <v>2374</v>
      </c>
      <c r="C1083" t="s">
        <v>2375</v>
      </c>
      <c r="D1083" t="s">
        <v>52</v>
      </c>
      <c r="E1083" t="s">
        <v>84</v>
      </c>
      <c r="G1083" t="str">
        <f>HYPERLINK(_xlfn.CONCAT("https://tablet.otzar.org/",CHAR(35),"/exKotar/651074"),"הגיון לבי - 3 כרכים")</f>
        <v>הגיון לבי - 3 כרכים</v>
      </c>
      <c r="H1083" t="str">
        <f>_xlfn.CONCAT("https://tablet.otzar.org/",CHAR(35),"/exKotar/651074")</f>
        <v>https://tablet.otzar.org/#/exKotar/651074</v>
      </c>
    </row>
    <row r="1084" spans="1:8" x14ac:dyDescent="0.25">
      <c r="A1084">
        <v>650587</v>
      </c>
      <c r="B1084" t="s">
        <v>2376</v>
      </c>
      <c r="C1084" t="s">
        <v>2377</v>
      </c>
      <c r="D1084" t="s">
        <v>10</v>
      </c>
      <c r="E1084" t="s">
        <v>704</v>
      </c>
      <c r="G1084" t="str">
        <f>HYPERLINK(_xlfn.CONCAT("https://tablet.otzar.org/",CHAR(35),"/book/650587/p/-1/t/1/fs/0/start/0/end/0/c"),"הגיונות במקרא ובחינוך")</f>
        <v>הגיונות במקרא ובחינוך</v>
      </c>
      <c r="H1084" t="str">
        <f>_xlfn.CONCAT("https://tablet.otzar.org/",CHAR(35),"/book/650587/p/-1/t/1/fs/0/start/0/end/0/c")</f>
        <v>https://tablet.otzar.org/#/book/650587/p/-1/t/1/fs/0/start/0/end/0/c</v>
      </c>
    </row>
    <row r="1085" spans="1:8" x14ac:dyDescent="0.25">
      <c r="A1085">
        <v>654411</v>
      </c>
      <c r="B1085" t="s">
        <v>2378</v>
      </c>
      <c r="C1085" t="s">
        <v>2379</v>
      </c>
      <c r="D1085" t="s">
        <v>34</v>
      </c>
      <c r="E1085" t="s">
        <v>70</v>
      </c>
      <c r="G1085" t="str">
        <f>HYPERLINK(_xlfn.CONCAT("https://tablet.otzar.org/",CHAR(35),"/exKotar/654411"),"הגיוני שמואל - 5 כרכים")</f>
        <v>הגיוני שמואל - 5 כרכים</v>
      </c>
      <c r="H1085" t="str">
        <f>_xlfn.CONCAT("https://tablet.otzar.org/",CHAR(35),"/exKotar/654411")</f>
        <v>https://tablet.otzar.org/#/exKotar/654411</v>
      </c>
    </row>
    <row r="1086" spans="1:8" x14ac:dyDescent="0.25">
      <c r="A1086">
        <v>651608</v>
      </c>
      <c r="B1086" t="s">
        <v>2380</v>
      </c>
      <c r="C1086" t="s">
        <v>1406</v>
      </c>
      <c r="D1086" t="s">
        <v>951</v>
      </c>
      <c r="E1086" t="s">
        <v>213</v>
      </c>
      <c r="G1086" t="str">
        <f>HYPERLINK(_xlfn.CONCAT("https://tablet.otzar.org/",CHAR(35),"/book/651608/p/-1/t/1/fs/0/start/0/end/0/c"),"הגן הנעלם")</f>
        <v>הגן הנעלם</v>
      </c>
      <c r="H1086" t="str">
        <f>_xlfn.CONCAT("https://tablet.otzar.org/",CHAR(35),"/book/651608/p/-1/t/1/fs/0/start/0/end/0/c")</f>
        <v>https://tablet.otzar.org/#/book/651608/p/-1/t/1/fs/0/start/0/end/0/c</v>
      </c>
    </row>
    <row r="1087" spans="1:8" x14ac:dyDescent="0.25">
      <c r="A1087">
        <v>652942</v>
      </c>
      <c r="B1087" t="s">
        <v>2381</v>
      </c>
      <c r="C1087" t="s">
        <v>2382</v>
      </c>
      <c r="D1087" t="s">
        <v>573</v>
      </c>
      <c r="E1087" t="s">
        <v>70</v>
      </c>
      <c r="G1087" t="str">
        <f>HYPERLINK(_xlfn.CONCAT("https://tablet.otzar.org/",CHAR(35),"/book/652942/p/-1/t/1/fs/0/start/0/end/0/c"),"הדור קבלוה")</f>
        <v>הדור קבלוה</v>
      </c>
      <c r="H1087" t="str">
        <f>_xlfn.CONCAT("https://tablet.otzar.org/",CHAR(35),"/book/652942/p/-1/t/1/fs/0/start/0/end/0/c")</f>
        <v>https://tablet.otzar.org/#/book/652942/p/-1/t/1/fs/0/start/0/end/0/c</v>
      </c>
    </row>
    <row r="1088" spans="1:8" x14ac:dyDescent="0.25">
      <c r="A1088">
        <v>648431</v>
      </c>
      <c r="B1088" t="s">
        <v>2383</v>
      </c>
      <c r="C1088" t="s">
        <v>2384</v>
      </c>
      <c r="D1088" t="s">
        <v>2234</v>
      </c>
      <c r="E1088" t="s">
        <v>1784</v>
      </c>
      <c r="G1088" t="str">
        <f>HYPERLINK(_xlfn.CONCAT("https://tablet.otzar.org/",CHAR(35),"/book/648431/p/-1/t/1/fs/0/start/0/end/0/c"),"הדנו - שנה תשיעית גליון א")</f>
        <v>הדנו - שנה תשיעית גליון א</v>
      </c>
      <c r="H1088" t="str">
        <f>_xlfn.CONCAT("https://tablet.otzar.org/",CHAR(35),"/book/648431/p/-1/t/1/fs/0/start/0/end/0/c")</f>
        <v>https://tablet.otzar.org/#/book/648431/p/-1/t/1/fs/0/start/0/end/0/c</v>
      </c>
    </row>
    <row r="1089" spans="1:8" x14ac:dyDescent="0.25">
      <c r="A1089">
        <v>652039</v>
      </c>
      <c r="B1089" t="s">
        <v>2385</v>
      </c>
      <c r="C1089" t="s">
        <v>2162</v>
      </c>
      <c r="D1089" t="s">
        <v>10</v>
      </c>
      <c r="E1089" t="s">
        <v>45</v>
      </c>
      <c r="G1089" t="str">
        <f>HYPERLINK(_xlfn.CONCAT("https://tablet.otzar.org/",CHAR(35),"/exKotar/652039"),"הדעה והדיבור - 50 כרכים")</f>
        <v>הדעה והדיבור - 50 כרכים</v>
      </c>
      <c r="H1089" t="str">
        <f>_xlfn.CONCAT("https://tablet.otzar.org/",CHAR(35),"/exKotar/652039")</f>
        <v>https://tablet.otzar.org/#/exKotar/652039</v>
      </c>
    </row>
    <row r="1090" spans="1:8" x14ac:dyDescent="0.25">
      <c r="A1090">
        <v>652925</v>
      </c>
      <c r="B1090" t="s">
        <v>2386</v>
      </c>
      <c r="C1090" t="s">
        <v>2387</v>
      </c>
      <c r="D1090" t="s">
        <v>10</v>
      </c>
      <c r="E1090" t="s">
        <v>84</v>
      </c>
      <c r="G1090" t="str">
        <f>HYPERLINK(_xlfn.CONCAT("https://tablet.otzar.org/",CHAR(35),"/book/652925/p/-1/t/1/fs/0/start/0/end/0/c"),"הדק היטב")</f>
        <v>הדק היטב</v>
      </c>
      <c r="H1090" t="str">
        <f>_xlfn.CONCAT("https://tablet.otzar.org/",CHAR(35),"/book/652925/p/-1/t/1/fs/0/start/0/end/0/c")</f>
        <v>https://tablet.otzar.org/#/book/652925/p/-1/t/1/fs/0/start/0/end/0/c</v>
      </c>
    </row>
    <row r="1091" spans="1:8" x14ac:dyDescent="0.25">
      <c r="A1091">
        <v>656112</v>
      </c>
      <c r="B1091" t="s">
        <v>2388</v>
      </c>
      <c r="C1091" t="s">
        <v>2389</v>
      </c>
      <c r="D1091" t="s">
        <v>2390</v>
      </c>
      <c r="E1091" t="s">
        <v>45</v>
      </c>
      <c r="G1091" t="str">
        <f>HYPERLINK(_xlfn.CONCAT("https://tablet.otzar.org/",CHAR(35),"/book/656112/p/-1/t/1/fs/0/start/0/end/0/c"),"הדר בלולב")</f>
        <v>הדר בלולב</v>
      </c>
      <c r="H1091" t="str">
        <f>_xlfn.CONCAT("https://tablet.otzar.org/",CHAR(35),"/book/656112/p/-1/t/1/fs/0/start/0/end/0/c")</f>
        <v>https://tablet.otzar.org/#/book/656112/p/-1/t/1/fs/0/start/0/end/0/c</v>
      </c>
    </row>
    <row r="1092" spans="1:8" x14ac:dyDescent="0.25">
      <c r="A1092">
        <v>647649</v>
      </c>
      <c r="B1092" t="s">
        <v>2391</v>
      </c>
      <c r="C1092" t="s">
        <v>2392</v>
      </c>
      <c r="D1092" t="s">
        <v>139</v>
      </c>
      <c r="E1092" t="s">
        <v>45</v>
      </c>
      <c r="G1092" t="str">
        <f>HYPERLINK(_xlfn.CONCAT("https://tablet.otzar.org/",CHAR(35),"/book/647649/p/-1/t/1/fs/0/start/0/end/0/c"),"הדר הודו - הלכות אבילות")</f>
        <v>הדר הודו - הלכות אבילות</v>
      </c>
      <c r="H1092" t="str">
        <f>_xlfn.CONCAT("https://tablet.otzar.org/",CHAR(35),"/book/647649/p/-1/t/1/fs/0/start/0/end/0/c")</f>
        <v>https://tablet.otzar.org/#/book/647649/p/-1/t/1/fs/0/start/0/end/0/c</v>
      </c>
    </row>
    <row r="1093" spans="1:8" x14ac:dyDescent="0.25">
      <c r="A1093">
        <v>650168</v>
      </c>
      <c r="B1093" t="s">
        <v>2393</v>
      </c>
      <c r="C1093" t="s">
        <v>2394</v>
      </c>
      <c r="D1093" t="s">
        <v>10</v>
      </c>
      <c r="E1093" t="s">
        <v>213</v>
      </c>
      <c r="G1093" t="str">
        <f>HYPERLINK(_xlfn.CONCAT("https://tablet.otzar.org/",CHAR(35),"/book/650168/p/-1/t/1/fs/0/start/0/end/0/c"),"הדר המועדים - ירח האיתנים")</f>
        <v>הדר המועדים - ירח האיתנים</v>
      </c>
      <c r="H1093" t="str">
        <f>_xlfn.CONCAT("https://tablet.otzar.org/",CHAR(35),"/book/650168/p/-1/t/1/fs/0/start/0/end/0/c")</f>
        <v>https://tablet.otzar.org/#/book/650168/p/-1/t/1/fs/0/start/0/end/0/c</v>
      </c>
    </row>
    <row r="1094" spans="1:8" x14ac:dyDescent="0.25">
      <c r="A1094">
        <v>650169</v>
      </c>
      <c r="B1094" t="s">
        <v>2395</v>
      </c>
      <c r="C1094" t="s">
        <v>2394</v>
      </c>
      <c r="D1094" t="s">
        <v>10</v>
      </c>
      <c r="E1094" t="s">
        <v>690</v>
      </c>
      <c r="G1094" t="str">
        <f>HYPERLINK(_xlfn.CONCAT("https://tablet.otzar.org/",CHAR(35),"/book/650169/p/-1/t/1/fs/0/start/0/end/0/c"),"הדר הנביאים")</f>
        <v>הדר הנביאים</v>
      </c>
      <c r="H1094" t="str">
        <f>_xlfn.CONCAT("https://tablet.otzar.org/",CHAR(35),"/book/650169/p/-1/t/1/fs/0/start/0/end/0/c")</f>
        <v>https://tablet.otzar.org/#/book/650169/p/-1/t/1/fs/0/start/0/end/0/c</v>
      </c>
    </row>
    <row r="1095" spans="1:8" x14ac:dyDescent="0.25">
      <c r="A1095">
        <v>650166</v>
      </c>
      <c r="B1095" t="s">
        <v>2396</v>
      </c>
      <c r="C1095" t="s">
        <v>2394</v>
      </c>
      <c r="D1095" t="s">
        <v>10</v>
      </c>
      <c r="E1095" t="s">
        <v>405</v>
      </c>
      <c r="G1095" t="str">
        <f>HYPERLINK(_xlfn.CONCAT("https://tablet.otzar.org/",CHAR(35),"/exKotar/650166"),"הדר התורה - 4 כרכים")</f>
        <v>הדר התורה - 4 כרכים</v>
      </c>
      <c r="H1095" t="str">
        <f>_xlfn.CONCAT("https://tablet.otzar.org/",CHAR(35),"/exKotar/650166")</f>
        <v>https://tablet.otzar.org/#/exKotar/650166</v>
      </c>
    </row>
    <row r="1096" spans="1:8" x14ac:dyDescent="0.25">
      <c r="A1096">
        <v>655656</v>
      </c>
      <c r="B1096" t="s">
        <v>2397</v>
      </c>
      <c r="C1096" t="s">
        <v>2398</v>
      </c>
      <c r="D1096" t="s">
        <v>10</v>
      </c>
      <c r="E1096" t="s">
        <v>11</v>
      </c>
      <c r="G1096" t="str">
        <f>HYPERLINK(_xlfn.CONCAT("https://tablet.otzar.org/",CHAR(35),"/exKotar/655656"),"הדרך אל ד' - 2 כרכים")</f>
        <v>הדרך אל ד' - 2 כרכים</v>
      </c>
      <c r="H1096" t="str">
        <f>_xlfn.CONCAT("https://tablet.otzar.org/",CHAR(35),"/exKotar/655656")</f>
        <v>https://tablet.otzar.org/#/exKotar/655656</v>
      </c>
    </row>
    <row r="1097" spans="1:8" x14ac:dyDescent="0.25">
      <c r="A1097">
        <v>649081</v>
      </c>
      <c r="B1097" t="s">
        <v>2399</v>
      </c>
      <c r="C1097" t="s">
        <v>614</v>
      </c>
      <c r="E1097" t="s">
        <v>11</v>
      </c>
      <c r="G1097" t="str">
        <f>HYPERLINK(_xlfn.CONCAT("https://tablet.otzar.org/",CHAR(35),"/book/649081/p/-1/t/1/fs/0/start/0/end/0/c"),"הדרך אל השמחה")</f>
        <v>הדרך אל השמחה</v>
      </c>
      <c r="H1097" t="str">
        <f>_xlfn.CONCAT("https://tablet.otzar.org/",CHAR(35),"/book/649081/p/-1/t/1/fs/0/start/0/end/0/c")</f>
        <v>https://tablet.otzar.org/#/book/649081/p/-1/t/1/fs/0/start/0/end/0/c</v>
      </c>
    </row>
    <row r="1098" spans="1:8" x14ac:dyDescent="0.25">
      <c r="A1098">
        <v>653624</v>
      </c>
      <c r="B1098" t="s">
        <v>2400</v>
      </c>
      <c r="C1098" t="s">
        <v>2401</v>
      </c>
      <c r="D1098" t="s">
        <v>2346</v>
      </c>
      <c r="E1098" t="s">
        <v>2402</v>
      </c>
      <c r="G1098" t="str">
        <f>HYPERLINK(_xlfn.CONCAT("https://tablet.otzar.org/",CHAR(35),"/book/653624/p/-1/t/1/fs/0/start/0/end/0/c"),"הדרת קדש")</f>
        <v>הדרת קדש</v>
      </c>
      <c r="H1098" t="str">
        <f>_xlfn.CONCAT("https://tablet.otzar.org/",CHAR(35),"/book/653624/p/-1/t/1/fs/0/start/0/end/0/c")</f>
        <v>https://tablet.otzar.org/#/book/653624/p/-1/t/1/fs/0/start/0/end/0/c</v>
      </c>
    </row>
    <row r="1099" spans="1:8" x14ac:dyDescent="0.25">
      <c r="A1099">
        <v>648175</v>
      </c>
      <c r="B1099" t="s">
        <v>2403</v>
      </c>
      <c r="C1099" t="s">
        <v>899</v>
      </c>
      <c r="D1099" t="s">
        <v>10</v>
      </c>
      <c r="E1099" t="s">
        <v>11</v>
      </c>
      <c r="G1099" t="str">
        <f>HYPERLINK(_xlfn.CONCAT("https://tablet.otzar.org/",CHAR(35),"/book/648175/p/-1/t/1/fs/0/start/0/end/0/c"),"הדרת קדש - ויקרא - במדבר")</f>
        <v>הדרת קדש - ויקרא - במדבר</v>
      </c>
      <c r="H1099" t="str">
        <f>_xlfn.CONCAT("https://tablet.otzar.org/",CHAR(35),"/book/648175/p/-1/t/1/fs/0/start/0/end/0/c")</f>
        <v>https://tablet.otzar.org/#/book/648175/p/-1/t/1/fs/0/start/0/end/0/c</v>
      </c>
    </row>
    <row r="1100" spans="1:8" x14ac:dyDescent="0.25">
      <c r="A1100">
        <v>647325</v>
      </c>
      <c r="B1100" t="s">
        <v>2404</v>
      </c>
      <c r="C1100" t="s">
        <v>2405</v>
      </c>
      <c r="D1100" t="s">
        <v>10</v>
      </c>
      <c r="E1100" t="s">
        <v>40</v>
      </c>
      <c r="G1100" t="str">
        <f>HYPERLINK(_xlfn.CONCAT("https://tablet.otzar.org/",CHAR(35),"/exKotar/647325"),"ההד - 23 כרכים")</f>
        <v>ההד - 23 כרכים</v>
      </c>
      <c r="H1100" t="str">
        <f>_xlfn.CONCAT("https://tablet.otzar.org/",CHAR(35),"/exKotar/647325")</f>
        <v>https://tablet.otzar.org/#/exKotar/647325</v>
      </c>
    </row>
    <row r="1101" spans="1:8" x14ac:dyDescent="0.25">
      <c r="A1101">
        <v>650737</v>
      </c>
      <c r="B1101" t="s">
        <v>2406</v>
      </c>
      <c r="C1101" t="s">
        <v>2407</v>
      </c>
      <c r="D1101" t="s">
        <v>52</v>
      </c>
      <c r="E1101" t="s">
        <v>35</v>
      </c>
      <c r="G1101" t="str">
        <f>HYPERLINK(_xlfn.CONCAT("https://tablet.otzar.org/",CHAR(35),"/book/650737/p/-1/t/1/fs/0/start/0/end/0/c"),"ההפרשה - שיעורים במסכת תרומות")</f>
        <v>ההפרשה - שיעורים במסכת תרומות</v>
      </c>
      <c r="H1101" t="str">
        <f>_xlfn.CONCAT("https://tablet.otzar.org/",CHAR(35),"/book/650737/p/-1/t/1/fs/0/start/0/end/0/c")</f>
        <v>https://tablet.otzar.org/#/book/650737/p/-1/t/1/fs/0/start/0/end/0/c</v>
      </c>
    </row>
    <row r="1102" spans="1:8" x14ac:dyDescent="0.25">
      <c r="A1102">
        <v>650141</v>
      </c>
      <c r="B1102" t="s">
        <v>2408</v>
      </c>
      <c r="C1102" t="s">
        <v>2409</v>
      </c>
      <c r="D1102" t="s">
        <v>2410</v>
      </c>
      <c r="E1102" t="s">
        <v>1409</v>
      </c>
      <c r="G1102" t="str">
        <f>HYPERLINK(_xlfn.CONCAT("https://tablet.otzar.org/",CHAR(35),"/book/650141/p/-1/t/1/fs/0/start/0/end/0/c"),"ההשגחה במקרא")</f>
        <v>ההשגחה במקרא</v>
      </c>
      <c r="H1102" t="str">
        <f>_xlfn.CONCAT("https://tablet.otzar.org/",CHAR(35),"/book/650141/p/-1/t/1/fs/0/start/0/end/0/c")</f>
        <v>https://tablet.otzar.org/#/book/650141/p/-1/t/1/fs/0/start/0/end/0/c</v>
      </c>
    </row>
    <row r="1103" spans="1:8" x14ac:dyDescent="0.25">
      <c r="A1103">
        <v>649328</v>
      </c>
      <c r="B1103" t="s">
        <v>2411</v>
      </c>
      <c r="C1103" t="s">
        <v>2412</v>
      </c>
      <c r="D1103" t="s">
        <v>2413</v>
      </c>
      <c r="E1103" t="s">
        <v>2414</v>
      </c>
      <c r="G1103" t="str">
        <f>HYPERLINK(_xlfn.CONCAT("https://tablet.otzar.org/",CHAR(35),"/exKotar/649328"),"הואיל משה באר &lt;פירוש על אבן עזרא&gt;  - 6 כרכים")</f>
        <v>הואיל משה באר &lt;פירוש על אבן עזרא&gt;  - 6 כרכים</v>
      </c>
      <c r="H1103" t="str">
        <f>_xlfn.CONCAT("https://tablet.otzar.org/",CHAR(35),"/exKotar/649328")</f>
        <v>https://tablet.otzar.org/#/exKotar/649328</v>
      </c>
    </row>
    <row r="1104" spans="1:8" x14ac:dyDescent="0.25">
      <c r="A1104">
        <v>649323</v>
      </c>
      <c r="B1104" t="s">
        <v>2415</v>
      </c>
      <c r="C1104" t="s">
        <v>2412</v>
      </c>
      <c r="D1104" t="s">
        <v>2413</v>
      </c>
      <c r="E1104" t="s">
        <v>2414</v>
      </c>
      <c r="G1104" t="str">
        <f>HYPERLINK(_xlfn.CONCAT("https://tablet.otzar.org/",CHAR(35),"/exKotar/649323"),"הואיל משה באר &lt;על סדר התפילה&gt;  - 2 כרכים")</f>
        <v>הואיל משה באר &lt;על סדר התפילה&gt;  - 2 כרכים</v>
      </c>
      <c r="H1104" t="str">
        <f>_xlfn.CONCAT("https://tablet.otzar.org/",CHAR(35),"/exKotar/649323")</f>
        <v>https://tablet.otzar.org/#/exKotar/649323</v>
      </c>
    </row>
    <row r="1105" spans="1:8" x14ac:dyDescent="0.25">
      <c r="A1105">
        <v>643240</v>
      </c>
      <c r="B1105" t="s">
        <v>2416</v>
      </c>
      <c r="C1105" t="s">
        <v>2417</v>
      </c>
      <c r="D1105" t="s">
        <v>10</v>
      </c>
      <c r="E1105" t="s">
        <v>558</v>
      </c>
      <c r="G1105" t="str">
        <f>HYPERLINK(_xlfn.CONCAT("https://tablet.otzar.org/",CHAR(35),"/book/643240/p/-1/t/1/fs/0/start/0/end/0/c"),"הוד והדר")</f>
        <v>הוד והדר</v>
      </c>
      <c r="H1105" t="str">
        <f>_xlfn.CONCAT("https://tablet.otzar.org/",CHAR(35),"/book/643240/p/-1/t/1/fs/0/start/0/end/0/c")</f>
        <v>https://tablet.otzar.org/#/book/643240/p/-1/t/1/fs/0/start/0/end/0/c</v>
      </c>
    </row>
    <row r="1106" spans="1:8" x14ac:dyDescent="0.25">
      <c r="A1106">
        <v>645390</v>
      </c>
      <c r="B1106" t="s">
        <v>2418</v>
      </c>
      <c r="C1106" t="s">
        <v>2419</v>
      </c>
      <c r="D1106" t="s">
        <v>52</v>
      </c>
      <c r="E1106" t="s">
        <v>117</v>
      </c>
      <c r="G1106" t="str">
        <f>HYPERLINK(_xlfn.CONCAT("https://tablet.otzar.org/",CHAR(35),"/book/645390/p/-1/t/1/fs/0/start/0/end/0/c"),"הוד צבי - א")</f>
        <v>הוד צבי - א</v>
      </c>
      <c r="H1106" t="str">
        <f>_xlfn.CONCAT("https://tablet.otzar.org/",CHAR(35),"/book/645390/p/-1/t/1/fs/0/start/0/end/0/c")</f>
        <v>https://tablet.otzar.org/#/book/645390/p/-1/t/1/fs/0/start/0/end/0/c</v>
      </c>
    </row>
    <row r="1107" spans="1:8" x14ac:dyDescent="0.25">
      <c r="A1107">
        <v>656115</v>
      </c>
      <c r="B1107" t="s">
        <v>2420</v>
      </c>
      <c r="C1107" t="s">
        <v>2421</v>
      </c>
      <c r="D1107" t="s">
        <v>573</v>
      </c>
      <c r="E1107" t="s">
        <v>45</v>
      </c>
      <c r="G1107" t="str">
        <f>HYPERLINK(_xlfn.CONCAT("https://tablet.otzar.org/",CHAR(35),"/book/656115/p/-1/t/1/fs/0/start/0/end/0/c"),"הודאת צבי - קידושין, חגיגה")</f>
        <v>הודאת צבי - קידושין, חגיגה</v>
      </c>
      <c r="H1107" t="str">
        <f>_xlfn.CONCAT("https://tablet.otzar.org/",CHAR(35),"/book/656115/p/-1/t/1/fs/0/start/0/end/0/c")</f>
        <v>https://tablet.otzar.org/#/book/656115/p/-1/t/1/fs/0/start/0/end/0/c</v>
      </c>
    </row>
    <row r="1108" spans="1:8" x14ac:dyDescent="0.25">
      <c r="A1108">
        <v>650184</v>
      </c>
      <c r="B1108" t="s">
        <v>2422</v>
      </c>
      <c r="C1108" t="s">
        <v>2423</v>
      </c>
      <c r="D1108" t="s">
        <v>10</v>
      </c>
      <c r="E1108" t="s">
        <v>293</v>
      </c>
      <c r="G1108" t="str">
        <f>HYPERLINK(_xlfn.CONCAT("https://tablet.otzar.org/",CHAR(35),"/book/650184/p/-1/t/1/fs/0/start/0/end/0/c"),"הוי חסיד")</f>
        <v>הוי חסיד</v>
      </c>
      <c r="H1108" t="str">
        <f>_xlfn.CONCAT("https://tablet.otzar.org/",CHAR(35),"/book/650184/p/-1/t/1/fs/0/start/0/end/0/c")</f>
        <v>https://tablet.otzar.org/#/book/650184/p/-1/t/1/fs/0/start/0/end/0/c</v>
      </c>
    </row>
    <row r="1109" spans="1:8" x14ac:dyDescent="0.25">
      <c r="A1109">
        <v>647668</v>
      </c>
      <c r="B1109" t="s">
        <v>2424</v>
      </c>
      <c r="C1109" t="s">
        <v>2425</v>
      </c>
      <c r="D1109" t="s">
        <v>34</v>
      </c>
      <c r="E1109" t="s">
        <v>11</v>
      </c>
      <c r="G1109" t="str">
        <f>HYPERLINK(_xlfn.CONCAT("https://tablet.otzar.org/",CHAR(35),"/book/647668/p/-1/t/1/fs/0/start/0/end/0/c"),"הולך תמים - בבא בתרא")</f>
        <v>הולך תמים - בבא בתרא</v>
      </c>
      <c r="H1109" t="str">
        <f>_xlfn.CONCAT("https://tablet.otzar.org/",CHAR(35),"/book/647668/p/-1/t/1/fs/0/start/0/end/0/c")</f>
        <v>https://tablet.otzar.org/#/book/647668/p/-1/t/1/fs/0/start/0/end/0/c</v>
      </c>
    </row>
    <row r="1110" spans="1:8" x14ac:dyDescent="0.25">
      <c r="A1110">
        <v>649148</v>
      </c>
      <c r="B1110" t="s">
        <v>2426</v>
      </c>
      <c r="C1110" t="s">
        <v>2427</v>
      </c>
      <c r="E1110" t="s">
        <v>357</v>
      </c>
      <c r="G1110" t="str">
        <f>HYPERLINK(_xlfn.CONCAT("https://tablet.otzar.org/",CHAR(35),"/book/649148/p/-1/t/1/fs/0/start/0/end/0/c"),"הולך תמים ופועל צדק")</f>
        <v>הולך תמים ופועל צדק</v>
      </c>
      <c r="H1110" t="str">
        <f>_xlfn.CONCAT("https://tablet.otzar.org/",CHAR(35),"/book/649148/p/-1/t/1/fs/0/start/0/end/0/c")</f>
        <v>https://tablet.otzar.org/#/book/649148/p/-1/t/1/fs/0/start/0/end/0/c</v>
      </c>
    </row>
    <row r="1111" spans="1:8" x14ac:dyDescent="0.25">
      <c r="A1111">
        <v>652438</v>
      </c>
      <c r="B1111" t="s">
        <v>2428</v>
      </c>
      <c r="C1111" t="s">
        <v>2429</v>
      </c>
      <c r="D1111" t="s">
        <v>951</v>
      </c>
      <c r="E1111" t="s">
        <v>35</v>
      </c>
      <c r="G1111" t="str">
        <f>HYPERLINK(_xlfn.CONCAT("https://tablet.otzar.org/",CHAR(35),"/exKotar/652438"),"הוראה ומשפט &lt;ליובאוויטש&gt;  - 3 כרכים")</f>
        <v>הוראה ומשפט &lt;ליובאוויטש&gt;  - 3 כרכים</v>
      </c>
      <c r="H1111" t="str">
        <f>_xlfn.CONCAT("https://tablet.otzar.org/",CHAR(35),"/exKotar/652438")</f>
        <v>https://tablet.otzar.org/#/exKotar/652438</v>
      </c>
    </row>
    <row r="1112" spans="1:8" x14ac:dyDescent="0.25">
      <c r="A1112">
        <v>653409</v>
      </c>
      <c r="B1112" t="s">
        <v>2430</v>
      </c>
      <c r="C1112" t="s">
        <v>2431</v>
      </c>
      <c r="D1112" t="s">
        <v>52</v>
      </c>
      <c r="E1112" t="s">
        <v>416</v>
      </c>
      <c r="G1112" t="str">
        <f>HYPERLINK(_xlfn.CONCAT("https://tablet.otzar.org/",CHAR(35),"/book/653409/p/-1/t/1/fs/0/start/0/end/0/c"),"הוראות והנהגות מרבינו חיים מוואלוז'ין - אגרת הגר""""א")</f>
        <v>הוראות והנהגות מרבינו חיים מוואלוז'ין - אגרת הגר""א</v>
      </c>
      <c r="H1112" t="str">
        <f>_xlfn.CONCAT("https://tablet.otzar.org/",CHAR(35),"/book/653409/p/-1/t/1/fs/0/start/0/end/0/c")</f>
        <v>https://tablet.otzar.org/#/book/653409/p/-1/t/1/fs/0/start/0/end/0/c</v>
      </c>
    </row>
    <row r="1113" spans="1:8" x14ac:dyDescent="0.25">
      <c r="A1113">
        <v>651917</v>
      </c>
      <c r="B1113" t="s">
        <v>2432</v>
      </c>
      <c r="C1113" t="s">
        <v>2432</v>
      </c>
      <c r="D1113" t="s">
        <v>1512</v>
      </c>
      <c r="E1113" t="s">
        <v>2433</v>
      </c>
      <c r="G1113" t="str">
        <f>HYPERLINK(_xlfn.CONCAT("https://tablet.otzar.org/",CHAR(35),"/book/651917/p/-1/t/1/fs/0/start/0/end/0/c"),"הוראת שעה")</f>
        <v>הוראת שעה</v>
      </c>
      <c r="H1113" t="str">
        <f>_xlfn.CONCAT("https://tablet.otzar.org/",CHAR(35),"/book/651917/p/-1/t/1/fs/0/start/0/end/0/c")</f>
        <v>https://tablet.otzar.org/#/book/651917/p/-1/t/1/fs/0/start/0/end/0/c</v>
      </c>
    </row>
    <row r="1114" spans="1:8" x14ac:dyDescent="0.25">
      <c r="A1114">
        <v>185321</v>
      </c>
      <c r="B1114" t="s">
        <v>2434</v>
      </c>
      <c r="C1114" t="s">
        <v>2435</v>
      </c>
      <c r="D1114" t="s">
        <v>424</v>
      </c>
      <c r="E1114" t="s">
        <v>2436</v>
      </c>
      <c r="G1114" t="str">
        <f>HYPERLINK(_xlfn.CONCAT("https://tablet.otzar.org/",CHAR(35),"/book/185321/p/-1/t/1/fs/0/start/0/end/0/c"),"הורודנקה")</f>
        <v>הורודנקה</v>
      </c>
      <c r="H1114" t="str">
        <f>_xlfn.CONCAT("https://tablet.otzar.org/",CHAR(35),"/book/185321/p/-1/t/1/fs/0/start/0/end/0/c")</f>
        <v>https://tablet.otzar.org/#/book/185321/p/-1/t/1/fs/0/start/0/end/0/c</v>
      </c>
    </row>
    <row r="1115" spans="1:8" x14ac:dyDescent="0.25">
      <c r="A1115">
        <v>656114</v>
      </c>
      <c r="B1115" t="s">
        <v>2437</v>
      </c>
      <c r="C1115" t="s">
        <v>2438</v>
      </c>
      <c r="D1115" t="s">
        <v>52</v>
      </c>
      <c r="E1115" t="s">
        <v>117</v>
      </c>
      <c r="G1115" t="str">
        <f>HYPERLINK(_xlfn.CONCAT("https://tablet.otzar.org/",CHAR(35),"/book/656114/p/-1/t/1/fs/0/start/0/end/0/c"),"הזהיר בנר")</f>
        <v>הזהיר בנר</v>
      </c>
      <c r="H1115" t="str">
        <f>_xlfn.CONCAT("https://tablet.otzar.org/",CHAR(35),"/book/656114/p/-1/t/1/fs/0/start/0/end/0/c")</f>
        <v>https://tablet.otzar.org/#/book/656114/p/-1/t/1/fs/0/start/0/end/0/c</v>
      </c>
    </row>
    <row r="1116" spans="1:8" x14ac:dyDescent="0.25">
      <c r="A1116">
        <v>654638</v>
      </c>
      <c r="B1116" t="s">
        <v>2439</v>
      </c>
      <c r="C1116" t="s">
        <v>2440</v>
      </c>
      <c r="D1116" t="s">
        <v>10</v>
      </c>
      <c r="E1116" t="s">
        <v>11</v>
      </c>
      <c r="G1116" t="str">
        <f>HYPERLINK(_xlfn.CONCAT("https://tablet.otzar.org/",CHAR(35),"/book/654638/p/-1/t/1/fs/0/start/0/end/0/c"),"הזורעים בדמעה")</f>
        <v>הזורעים בדמעה</v>
      </c>
      <c r="H1116" t="str">
        <f>_xlfn.CONCAT("https://tablet.otzar.org/",CHAR(35),"/book/654638/p/-1/t/1/fs/0/start/0/end/0/c")</f>
        <v>https://tablet.otzar.org/#/book/654638/p/-1/t/1/fs/0/start/0/end/0/c</v>
      </c>
    </row>
    <row r="1117" spans="1:8" x14ac:dyDescent="0.25">
      <c r="A1117">
        <v>648434</v>
      </c>
      <c r="B1117" t="s">
        <v>2441</v>
      </c>
      <c r="C1117" t="s">
        <v>2442</v>
      </c>
      <c r="E1117" t="s">
        <v>495</v>
      </c>
      <c r="G1117" t="str">
        <f>HYPERLINK(_xlfn.CONCAT("https://tablet.otzar.org/",CHAR(35),"/book/648434/p/-1/t/1/fs/0/start/0/end/0/c"),"הזיוף הגדול")</f>
        <v>הזיוף הגדול</v>
      </c>
      <c r="H1117" t="str">
        <f>_xlfn.CONCAT("https://tablet.otzar.org/",CHAR(35),"/book/648434/p/-1/t/1/fs/0/start/0/end/0/c")</f>
        <v>https://tablet.otzar.org/#/book/648434/p/-1/t/1/fs/0/start/0/end/0/c</v>
      </c>
    </row>
    <row r="1118" spans="1:8" x14ac:dyDescent="0.25">
      <c r="A1118">
        <v>647152</v>
      </c>
      <c r="B1118" t="s">
        <v>2443</v>
      </c>
      <c r="C1118" t="s">
        <v>2444</v>
      </c>
      <c r="D1118" t="s">
        <v>10</v>
      </c>
      <c r="E1118" t="s">
        <v>763</v>
      </c>
      <c r="G1118" t="str">
        <f>HYPERLINK(_xlfn.CONCAT("https://tablet.otzar.org/",CHAR(35),"/book/647152/p/-1/t/1/fs/0/start/0/end/0/c"),"החברה בהלכה ובמחשבה - ב")</f>
        <v>החברה בהלכה ובמחשבה - ב</v>
      </c>
      <c r="H1118" t="str">
        <f>_xlfn.CONCAT("https://tablet.otzar.org/",CHAR(35),"/book/647152/p/-1/t/1/fs/0/start/0/end/0/c")</f>
        <v>https://tablet.otzar.org/#/book/647152/p/-1/t/1/fs/0/start/0/end/0/c</v>
      </c>
    </row>
    <row r="1119" spans="1:8" x14ac:dyDescent="0.25">
      <c r="A1119">
        <v>647708</v>
      </c>
      <c r="B1119" t="s">
        <v>2445</v>
      </c>
      <c r="C1119" t="s">
        <v>528</v>
      </c>
      <c r="D1119" t="s">
        <v>52</v>
      </c>
      <c r="E1119" t="s">
        <v>35</v>
      </c>
      <c r="G1119" t="str">
        <f>HYPERLINK(_xlfn.CONCAT("https://tablet.otzar.org/",CHAR(35),"/book/647708/p/-1/t/1/fs/0/start/0/end/0/c"),"החודש הזה")</f>
        <v>החודש הזה</v>
      </c>
      <c r="H1119" t="str">
        <f>_xlfn.CONCAT("https://tablet.otzar.org/",CHAR(35),"/book/647708/p/-1/t/1/fs/0/start/0/end/0/c")</f>
        <v>https://tablet.otzar.org/#/book/647708/p/-1/t/1/fs/0/start/0/end/0/c</v>
      </c>
    </row>
    <row r="1120" spans="1:8" x14ac:dyDescent="0.25">
      <c r="A1120">
        <v>655766</v>
      </c>
      <c r="B1120" t="s">
        <v>2446</v>
      </c>
      <c r="C1120" t="s">
        <v>382</v>
      </c>
      <c r="D1120" t="s">
        <v>193</v>
      </c>
      <c r="E1120" t="s">
        <v>11</v>
      </c>
      <c r="G1120" t="str">
        <f>HYPERLINK(_xlfn.CONCAT("https://tablet.otzar.org/",CHAR(35),"/book/655766/p/-1/t/1/fs/0/start/0/end/0/c"),"החוט המשולש - יב")</f>
        <v>החוט המשולש - יב</v>
      </c>
      <c r="H1120" t="str">
        <f>_xlfn.CONCAT("https://tablet.otzar.org/",CHAR(35),"/book/655766/p/-1/t/1/fs/0/start/0/end/0/c")</f>
        <v>https://tablet.otzar.org/#/book/655766/p/-1/t/1/fs/0/start/0/end/0/c</v>
      </c>
    </row>
    <row r="1121" spans="1:8" x14ac:dyDescent="0.25">
      <c r="A1121">
        <v>654466</v>
      </c>
      <c r="B1121" t="s">
        <v>2447</v>
      </c>
      <c r="C1121" t="s">
        <v>2448</v>
      </c>
      <c r="D1121" t="s">
        <v>52</v>
      </c>
      <c r="E1121" t="s">
        <v>11</v>
      </c>
      <c r="G1121" t="str">
        <f>HYPERLINK(_xlfn.CONCAT("https://tablet.otzar.org/",CHAR(35),"/book/654466/p/-1/t/1/fs/0/start/0/end/0/c"),"החיים והשלום")</f>
        <v>החיים והשלום</v>
      </c>
      <c r="H1121" t="str">
        <f>_xlfn.CONCAT("https://tablet.otzar.org/",CHAR(35),"/book/654466/p/-1/t/1/fs/0/start/0/end/0/c")</f>
        <v>https://tablet.otzar.org/#/book/654466/p/-1/t/1/fs/0/start/0/end/0/c</v>
      </c>
    </row>
    <row r="1122" spans="1:8" x14ac:dyDescent="0.25">
      <c r="A1122">
        <v>652587</v>
      </c>
      <c r="B1122" t="s">
        <v>2449</v>
      </c>
      <c r="C1122" t="s">
        <v>2450</v>
      </c>
      <c r="D1122" t="s">
        <v>10</v>
      </c>
      <c r="E1122" t="s">
        <v>2451</v>
      </c>
      <c r="G1122" t="str">
        <f>HYPERLINK(_xlfn.CONCAT("https://tablet.otzar.org/",CHAR(35),"/book/652587/p/-1/t/1/fs/0/start/0/end/0/c"),"החיים והשלום - ב")</f>
        <v>החיים והשלום - ב</v>
      </c>
      <c r="H1122" t="str">
        <f>_xlfn.CONCAT("https://tablet.otzar.org/",CHAR(35),"/book/652587/p/-1/t/1/fs/0/start/0/end/0/c")</f>
        <v>https://tablet.otzar.org/#/book/652587/p/-1/t/1/fs/0/start/0/end/0/c</v>
      </c>
    </row>
    <row r="1123" spans="1:8" x14ac:dyDescent="0.25">
      <c r="A1123">
        <v>651361</v>
      </c>
      <c r="B1123" t="s">
        <v>2452</v>
      </c>
      <c r="C1123" t="s">
        <v>2453</v>
      </c>
      <c r="E1123">
        <v>1991</v>
      </c>
      <c r="G1123" t="str">
        <f>HYPERLINK(_xlfn.CONCAT("https://tablet.otzar.org/",CHAR(35),"/book/651361/p/-1/t/1/fs/0/start/0/end/0/c"),"החיים לפניך")</f>
        <v>החיים לפניך</v>
      </c>
      <c r="H1123" t="str">
        <f>_xlfn.CONCAT("https://tablet.otzar.org/",CHAR(35),"/book/651361/p/-1/t/1/fs/0/start/0/end/0/c")</f>
        <v>https://tablet.otzar.org/#/book/651361/p/-1/t/1/fs/0/start/0/end/0/c</v>
      </c>
    </row>
    <row r="1124" spans="1:8" x14ac:dyDescent="0.25">
      <c r="A1124">
        <v>654486</v>
      </c>
      <c r="B1124" t="s">
        <v>2454</v>
      </c>
      <c r="C1124" t="s">
        <v>2455</v>
      </c>
      <c r="E1124" t="s">
        <v>205</v>
      </c>
      <c r="G1124" t="str">
        <f>HYPERLINK(_xlfn.CONCAT("https://tablet.otzar.org/",CHAR(35),"/book/654486/p/-1/t/1/fs/0/start/0/end/0/c"),"החיל והחוסן")</f>
        <v>החיל והחוסן</v>
      </c>
      <c r="H1124" t="str">
        <f>_xlfn.CONCAT("https://tablet.otzar.org/",CHAR(35),"/book/654486/p/-1/t/1/fs/0/start/0/end/0/c")</f>
        <v>https://tablet.otzar.org/#/book/654486/p/-1/t/1/fs/0/start/0/end/0/c</v>
      </c>
    </row>
    <row r="1125" spans="1:8" x14ac:dyDescent="0.25">
      <c r="A1125">
        <v>652907</v>
      </c>
      <c r="B1125" t="s">
        <v>2456</v>
      </c>
      <c r="C1125" t="s">
        <v>617</v>
      </c>
      <c r="D1125" t="s">
        <v>39</v>
      </c>
      <c r="E1125" t="s">
        <v>1881</v>
      </c>
      <c r="G1125" t="str">
        <f>HYPERLINK(_xlfn.CONCAT("https://tablet.otzar.org/",CHAR(35),"/book/652907/p/-1/t/1/fs/0/start/0/end/0/c"),"החינוך הדתי")</f>
        <v>החינוך הדתי</v>
      </c>
      <c r="H1125" t="str">
        <f>_xlfn.CONCAT("https://tablet.otzar.org/",CHAR(35),"/book/652907/p/-1/t/1/fs/0/start/0/end/0/c")</f>
        <v>https://tablet.otzar.org/#/book/652907/p/-1/t/1/fs/0/start/0/end/0/c</v>
      </c>
    </row>
    <row r="1126" spans="1:8" x14ac:dyDescent="0.25">
      <c r="A1126">
        <v>651483</v>
      </c>
      <c r="B1126" t="s">
        <v>2457</v>
      </c>
      <c r="C1126" t="s">
        <v>2458</v>
      </c>
      <c r="D1126" t="s">
        <v>606</v>
      </c>
      <c r="E1126" t="s">
        <v>11</v>
      </c>
      <c r="G1126" t="str">
        <f>HYPERLINK(_xlfn.CONCAT("https://tablet.otzar.org/",CHAR(35),"/book/651483/p/-1/t/1/fs/0/start/0/end/0/c"),"החיפני והגלילי - שלשלת רבני חיפה")</f>
        <v>החיפני והגלילי - שלשלת רבני חיפה</v>
      </c>
      <c r="H1126" t="str">
        <f>_xlfn.CONCAT("https://tablet.otzar.org/",CHAR(35),"/book/651483/p/-1/t/1/fs/0/start/0/end/0/c")</f>
        <v>https://tablet.otzar.org/#/book/651483/p/-1/t/1/fs/0/start/0/end/0/c</v>
      </c>
    </row>
    <row r="1127" spans="1:8" x14ac:dyDescent="0.25">
      <c r="A1127">
        <v>650385</v>
      </c>
      <c r="B1127" t="s">
        <v>2459</v>
      </c>
      <c r="C1127" t="s">
        <v>614</v>
      </c>
      <c r="D1127" t="s">
        <v>2460</v>
      </c>
      <c r="E1127" t="s">
        <v>2461</v>
      </c>
      <c r="G1127" t="str">
        <f>HYPERLINK(_xlfn.CONCAT("https://tablet.otzar.org/",CHAR(35),"/book/650385/p/-1/t/1/fs/0/start/0/end/0/c"),"החלוף")</f>
        <v>החלוף</v>
      </c>
      <c r="H1127" t="str">
        <f>_xlfn.CONCAT("https://tablet.otzar.org/",CHAR(35),"/book/650385/p/-1/t/1/fs/0/start/0/end/0/c")</f>
        <v>https://tablet.otzar.org/#/book/650385/p/-1/t/1/fs/0/start/0/end/0/c</v>
      </c>
    </row>
    <row r="1128" spans="1:8" x14ac:dyDescent="0.25">
      <c r="A1128">
        <v>647903</v>
      </c>
      <c r="B1128" t="s">
        <v>2462</v>
      </c>
      <c r="C1128" t="s">
        <v>2463</v>
      </c>
      <c r="D1128" t="s">
        <v>58</v>
      </c>
      <c r="E1128" t="s">
        <v>2464</v>
      </c>
      <c r="G1128" t="str">
        <f>HYPERLINK(_xlfn.CONCAT("https://tablet.otzar.org/",CHAR(35),"/book/647903/p/-1/t/1/fs/0/start/0/end/0/c"),"החלוקה")</f>
        <v>החלוקה</v>
      </c>
      <c r="H1128" t="str">
        <f>_xlfn.CONCAT("https://tablet.otzar.org/",CHAR(35),"/book/647903/p/-1/t/1/fs/0/start/0/end/0/c")</f>
        <v>https://tablet.otzar.org/#/book/647903/p/-1/t/1/fs/0/start/0/end/0/c</v>
      </c>
    </row>
    <row r="1129" spans="1:8" x14ac:dyDescent="0.25">
      <c r="A1129">
        <v>652852</v>
      </c>
      <c r="B1129" t="s">
        <v>2465</v>
      </c>
      <c r="C1129" t="s">
        <v>2466</v>
      </c>
      <c r="D1129" t="s">
        <v>10</v>
      </c>
      <c r="E1129" t="s">
        <v>2368</v>
      </c>
      <c r="G1129" t="str">
        <f>HYPERLINK(_xlfn.CONCAT("https://tablet.otzar.org/",CHAR(35),"/book/652852/p/-1/t/1/fs/0/start/0/end/0/c"),"החסיד מהמבורג")</f>
        <v>החסיד מהמבורג</v>
      </c>
      <c r="H1129" t="str">
        <f>_xlfn.CONCAT("https://tablet.otzar.org/",CHAR(35),"/book/652852/p/-1/t/1/fs/0/start/0/end/0/c")</f>
        <v>https://tablet.otzar.org/#/book/652852/p/-1/t/1/fs/0/start/0/end/0/c</v>
      </c>
    </row>
    <row r="1130" spans="1:8" x14ac:dyDescent="0.25">
      <c r="A1130">
        <v>651064</v>
      </c>
      <c r="B1130" t="s">
        <v>2467</v>
      </c>
      <c r="C1130" t="s">
        <v>1999</v>
      </c>
      <c r="D1130" t="s">
        <v>70</v>
      </c>
      <c r="E1130" t="s">
        <v>34</v>
      </c>
      <c r="G1130" t="str">
        <f>HYPERLINK(_xlfn.CONCAT("https://tablet.otzar.org/",CHAR(35),"/book/651064/p/-1/t/1/fs/0/start/0/end/0/c"),"החציצה הלכה למעשה")</f>
        <v>החציצה הלכה למעשה</v>
      </c>
      <c r="H1130" t="str">
        <f>_xlfn.CONCAT("https://tablet.otzar.org/",CHAR(35),"/book/651064/p/-1/t/1/fs/0/start/0/end/0/c")</f>
        <v>https://tablet.otzar.org/#/book/651064/p/-1/t/1/fs/0/start/0/end/0/c</v>
      </c>
    </row>
    <row r="1131" spans="1:8" x14ac:dyDescent="0.25">
      <c r="A1131">
        <v>654989</v>
      </c>
      <c r="B1131" t="s">
        <v>2468</v>
      </c>
      <c r="C1131" t="s">
        <v>2469</v>
      </c>
      <c r="D1131" t="s">
        <v>10</v>
      </c>
      <c r="E1131" t="s">
        <v>11</v>
      </c>
      <c r="G1131" t="str">
        <f>HYPERLINK(_xlfn.CONCAT("https://tablet.otzar.org/",CHAR(35),"/book/654989/p/-1/t/1/fs/0/start/0/end/0/c"),"החשמל בשבת")</f>
        <v>החשמל בשבת</v>
      </c>
      <c r="H1131" t="str">
        <f>_xlfn.CONCAT("https://tablet.otzar.org/",CHAR(35),"/book/654989/p/-1/t/1/fs/0/start/0/end/0/c")</f>
        <v>https://tablet.otzar.org/#/book/654989/p/-1/t/1/fs/0/start/0/end/0/c</v>
      </c>
    </row>
    <row r="1132" spans="1:8" x14ac:dyDescent="0.25">
      <c r="A1132">
        <v>654255</v>
      </c>
      <c r="B1132" t="s">
        <v>2470</v>
      </c>
      <c r="C1132" t="s">
        <v>2471</v>
      </c>
      <c r="E1132" t="s">
        <v>45</v>
      </c>
      <c r="G1132" t="str">
        <f>HYPERLINK(_xlfn.CONCAT("https://tablet.otzar.org/",CHAR(35),"/book/654255/p/-1/t/1/fs/0/start/0/end/0/c"),"הט""""ז הידוע")</f>
        <v>הט""ז הידוע</v>
      </c>
      <c r="H1132" t="str">
        <f>_xlfn.CONCAT("https://tablet.otzar.org/",CHAR(35),"/book/654255/p/-1/t/1/fs/0/start/0/end/0/c")</f>
        <v>https://tablet.otzar.org/#/book/654255/p/-1/t/1/fs/0/start/0/end/0/c</v>
      </c>
    </row>
    <row r="1133" spans="1:8" x14ac:dyDescent="0.25">
      <c r="A1133">
        <v>652815</v>
      </c>
      <c r="B1133" t="s">
        <v>2472</v>
      </c>
      <c r="C1133" t="s">
        <v>851</v>
      </c>
      <c r="D1133" t="s">
        <v>129</v>
      </c>
      <c r="E1133" t="s">
        <v>2473</v>
      </c>
      <c r="G1133" t="str">
        <f>HYPERLINK(_xlfn.CONCAT("https://tablet.otzar.org/",CHAR(35),"/book/652815/p/-1/t/1/fs/0/start/0/end/0/c"),"הטבע")</f>
        <v>הטבע</v>
      </c>
      <c r="H1133" t="str">
        <f>_xlfn.CONCAT("https://tablet.otzar.org/",CHAR(35),"/book/652815/p/-1/t/1/fs/0/start/0/end/0/c")</f>
        <v>https://tablet.otzar.org/#/book/652815/p/-1/t/1/fs/0/start/0/end/0/c</v>
      </c>
    </row>
    <row r="1134" spans="1:8" x14ac:dyDescent="0.25">
      <c r="A1134">
        <v>655232</v>
      </c>
      <c r="B1134" t="s">
        <v>2474</v>
      </c>
      <c r="C1134" t="s">
        <v>911</v>
      </c>
      <c r="D1134" t="s">
        <v>10</v>
      </c>
      <c r="E1134" t="s">
        <v>84</v>
      </c>
      <c r="G1134" t="str">
        <f>HYPERLINK(_xlfn.CONCAT("https://tablet.otzar.org/",CHAR(35),"/book/655232/p/-1/t/1/fs/0/start/0/end/0/c"),"הטהרה בהלכה ובאגדה (מקוצר)")</f>
        <v>הטהרה בהלכה ובאגדה (מקוצר)</v>
      </c>
      <c r="H1134" t="str">
        <f>_xlfn.CONCAT("https://tablet.otzar.org/",CHAR(35),"/book/655232/p/-1/t/1/fs/0/start/0/end/0/c")</f>
        <v>https://tablet.otzar.org/#/book/655232/p/-1/t/1/fs/0/start/0/end/0/c</v>
      </c>
    </row>
    <row r="1135" spans="1:8" x14ac:dyDescent="0.25">
      <c r="A1135">
        <v>647759</v>
      </c>
      <c r="B1135" t="s">
        <v>2475</v>
      </c>
      <c r="C1135" t="s">
        <v>2476</v>
      </c>
      <c r="D1135" t="s">
        <v>52</v>
      </c>
      <c r="E1135" t="s">
        <v>191</v>
      </c>
      <c r="G1135" t="str">
        <f>HYPERLINK(_xlfn.CONCAT("https://tablet.otzar.org/",CHAR(35),"/book/647759/p/-1/t/1/fs/0/start/0/end/0/c"),"היא שיחתי")</f>
        <v>היא שיחתי</v>
      </c>
      <c r="H1135" t="str">
        <f>_xlfn.CONCAT("https://tablet.otzar.org/",CHAR(35),"/book/647759/p/-1/t/1/fs/0/start/0/end/0/c")</f>
        <v>https://tablet.otzar.org/#/book/647759/p/-1/t/1/fs/0/start/0/end/0/c</v>
      </c>
    </row>
    <row r="1136" spans="1:8" x14ac:dyDescent="0.25">
      <c r="A1136">
        <v>15403</v>
      </c>
      <c r="B1136" t="s">
        <v>2477</v>
      </c>
      <c r="C1136" t="s">
        <v>2478</v>
      </c>
      <c r="D1136" t="s">
        <v>10</v>
      </c>
      <c r="E1136" t="s">
        <v>2368</v>
      </c>
      <c r="G1136" t="str">
        <f>HYPERLINK(_xlfn.CONCAT("https://tablet.otzar.org/",CHAR(35),"/book/15403/p/-1/t/1/fs/0/start/0/end/0/c"),"היהדות מבעד לסורג ובריח")</f>
        <v>היהדות מבעד לסורג ובריח</v>
      </c>
      <c r="H1136" t="str">
        <f>_xlfn.CONCAT("https://tablet.otzar.org/",CHAR(35),"/book/15403/p/-1/t/1/fs/0/start/0/end/0/c")</f>
        <v>https://tablet.otzar.org/#/book/15403/p/-1/t/1/fs/0/start/0/end/0/c</v>
      </c>
    </row>
    <row r="1137" spans="1:8" x14ac:dyDescent="0.25">
      <c r="A1137">
        <v>652754</v>
      </c>
      <c r="B1137" t="s">
        <v>2479</v>
      </c>
      <c r="C1137" t="s">
        <v>2480</v>
      </c>
      <c r="D1137" t="s">
        <v>921</v>
      </c>
      <c r="E1137" t="s">
        <v>2481</v>
      </c>
      <c r="G1137" t="str">
        <f>HYPERLINK(_xlfn.CONCAT("https://tablet.otzar.org/",CHAR(35),"/book/652754/p/-1/t/1/fs/0/start/0/end/0/c"),"היהודים והיהדות בנויארק")</f>
        <v>היהודים והיהדות בנויארק</v>
      </c>
      <c r="H1137" t="str">
        <f>_xlfn.CONCAT("https://tablet.otzar.org/",CHAR(35),"/book/652754/p/-1/t/1/fs/0/start/0/end/0/c")</f>
        <v>https://tablet.otzar.org/#/book/652754/p/-1/t/1/fs/0/start/0/end/0/c</v>
      </c>
    </row>
    <row r="1138" spans="1:8" x14ac:dyDescent="0.25">
      <c r="A1138">
        <v>649974</v>
      </c>
      <c r="B1138" t="s">
        <v>2482</v>
      </c>
      <c r="C1138" t="s">
        <v>2483</v>
      </c>
      <c r="D1138" t="s">
        <v>52</v>
      </c>
      <c r="E1138" t="s">
        <v>45</v>
      </c>
      <c r="G1138" t="str">
        <f>HYPERLINK(_xlfn.CONCAT("https://tablet.otzar.org/",CHAR(35),"/book/649974/p/-1/t/1/fs/0/start/0/end/0/c"),"היומנים נחשפים")</f>
        <v>היומנים נחשפים</v>
      </c>
      <c r="H1138" t="str">
        <f>_xlfn.CONCAT("https://tablet.otzar.org/",CHAR(35),"/book/649974/p/-1/t/1/fs/0/start/0/end/0/c")</f>
        <v>https://tablet.otzar.org/#/book/649974/p/-1/t/1/fs/0/start/0/end/0/c</v>
      </c>
    </row>
    <row r="1139" spans="1:8" x14ac:dyDescent="0.25">
      <c r="A1139">
        <v>652809</v>
      </c>
      <c r="B1139" t="s">
        <v>2484</v>
      </c>
      <c r="C1139" t="s">
        <v>851</v>
      </c>
      <c r="D1139" t="s">
        <v>129</v>
      </c>
      <c r="E1139" t="s">
        <v>2305</v>
      </c>
      <c r="G1139" t="str">
        <f>HYPERLINK(_xlfn.CONCAT("https://tablet.otzar.org/",CHAR(35),"/book/652809/p/-1/t/1/fs/0/start/0/end/0/c"),"היופי שבצער")</f>
        <v>היופי שבצער</v>
      </c>
      <c r="H1139" t="str">
        <f>_xlfn.CONCAT("https://tablet.otzar.org/",CHAR(35),"/book/652809/p/-1/t/1/fs/0/start/0/end/0/c")</f>
        <v>https://tablet.otzar.org/#/book/652809/p/-1/t/1/fs/0/start/0/end/0/c</v>
      </c>
    </row>
    <row r="1140" spans="1:8" x14ac:dyDescent="0.25">
      <c r="A1140">
        <v>651798</v>
      </c>
      <c r="B1140" t="s">
        <v>2485</v>
      </c>
      <c r="C1140" t="s">
        <v>1628</v>
      </c>
      <c r="D1140" t="s">
        <v>424</v>
      </c>
      <c r="E1140" t="s">
        <v>769</v>
      </c>
      <c r="G1140" t="str">
        <f>HYPERLINK(_xlfn.CONCAT("https://tablet.otzar.org/",CHAR(35),"/book/651798/p/-1/t/1/fs/0/start/0/end/0/c"),"היחיד בדורות")</f>
        <v>היחיד בדורות</v>
      </c>
      <c r="H1140" t="str">
        <f>_xlfn.CONCAT("https://tablet.otzar.org/",CHAR(35),"/book/651798/p/-1/t/1/fs/0/start/0/end/0/c")</f>
        <v>https://tablet.otzar.org/#/book/651798/p/-1/t/1/fs/0/start/0/end/0/c</v>
      </c>
    </row>
    <row r="1141" spans="1:8" x14ac:dyDescent="0.25">
      <c r="A1141">
        <v>651747</v>
      </c>
      <c r="B1141" t="s">
        <v>2486</v>
      </c>
      <c r="C1141" t="s">
        <v>2487</v>
      </c>
      <c r="D1141" t="s">
        <v>34</v>
      </c>
      <c r="E1141" t="s">
        <v>45</v>
      </c>
      <c r="G1141" t="str">
        <f>HYPERLINK(_xlfn.CONCAT("https://tablet.otzar.org/",CHAR(35),"/book/651747/p/-1/t/1/fs/0/start/0/end/0/c"),"היכון לקראת אלוקיך יעקב")</f>
        <v>היכון לקראת אלוקיך יעקב</v>
      </c>
      <c r="H1141" t="str">
        <f>_xlfn.CONCAT("https://tablet.otzar.org/",CHAR(35),"/book/651747/p/-1/t/1/fs/0/start/0/end/0/c")</f>
        <v>https://tablet.otzar.org/#/book/651747/p/-1/t/1/fs/0/start/0/end/0/c</v>
      </c>
    </row>
    <row r="1142" spans="1:8" x14ac:dyDescent="0.25">
      <c r="A1142">
        <v>653200</v>
      </c>
      <c r="B1142" t="s">
        <v>2488</v>
      </c>
      <c r="C1142" t="s">
        <v>2489</v>
      </c>
      <c r="E1142" t="s">
        <v>405</v>
      </c>
      <c r="G1142" t="str">
        <f>HYPERLINK(_xlfn.CONCAT("https://tablet.otzar.org/",CHAR(35),"/book/653200/p/-1/t/1/fs/0/start/0/end/0/c"),"היכל הזכות")</f>
        <v>היכל הזכות</v>
      </c>
      <c r="H1142" t="str">
        <f>_xlfn.CONCAT("https://tablet.otzar.org/",CHAR(35),"/book/653200/p/-1/t/1/fs/0/start/0/end/0/c")</f>
        <v>https://tablet.otzar.org/#/book/653200/p/-1/t/1/fs/0/start/0/end/0/c</v>
      </c>
    </row>
    <row r="1143" spans="1:8" x14ac:dyDescent="0.25">
      <c r="A1143">
        <v>651888</v>
      </c>
      <c r="B1143" t="s">
        <v>2490</v>
      </c>
      <c r="C1143" t="s">
        <v>2491</v>
      </c>
      <c r="E1143" t="s">
        <v>11</v>
      </c>
      <c r="G1143" t="str">
        <f>HYPERLINK(_xlfn.CONCAT("https://tablet.otzar.org/",CHAR(35),"/book/651888/p/-1/t/1/fs/0/start/0/end/0/c"),"היכל השמחה")</f>
        <v>היכל השמחה</v>
      </c>
      <c r="H1143" t="str">
        <f>_xlfn.CONCAT("https://tablet.otzar.org/",CHAR(35),"/book/651888/p/-1/t/1/fs/0/start/0/end/0/c")</f>
        <v>https://tablet.otzar.org/#/book/651888/p/-1/t/1/fs/0/start/0/end/0/c</v>
      </c>
    </row>
    <row r="1144" spans="1:8" x14ac:dyDescent="0.25">
      <c r="A1144">
        <v>651773</v>
      </c>
      <c r="B1144" t="s">
        <v>2492</v>
      </c>
      <c r="C1144" t="s">
        <v>2493</v>
      </c>
      <c r="D1144" t="s">
        <v>10</v>
      </c>
      <c r="E1144" t="s">
        <v>84</v>
      </c>
      <c r="G1144" t="str">
        <f>HYPERLINK(_xlfn.CONCAT("https://tablet.otzar.org/",CHAR(35),"/exKotar/651773"),"היכלא - 3 כרכים")</f>
        <v>היכלא - 3 כרכים</v>
      </c>
      <c r="H1144" t="str">
        <f>_xlfn.CONCAT("https://tablet.otzar.org/",CHAR(35),"/exKotar/651773")</f>
        <v>https://tablet.otzar.org/#/exKotar/651773</v>
      </c>
    </row>
    <row r="1145" spans="1:8" x14ac:dyDescent="0.25">
      <c r="A1145">
        <v>651750</v>
      </c>
      <c r="B1145" t="s">
        <v>2494</v>
      </c>
      <c r="C1145" t="s">
        <v>2495</v>
      </c>
      <c r="D1145" t="s">
        <v>34</v>
      </c>
      <c r="E1145" t="s">
        <v>45</v>
      </c>
      <c r="G1145" t="str">
        <f>HYPERLINK(_xlfn.CONCAT("https://tablet.otzar.org/",CHAR(35),"/book/651750/p/-1/t/1/fs/0/start/0/end/0/c"),"הימים הלאומיים - גישת חב""""ד")</f>
        <v>הימים הלאומיים - גישת חב""ד</v>
      </c>
      <c r="H1145" t="str">
        <f>_xlfn.CONCAT("https://tablet.otzar.org/",CHAR(35),"/book/651750/p/-1/t/1/fs/0/start/0/end/0/c")</f>
        <v>https://tablet.otzar.org/#/book/651750/p/-1/t/1/fs/0/start/0/end/0/c</v>
      </c>
    </row>
    <row r="1146" spans="1:8" x14ac:dyDescent="0.25">
      <c r="A1146">
        <v>652497</v>
      </c>
      <c r="B1146" t="s">
        <v>2496</v>
      </c>
      <c r="C1146" t="s">
        <v>2497</v>
      </c>
      <c r="E1146" t="s">
        <v>184</v>
      </c>
      <c r="G1146" t="str">
        <f>HYPERLINK(_xlfn.CONCAT("https://tablet.otzar.org/",CHAR(35),"/book/652497/p/-1/t/1/fs/0/start/0/end/0/c"),"הין צדק &lt;מהדורה חדשה&gt;")</f>
        <v>הין צדק &lt;מהדורה חדשה&gt;</v>
      </c>
      <c r="H1146" t="str">
        <f>_xlfn.CONCAT("https://tablet.otzar.org/",CHAR(35),"/book/652497/p/-1/t/1/fs/0/start/0/end/0/c")</f>
        <v>https://tablet.otzar.org/#/book/652497/p/-1/t/1/fs/0/start/0/end/0/c</v>
      </c>
    </row>
    <row r="1147" spans="1:8" x14ac:dyDescent="0.25">
      <c r="A1147">
        <v>647904</v>
      </c>
      <c r="B1147" t="s">
        <v>2498</v>
      </c>
      <c r="C1147" t="s">
        <v>2499</v>
      </c>
      <c r="D1147" t="s">
        <v>10</v>
      </c>
      <c r="E1147" t="s">
        <v>2191</v>
      </c>
      <c r="G1147" t="str">
        <f>HYPERLINK(_xlfn.CONCAT("https://tablet.otzar.org/",CHAR(35),"/book/647904/p/-1/t/1/fs/0/start/0/end/0/c"),"הירח")</f>
        <v>הירח</v>
      </c>
      <c r="H1147" t="str">
        <f>_xlfn.CONCAT("https://tablet.otzar.org/",CHAR(35),"/book/647904/p/-1/t/1/fs/0/start/0/end/0/c")</f>
        <v>https://tablet.otzar.org/#/book/647904/p/-1/t/1/fs/0/start/0/end/0/c</v>
      </c>
    </row>
    <row r="1148" spans="1:8" x14ac:dyDescent="0.25">
      <c r="A1148">
        <v>639701</v>
      </c>
      <c r="B1148" t="s">
        <v>2500</v>
      </c>
      <c r="C1148" t="s">
        <v>2501</v>
      </c>
      <c r="D1148" t="s">
        <v>139</v>
      </c>
      <c r="E1148" t="s">
        <v>35</v>
      </c>
      <c r="G1148" t="str">
        <f>HYPERLINK(_xlfn.CONCAT("https://tablet.otzar.org/",CHAR(35),"/book/639701/p/-1/t/1/fs/0/start/0/end/0/c"),"היתה אור""""ה")</f>
        <v>היתה אור""ה</v>
      </c>
      <c r="H1148" t="str">
        <f>_xlfn.CONCAT("https://tablet.otzar.org/",CHAR(35),"/book/639701/p/-1/t/1/fs/0/start/0/end/0/c")</f>
        <v>https://tablet.otzar.org/#/book/639701/p/-1/t/1/fs/0/start/0/end/0/c</v>
      </c>
    </row>
    <row r="1149" spans="1:8" x14ac:dyDescent="0.25">
      <c r="A1149">
        <v>652973</v>
      </c>
      <c r="B1149" t="s">
        <v>2502</v>
      </c>
      <c r="C1149" t="s">
        <v>2503</v>
      </c>
      <c r="D1149" t="s">
        <v>340</v>
      </c>
      <c r="E1149" t="s">
        <v>45</v>
      </c>
      <c r="G1149" t="str">
        <f>HYPERLINK(_xlfn.CONCAT("https://tablet.otzar.org/",CHAR(35),"/book/652973/p/-1/t/1/fs/0/start/0/end/0/c"),"הכאב האמיתי")</f>
        <v>הכאב האמיתי</v>
      </c>
      <c r="H1149" t="str">
        <f>_xlfn.CONCAT("https://tablet.otzar.org/",CHAR(35),"/book/652973/p/-1/t/1/fs/0/start/0/end/0/c")</f>
        <v>https://tablet.otzar.org/#/book/652973/p/-1/t/1/fs/0/start/0/end/0/c</v>
      </c>
    </row>
    <row r="1150" spans="1:8" x14ac:dyDescent="0.25">
      <c r="A1150">
        <v>648246</v>
      </c>
      <c r="B1150" t="s">
        <v>2504</v>
      </c>
      <c r="C1150" t="s">
        <v>2505</v>
      </c>
      <c r="D1150" t="s">
        <v>10</v>
      </c>
      <c r="E1150" t="s">
        <v>246</v>
      </c>
      <c r="G1150" t="str">
        <f>HYPERLINK(_xlfn.CONCAT("https://tablet.otzar.org/",CHAR(35),"/book/648246/p/-1/t/1/fs/0/start/0/end/0/c"),"הכוזרי &lt;מבחר פרקים&gt;")</f>
        <v>הכוזרי &lt;מבחר פרקים&gt;</v>
      </c>
      <c r="H1150" t="str">
        <f>_xlfn.CONCAT("https://tablet.otzar.org/",CHAR(35),"/book/648246/p/-1/t/1/fs/0/start/0/end/0/c")</f>
        <v>https://tablet.otzar.org/#/book/648246/p/-1/t/1/fs/0/start/0/end/0/c</v>
      </c>
    </row>
    <row r="1151" spans="1:8" x14ac:dyDescent="0.25">
      <c r="A1151">
        <v>641180</v>
      </c>
      <c r="B1151" t="s">
        <v>2506</v>
      </c>
      <c r="C1151" t="s">
        <v>2507</v>
      </c>
      <c r="D1151" t="s">
        <v>10</v>
      </c>
      <c r="E1151" t="s">
        <v>111</v>
      </c>
      <c r="G1151" t="str">
        <f>HYPERLINK(_xlfn.CONCAT("https://tablet.otzar.org/",CHAR(35),"/book/641180/p/-1/t/1/fs/0/start/0/end/0/c"),"הכינוס לעיון בהלכות הקודש והמקדש")</f>
        <v>הכינוס לעיון בהלכות הקודש והמקדש</v>
      </c>
      <c r="H1151" t="str">
        <f>_xlfn.CONCAT("https://tablet.otzar.org/",CHAR(35),"/book/641180/p/-1/t/1/fs/0/start/0/end/0/c")</f>
        <v>https://tablet.otzar.org/#/book/641180/p/-1/t/1/fs/0/start/0/end/0/c</v>
      </c>
    </row>
    <row r="1152" spans="1:8" x14ac:dyDescent="0.25">
      <c r="A1152">
        <v>615686</v>
      </c>
      <c r="B1152" t="s">
        <v>2508</v>
      </c>
      <c r="C1152" t="s">
        <v>2509</v>
      </c>
      <c r="D1152" t="s">
        <v>139</v>
      </c>
      <c r="E1152" t="s">
        <v>62</v>
      </c>
      <c r="G1152" t="str">
        <f>HYPERLINK(_xlfn.CONCAT("https://tablet.otzar.org/",CHAR(35),"/book/615686/p/-1/t/1/fs/0/start/0/end/0/c"),"הכנה לסעודה")</f>
        <v>הכנה לסעודה</v>
      </c>
      <c r="H1152" t="str">
        <f>_xlfn.CONCAT("https://tablet.otzar.org/",CHAR(35),"/book/615686/p/-1/t/1/fs/0/start/0/end/0/c")</f>
        <v>https://tablet.otzar.org/#/book/615686/p/-1/t/1/fs/0/start/0/end/0/c</v>
      </c>
    </row>
    <row r="1153" spans="1:8" x14ac:dyDescent="0.25">
      <c r="A1153">
        <v>651095</v>
      </c>
      <c r="B1153" t="s">
        <v>2510</v>
      </c>
      <c r="C1153" t="s">
        <v>2511</v>
      </c>
      <c r="D1153" t="s">
        <v>2512</v>
      </c>
      <c r="E1153" t="s">
        <v>405</v>
      </c>
      <c r="G1153" t="str">
        <f>HYPERLINK(_xlfn.CONCAT("https://tablet.otzar.org/",CHAR(35),"/book/651095/p/-1/t/1/fs/0/start/0/end/0/c"),"הכנות לחתונה")</f>
        <v>הכנות לחתונה</v>
      </c>
      <c r="H1153" t="str">
        <f>_xlfn.CONCAT("https://tablet.otzar.org/",CHAR(35),"/book/651095/p/-1/t/1/fs/0/start/0/end/0/c")</f>
        <v>https://tablet.otzar.org/#/book/651095/p/-1/t/1/fs/0/start/0/end/0/c</v>
      </c>
    </row>
    <row r="1154" spans="1:8" x14ac:dyDescent="0.25">
      <c r="A1154">
        <v>647934</v>
      </c>
      <c r="B1154" t="s">
        <v>2513</v>
      </c>
      <c r="C1154" t="s">
        <v>2514</v>
      </c>
      <c r="D1154" t="s">
        <v>10</v>
      </c>
      <c r="E1154" t="s">
        <v>2515</v>
      </c>
      <c r="G1154" t="str">
        <f>HYPERLINK(_xlfn.CONCAT("https://tablet.otzar.org/",CHAR(35),"/book/647934/p/-1/t/1/fs/0/start/0/end/0/c"),"הכתב והלשון - ג")</f>
        <v>הכתב והלשון - ג</v>
      </c>
      <c r="H1154" t="str">
        <f>_xlfn.CONCAT("https://tablet.otzar.org/",CHAR(35),"/book/647934/p/-1/t/1/fs/0/start/0/end/0/c")</f>
        <v>https://tablet.otzar.org/#/book/647934/p/-1/t/1/fs/0/start/0/end/0/c</v>
      </c>
    </row>
    <row r="1155" spans="1:8" x14ac:dyDescent="0.25">
      <c r="A1155">
        <v>655936</v>
      </c>
      <c r="B1155" t="s">
        <v>2516</v>
      </c>
      <c r="C1155" t="s">
        <v>2517</v>
      </c>
      <c r="D1155" t="s">
        <v>139</v>
      </c>
      <c r="E1155" t="s">
        <v>11</v>
      </c>
      <c r="G1155" t="str">
        <f>HYPERLINK(_xlfn.CONCAT("https://tablet.otzar.org/",CHAR(35),"/book/655936/p/-1/t/1/fs/0/start/0/end/0/c"),"הכתוב לחיים - כתובות")</f>
        <v>הכתוב לחיים - כתובות</v>
      </c>
      <c r="H1155" t="str">
        <f>_xlfn.CONCAT("https://tablet.otzar.org/",CHAR(35),"/book/655936/p/-1/t/1/fs/0/start/0/end/0/c")</f>
        <v>https://tablet.otzar.org/#/book/655936/p/-1/t/1/fs/0/start/0/end/0/c</v>
      </c>
    </row>
    <row r="1156" spans="1:8" x14ac:dyDescent="0.25">
      <c r="A1156">
        <v>650488</v>
      </c>
      <c r="B1156" t="s">
        <v>2518</v>
      </c>
      <c r="C1156" t="s">
        <v>1350</v>
      </c>
      <c r="D1156" t="s">
        <v>2519</v>
      </c>
      <c r="E1156" t="s">
        <v>2520</v>
      </c>
      <c r="G1156" t="str">
        <f>HYPERLINK(_xlfn.CONCAT("https://tablet.otzar.org/",CHAR(35),"/book/650488/p/-1/t/1/fs/0/start/0/end/0/c"),"הלולא רבא - ל""""ג בעומר")</f>
        <v>הלולא רבא - ל""ג בעומר</v>
      </c>
      <c r="H1156" t="str">
        <f>_xlfn.CONCAT("https://tablet.otzar.org/",CHAR(35),"/book/650488/p/-1/t/1/fs/0/start/0/end/0/c")</f>
        <v>https://tablet.otzar.org/#/book/650488/p/-1/t/1/fs/0/start/0/end/0/c</v>
      </c>
    </row>
    <row r="1157" spans="1:8" x14ac:dyDescent="0.25">
      <c r="A1157">
        <v>650499</v>
      </c>
      <c r="B1157" t="s">
        <v>2521</v>
      </c>
      <c r="C1157" t="s">
        <v>2522</v>
      </c>
      <c r="D1157" t="s">
        <v>2519</v>
      </c>
      <c r="E1157" t="s">
        <v>577</v>
      </c>
      <c r="G1157" t="str">
        <f>HYPERLINK(_xlfn.CONCAT("https://tablet.otzar.org/",CHAR(35),"/book/650499/p/-1/t/1/fs/0/start/0/end/0/c"),"הלולא רבא")</f>
        <v>הלולא רבא</v>
      </c>
      <c r="H1157" t="str">
        <f>_xlfn.CONCAT("https://tablet.otzar.org/",CHAR(35),"/book/650499/p/-1/t/1/fs/0/start/0/end/0/c")</f>
        <v>https://tablet.otzar.org/#/book/650499/p/-1/t/1/fs/0/start/0/end/0/c</v>
      </c>
    </row>
    <row r="1158" spans="1:8" x14ac:dyDescent="0.25">
      <c r="A1158">
        <v>649930</v>
      </c>
      <c r="B1158" t="s">
        <v>2521</v>
      </c>
      <c r="C1158" t="s">
        <v>976</v>
      </c>
      <c r="D1158" t="s">
        <v>10</v>
      </c>
      <c r="E1158" t="s">
        <v>2523</v>
      </c>
      <c r="G1158" t="str">
        <f>HYPERLINK(_xlfn.CONCAT("https://tablet.otzar.org/",CHAR(35),"/book/649930/p/-1/t/1/fs/0/start/0/end/0/c"),"הלולא רבא")</f>
        <v>הלולא רבא</v>
      </c>
      <c r="H1158" t="str">
        <f>_xlfn.CONCAT("https://tablet.otzar.org/",CHAR(35),"/book/649930/p/-1/t/1/fs/0/start/0/end/0/c")</f>
        <v>https://tablet.otzar.org/#/book/649930/p/-1/t/1/fs/0/start/0/end/0/c</v>
      </c>
    </row>
    <row r="1159" spans="1:8" x14ac:dyDescent="0.25">
      <c r="A1159">
        <v>649550</v>
      </c>
      <c r="B1159" t="s">
        <v>2524</v>
      </c>
      <c r="C1159" t="s">
        <v>2525</v>
      </c>
      <c r="D1159" t="s">
        <v>10</v>
      </c>
      <c r="E1159" t="s">
        <v>2062</v>
      </c>
      <c r="G1159" t="str">
        <f>HYPERLINK(_xlfn.CONCAT("https://tablet.otzar.org/",CHAR(35),"/book/649550/p/-1/t/1/fs/0/start/0/end/0/c"),"הלולא רבא החדש")</f>
        <v>הלולא רבא החדש</v>
      </c>
      <c r="H1159" t="str">
        <f>_xlfn.CONCAT("https://tablet.otzar.org/",CHAR(35),"/book/649550/p/-1/t/1/fs/0/start/0/end/0/c")</f>
        <v>https://tablet.otzar.org/#/book/649550/p/-1/t/1/fs/0/start/0/end/0/c</v>
      </c>
    </row>
    <row r="1160" spans="1:8" x14ac:dyDescent="0.25">
      <c r="A1160">
        <v>649220</v>
      </c>
      <c r="B1160" t="s">
        <v>2526</v>
      </c>
      <c r="C1160" t="s">
        <v>2527</v>
      </c>
      <c r="D1160" t="s">
        <v>340</v>
      </c>
      <c r="E1160" t="s">
        <v>11</v>
      </c>
      <c r="G1160" t="str">
        <f>HYPERLINK(_xlfn.CONCAT("https://tablet.otzar.org/",CHAR(35),"/book/649220/p/-1/t/1/fs/0/start/0/end/0/c"),"הלולי דוד")</f>
        <v>הלולי דוד</v>
      </c>
      <c r="H1160" t="str">
        <f>_xlfn.CONCAT("https://tablet.otzar.org/",CHAR(35),"/book/649220/p/-1/t/1/fs/0/start/0/end/0/c")</f>
        <v>https://tablet.otzar.org/#/book/649220/p/-1/t/1/fs/0/start/0/end/0/c</v>
      </c>
    </row>
    <row r="1161" spans="1:8" x14ac:dyDescent="0.25">
      <c r="A1161">
        <v>650520</v>
      </c>
      <c r="B1161" t="s">
        <v>2528</v>
      </c>
      <c r="C1161" t="s">
        <v>2529</v>
      </c>
      <c r="D1161" t="s">
        <v>10</v>
      </c>
      <c r="E1161" t="s">
        <v>35</v>
      </c>
      <c r="G1161" t="str">
        <f>HYPERLINK(_xlfn.CONCAT("https://tablet.otzar.org/",CHAR(35),"/book/650520/p/-1/t/1/fs/0/start/0/end/0/c"),"הליכות אבן ישראל - שבת ב")</f>
        <v>הליכות אבן ישראל - שבת ב</v>
      </c>
      <c r="H1161" t="str">
        <f>_xlfn.CONCAT("https://tablet.otzar.org/",CHAR(35),"/book/650520/p/-1/t/1/fs/0/start/0/end/0/c")</f>
        <v>https://tablet.otzar.org/#/book/650520/p/-1/t/1/fs/0/start/0/end/0/c</v>
      </c>
    </row>
    <row r="1162" spans="1:8" x14ac:dyDescent="0.25">
      <c r="A1162">
        <v>651769</v>
      </c>
      <c r="B1162" t="s">
        <v>2530</v>
      </c>
      <c r="C1162" t="s">
        <v>2531</v>
      </c>
      <c r="D1162" t="s">
        <v>52</v>
      </c>
      <c r="E1162" t="s">
        <v>35</v>
      </c>
      <c r="G1162" t="str">
        <f>HYPERLINK(_xlfn.CONCAT("https://tablet.otzar.org/",CHAR(35),"/exKotar/651769"),"הליכות בכורות - 2 כרכים")</f>
        <v>הליכות בכורות - 2 כרכים</v>
      </c>
      <c r="H1162" t="str">
        <f>_xlfn.CONCAT("https://tablet.otzar.org/",CHAR(35),"/exKotar/651769")</f>
        <v>https://tablet.otzar.org/#/exKotar/651769</v>
      </c>
    </row>
    <row r="1163" spans="1:8" x14ac:dyDescent="0.25">
      <c r="A1163">
        <v>650235</v>
      </c>
      <c r="B1163" t="s">
        <v>2532</v>
      </c>
      <c r="C1163" t="s">
        <v>2533</v>
      </c>
      <c r="D1163" t="s">
        <v>10</v>
      </c>
      <c r="E1163" t="s">
        <v>2534</v>
      </c>
      <c r="G1163" t="str">
        <f>HYPERLINK(_xlfn.CONCAT("https://tablet.otzar.org/",CHAR(35),"/book/650235/p/-1/t/1/fs/0/start/0/end/0/c"),"הליכות המשנה - ראש השנה")</f>
        <v>הליכות המשנה - ראש השנה</v>
      </c>
      <c r="H1163" t="str">
        <f>_xlfn.CONCAT("https://tablet.otzar.org/",CHAR(35),"/book/650235/p/-1/t/1/fs/0/start/0/end/0/c")</f>
        <v>https://tablet.otzar.org/#/book/650235/p/-1/t/1/fs/0/start/0/end/0/c</v>
      </c>
    </row>
    <row r="1164" spans="1:8" x14ac:dyDescent="0.25">
      <c r="A1164">
        <v>655193</v>
      </c>
      <c r="B1164" t="s">
        <v>2535</v>
      </c>
      <c r="C1164" t="s">
        <v>928</v>
      </c>
      <c r="D1164" t="s">
        <v>287</v>
      </c>
      <c r="E1164" t="s">
        <v>2536</v>
      </c>
      <c r="G1164" t="str">
        <f>HYPERLINK(_xlfn.CONCAT("https://tablet.otzar.org/",CHAR(35),"/book/655193/p/-1/t/1/fs/0/start/0/end/0/c"),"הליכות הסופר")</f>
        <v>הליכות הסופר</v>
      </c>
      <c r="H1164" t="str">
        <f>_xlfn.CONCAT("https://tablet.otzar.org/",CHAR(35),"/book/655193/p/-1/t/1/fs/0/start/0/end/0/c")</f>
        <v>https://tablet.otzar.org/#/book/655193/p/-1/t/1/fs/0/start/0/end/0/c</v>
      </c>
    </row>
    <row r="1165" spans="1:8" x14ac:dyDescent="0.25">
      <c r="A1165">
        <v>650965</v>
      </c>
      <c r="B1165" t="s">
        <v>2537</v>
      </c>
      <c r="C1165" t="s">
        <v>1003</v>
      </c>
      <c r="E1165" t="s">
        <v>2538</v>
      </c>
      <c r="G1165" t="str">
        <f>HYPERLINK(_xlfn.CONCAT("https://tablet.otzar.org/",CHAR(35),"/book/650965/p/-1/t/1/fs/0/start/0/end/0/c"),"הליכות והנהגות מרן הגרי""""ש אלישיב - פורים")</f>
        <v>הליכות והנהגות מרן הגרי""ש אלישיב - פורים</v>
      </c>
      <c r="H1165" t="str">
        <f>_xlfn.CONCAT("https://tablet.otzar.org/",CHAR(35),"/book/650965/p/-1/t/1/fs/0/start/0/end/0/c")</f>
        <v>https://tablet.otzar.org/#/book/650965/p/-1/t/1/fs/0/start/0/end/0/c</v>
      </c>
    </row>
    <row r="1166" spans="1:8" x14ac:dyDescent="0.25">
      <c r="A1166">
        <v>655391</v>
      </c>
      <c r="B1166" t="s">
        <v>2539</v>
      </c>
      <c r="C1166" t="s">
        <v>2540</v>
      </c>
      <c r="D1166" t="s">
        <v>2314</v>
      </c>
      <c r="E1166" t="s">
        <v>2541</v>
      </c>
      <c r="G1166" t="str">
        <f>HYPERLINK(_xlfn.CONCAT("https://tablet.otzar.org/",CHAR(35),"/exKotar/655391"),"הליכות חיים - 2 כרכים")</f>
        <v>הליכות חיים - 2 כרכים</v>
      </c>
      <c r="H1166" t="str">
        <f>_xlfn.CONCAT("https://tablet.otzar.org/",CHAR(35),"/exKotar/655391")</f>
        <v>https://tablet.otzar.org/#/exKotar/655391</v>
      </c>
    </row>
    <row r="1167" spans="1:8" x14ac:dyDescent="0.25">
      <c r="A1167">
        <v>650872</v>
      </c>
      <c r="B1167" t="s">
        <v>2542</v>
      </c>
      <c r="C1167" t="s">
        <v>2543</v>
      </c>
      <c r="D1167" t="s">
        <v>10</v>
      </c>
      <c r="E1167" t="s">
        <v>146</v>
      </c>
      <c r="G1167" t="str">
        <f>HYPERLINK(_xlfn.CONCAT("https://tablet.otzar.org/",CHAR(35),"/book/650872/p/-1/t/1/fs/0/start/0/end/0/c"),"הליכות טוהר")</f>
        <v>הליכות טוהר</v>
      </c>
      <c r="H1167" t="str">
        <f>_xlfn.CONCAT("https://tablet.otzar.org/",CHAR(35),"/book/650872/p/-1/t/1/fs/0/start/0/end/0/c")</f>
        <v>https://tablet.otzar.org/#/book/650872/p/-1/t/1/fs/0/start/0/end/0/c</v>
      </c>
    </row>
    <row r="1168" spans="1:8" x14ac:dyDescent="0.25">
      <c r="A1168">
        <v>655165</v>
      </c>
      <c r="B1168" t="s">
        <v>2544</v>
      </c>
      <c r="C1168" t="s">
        <v>2545</v>
      </c>
      <c r="D1168" t="s">
        <v>10</v>
      </c>
      <c r="E1168" t="s">
        <v>35</v>
      </c>
      <c r="G1168" t="str">
        <f>HYPERLINK(_xlfn.CONCAT("https://tablet.otzar.org/",CHAR(35),"/book/655165/p/-1/t/1/fs/0/start/0/end/0/c"),"הליכות ירח האיתנים - סדר תקיעותנו ארבעת המינים")</f>
        <v>הליכות ירח האיתנים - סדר תקיעותנו ארבעת המינים</v>
      </c>
      <c r="H1168" t="str">
        <f>_xlfn.CONCAT("https://tablet.otzar.org/",CHAR(35),"/book/655165/p/-1/t/1/fs/0/start/0/end/0/c")</f>
        <v>https://tablet.otzar.org/#/book/655165/p/-1/t/1/fs/0/start/0/end/0/c</v>
      </c>
    </row>
    <row r="1169" spans="1:8" x14ac:dyDescent="0.25">
      <c r="A1169">
        <v>651771</v>
      </c>
      <c r="B1169" t="s">
        <v>2546</v>
      </c>
      <c r="C1169" t="s">
        <v>2531</v>
      </c>
      <c r="D1169" t="s">
        <v>52</v>
      </c>
      <c r="E1169" t="s">
        <v>11</v>
      </c>
      <c r="G1169" t="str">
        <f>HYPERLINK(_xlfn.CONCAT("https://tablet.otzar.org/",CHAR(35),"/exKotar/651771"),"הליכות כריתות - 2 כרכים")</f>
        <v>הליכות כריתות - 2 כרכים</v>
      </c>
      <c r="H1169" t="str">
        <f>_xlfn.CONCAT("https://tablet.otzar.org/",CHAR(35),"/exKotar/651771")</f>
        <v>https://tablet.otzar.org/#/exKotar/651771</v>
      </c>
    </row>
    <row r="1170" spans="1:8" x14ac:dyDescent="0.25">
      <c r="A1170">
        <v>651847</v>
      </c>
      <c r="B1170" t="s">
        <v>2547</v>
      </c>
      <c r="C1170" t="s">
        <v>2531</v>
      </c>
      <c r="D1170" t="s">
        <v>52</v>
      </c>
      <c r="E1170" t="s">
        <v>70</v>
      </c>
      <c r="G1170" t="str">
        <f>HYPERLINK(_xlfn.CONCAT("https://tablet.otzar.org/",CHAR(35),"/book/651847/p/-1/t/1/fs/0/start/0/end/0/c"),"הליכות מעילה")</f>
        <v>הליכות מעילה</v>
      </c>
      <c r="H1170" t="str">
        <f>_xlfn.CONCAT("https://tablet.otzar.org/",CHAR(35),"/book/651847/p/-1/t/1/fs/0/start/0/end/0/c")</f>
        <v>https://tablet.otzar.org/#/book/651847/p/-1/t/1/fs/0/start/0/end/0/c</v>
      </c>
    </row>
    <row r="1171" spans="1:8" x14ac:dyDescent="0.25">
      <c r="A1171">
        <v>655334</v>
      </c>
      <c r="B1171" t="s">
        <v>2548</v>
      </c>
      <c r="C1171" t="s">
        <v>2145</v>
      </c>
      <c r="D1171" t="s">
        <v>10</v>
      </c>
      <c r="E1171" t="s">
        <v>2549</v>
      </c>
      <c r="G1171" t="str">
        <f>HYPERLINK(_xlfn.CONCAT("https://tablet.otzar.org/",CHAR(35),"/exKotar/655334"),"הליכות עולם - 8 כרכים")</f>
        <v>הליכות עולם - 8 כרכים</v>
      </c>
      <c r="H1171" t="str">
        <f>_xlfn.CONCAT("https://tablet.otzar.org/",CHAR(35),"/exKotar/655334")</f>
        <v>https://tablet.otzar.org/#/exKotar/655334</v>
      </c>
    </row>
    <row r="1172" spans="1:8" x14ac:dyDescent="0.25">
      <c r="A1172">
        <v>653201</v>
      </c>
      <c r="B1172" t="s">
        <v>2550</v>
      </c>
      <c r="C1172" t="s">
        <v>2551</v>
      </c>
      <c r="E1172" t="s">
        <v>11</v>
      </c>
      <c r="G1172" t="str">
        <f>HYPERLINK(_xlfn.CONCAT("https://tablet.otzar.org/",CHAR(35),"/book/653201/p/-1/t/1/fs/0/start/0/end/0/c"),"הליכות עולם לו")</f>
        <v>הליכות עולם לו</v>
      </c>
      <c r="H1172" t="str">
        <f>_xlfn.CONCAT("https://tablet.otzar.org/",CHAR(35),"/book/653201/p/-1/t/1/fs/0/start/0/end/0/c")</f>
        <v>https://tablet.otzar.org/#/book/653201/p/-1/t/1/fs/0/start/0/end/0/c</v>
      </c>
    </row>
    <row r="1173" spans="1:8" x14ac:dyDescent="0.25">
      <c r="A1173">
        <v>655168</v>
      </c>
      <c r="B1173" t="s">
        <v>2552</v>
      </c>
      <c r="C1173" t="s">
        <v>2545</v>
      </c>
      <c r="D1173" t="s">
        <v>340</v>
      </c>
      <c r="E1173" t="s">
        <v>35</v>
      </c>
      <c r="G1173" t="str">
        <f>HYPERLINK(_xlfn.CONCAT("https://tablet.otzar.org/",CHAR(35),"/book/655168/p/-1/t/1/fs/0/start/0/end/0/c"),"הליכות פסח")</f>
        <v>הליכות פסח</v>
      </c>
      <c r="H1173" t="str">
        <f>_xlfn.CONCAT("https://tablet.otzar.org/",CHAR(35),"/book/655168/p/-1/t/1/fs/0/start/0/end/0/c")</f>
        <v>https://tablet.otzar.org/#/book/655168/p/-1/t/1/fs/0/start/0/end/0/c</v>
      </c>
    </row>
    <row r="1174" spans="1:8" x14ac:dyDescent="0.25">
      <c r="A1174">
        <v>652834</v>
      </c>
      <c r="B1174" t="s">
        <v>2553</v>
      </c>
      <c r="C1174" t="s">
        <v>2554</v>
      </c>
      <c r="D1174" t="s">
        <v>10</v>
      </c>
      <c r="E1174" t="s">
        <v>710</v>
      </c>
      <c r="G1174" t="str">
        <f>HYPERLINK(_xlfn.CONCAT("https://tablet.otzar.org/",CHAR(35),"/exKotar/652834"),"הליכות שדה - 12 כרכים")</f>
        <v>הליכות שדה - 12 כרכים</v>
      </c>
      <c r="H1174" t="str">
        <f>_xlfn.CONCAT("https://tablet.otzar.org/",CHAR(35),"/exKotar/652834")</f>
        <v>https://tablet.otzar.org/#/exKotar/652834</v>
      </c>
    </row>
    <row r="1175" spans="1:8" x14ac:dyDescent="0.25">
      <c r="A1175">
        <v>639296</v>
      </c>
      <c r="B1175" t="s">
        <v>2555</v>
      </c>
      <c r="C1175" t="s">
        <v>2556</v>
      </c>
      <c r="D1175" t="s">
        <v>347</v>
      </c>
      <c r="E1175" t="s">
        <v>45</v>
      </c>
      <c r="G1175" t="str">
        <f>HYPERLINK(_xlfn.CONCAT("https://tablet.otzar.org/",CHAR(35),"/book/639296/p/-1/t/1/fs/0/start/0/end/0/c"),"הלילא דמרדכי")</f>
        <v>הלילא דמרדכי</v>
      </c>
      <c r="H1175" t="str">
        <f>_xlfn.CONCAT("https://tablet.otzar.org/",CHAR(35),"/book/639296/p/-1/t/1/fs/0/start/0/end/0/c")</f>
        <v>https://tablet.otzar.org/#/book/639296/p/-1/t/1/fs/0/start/0/end/0/c</v>
      </c>
    </row>
    <row r="1176" spans="1:8" x14ac:dyDescent="0.25">
      <c r="A1176">
        <v>651614</v>
      </c>
      <c r="B1176" t="s">
        <v>2557</v>
      </c>
      <c r="C1176" t="s">
        <v>590</v>
      </c>
      <c r="D1176" t="s">
        <v>10</v>
      </c>
      <c r="E1176" t="s">
        <v>35</v>
      </c>
      <c r="G1176" t="str">
        <f>HYPERLINK(_xlfn.CONCAT("https://tablet.otzar.org/",CHAR(35),"/book/651614/p/-1/t/1/fs/0/start/0/end/0/c"),"הלימוד עם נותן התורה")</f>
        <v>הלימוד עם נותן התורה</v>
      </c>
      <c r="H1176" t="str">
        <f>_xlfn.CONCAT("https://tablet.otzar.org/",CHAR(35),"/book/651614/p/-1/t/1/fs/0/start/0/end/0/c")</f>
        <v>https://tablet.otzar.org/#/book/651614/p/-1/t/1/fs/0/start/0/end/0/c</v>
      </c>
    </row>
    <row r="1177" spans="1:8" x14ac:dyDescent="0.25">
      <c r="A1177">
        <v>651831</v>
      </c>
      <c r="B1177" t="s">
        <v>2558</v>
      </c>
      <c r="C1177" t="s">
        <v>2559</v>
      </c>
      <c r="D1177" t="s">
        <v>10</v>
      </c>
      <c r="E1177" t="s">
        <v>11</v>
      </c>
      <c r="G1177" t="str">
        <f>HYPERLINK(_xlfn.CONCAT("https://tablet.otzar.org/",CHAR(35),"/book/651831/p/-1/t/1/fs/0/start/0/end/0/c"),"הלכה ברורה - יט")</f>
        <v>הלכה ברורה - יט</v>
      </c>
      <c r="H1177" t="str">
        <f>_xlfn.CONCAT("https://tablet.otzar.org/",CHAR(35),"/book/651831/p/-1/t/1/fs/0/start/0/end/0/c")</f>
        <v>https://tablet.otzar.org/#/book/651831/p/-1/t/1/fs/0/start/0/end/0/c</v>
      </c>
    </row>
    <row r="1178" spans="1:8" x14ac:dyDescent="0.25">
      <c r="A1178">
        <v>655458</v>
      </c>
      <c r="B1178" t="s">
        <v>2560</v>
      </c>
      <c r="C1178" t="s">
        <v>2561</v>
      </c>
      <c r="D1178" t="s">
        <v>10</v>
      </c>
      <c r="E1178" t="s">
        <v>312</v>
      </c>
      <c r="G1178" t="str">
        <f>HYPERLINK(_xlfn.CONCAT("https://tablet.otzar.org/",CHAR(35),"/exKotar/655458"),"הלכה ומשפט - 6 כרכים")</f>
        <v>הלכה ומשפט - 6 כרכים</v>
      </c>
      <c r="H1178" t="str">
        <f>_xlfn.CONCAT("https://tablet.otzar.org/",CHAR(35),"/exKotar/655458")</f>
        <v>https://tablet.otzar.org/#/exKotar/655458</v>
      </c>
    </row>
    <row r="1179" spans="1:8" x14ac:dyDescent="0.25">
      <c r="A1179">
        <v>649735</v>
      </c>
      <c r="B1179" t="s">
        <v>2562</v>
      </c>
      <c r="C1179" t="s">
        <v>2563</v>
      </c>
      <c r="D1179" t="s">
        <v>52</v>
      </c>
      <c r="E1179" t="s">
        <v>11</v>
      </c>
      <c r="G1179" t="str">
        <f>HYPERLINK(_xlfn.CONCAT("https://tablet.otzar.org/",CHAR(35),"/book/649735/p/-1/t/1/fs/0/start/0/end/0/c"),"הלכה למעשה - שביעית")</f>
        <v>הלכה למעשה - שביעית</v>
      </c>
      <c r="H1179" t="str">
        <f>_xlfn.CONCAT("https://tablet.otzar.org/",CHAR(35),"/book/649735/p/-1/t/1/fs/0/start/0/end/0/c")</f>
        <v>https://tablet.otzar.org/#/book/649735/p/-1/t/1/fs/0/start/0/end/0/c</v>
      </c>
    </row>
    <row r="1180" spans="1:8" x14ac:dyDescent="0.25">
      <c r="A1180">
        <v>650026</v>
      </c>
      <c r="B1180" t="s">
        <v>2564</v>
      </c>
      <c r="C1180" t="s">
        <v>2565</v>
      </c>
      <c r="E1180" t="s">
        <v>817</v>
      </c>
      <c r="G1180" t="str">
        <f>HYPERLINK(_xlfn.CONCAT("https://tablet.otzar.org/",CHAR(35),"/book/650026/p/-1/t/1/fs/0/start/0/end/0/c"),"הלכה סדורה")</f>
        <v>הלכה סדורה</v>
      </c>
      <c r="H1180" t="str">
        <f>_xlfn.CONCAT("https://tablet.otzar.org/",CHAR(35),"/book/650026/p/-1/t/1/fs/0/start/0/end/0/c")</f>
        <v>https://tablet.otzar.org/#/book/650026/p/-1/t/1/fs/0/start/0/end/0/c</v>
      </c>
    </row>
    <row r="1181" spans="1:8" x14ac:dyDescent="0.25">
      <c r="A1181">
        <v>649880</v>
      </c>
      <c r="B1181" t="s">
        <v>2566</v>
      </c>
      <c r="C1181" t="s">
        <v>2567</v>
      </c>
      <c r="D1181" t="s">
        <v>347</v>
      </c>
      <c r="E1181" t="s">
        <v>35</v>
      </c>
      <c r="G1181" t="str">
        <f>HYPERLINK(_xlfn.CONCAT("https://tablet.otzar.org/",CHAR(35),"/exKotar/649880"),"הלכה שלימה - 2 כרכים")</f>
        <v>הלכה שלימה - 2 כרכים</v>
      </c>
      <c r="H1181" t="str">
        <f>_xlfn.CONCAT("https://tablet.otzar.org/",CHAR(35),"/exKotar/649880")</f>
        <v>https://tablet.otzar.org/#/exKotar/649880</v>
      </c>
    </row>
    <row r="1182" spans="1:8" x14ac:dyDescent="0.25">
      <c r="A1182">
        <v>651057</v>
      </c>
      <c r="B1182" t="s">
        <v>2568</v>
      </c>
      <c r="C1182" t="s">
        <v>2569</v>
      </c>
      <c r="D1182" t="s">
        <v>52</v>
      </c>
      <c r="E1182" t="s">
        <v>70</v>
      </c>
      <c r="G1182" t="str">
        <f>HYPERLINK(_xlfn.CONCAT("https://tablet.otzar.org/",CHAR(35),"/book/651057/p/-1/t/1/fs/0/start/0/end/0/c"),"הלכות """"קירבה"""", והלכות יחוד")</f>
        <v>הלכות ""קירבה"", והלכות יחוד</v>
      </c>
      <c r="H1182" t="str">
        <f>_xlfn.CONCAT("https://tablet.otzar.org/",CHAR(35),"/book/651057/p/-1/t/1/fs/0/start/0/end/0/c")</f>
        <v>https://tablet.otzar.org/#/book/651057/p/-1/t/1/fs/0/start/0/end/0/c</v>
      </c>
    </row>
    <row r="1183" spans="1:8" x14ac:dyDescent="0.25">
      <c r="A1183">
        <v>648441</v>
      </c>
      <c r="B1183" t="s">
        <v>2570</v>
      </c>
      <c r="C1183" t="s">
        <v>2571</v>
      </c>
      <c r="D1183" t="s">
        <v>10</v>
      </c>
      <c r="E1183" t="s">
        <v>574</v>
      </c>
      <c r="G1183" t="str">
        <f>HYPERLINK(_xlfn.CONCAT("https://tablet.otzar.org/",CHAR(35),"/book/648441/p/-1/t/1/fs/0/start/0/end/0/c"),"הלכות ברכת האילנות")</f>
        <v>הלכות ברכת האילנות</v>
      </c>
      <c r="H1183" t="str">
        <f>_xlfn.CONCAT("https://tablet.otzar.org/",CHAR(35),"/book/648441/p/-1/t/1/fs/0/start/0/end/0/c")</f>
        <v>https://tablet.otzar.org/#/book/648441/p/-1/t/1/fs/0/start/0/end/0/c</v>
      </c>
    </row>
    <row r="1184" spans="1:8" x14ac:dyDescent="0.25">
      <c r="A1184">
        <v>651348</v>
      </c>
      <c r="B1184" t="s">
        <v>2572</v>
      </c>
      <c r="C1184" t="s">
        <v>2573</v>
      </c>
      <c r="D1184" t="s">
        <v>34</v>
      </c>
      <c r="E1184" t="s">
        <v>70</v>
      </c>
      <c r="G1184" t="str">
        <f>HYPERLINK(_xlfn.CONCAT("https://tablet.otzar.org/",CHAR(35),"/book/651348/p/-1/t/1/fs/0/start/0/end/0/c"),"הלכות דנדה")</f>
        <v>הלכות דנדה</v>
      </c>
      <c r="H1184" t="str">
        <f>_xlfn.CONCAT("https://tablet.otzar.org/",CHAR(35),"/book/651348/p/-1/t/1/fs/0/start/0/end/0/c")</f>
        <v>https://tablet.otzar.org/#/book/651348/p/-1/t/1/fs/0/start/0/end/0/c</v>
      </c>
    </row>
    <row r="1185" spans="1:8" x14ac:dyDescent="0.25">
      <c r="A1185">
        <v>649742</v>
      </c>
      <c r="B1185" t="s">
        <v>2574</v>
      </c>
      <c r="C1185" t="s">
        <v>1730</v>
      </c>
      <c r="E1185" t="s">
        <v>11</v>
      </c>
      <c r="G1185" t="str">
        <f>HYPERLINK(_xlfn.CONCAT("https://tablet.otzar.org/",CHAR(35),"/book/649742/p/-1/t/1/fs/0/start/0/end/0/c"),"הלכות הגינה")</f>
        <v>הלכות הגינה</v>
      </c>
      <c r="H1185" t="str">
        <f>_xlfn.CONCAT("https://tablet.otzar.org/",CHAR(35),"/book/649742/p/-1/t/1/fs/0/start/0/end/0/c")</f>
        <v>https://tablet.otzar.org/#/book/649742/p/-1/t/1/fs/0/start/0/end/0/c</v>
      </c>
    </row>
    <row r="1186" spans="1:8" x14ac:dyDescent="0.25">
      <c r="A1186">
        <v>654754</v>
      </c>
      <c r="B1186" t="s">
        <v>2575</v>
      </c>
      <c r="C1186" t="s">
        <v>2576</v>
      </c>
      <c r="D1186" t="s">
        <v>34</v>
      </c>
      <c r="E1186" t="s">
        <v>11</v>
      </c>
      <c r="G1186" t="str">
        <f>HYPERLINK(_xlfn.CONCAT("https://tablet.otzar.org/",CHAR(35),"/book/654754/p/-1/t/1/fs/0/start/0/end/0/c"),"הלכות הרי""""ף כפשוטן - שבת")</f>
        <v>הלכות הרי""ף כפשוטן - שבת</v>
      </c>
      <c r="H1186" t="str">
        <f>_xlfn.CONCAT("https://tablet.otzar.org/",CHAR(35),"/book/654754/p/-1/t/1/fs/0/start/0/end/0/c")</f>
        <v>https://tablet.otzar.org/#/book/654754/p/-1/t/1/fs/0/start/0/end/0/c</v>
      </c>
    </row>
    <row r="1187" spans="1:8" x14ac:dyDescent="0.25">
      <c r="A1187">
        <v>647321</v>
      </c>
      <c r="B1187" t="s">
        <v>2577</v>
      </c>
      <c r="C1187" t="s">
        <v>2578</v>
      </c>
      <c r="D1187" t="s">
        <v>28</v>
      </c>
      <c r="E1187" t="s">
        <v>11</v>
      </c>
      <c r="G1187" t="str">
        <f>HYPERLINK(_xlfn.CONCAT("https://tablet.otzar.org/",CHAR(35),"/book/647321/p/-1/t/1/fs/0/start/0/end/0/c"),"הלכות ומנהגי בית כנסת")</f>
        <v>הלכות ומנהגי בית כנסת</v>
      </c>
      <c r="H1187" t="str">
        <f>_xlfn.CONCAT("https://tablet.otzar.org/",CHAR(35),"/book/647321/p/-1/t/1/fs/0/start/0/end/0/c")</f>
        <v>https://tablet.otzar.org/#/book/647321/p/-1/t/1/fs/0/start/0/end/0/c</v>
      </c>
    </row>
    <row r="1188" spans="1:8" x14ac:dyDescent="0.25">
      <c r="A1188">
        <v>649829</v>
      </c>
      <c r="B1188" t="s">
        <v>2579</v>
      </c>
      <c r="C1188" t="s">
        <v>2580</v>
      </c>
      <c r="D1188" t="s">
        <v>609</v>
      </c>
      <c r="E1188" t="s">
        <v>35</v>
      </c>
      <c r="G1188" t="str">
        <f>HYPERLINK(_xlfn.CONCAT("https://tablet.otzar.org/",CHAR(35),"/book/649829/p/-1/t/1/fs/0/start/0/end/0/c"),"הלכות ומנהגים למתפלל יחידי")</f>
        <v>הלכות ומנהגים למתפלל יחידי</v>
      </c>
      <c r="H1188" t="str">
        <f>_xlfn.CONCAT("https://tablet.otzar.org/",CHAR(35),"/book/649829/p/-1/t/1/fs/0/start/0/end/0/c")</f>
        <v>https://tablet.otzar.org/#/book/649829/p/-1/t/1/fs/0/start/0/end/0/c</v>
      </c>
    </row>
    <row r="1189" spans="1:8" x14ac:dyDescent="0.25">
      <c r="A1189">
        <v>654303</v>
      </c>
      <c r="B1189" t="s">
        <v>2581</v>
      </c>
      <c r="C1189" t="s">
        <v>2582</v>
      </c>
      <c r="D1189" t="s">
        <v>10</v>
      </c>
      <c r="E1189" t="s">
        <v>11</v>
      </c>
      <c r="G1189" t="str">
        <f>HYPERLINK(_xlfn.CONCAT("https://tablet.otzar.org/",CHAR(35),"/book/654303/p/-1/t/1/fs/0/start/0/end/0/c"),"הלכות חג הפסח שחל בשבת")</f>
        <v>הלכות חג הפסח שחל בשבת</v>
      </c>
      <c r="H1189" t="str">
        <f>_xlfn.CONCAT("https://tablet.otzar.org/",CHAR(35),"/book/654303/p/-1/t/1/fs/0/start/0/end/0/c")</f>
        <v>https://tablet.otzar.org/#/book/654303/p/-1/t/1/fs/0/start/0/end/0/c</v>
      </c>
    </row>
    <row r="1190" spans="1:8" x14ac:dyDescent="0.25">
      <c r="A1190">
        <v>651979</v>
      </c>
      <c r="B1190" t="s">
        <v>2583</v>
      </c>
      <c r="C1190" t="s">
        <v>2584</v>
      </c>
      <c r="D1190" t="s">
        <v>386</v>
      </c>
      <c r="E1190" t="s">
        <v>35</v>
      </c>
      <c r="G1190" t="str">
        <f>HYPERLINK(_xlfn.CONCAT("https://tablet.otzar.org/",CHAR(35),"/book/651979/p/-1/t/1/fs/0/start/0/end/0/c"),"הלכות חג השבועות תשפ""""א")</f>
        <v>הלכות חג השבועות תשפ""א</v>
      </c>
      <c r="H1190" t="str">
        <f>_xlfn.CONCAT("https://tablet.otzar.org/",CHAR(35),"/book/651979/p/-1/t/1/fs/0/start/0/end/0/c")</f>
        <v>https://tablet.otzar.org/#/book/651979/p/-1/t/1/fs/0/start/0/end/0/c</v>
      </c>
    </row>
    <row r="1191" spans="1:8" x14ac:dyDescent="0.25">
      <c r="A1191">
        <v>647707</v>
      </c>
      <c r="B1191" t="s">
        <v>2585</v>
      </c>
      <c r="C1191" t="s">
        <v>528</v>
      </c>
      <c r="D1191" t="s">
        <v>52</v>
      </c>
      <c r="E1191" t="s">
        <v>11</v>
      </c>
      <c r="G1191" t="str">
        <f>HYPERLINK(_xlfn.CONCAT("https://tablet.otzar.org/",CHAR(35),"/book/647707/p/-1/t/1/fs/0/start/0/end/0/c"),"הלכות חנוכה")</f>
        <v>הלכות חנוכה</v>
      </c>
      <c r="H1191" t="str">
        <f>_xlfn.CONCAT("https://tablet.otzar.org/",CHAR(35),"/book/647707/p/-1/t/1/fs/0/start/0/end/0/c")</f>
        <v>https://tablet.otzar.org/#/book/647707/p/-1/t/1/fs/0/start/0/end/0/c</v>
      </c>
    </row>
    <row r="1192" spans="1:8" x14ac:dyDescent="0.25">
      <c r="A1192">
        <v>653410</v>
      </c>
      <c r="B1192" t="s">
        <v>2586</v>
      </c>
      <c r="C1192" t="s">
        <v>2587</v>
      </c>
      <c r="D1192" t="s">
        <v>10</v>
      </c>
      <c r="E1192" t="s">
        <v>405</v>
      </c>
      <c r="G1192" t="str">
        <f>HYPERLINK(_xlfn.CONCAT("https://tablet.otzar.org/",CHAR(35),"/book/653410/p/-1/t/1/fs/0/start/0/end/0/c"),"הלכות יחוד")</f>
        <v>הלכות יחוד</v>
      </c>
      <c r="H1192" t="str">
        <f>_xlfn.CONCAT("https://tablet.otzar.org/",CHAR(35),"/book/653410/p/-1/t/1/fs/0/start/0/end/0/c")</f>
        <v>https://tablet.otzar.org/#/book/653410/p/-1/t/1/fs/0/start/0/end/0/c</v>
      </c>
    </row>
    <row r="1193" spans="1:8" x14ac:dyDescent="0.25">
      <c r="A1193">
        <v>651059</v>
      </c>
      <c r="B1193" t="s">
        <v>2588</v>
      </c>
      <c r="C1193" t="s">
        <v>2569</v>
      </c>
      <c r="D1193" t="s">
        <v>52</v>
      </c>
      <c r="E1193" t="s">
        <v>70</v>
      </c>
      <c r="G1193" t="str">
        <f>HYPERLINK(_xlfn.CONCAT("https://tablet.otzar.org/",CHAR(35),"/book/651059/p/-1/t/1/fs/0/start/0/end/0/c"),"הלכות כיבוד הורים")</f>
        <v>הלכות כיבוד הורים</v>
      </c>
      <c r="H1193" t="str">
        <f>_xlfn.CONCAT("https://tablet.otzar.org/",CHAR(35),"/book/651059/p/-1/t/1/fs/0/start/0/end/0/c")</f>
        <v>https://tablet.otzar.org/#/book/651059/p/-1/t/1/fs/0/start/0/end/0/c</v>
      </c>
    </row>
    <row r="1194" spans="1:8" x14ac:dyDescent="0.25">
      <c r="A1194">
        <v>650802</v>
      </c>
      <c r="B1194" t="s">
        <v>2589</v>
      </c>
      <c r="C1194" t="s">
        <v>2590</v>
      </c>
      <c r="D1194" t="s">
        <v>52</v>
      </c>
      <c r="E1194" t="s">
        <v>213</v>
      </c>
      <c r="G1194" t="str">
        <f>HYPERLINK(_xlfn.CONCAT("https://tablet.otzar.org/",CHAR(35),"/book/650802/p/-1/t/1/fs/0/start/0/end/0/c"),"הלכות כלי ראשון ושני")</f>
        <v>הלכות כלי ראשון ושני</v>
      </c>
      <c r="H1194" t="str">
        <f>_xlfn.CONCAT("https://tablet.otzar.org/",CHAR(35),"/book/650802/p/-1/t/1/fs/0/start/0/end/0/c")</f>
        <v>https://tablet.otzar.org/#/book/650802/p/-1/t/1/fs/0/start/0/end/0/c</v>
      </c>
    </row>
    <row r="1195" spans="1:8" x14ac:dyDescent="0.25">
      <c r="A1195">
        <v>652465</v>
      </c>
      <c r="B1195" t="s">
        <v>2591</v>
      </c>
      <c r="C1195" t="s">
        <v>2592</v>
      </c>
      <c r="D1195" t="s">
        <v>10</v>
      </c>
      <c r="E1195" t="s">
        <v>769</v>
      </c>
      <c r="G1195" t="str">
        <f>HYPERLINK(_xlfn.CONCAT("https://tablet.otzar.org/",CHAR(35),"/exKotar/652465"),"הלכות מתוך משנה תורה לרמב""""ם - 11 כרכים")</f>
        <v>הלכות מתוך משנה תורה לרמב""ם - 11 כרכים</v>
      </c>
      <c r="H1195" t="str">
        <f>_xlfn.CONCAT("https://tablet.otzar.org/",CHAR(35),"/exKotar/652465")</f>
        <v>https://tablet.otzar.org/#/exKotar/652465</v>
      </c>
    </row>
    <row r="1196" spans="1:8" x14ac:dyDescent="0.25">
      <c r="A1196">
        <v>648276</v>
      </c>
      <c r="B1196" t="s">
        <v>2593</v>
      </c>
      <c r="C1196" t="s">
        <v>2594</v>
      </c>
      <c r="D1196" t="s">
        <v>424</v>
      </c>
      <c r="E1196" t="s">
        <v>507</v>
      </c>
      <c r="G1196" t="str">
        <f>HYPERLINK(_xlfn.CONCAT("https://tablet.otzar.org/",CHAR(35),"/book/648276/p/-1/t/1/fs/0/start/0/end/0/c"),"הלכות ערב פסח")</f>
        <v>הלכות ערב פסח</v>
      </c>
      <c r="H1196" t="str">
        <f>_xlfn.CONCAT("https://tablet.otzar.org/",CHAR(35),"/book/648276/p/-1/t/1/fs/0/start/0/end/0/c")</f>
        <v>https://tablet.otzar.org/#/book/648276/p/-1/t/1/fs/0/start/0/end/0/c</v>
      </c>
    </row>
    <row r="1197" spans="1:8" x14ac:dyDescent="0.25">
      <c r="A1197">
        <v>647941</v>
      </c>
      <c r="B1197" t="s">
        <v>2595</v>
      </c>
      <c r="C1197" t="s">
        <v>2596</v>
      </c>
      <c r="D1197" t="s">
        <v>948</v>
      </c>
      <c r="E1197" t="s">
        <v>35</v>
      </c>
      <c r="G1197" t="str">
        <f>HYPERLINK(_xlfn.CONCAT("https://tablet.otzar.org/",CHAR(35),"/book/647941/p/-1/t/1/fs/0/start/0/end/0/c"),"הלכות פסח")</f>
        <v>הלכות פסח</v>
      </c>
      <c r="H1197" t="str">
        <f>_xlfn.CONCAT("https://tablet.otzar.org/",CHAR(35),"/book/647941/p/-1/t/1/fs/0/start/0/end/0/c")</f>
        <v>https://tablet.otzar.org/#/book/647941/p/-1/t/1/fs/0/start/0/end/0/c</v>
      </c>
    </row>
    <row r="1198" spans="1:8" x14ac:dyDescent="0.25">
      <c r="A1198">
        <v>647405</v>
      </c>
      <c r="B1198" t="s">
        <v>2597</v>
      </c>
      <c r="C1198" t="s">
        <v>2598</v>
      </c>
      <c r="E1198" t="s">
        <v>507</v>
      </c>
      <c r="G1198" t="str">
        <f>HYPERLINK(_xlfn.CONCAT("https://tablet.otzar.org/",CHAR(35),"/book/647405/p/-1/t/1/fs/0/start/0/end/0/c"),"הלכות ציצית ותפילין בפיוט")</f>
        <v>הלכות ציצית ותפילין בפיוט</v>
      </c>
      <c r="H1198" t="str">
        <f>_xlfn.CONCAT("https://tablet.otzar.org/",CHAR(35),"/book/647405/p/-1/t/1/fs/0/start/0/end/0/c")</f>
        <v>https://tablet.otzar.org/#/book/647405/p/-1/t/1/fs/0/start/0/end/0/c</v>
      </c>
    </row>
    <row r="1199" spans="1:8" x14ac:dyDescent="0.25">
      <c r="A1199">
        <v>13346</v>
      </c>
      <c r="B1199" t="s">
        <v>2599</v>
      </c>
      <c r="C1199" t="s">
        <v>2600</v>
      </c>
      <c r="D1199" t="s">
        <v>1321</v>
      </c>
      <c r="E1199" t="s">
        <v>1409</v>
      </c>
      <c r="G1199" t="str">
        <f>HYPERLINK(_xlfn.CONCAT("https://tablet.otzar.org/",CHAR(35),"/book/13346/p/-1/t/1/fs/0/start/0/end/0/c"),"הלכות קדוש החדש - עם פירוש")</f>
        <v>הלכות קדוש החדש - עם פירוש</v>
      </c>
      <c r="H1199" t="str">
        <f>_xlfn.CONCAT("https://tablet.otzar.org/",CHAR(35),"/book/13346/p/-1/t/1/fs/0/start/0/end/0/c")</f>
        <v>https://tablet.otzar.org/#/book/13346/p/-1/t/1/fs/0/start/0/end/0/c</v>
      </c>
    </row>
    <row r="1200" spans="1:8" x14ac:dyDescent="0.25">
      <c r="A1200">
        <v>652740</v>
      </c>
      <c r="B1200" t="s">
        <v>2601</v>
      </c>
      <c r="C1200" t="s">
        <v>2576</v>
      </c>
      <c r="D1200" t="s">
        <v>499</v>
      </c>
      <c r="E1200" t="s">
        <v>2193</v>
      </c>
      <c r="G1200" t="str">
        <f>HYPERLINK(_xlfn.CONCAT("https://tablet.otzar.org/",CHAR(35),"/book/652740/p/-1/t/1/fs/0/start/0/end/0/c"),"הלכות רב אלפס &lt;שביל הישר&gt; - ברכות, שבת, עירובין")</f>
        <v>הלכות רב אלפס &lt;שביל הישר&gt; - ברכות, שבת, עירובין</v>
      </c>
      <c r="H1200" t="str">
        <f>_xlfn.CONCAT("https://tablet.otzar.org/",CHAR(35),"/book/652740/p/-1/t/1/fs/0/start/0/end/0/c")</f>
        <v>https://tablet.otzar.org/#/book/652740/p/-1/t/1/fs/0/start/0/end/0/c</v>
      </c>
    </row>
    <row r="1201" spans="1:8" x14ac:dyDescent="0.25">
      <c r="A1201">
        <v>655167</v>
      </c>
      <c r="B1201" t="s">
        <v>2602</v>
      </c>
      <c r="C1201" t="s">
        <v>2545</v>
      </c>
      <c r="D1201" t="s">
        <v>10</v>
      </c>
      <c r="E1201" t="s">
        <v>312</v>
      </c>
      <c r="G1201" t="str">
        <f>HYPERLINK(_xlfn.CONCAT("https://tablet.otzar.org/",CHAR(35),"/book/655167/p/-1/t/1/fs/0/start/0/end/0/c"),"הלכות שביעית - הנהגה בפירות שביעית")</f>
        <v>הלכות שביעית - הנהגה בפירות שביעית</v>
      </c>
      <c r="H1201" t="str">
        <f>_xlfn.CONCAT("https://tablet.otzar.org/",CHAR(35),"/book/655167/p/-1/t/1/fs/0/start/0/end/0/c")</f>
        <v>https://tablet.otzar.org/#/book/655167/p/-1/t/1/fs/0/start/0/end/0/c</v>
      </c>
    </row>
    <row r="1202" spans="1:8" x14ac:dyDescent="0.25">
      <c r="A1202">
        <v>649363</v>
      </c>
      <c r="B1202" t="s">
        <v>2603</v>
      </c>
      <c r="C1202" t="s">
        <v>614</v>
      </c>
      <c r="D1202" t="s">
        <v>34</v>
      </c>
      <c r="E1202" t="s">
        <v>70</v>
      </c>
      <c r="G1202" t="str">
        <f>HYPERLINK(_xlfn.CONCAT("https://tablet.otzar.org/",CHAR(35),"/book/649363/p/-1/t/1/fs/0/start/0/end/0/c"),"הלכתא דברכתא")</f>
        <v>הלכתא דברכתא</v>
      </c>
      <c r="H1202" t="str">
        <f>_xlfn.CONCAT("https://tablet.otzar.org/",CHAR(35),"/book/649363/p/-1/t/1/fs/0/start/0/end/0/c")</f>
        <v>https://tablet.otzar.org/#/book/649363/p/-1/t/1/fs/0/start/0/end/0/c</v>
      </c>
    </row>
    <row r="1203" spans="1:8" x14ac:dyDescent="0.25">
      <c r="A1203">
        <v>647369</v>
      </c>
      <c r="B1203" t="s">
        <v>2604</v>
      </c>
      <c r="C1203" t="s">
        <v>2605</v>
      </c>
      <c r="D1203" t="s">
        <v>52</v>
      </c>
      <c r="E1203" t="s">
        <v>213</v>
      </c>
      <c r="G1203" t="str">
        <f>HYPERLINK(_xlfn.CONCAT("https://tablet.otzar.org/",CHAR(35),"/book/647369/p/-1/t/1/fs/0/start/0/end/0/c"),"הלכתא כשמואל - א")</f>
        <v>הלכתא כשמואל - א</v>
      </c>
      <c r="H1203" t="str">
        <f>_xlfn.CONCAT("https://tablet.otzar.org/",CHAR(35),"/book/647369/p/-1/t/1/fs/0/start/0/end/0/c")</f>
        <v>https://tablet.otzar.org/#/book/647369/p/-1/t/1/fs/0/start/0/end/0/c</v>
      </c>
    </row>
    <row r="1204" spans="1:8" x14ac:dyDescent="0.25">
      <c r="A1204">
        <v>647526</v>
      </c>
      <c r="B1204" t="s">
        <v>2606</v>
      </c>
      <c r="C1204" t="s">
        <v>2607</v>
      </c>
      <c r="D1204" t="s">
        <v>34</v>
      </c>
      <c r="E1204" t="s">
        <v>11</v>
      </c>
      <c r="G1204" t="str">
        <f>HYPERLINK(_xlfn.CONCAT("https://tablet.otzar.org/",CHAR(35),"/book/647526/p/-1/t/1/fs/0/start/0/end/0/c"),"הלכתא רבתא - זימון")</f>
        <v>הלכתא רבתא - זימון</v>
      </c>
      <c r="H1204" t="str">
        <f>_xlfn.CONCAT("https://tablet.otzar.org/",CHAR(35),"/book/647526/p/-1/t/1/fs/0/start/0/end/0/c")</f>
        <v>https://tablet.otzar.org/#/book/647526/p/-1/t/1/fs/0/start/0/end/0/c</v>
      </c>
    </row>
    <row r="1205" spans="1:8" x14ac:dyDescent="0.25">
      <c r="A1205">
        <v>649250</v>
      </c>
      <c r="B1205" t="s">
        <v>2608</v>
      </c>
      <c r="C1205" t="s">
        <v>2609</v>
      </c>
      <c r="E1205" t="s">
        <v>11</v>
      </c>
      <c r="G1205" t="str">
        <f>HYPERLINK(_xlfn.CONCAT("https://tablet.otzar.org/",CHAR(35),"/book/649250/p/-1/t/1/fs/0/start/0/end/0/c"),"הלל אומר - ז - ביאורים לתניא")</f>
        <v>הלל אומר - ז - ביאורים לתניא</v>
      </c>
      <c r="H1205" t="str">
        <f>_xlfn.CONCAT("https://tablet.otzar.org/",CHAR(35),"/book/649250/p/-1/t/1/fs/0/start/0/end/0/c")</f>
        <v>https://tablet.otzar.org/#/book/649250/p/-1/t/1/fs/0/start/0/end/0/c</v>
      </c>
    </row>
    <row r="1206" spans="1:8" x14ac:dyDescent="0.25">
      <c r="A1206">
        <v>649758</v>
      </c>
      <c r="B1206" t="s">
        <v>2610</v>
      </c>
      <c r="C1206" t="s">
        <v>2611</v>
      </c>
      <c r="D1206" t="s">
        <v>424</v>
      </c>
      <c r="E1206" t="s">
        <v>2612</v>
      </c>
      <c r="G1206" t="str">
        <f>HYPERLINK(_xlfn.CONCAT("https://tablet.otzar.org/",CHAR(35),"/book/649758/p/-1/t/1/fs/0/start/0/end/0/c"),"הלל צייטלין")</f>
        <v>הלל צייטלין</v>
      </c>
      <c r="H1206" t="str">
        <f>_xlfn.CONCAT("https://tablet.otzar.org/",CHAR(35),"/book/649758/p/-1/t/1/fs/0/start/0/end/0/c")</f>
        <v>https://tablet.otzar.org/#/book/649758/p/-1/t/1/fs/0/start/0/end/0/c</v>
      </c>
    </row>
    <row r="1207" spans="1:8" x14ac:dyDescent="0.25">
      <c r="A1207">
        <v>651306</v>
      </c>
      <c r="B1207" t="s">
        <v>2613</v>
      </c>
      <c r="C1207" t="s">
        <v>2614</v>
      </c>
      <c r="D1207" t="s">
        <v>52</v>
      </c>
      <c r="E1207" t="s">
        <v>306</v>
      </c>
      <c r="G1207" t="str">
        <f>HYPERLINK(_xlfn.CONCAT("https://tablet.otzar.org/",CHAR(35),"/book/651306/p/-1/t/1/fs/0/start/0/end/0/c"),"הללו עבדי ה'")</f>
        <v>הללו עבדי ה'</v>
      </c>
      <c r="H1207" t="str">
        <f>_xlfn.CONCAT("https://tablet.otzar.org/",CHAR(35),"/book/651306/p/-1/t/1/fs/0/start/0/end/0/c")</f>
        <v>https://tablet.otzar.org/#/book/651306/p/-1/t/1/fs/0/start/0/end/0/c</v>
      </c>
    </row>
    <row r="1208" spans="1:8" x14ac:dyDescent="0.25">
      <c r="A1208">
        <v>639295</v>
      </c>
      <c r="B1208" t="s">
        <v>2615</v>
      </c>
      <c r="C1208" t="s">
        <v>2616</v>
      </c>
      <c r="E1208" t="s">
        <v>35</v>
      </c>
      <c r="G1208" t="str">
        <f>HYPERLINK(_xlfn.CONCAT("https://tablet.otzar.org/",CHAR(35),"/book/639295/p/-1/t/1/fs/0/start/0/end/0/c"),"המאור שנה עד חוברת ג &lt;תצט&gt;")</f>
        <v>המאור שנה עד חוברת ג &lt;תצט&gt;</v>
      </c>
      <c r="H1208" t="str">
        <f>_xlfn.CONCAT("https://tablet.otzar.org/",CHAR(35),"/book/639295/p/-1/t/1/fs/0/start/0/end/0/c")</f>
        <v>https://tablet.otzar.org/#/book/639295/p/-1/t/1/fs/0/start/0/end/0/c</v>
      </c>
    </row>
    <row r="1209" spans="1:8" x14ac:dyDescent="0.25">
      <c r="A1209">
        <v>647820</v>
      </c>
      <c r="B1209" t="s">
        <v>2617</v>
      </c>
      <c r="C1209" t="s">
        <v>2616</v>
      </c>
      <c r="E1209" t="s">
        <v>11</v>
      </c>
      <c r="G1209" t="str">
        <f>HYPERLINK(_xlfn.CONCAT("https://tablet.otzar.org/",CHAR(35),"/book/647820/p/-1/t/1/fs/0/start/0/end/0/c"),"המאור שנה עה חוברת ב &lt;תקד&gt;")</f>
        <v>המאור שנה עה חוברת ב &lt;תקד&gt;</v>
      </c>
      <c r="H1209" t="str">
        <f>_xlfn.CONCAT("https://tablet.otzar.org/",CHAR(35),"/book/647820/p/-1/t/1/fs/0/start/0/end/0/c")</f>
        <v>https://tablet.otzar.org/#/book/647820/p/-1/t/1/fs/0/start/0/end/0/c</v>
      </c>
    </row>
    <row r="1210" spans="1:8" x14ac:dyDescent="0.25">
      <c r="A1210">
        <v>649155</v>
      </c>
      <c r="B1210" t="s">
        <v>2618</v>
      </c>
      <c r="C1210" t="s">
        <v>2616</v>
      </c>
      <c r="E1210" t="s">
        <v>11</v>
      </c>
      <c r="G1210" t="str">
        <f>HYPERLINK(_xlfn.CONCAT("https://tablet.otzar.org/",CHAR(35),"/book/649155/p/-1/t/1/fs/0/start/0/end/0/c"),"המאור שנה עה חוברת ג &lt;תקה&gt;")</f>
        <v>המאור שנה עה חוברת ג &lt;תקה&gt;</v>
      </c>
      <c r="H1210" t="str">
        <f>_xlfn.CONCAT("https://tablet.otzar.org/",CHAR(35),"/book/649155/p/-1/t/1/fs/0/start/0/end/0/c")</f>
        <v>https://tablet.otzar.org/#/book/649155/p/-1/t/1/fs/0/start/0/end/0/c</v>
      </c>
    </row>
    <row r="1211" spans="1:8" x14ac:dyDescent="0.25">
      <c r="A1211">
        <v>650767</v>
      </c>
      <c r="B1211" t="s">
        <v>2619</v>
      </c>
      <c r="C1211" t="s">
        <v>2616</v>
      </c>
      <c r="E1211" t="s">
        <v>11</v>
      </c>
      <c r="G1211" t="str">
        <f>HYPERLINK(_xlfn.CONCAT("https://tablet.otzar.org/",CHAR(35),"/book/650767/p/-1/t/1/fs/0/start/0/end/0/c"),"המאור שנה עה חוברת ד &lt;תקו&gt;")</f>
        <v>המאור שנה עה חוברת ד &lt;תקו&gt;</v>
      </c>
      <c r="H1211" t="str">
        <f>_xlfn.CONCAT("https://tablet.otzar.org/",CHAR(35),"/book/650767/p/-1/t/1/fs/0/start/0/end/0/c")</f>
        <v>https://tablet.otzar.org/#/book/650767/p/-1/t/1/fs/0/start/0/end/0/c</v>
      </c>
    </row>
    <row r="1212" spans="1:8" x14ac:dyDescent="0.25">
      <c r="A1212">
        <v>653796</v>
      </c>
      <c r="B1212" t="s">
        <v>2620</v>
      </c>
      <c r="C1212" t="s">
        <v>2616</v>
      </c>
      <c r="E1212" t="s">
        <v>11</v>
      </c>
      <c r="G1212" t="str">
        <f>HYPERLINK(_xlfn.CONCAT("https://tablet.otzar.org/",CHAR(35),"/book/653796/p/-1/t/1/fs/0/start/0/end/0/c"),"המאור שנה עה חוברת ה &lt;תקז&gt;")</f>
        <v>המאור שנה עה חוברת ה &lt;תקז&gt;</v>
      </c>
      <c r="H1212" t="str">
        <f>_xlfn.CONCAT("https://tablet.otzar.org/",CHAR(35),"/book/653796/p/-1/t/1/fs/0/start/0/end/0/c")</f>
        <v>https://tablet.otzar.org/#/book/653796/p/-1/t/1/fs/0/start/0/end/0/c</v>
      </c>
    </row>
    <row r="1213" spans="1:8" x14ac:dyDescent="0.25">
      <c r="A1213">
        <v>654433</v>
      </c>
      <c r="B1213" t="s">
        <v>2621</v>
      </c>
      <c r="C1213" t="s">
        <v>2616</v>
      </c>
      <c r="E1213" t="s">
        <v>11</v>
      </c>
      <c r="G1213" t="str">
        <f>HYPERLINK(_xlfn.CONCAT("https://tablet.otzar.org/",CHAR(35),"/book/654433/p/-1/t/1/fs/0/start/0/end/0/c"),"המאור שנה עה חוברת ה &lt;תקח&gt;")</f>
        <v>המאור שנה עה חוברת ה &lt;תקח&gt;</v>
      </c>
      <c r="H1213" t="str">
        <f>_xlfn.CONCAT("https://tablet.otzar.org/",CHAR(35),"/book/654433/p/-1/t/1/fs/0/start/0/end/0/c")</f>
        <v>https://tablet.otzar.org/#/book/654433/p/-1/t/1/fs/0/start/0/end/0/c</v>
      </c>
    </row>
    <row r="1214" spans="1:8" x14ac:dyDescent="0.25">
      <c r="A1214">
        <v>647577</v>
      </c>
      <c r="B1214" t="s">
        <v>2622</v>
      </c>
      <c r="C1214" t="s">
        <v>2623</v>
      </c>
      <c r="D1214" t="s">
        <v>10</v>
      </c>
      <c r="E1214" t="s">
        <v>473</v>
      </c>
      <c r="G1214" t="str">
        <f>HYPERLINK(_xlfn.CONCAT("https://tablet.otzar.org/",CHAR(35),"/exKotar/647577"),"המאור שבתורה - 4 כרכים")</f>
        <v>המאור שבתורה - 4 כרכים</v>
      </c>
      <c r="H1214" t="str">
        <f>_xlfn.CONCAT("https://tablet.otzar.org/",CHAR(35),"/exKotar/647577")</f>
        <v>https://tablet.otzar.org/#/exKotar/647577</v>
      </c>
    </row>
    <row r="1215" spans="1:8" x14ac:dyDescent="0.25">
      <c r="A1215">
        <v>648910</v>
      </c>
      <c r="B1215" t="s">
        <v>2624</v>
      </c>
      <c r="C1215" t="s">
        <v>2625</v>
      </c>
      <c r="D1215" t="s">
        <v>88</v>
      </c>
      <c r="E1215" t="s">
        <v>1288</v>
      </c>
      <c r="G1215" t="str">
        <f>HYPERLINK(_xlfn.CONCAT("https://tablet.otzar.org/",CHAR(35),"/book/648910/p/-1/t/1/fs/0/start/0/end/0/c"),"המאיר - פסח")</f>
        <v>המאיר - פסח</v>
      </c>
      <c r="H1215" t="str">
        <f>_xlfn.CONCAT("https://tablet.otzar.org/",CHAR(35),"/book/648910/p/-1/t/1/fs/0/start/0/end/0/c")</f>
        <v>https://tablet.otzar.org/#/book/648910/p/-1/t/1/fs/0/start/0/end/0/c</v>
      </c>
    </row>
    <row r="1216" spans="1:8" x14ac:dyDescent="0.25">
      <c r="A1216">
        <v>649202</v>
      </c>
      <c r="B1216" t="s">
        <v>2626</v>
      </c>
      <c r="C1216" t="s">
        <v>614</v>
      </c>
      <c r="D1216" t="s">
        <v>10</v>
      </c>
      <c r="E1216" t="s">
        <v>11</v>
      </c>
      <c r="G1216" t="str">
        <f>HYPERLINK(_xlfn.CONCAT("https://tablet.otzar.org/",CHAR(35),"/book/649202/p/-1/t/1/fs/0/start/0/end/0/c"),"המאיר לארץ")</f>
        <v>המאיר לארץ</v>
      </c>
      <c r="H1216" t="str">
        <f>_xlfn.CONCAT("https://tablet.otzar.org/",CHAR(35),"/book/649202/p/-1/t/1/fs/0/start/0/end/0/c")</f>
        <v>https://tablet.otzar.org/#/book/649202/p/-1/t/1/fs/0/start/0/end/0/c</v>
      </c>
    </row>
    <row r="1217" spans="1:8" x14ac:dyDescent="0.25">
      <c r="A1217">
        <v>655594</v>
      </c>
      <c r="B1217" t="s">
        <v>2627</v>
      </c>
      <c r="C1217" t="s">
        <v>2628</v>
      </c>
      <c r="D1217" t="s">
        <v>10</v>
      </c>
      <c r="E1217" t="s">
        <v>35</v>
      </c>
      <c r="G1217" t="str">
        <f>HYPERLINK(_xlfn.CONCAT("https://tablet.otzar.org/",CHAR(35),"/exKotar/655594"),"המבשר תורני - 70 כרכים")</f>
        <v>המבשר תורני - 70 כרכים</v>
      </c>
      <c r="H1217" t="str">
        <f>_xlfn.CONCAT("https://tablet.otzar.org/",CHAR(35),"/exKotar/655594")</f>
        <v>https://tablet.otzar.org/#/exKotar/655594</v>
      </c>
    </row>
    <row r="1218" spans="1:8" x14ac:dyDescent="0.25">
      <c r="A1218">
        <v>650176</v>
      </c>
      <c r="B1218" t="s">
        <v>2629</v>
      </c>
      <c r="C1218" t="s">
        <v>2630</v>
      </c>
      <c r="D1218" t="s">
        <v>10</v>
      </c>
      <c r="E1218" t="s">
        <v>1077</v>
      </c>
      <c r="G1218" t="str">
        <f>HYPERLINK(_xlfn.CONCAT("https://tablet.otzar.org/",CHAR(35),"/book/650176/p/-1/t/1/fs/0/start/0/end/0/c"),"המגיד הקדוש רבי יחיאל מיכל מזלאטשוב")</f>
        <v>המגיד הקדוש רבי יחיאל מיכל מזלאטשוב</v>
      </c>
      <c r="H1218" t="str">
        <f>_xlfn.CONCAT("https://tablet.otzar.org/",CHAR(35),"/book/650176/p/-1/t/1/fs/0/start/0/end/0/c")</f>
        <v>https://tablet.otzar.org/#/book/650176/p/-1/t/1/fs/0/start/0/end/0/c</v>
      </c>
    </row>
    <row r="1219" spans="1:8" x14ac:dyDescent="0.25">
      <c r="A1219">
        <v>649701</v>
      </c>
      <c r="B1219" t="s">
        <v>2631</v>
      </c>
      <c r="C1219" t="s">
        <v>2632</v>
      </c>
      <c r="D1219" t="s">
        <v>2633</v>
      </c>
      <c r="E1219">
        <v>1896</v>
      </c>
      <c r="G1219" t="str">
        <f>HYPERLINK(_xlfn.CONCAT("https://tablet.otzar.org/",CHAR(35),"/book/649701/p/-1/t/1/fs/0/start/0/end/0/c"),"המדבר בצדקה")</f>
        <v>המדבר בצדקה</v>
      </c>
      <c r="H1219" t="str">
        <f>_xlfn.CONCAT("https://tablet.otzar.org/",CHAR(35),"/book/649701/p/-1/t/1/fs/0/start/0/end/0/c")</f>
        <v>https://tablet.otzar.org/#/book/649701/p/-1/t/1/fs/0/start/0/end/0/c</v>
      </c>
    </row>
    <row r="1220" spans="1:8" x14ac:dyDescent="0.25">
      <c r="A1220">
        <v>653472</v>
      </c>
      <c r="B1220" t="s">
        <v>2634</v>
      </c>
      <c r="C1220" t="s">
        <v>2635</v>
      </c>
      <c r="D1220" t="s">
        <v>139</v>
      </c>
      <c r="E1220" t="s">
        <v>70</v>
      </c>
      <c r="G1220" t="str">
        <f>HYPERLINK(_xlfn.CONCAT("https://tablet.otzar.org/",CHAR(35),"/book/653472/p/-1/t/1/fs/0/start/0/end/0/c"),"המדריך לארבעת המינים")</f>
        <v>המדריך לארבעת המינים</v>
      </c>
      <c r="H1220" t="str">
        <f>_xlfn.CONCAT("https://tablet.otzar.org/",CHAR(35),"/book/653472/p/-1/t/1/fs/0/start/0/end/0/c")</f>
        <v>https://tablet.otzar.org/#/book/653472/p/-1/t/1/fs/0/start/0/end/0/c</v>
      </c>
    </row>
    <row r="1221" spans="1:8" x14ac:dyDescent="0.25">
      <c r="A1221">
        <v>652882</v>
      </c>
      <c r="B1221" t="s">
        <v>2636</v>
      </c>
      <c r="C1221" t="s">
        <v>2637</v>
      </c>
      <c r="D1221" t="s">
        <v>386</v>
      </c>
      <c r="E1221" t="s">
        <v>11</v>
      </c>
      <c r="G1221" t="str">
        <f>HYPERLINK(_xlfn.CONCAT("https://tablet.otzar.org/",CHAR(35),"/book/652882/p/-1/t/1/fs/0/start/0/end/0/c"),"המדריך ליום הכיפורים")</f>
        <v>המדריך ליום הכיפורים</v>
      </c>
      <c r="H1221" t="str">
        <f>_xlfn.CONCAT("https://tablet.otzar.org/",CHAR(35),"/book/652882/p/-1/t/1/fs/0/start/0/end/0/c")</f>
        <v>https://tablet.otzar.org/#/book/652882/p/-1/t/1/fs/0/start/0/end/0/c</v>
      </c>
    </row>
    <row r="1222" spans="1:8" x14ac:dyDescent="0.25">
      <c r="A1222">
        <v>649305</v>
      </c>
      <c r="B1222" t="s">
        <v>2638</v>
      </c>
      <c r="C1222" t="s">
        <v>2639</v>
      </c>
      <c r="D1222" t="s">
        <v>58</v>
      </c>
      <c r="E1222" t="s">
        <v>514</v>
      </c>
      <c r="G1222" t="str">
        <f>HYPERLINK(_xlfn.CONCAT("https://tablet.otzar.org/",CHAR(35),"/exKotar/649305"),"המורה לצדקה - 6 כרכים")</f>
        <v>המורה לצדקה - 6 כרכים</v>
      </c>
      <c r="H1222" t="str">
        <f>_xlfn.CONCAT("https://tablet.otzar.org/",CHAR(35),"/exKotar/649305")</f>
        <v>https://tablet.otzar.org/#/exKotar/649305</v>
      </c>
    </row>
    <row r="1223" spans="1:8" x14ac:dyDescent="0.25">
      <c r="A1223">
        <v>652818</v>
      </c>
      <c r="B1223" t="s">
        <v>2640</v>
      </c>
      <c r="C1223" t="s">
        <v>2641</v>
      </c>
      <c r="D1223" t="s">
        <v>129</v>
      </c>
      <c r="E1223">
        <v>1947</v>
      </c>
      <c r="G1223" t="str">
        <f>HYPERLINK(_xlfn.CONCAT("https://tablet.otzar.org/",CHAR(35),"/book/652818/p/-1/t/1/fs/0/start/0/end/0/c"),"המחקר המתימטי והאסטרונומי אצל היהודים")</f>
        <v>המחקר המתימטי והאסטרונומי אצל היהודים</v>
      </c>
      <c r="H1223" t="str">
        <f>_xlfn.CONCAT("https://tablet.otzar.org/",CHAR(35),"/book/652818/p/-1/t/1/fs/0/start/0/end/0/c")</f>
        <v>https://tablet.otzar.org/#/book/652818/p/-1/t/1/fs/0/start/0/end/0/c</v>
      </c>
    </row>
    <row r="1224" spans="1:8" x14ac:dyDescent="0.25">
      <c r="A1224">
        <v>656118</v>
      </c>
      <c r="B1224" t="s">
        <v>2642</v>
      </c>
      <c r="C1224" t="s">
        <v>42</v>
      </c>
      <c r="D1224" t="s">
        <v>10</v>
      </c>
      <c r="E1224" t="s">
        <v>763</v>
      </c>
      <c r="G1224" t="str">
        <f>HYPERLINK(_xlfn.CONCAT("https://tablet.otzar.org/",CHAR(35),"/book/656118/p/-1/t/1/fs/0/start/0/end/0/c"),"המלון בהלכה")</f>
        <v>המלון בהלכה</v>
      </c>
      <c r="H1224" t="str">
        <f>_xlfn.CONCAT("https://tablet.otzar.org/",CHAR(35),"/book/656118/p/-1/t/1/fs/0/start/0/end/0/c")</f>
        <v>https://tablet.otzar.org/#/book/656118/p/-1/t/1/fs/0/start/0/end/0/c</v>
      </c>
    </row>
    <row r="1225" spans="1:8" x14ac:dyDescent="0.25">
      <c r="A1225">
        <v>648907</v>
      </c>
      <c r="B1225" t="s">
        <v>2643</v>
      </c>
      <c r="C1225" t="s">
        <v>2644</v>
      </c>
      <c r="D1225" t="s">
        <v>287</v>
      </c>
      <c r="E1225" t="s">
        <v>2645</v>
      </c>
      <c r="G1225" t="str">
        <f>HYPERLINK(_xlfn.CONCAT("https://tablet.otzar.org/",CHAR(35),"/book/648907/p/-1/t/1/fs/0/start/0/end/0/c"),"המסילה &lt;לונדון&gt; - ב")</f>
        <v>המסילה &lt;לונדון&gt; - ב</v>
      </c>
      <c r="H1225" t="str">
        <f>_xlfn.CONCAT("https://tablet.otzar.org/",CHAR(35),"/book/648907/p/-1/t/1/fs/0/start/0/end/0/c")</f>
        <v>https://tablet.otzar.org/#/book/648907/p/-1/t/1/fs/0/start/0/end/0/c</v>
      </c>
    </row>
    <row r="1226" spans="1:8" x14ac:dyDescent="0.25">
      <c r="A1226">
        <v>648467</v>
      </c>
      <c r="B1226" t="s">
        <v>2646</v>
      </c>
      <c r="C1226" t="s">
        <v>2647</v>
      </c>
      <c r="D1226" t="s">
        <v>10</v>
      </c>
      <c r="E1226" t="s">
        <v>2648</v>
      </c>
      <c r="G1226" t="str">
        <f>HYPERLINK(_xlfn.CONCAT("https://tablet.otzar.org/",CHAR(35),"/exKotar/648467"),"המעין - 20 כרכים")</f>
        <v>המעין - 20 כרכים</v>
      </c>
      <c r="H1226" t="str">
        <f>_xlfn.CONCAT("https://tablet.otzar.org/",CHAR(35),"/exKotar/648467")</f>
        <v>https://tablet.otzar.org/#/exKotar/648467</v>
      </c>
    </row>
    <row r="1227" spans="1:8" x14ac:dyDescent="0.25">
      <c r="A1227">
        <v>648024</v>
      </c>
      <c r="B1227" t="s">
        <v>2649</v>
      </c>
      <c r="C1227" t="s">
        <v>2650</v>
      </c>
      <c r="D1227" t="s">
        <v>510</v>
      </c>
      <c r="E1227" t="s">
        <v>1608</v>
      </c>
      <c r="G1227" t="str">
        <f>HYPERLINK(_xlfn.CONCAT("https://tablet.otzar.org/",CHAR(35),"/exKotar/648024"),"המעין - 4 כרכים")</f>
        <v>המעין - 4 כרכים</v>
      </c>
      <c r="H1227" t="str">
        <f>_xlfn.CONCAT("https://tablet.otzar.org/",CHAR(35),"/exKotar/648024")</f>
        <v>https://tablet.otzar.org/#/exKotar/648024</v>
      </c>
    </row>
    <row r="1228" spans="1:8" x14ac:dyDescent="0.25">
      <c r="A1228">
        <v>647262</v>
      </c>
      <c r="B1228" t="s">
        <v>2651</v>
      </c>
      <c r="C1228" t="s">
        <v>2652</v>
      </c>
      <c r="D1228" t="s">
        <v>1321</v>
      </c>
      <c r="E1228" t="s">
        <v>690</v>
      </c>
      <c r="G1228" t="str">
        <f>HYPERLINK(_xlfn.CONCAT("https://tablet.otzar.org/",CHAR(35),"/book/647262/p/-1/t/1/fs/0/start/0/end/0/c"),"המרכז הקהילתי איחוד שיבת ציון - תשע""""ד")</f>
        <v>המרכז הקהילתי איחוד שיבת ציון - תשע""ד</v>
      </c>
      <c r="H1228" t="str">
        <f>_xlfn.CONCAT("https://tablet.otzar.org/",CHAR(35),"/book/647262/p/-1/t/1/fs/0/start/0/end/0/c")</f>
        <v>https://tablet.otzar.org/#/book/647262/p/-1/t/1/fs/0/start/0/end/0/c</v>
      </c>
    </row>
    <row r="1229" spans="1:8" x14ac:dyDescent="0.25">
      <c r="A1229">
        <v>651521</v>
      </c>
      <c r="B1229" t="s">
        <v>2653</v>
      </c>
      <c r="C1229" t="s">
        <v>1643</v>
      </c>
      <c r="E1229" t="s">
        <v>84</v>
      </c>
      <c r="G1229" t="str">
        <f>HYPERLINK(_xlfn.CONCAT("https://tablet.otzar.org/",CHAR(35),"/exKotar/651521"),"המשביר - 4 כרכים")</f>
        <v>המשביר - 4 כרכים</v>
      </c>
      <c r="H1229" t="str">
        <f>_xlfn.CONCAT("https://tablet.otzar.org/",CHAR(35),"/exKotar/651521")</f>
        <v>https://tablet.otzar.org/#/exKotar/651521</v>
      </c>
    </row>
    <row r="1230" spans="1:8" x14ac:dyDescent="0.25">
      <c r="A1230">
        <v>654648</v>
      </c>
      <c r="B1230" t="s">
        <v>2654</v>
      </c>
      <c r="C1230" t="s">
        <v>2655</v>
      </c>
      <c r="D1230" t="s">
        <v>34</v>
      </c>
      <c r="E1230" t="s">
        <v>29</v>
      </c>
      <c r="G1230" t="str">
        <f>HYPERLINK(_xlfn.CONCAT("https://tablet.otzar.org/",CHAR(35),"/book/654648/p/-1/t/1/fs/0/start/0/end/0/c"),"המשגיח רבינו ירוחם")</f>
        <v>המשגיח רבינו ירוחם</v>
      </c>
      <c r="H1230" t="str">
        <f>_xlfn.CONCAT("https://tablet.otzar.org/",CHAR(35),"/book/654648/p/-1/t/1/fs/0/start/0/end/0/c")</f>
        <v>https://tablet.otzar.org/#/book/654648/p/-1/t/1/fs/0/start/0/end/0/c</v>
      </c>
    </row>
    <row r="1231" spans="1:8" x14ac:dyDescent="0.25">
      <c r="A1231">
        <v>651841</v>
      </c>
      <c r="B1231" t="s">
        <v>2656</v>
      </c>
      <c r="C1231" t="s">
        <v>2657</v>
      </c>
      <c r="D1231" t="s">
        <v>52</v>
      </c>
      <c r="E1231" t="s">
        <v>117</v>
      </c>
      <c r="G1231" t="str">
        <f>HYPERLINK(_xlfn.CONCAT("https://tablet.otzar.org/",CHAR(35),"/book/651841/p/-1/t/1/fs/0/start/0/end/0/c"),"המשניות המבוארות מי באר - בבא מציעא")</f>
        <v>המשניות המבוארות מי באר - בבא מציעא</v>
      </c>
      <c r="H1231" t="str">
        <f>_xlfn.CONCAT("https://tablet.otzar.org/",CHAR(35),"/book/651841/p/-1/t/1/fs/0/start/0/end/0/c")</f>
        <v>https://tablet.otzar.org/#/book/651841/p/-1/t/1/fs/0/start/0/end/0/c</v>
      </c>
    </row>
    <row r="1232" spans="1:8" x14ac:dyDescent="0.25">
      <c r="A1232">
        <v>648044</v>
      </c>
      <c r="B1232" t="s">
        <v>2658</v>
      </c>
      <c r="C1232" t="s">
        <v>2659</v>
      </c>
      <c r="E1232" t="s">
        <v>1288</v>
      </c>
      <c r="G1232" t="str">
        <f>HYPERLINK(_xlfn.CONCAT("https://tablet.otzar.org/",CHAR(35),"/exKotar/648044"),"המתיבתא - 9 כרכים")</f>
        <v>המתיבתא - 9 כרכים</v>
      </c>
      <c r="H1232" t="str">
        <f>_xlfn.CONCAT("https://tablet.otzar.org/",CHAR(35),"/exKotar/648044")</f>
        <v>https://tablet.otzar.org/#/exKotar/648044</v>
      </c>
    </row>
    <row r="1233" spans="1:8" x14ac:dyDescent="0.25">
      <c r="A1233">
        <v>654240</v>
      </c>
      <c r="B1233" t="s">
        <v>2660</v>
      </c>
      <c r="C1233" t="s">
        <v>2661</v>
      </c>
      <c r="D1233" t="s">
        <v>273</v>
      </c>
      <c r="E1233" t="s">
        <v>11</v>
      </c>
      <c r="G1233" t="str">
        <f>HYPERLINK(_xlfn.CONCAT("https://tablet.otzar.org/",CHAR(35),"/book/654240/p/-1/t/1/fs/0/start/0/end/0/c"),"המתיקות שבפרשה")</f>
        <v>המתיקות שבפרשה</v>
      </c>
      <c r="H1233" t="str">
        <f>_xlfn.CONCAT("https://tablet.otzar.org/",CHAR(35),"/book/654240/p/-1/t/1/fs/0/start/0/end/0/c")</f>
        <v>https://tablet.otzar.org/#/book/654240/p/-1/t/1/fs/0/start/0/end/0/c</v>
      </c>
    </row>
    <row r="1234" spans="1:8" x14ac:dyDescent="0.25">
      <c r="A1234">
        <v>652911</v>
      </c>
      <c r="B1234" t="s">
        <v>2662</v>
      </c>
      <c r="C1234" t="s">
        <v>2663</v>
      </c>
      <c r="D1234" t="s">
        <v>10</v>
      </c>
      <c r="E1234" t="s">
        <v>1288</v>
      </c>
      <c r="G1234" t="str">
        <f>HYPERLINK(_xlfn.CONCAT("https://tablet.otzar.org/",CHAR(35),"/book/652911/p/-1/t/1/fs/0/start/0/end/0/c"),"הן הן נוראותיו")</f>
        <v>הן הן נוראותיו</v>
      </c>
      <c r="H1234" t="str">
        <f>_xlfn.CONCAT("https://tablet.otzar.org/",CHAR(35),"/book/652911/p/-1/t/1/fs/0/start/0/end/0/c")</f>
        <v>https://tablet.otzar.org/#/book/652911/p/-1/t/1/fs/0/start/0/end/0/c</v>
      </c>
    </row>
    <row r="1235" spans="1:8" x14ac:dyDescent="0.25">
      <c r="A1235">
        <v>648461</v>
      </c>
      <c r="B1235" t="s">
        <v>2664</v>
      </c>
      <c r="C1235" t="s">
        <v>2665</v>
      </c>
      <c r="D1235" t="s">
        <v>2666</v>
      </c>
      <c r="E1235" t="s">
        <v>2667</v>
      </c>
      <c r="G1235" t="str">
        <f>HYPERLINK(_xlfn.CONCAT("https://tablet.otzar.org/",CHAR(35),"/book/648461/p/-1/t/1/fs/0/start/0/end/0/c"),"הנהגת אדם")</f>
        <v>הנהגת אדם</v>
      </c>
      <c r="H1235" t="str">
        <f>_xlfn.CONCAT("https://tablet.otzar.org/",CHAR(35),"/book/648461/p/-1/t/1/fs/0/start/0/end/0/c")</f>
        <v>https://tablet.otzar.org/#/book/648461/p/-1/t/1/fs/0/start/0/end/0/c</v>
      </c>
    </row>
    <row r="1236" spans="1:8" x14ac:dyDescent="0.25">
      <c r="A1236">
        <v>649347</v>
      </c>
      <c r="B1236" t="s">
        <v>2668</v>
      </c>
      <c r="C1236" t="s">
        <v>2669</v>
      </c>
      <c r="D1236" t="s">
        <v>10</v>
      </c>
      <c r="E1236" t="s">
        <v>11</v>
      </c>
      <c r="G1236" t="str">
        <f>HYPERLINK(_xlfn.CONCAT("https://tablet.otzar.org/",CHAR(35),"/book/649347/p/-1/t/1/fs/0/start/0/end/0/c"),"הנותן אמרי שפר - ימים נוראים, סוכות")</f>
        <v>הנותן אמרי שפר - ימים נוראים, סוכות</v>
      </c>
      <c r="H1236" t="str">
        <f>_xlfn.CONCAT("https://tablet.otzar.org/",CHAR(35),"/book/649347/p/-1/t/1/fs/0/start/0/end/0/c")</f>
        <v>https://tablet.otzar.org/#/book/649347/p/-1/t/1/fs/0/start/0/end/0/c</v>
      </c>
    </row>
    <row r="1237" spans="1:8" x14ac:dyDescent="0.25">
      <c r="A1237">
        <v>648383</v>
      </c>
      <c r="B1237" t="s">
        <v>2670</v>
      </c>
      <c r="C1237" t="s">
        <v>2671</v>
      </c>
      <c r="D1237" t="s">
        <v>2672</v>
      </c>
      <c r="E1237" t="s">
        <v>2673</v>
      </c>
      <c r="G1237" t="str">
        <f>HYPERLINK(_xlfn.CONCAT("https://tablet.otzar.org/",CHAR(35),"/book/648383/p/-1/t/1/fs/0/start/0/end/0/c"),"הנותן בים דרך - חלק ראשון כרך ב")</f>
        <v>הנותן בים דרך - חלק ראשון כרך ב</v>
      </c>
      <c r="H1237" t="str">
        <f>_xlfn.CONCAT("https://tablet.otzar.org/",CHAR(35),"/book/648383/p/-1/t/1/fs/0/start/0/end/0/c")</f>
        <v>https://tablet.otzar.org/#/book/648383/p/-1/t/1/fs/0/start/0/end/0/c</v>
      </c>
    </row>
    <row r="1238" spans="1:8" x14ac:dyDescent="0.25">
      <c r="A1238">
        <v>655235</v>
      </c>
      <c r="B1238" t="s">
        <v>2674</v>
      </c>
      <c r="C1238" t="s">
        <v>911</v>
      </c>
      <c r="D1238" t="s">
        <v>10</v>
      </c>
      <c r="E1238" t="s">
        <v>657</v>
      </c>
      <c r="G1238" t="str">
        <f>HYPERLINK(_xlfn.CONCAT("https://tablet.otzar.org/",CHAR(35),"/book/655235/p/-1/t/1/fs/0/start/0/end/0/c"),"הנישואין בהלכה ובאגדה")</f>
        <v>הנישואין בהלכה ובאגדה</v>
      </c>
      <c r="H1238" t="str">
        <f>_xlfn.CONCAT("https://tablet.otzar.org/",CHAR(35),"/book/655235/p/-1/t/1/fs/0/start/0/end/0/c")</f>
        <v>https://tablet.otzar.org/#/book/655235/p/-1/t/1/fs/0/start/0/end/0/c</v>
      </c>
    </row>
    <row r="1239" spans="1:8" x14ac:dyDescent="0.25">
      <c r="A1239">
        <v>649094</v>
      </c>
      <c r="B1239" t="s">
        <v>2675</v>
      </c>
      <c r="C1239" t="s">
        <v>2676</v>
      </c>
      <c r="D1239" t="s">
        <v>10</v>
      </c>
      <c r="E1239" t="s">
        <v>89</v>
      </c>
      <c r="G1239" t="str">
        <f>HYPERLINK(_xlfn.CONCAT("https://tablet.otzar.org/",CHAR(35),"/book/649094/p/-1/t/1/fs/0/start/0/end/0/c"),"הנפש אשר בשמחה")</f>
        <v>הנפש אשר בשמחה</v>
      </c>
      <c r="H1239" t="str">
        <f>_xlfn.CONCAT("https://tablet.otzar.org/",CHAR(35),"/book/649094/p/-1/t/1/fs/0/start/0/end/0/c")</f>
        <v>https://tablet.otzar.org/#/book/649094/p/-1/t/1/fs/0/start/0/end/0/c</v>
      </c>
    </row>
    <row r="1240" spans="1:8" x14ac:dyDescent="0.25">
      <c r="A1240">
        <v>619836</v>
      </c>
      <c r="B1240" t="s">
        <v>2677</v>
      </c>
      <c r="C1240" t="s">
        <v>2676</v>
      </c>
      <c r="D1240" t="s">
        <v>10</v>
      </c>
      <c r="E1240" t="s">
        <v>769</v>
      </c>
      <c r="G1240" t="str">
        <f>HYPERLINK(_xlfn.CONCAT("https://tablet.otzar.org/",CHAR(35),"/book/619836/p/-1/t/1/fs/0/start/0/end/0/c"),"הנפש אשר בתהלים")</f>
        <v>הנפש אשר בתהלים</v>
      </c>
      <c r="H1240" t="str">
        <f>_xlfn.CONCAT("https://tablet.otzar.org/",CHAR(35),"/book/619836/p/-1/t/1/fs/0/start/0/end/0/c")</f>
        <v>https://tablet.otzar.org/#/book/619836/p/-1/t/1/fs/0/start/0/end/0/c</v>
      </c>
    </row>
    <row r="1241" spans="1:8" x14ac:dyDescent="0.25">
      <c r="A1241">
        <v>652844</v>
      </c>
      <c r="B1241" t="s">
        <v>2678</v>
      </c>
      <c r="C1241" t="s">
        <v>2669</v>
      </c>
      <c r="D1241" t="s">
        <v>10</v>
      </c>
      <c r="E1241" t="s">
        <v>213</v>
      </c>
      <c r="G1241" t="str">
        <f>HYPERLINK(_xlfn.CONCAT("https://tablet.otzar.org/",CHAR(35),"/book/652844/p/-1/t/1/fs/0/start/0/end/0/c"),"הנתן אמרי שפר - במדבר, חג השבועות")</f>
        <v>הנתן אמרי שפר - במדבר, חג השבועות</v>
      </c>
      <c r="H1241" t="str">
        <f>_xlfn.CONCAT("https://tablet.otzar.org/",CHAR(35),"/book/652844/p/-1/t/1/fs/0/start/0/end/0/c")</f>
        <v>https://tablet.otzar.org/#/book/652844/p/-1/t/1/fs/0/start/0/end/0/c</v>
      </c>
    </row>
    <row r="1242" spans="1:8" x14ac:dyDescent="0.25">
      <c r="A1242">
        <v>650568</v>
      </c>
      <c r="B1242" t="s">
        <v>2679</v>
      </c>
      <c r="C1242" t="s">
        <v>2680</v>
      </c>
      <c r="D1242" t="s">
        <v>10</v>
      </c>
      <c r="E1242" t="s">
        <v>126</v>
      </c>
      <c r="G1242" t="str">
        <f>HYPERLINK(_xlfn.CONCAT("https://tablet.otzar.org/",CHAR(35),"/book/650568/p/-1/t/1/fs/0/start/0/end/0/c"),"הסיפורת החסידית")</f>
        <v>הסיפורת החסידית</v>
      </c>
      <c r="H1242" t="str">
        <f>_xlfn.CONCAT("https://tablet.otzar.org/",CHAR(35),"/book/650568/p/-1/t/1/fs/0/start/0/end/0/c")</f>
        <v>https://tablet.otzar.org/#/book/650568/p/-1/t/1/fs/0/start/0/end/0/c</v>
      </c>
    </row>
    <row r="1243" spans="1:8" x14ac:dyDescent="0.25">
      <c r="A1243">
        <v>648199</v>
      </c>
      <c r="B1243" t="s">
        <v>2681</v>
      </c>
      <c r="C1243" t="s">
        <v>2682</v>
      </c>
      <c r="D1243" t="s">
        <v>340</v>
      </c>
      <c r="E1243" t="s">
        <v>84</v>
      </c>
      <c r="G1243" t="str">
        <f>HYPERLINK(_xlfn.CONCAT("https://tablet.otzar.org/",CHAR(35),"/book/648199/p/-1/t/1/fs/0/start/0/end/0/c"),"הסכת - כתובות")</f>
        <v>הסכת - כתובות</v>
      </c>
      <c r="H1243" t="str">
        <f>_xlfn.CONCAT("https://tablet.otzar.org/",CHAR(35),"/book/648199/p/-1/t/1/fs/0/start/0/end/0/c")</f>
        <v>https://tablet.otzar.org/#/book/648199/p/-1/t/1/fs/0/start/0/end/0/c</v>
      </c>
    </row>
    <row r="1244" spans="1:8" x14ac:dyDescent="0.25">
      <c r="A1244">
        <v>641284</v>
      </c>
      <c r="B1244" t="s">
        <v>2683</v>
      </c>
      <c r="C1244" t="s">
        <v>2684</v>
      </c>
      <c r="D1244" t="s">
        <v>10</v>
      </c>
      <c r="E1244" t="s">
        <v>2436</v>
      </c>
      <c r="G1244" t="str">
        <f>HYPERLINK(_xlfn.CONCAT("https://tablet.otzar.org/",CHAR(35),"/book/641284/p/-1/t/1/fs/0/start/0/end/0/c"),"הספרים העבריים שנדפסו בירושלים")</f>
        <v>הספרים העבריים שנדפסו בירושלים</v>
      </c>
      <c r="H1244" t="str">
        <f>_xlfn.CONCAT("https://tablet.otzar.org/",CHAR(35),"/book/641284/p/-1/t/1/fs/0/start/0/end/0/c")</f>
        <v>https://tablet.otzar.org/#/book/641284/p/-1/t/1/fs/0/start/0/end/0/c</v>
      </c>
    </row>
    <row r="1245" spans="1:8" x14ac:dyDescent="0.25">
      <c r="A1245">
        <v>649415</v>
      </c>
      <c r="B1245" t="s">
        <v>2685</v>
      </c>
      <c r="C1245" t="s">
        <v>2686</v>
      </c>
      <c r="D1245" t="s">
        <v>424</v>
      </c>
      <c r="E1245" t="s">
        <v>2436</v>
      </c>
      <c r="G1245" t="str">
        <f>HYPERLINK(_xlfn.CONCAT("https://tablet.otzar.org/",CHAR(35),"/book/649415/p/-1/t/1/fs/0/start/0/end/0/c"),"העבר - י")</f>
        <v>העבר - י</v>
      </c>
      <c r="H1245" t="str">
        <f>_xlfn.CONCAT("https://tablet.otzar.org/",CHAR(35),"/book/649415/p/-1/t/1/fs/0/start/0/end/0/c")</f>
        <v>https://tablet.otzar.org/#/book/649415/p/-1/t/1/fs/0/start/0/end/0/c</v>
      </c>
    </row>
    <row r="1246" spans="1:8" x14ac:dyDescent="0.25">
      <c r="A1246">
        <v>652686</v>
      </c>
      <c r="B1246" t="s">
        <v>2687</v>
      </c>
      <c r="C1246" t="s">
        <v>2688</v>
      </c>
      <c r="D1246" t="s">
        <v>10</v>
      </c>
      <c r="E1246" t="s">
        <v>111</v>
      </c>
      <c r="G1246" t="str">
        <f>HYPERLINK(_xlfn.CONCAT("https://tablet.otzar.org/",CHAR(35),"/exKotar/652686"),"העדה - 220 כרכים")</f>
        <v>העדה - 220 כרכים</v>
      </c>
      <c r="H1246" t="str">
        <f>_xlfn.CONCAT("https://tablet.otzar.org/",CHAR(35),"/exKotar/652686")</f>
        <v>https://tablet.otzar.org/#/exKotar/652686</v>
      </c>
    </row>
    <row r="1247" spans="1:8" x14ac:dyDescent="0.25">
      <c r="A1247">
        <v>651282</v>
      </c>
      <c r="B1247" t="s">
        <v>2689</v>
      </c>
      <c r="C1247" t="s">
        <v>2690</v>
      </c>
      <c r="D1247" t="s">
        <v>10</v>
      </c>
      <c r="E1247" t="s">
        <v>35</v>
      </c>
      <c r="G1247" t="str">
        <f>HYPERLINK(_xlfn.CONCAT("https://tablet.otzar.org/",CHAR(35),"/exKotar/651282"),"העדה קינדערליך - 80 כרכים")</f>
        <v>העדה קינדערליך - 80 כרכים</v>
      </c>
      <c r="H1247" t="str">
        <f>_xlfn.CONCAT("https://tablet.otzar.org/",CHAR(35),"/exKotar/651282")</f>
        <v>https://tablet.otzar.org/#/exKotar/651282</v>
      </c>
    </row>
    <row r="1248" spans="1:8" x14ac:dyDescent="0.25">
      <c r="A1248">
        <v>655655</v>
      </c>
      <c r="B1248" t="s">
        <v>2691</v>
      </c>
      <c r="C1248" t="s">
        <v>2398</v>
      </c>
      <c r="D1248" t="s">
        <v>10</v>
      </c>
      <c r="E1248" t="s">
        <v>11</v>
      </c>
      <c r="G1248" t="str">
        <f>HYPERLINK(_xlfn.CONCAT("https://tablet.otzar.org/",CHAR(35),"/book/655655/p/-1/t/1/fs/0/start/0/end/0/c"),"העיירה בוערת")</f>
        <v>העיירה בוערת</v>
      </c>
      <c r="H1248" t="str">
        <f>_xlfn.CONCAT("https://tablet.otzar.org/",CHAR(35),"/book/655655/p/-1/t/1/fs/0/start/0/end/0/c")</f>
        <v>https://tablet.otzar.org/#/book/655655/p/-1/t/1/fs/0/start/0/end/0/c</v>
      </c>
    </row>
    <row r="1249" spans="1:8" x14ac:dyDescent="0.25">
      <c r="A1249">
        <v>647151</v>
      </c>
      <c r="B1249" t="s">
        <v>2692</v>
      </c>
      <c r="C1249" t="s">
        <v>1116</v>
      </c>
      <c r="D1249" t="s">
        <v>212</v>
      </c>
      <c r="E1249" t="s">
        <v>246</v>
      </c>
      <c r="G1249" t="str">
        <f>HYPERLINK(_xlfn.CONCAT("https://tablet.otzar.org/",CHAR(35),"/book/647151/p/-1/t/1/fs/0/start/0/end/0/c"),"העמק - ג")</f>
        <v>העמק - ג</v>
      </c>
      <c r="H1249" t="str">
        <f>_xlfn.CONCAT("https://tablet.otzar.org/",CHAR(35),"/book/647151/p/-1/t/1/fs/0/start/0/end/0/c")</f>
        <v>https://tablet.otzar.org/#/book/647151/p/-1/t/1/fs/0/start/0/end/0/c</v>
      </c>
    </row>
    <row r="1250" spans="1:8" x14ac:dyDescent="0.25">
      <c r="A1250">
        <v>648914</v>
      </c>
      <c r="B1250" t="s">
        <v>2693</v>
      </c>
      <c r="C1250" t="s">
        <v>1643</v>
      </c>
      <c r="D1250" t="s">
        <v>10</v>
      </c>
      <c r="E1250" t="s">
        <v>2534</v>
      </c>
      <c r="G1250" t="str">
        <f>HYPERLINK(_xlfn.CONCAT("https://tablet.otzar.org/",CHAR(35),"/exKotar/648914"),"העמק - 2 כרכים")</f>
        <v>העמק - 2 כרכים</v>
      </c>
      <c r="H1250" t="str">
        <f>_xlfn.CONCAT("https://tablet.otzar.org/",CHAR(35),"/exKotar/648914")</f>
        <v>https://tablet.otzar.org/#/exKotar/648914</v>
      </c>
    </row>
    <row r="1251" spans="1:8" x14ac:dyDescent="0.25">
      <c r="A1251">
        <v>649035</v>
      </c>
      <c r="B1251" t="s">
        <v>2694</v>
      </c>
      <c r="C1251" t="s">
        <v>2695</v>
      </c>
      <c r="D1251" t="s">
        <v>52</v>
      </c>
      <c r="E1251" t="s">
        <v>45</v>
      </c>
      <c r="G1251" t="str">
        <f>HYPERLINK(_xlfn.CONCAT("https://tablet.otzar.org/",CHAR(35),"/book/649035/p/-1/t/1/fs/0/start/0/end/0/c"),"הערבות בהלכה")</f>
        <v>הערבות בהלכה</v>
      </c>
      <c r="H1251" t="str">
        <f>_xlfn.CONCAT("https://tablet.otzar.org/",CHAR(35),"/book/649035/p/-1/t/1/fs/0/start/0/end/0/c")</f>
        <v>https://tablet.otzar.org/#/book/649035/p/-1/t/1/fs/0/start/0/end/0/c</v>
      </c>
    </row>
    <row r="1252" spans="1:8" x14ac:dyDescent="0.25">
      <c r="A1252">
        <v>651717</v>
      </c>
      <c r="B1252" t="s">
        <v>2696</v>
      </c>
      <c r="C1252" t="s">
        <v>614</v>
      </c>
      <c r="D1252" t="s">
        <v>34</v>
      </c>
      <c r="E1252" t="s">
        <v>35</v>
      </c>
      <c r="G1252" t="str">
        <f>HYPERLINK(_xlfn.CONCAT("https://tablet.otzar.org/",CHAR(35),"/book/651717/p/-1/t/1/fs/0/start/0/end/0/c"),"הערה בענין צורת מצות ההסבה")</f>
        <v>הערה בענין צורת מצות ההסבה</v>
      </c>
      <c r="H1252" t="str">
        <f>_xlfn.CONCAT("https://tablet.otzar.org/",CHAR(35),"/book/651717/p/-1/t/1/fs/0/start/0/end/0/c")</f>
        <v>https://tablet.otzar.org/#/book/651717/p/-1/t/1/fs/0/start/0/end/0/c</v>
      </c>
    </row>
    <row r="1253" spans="1:8" x14ac:dyDescent="0.25">
      <c r="A1253">
        <v>647615</v>
      </c>
      <c r="B1253" t="s">
        <v>2697</v>
      </c>
      <c r="C1253" t="s">
        <v>2698</v>
      </c>
      <c r="D1253" t="s">
        <v>340</v>
      </c>
      <c r="E1253" t="s">
        <v>70</v>
      </c>
      <c r="G1253" t="str">
        <f>HYPERLINK(_xlfn.CONCAT("https://tablet.otzar.org/",CHAR(35),"/book/647615/p/-1/t/1/fs/0/start/0/end/0/c"),"הערות בשו""""ע ומשנ""""ב")</f>
        <v>הערות בשו""ע ומשנ""ב</v>
      </c>
      <c r="H1253" t="str">
        <f>_xlfn.CONCAT("https://tablet.otzar.org/",CHAR(35),"/book/647615/p/-1/t/1/fs/0/start/0/end/0/c")</f>
        <v>https://tablet.otzar.org/#/book/647615/p/-1/t/1/fs/0/start/0/end/0/c</v>
      </c>
    </row>
    <row r="1254" spans="1:8" x14ac:dyDescent="0.25">
      <c r="A1254">
        <v>651618</v>
      </c>
      <c r="B1254" t="s">
        <v>2699</v>
      </c>
      <c r="C1254" t="s">
        <v>382</v>
      </c>
      <c r="D1254" t="s">
        <v>2700</v>
      </c>
      <c r="E1254" t="s">
        <v>11</v>
      </c>
      <c r="G1254" t="str">
        <f>HYPERLINK(_xlfn.CONCAT("https://tablet.otzar.org/",CHAR(35),"/book/651618/p/-1/t/1/fs/0/start/0/end/0/c"),"הערות התמימים ואנ""""ש - (מאריסטאון) תתק""""כ")</f>
        <v>הערות התמימים ואנ""ש - (מאריסטאון) תתק""כ</v>
      </c>
      <c r="H1254" t="str">
        <f>_xlfn.CONCAT("https://tablet.otzar.org/",CHAR(35),"/book/651618/p/-1/t/1/fs/0/start/0/end/0/c")</f>
        <v>https://tablet.otzar.org/#/book/651618/p/-1/t/1/fs/0/start/0/end/0/c</v>
      </c>
    </row>
    <row r="1255" spans="1:8" x14ac:dyDescent="0.25">
      <c r="A1255">
        <v>647836</v>
      </c>
      <c r="B1255" t="s">
        <v>2701</v>
      </c>
      <c r="C1255" t="s">
        <v>614</v>
      </c>
      <c r="D1255" t="s">
        <v>34</v>
      </c>
      <c r="E1255" t="s">
        <v>70</v>
      </c>
      <c r="G1255" t="str">
        <f>HYPERLINK(_xlfn.CONCAT("https://tablet.otzar.org/",CHAR(35),"/book/647836/p/-1/t/1/fs/0/start/0/end/0/c"),"הערות וביאורים")</f>
        <v>הערות וביאורים</v>
      </c>
      <c r="H1255" t="str">
        <f>_xlfn.CONCAT("https://tablet.otzar.org/",CHAR(35),"/book/647836/p/-1/t/1/fs/0/start/0/end/0/c")</f>
        <v>https://tablet.otzar.org/#/book/647836/p/-1/t/1/fs/0/start/0/end/0/c</v>
      </c>
    </row>
    <row r="1256" spans="1:8" x14ac:dyDescent="0.25">
      <c r="A1256">
        <v>650258</v>
      </c>
      <c r="B1256" t="s">
        <v>2702</v>
      </c>
      <c r="C1256" t="s">
        <v>2703</v>
      </c>
      <c r="D1256" t="s">
        <v>463</v>
      </c>
      <c r="E1256" t="s">
        <v>383</v>
      </c>
      <c r="G1256" t="str">
        <f>HYPERLINK(_xlfn.CONCAT("https://tablet.otzar.org/",CHAR(35),"/book/650258/p/-1/t/1/fs/0/start/0/end/0/c"),"הערות וביאורים - ספר היובל")</f>
        <v>הערות וביאורים - ספר היובל</v>
      </c>
      <c r="H1256" t="str">
        <f>_xlfn.CONCAT("https://tablet.otzar.org/",CHAR(35),"/book/650258/p/-1/t/1/fs/0/start/0/end/0/c")</f>
        <v>https://tablet.otzar.org/#/book/650258/p/-1/t/1/fs/0/start/0/end/0/c</v>
      </c>
    </row>
    <row r="1257" spans="1:8" x14ac:dyDescent="0.25">
      <c r="A1257">
        <v>656819</v>
      </c>
      <c r="B1257" t="s">
        <v>2704</v>
      </c>
      <c r="C1257" t="s">
        <v>2705</v>
      </c>
      <c r="D1257" t="s">
        <v>52</v>
      </c>
      <c r="E1257" t="s">
        <v>1476</v>
      </c>
      <c r="G1257" t="str">
        <f>HYPERLINK(_xlfn.CONCAT("https://tablet.otzar.org/",CHAR(35),"/exKotar/656819"),"הערות וביאורים - 2 כרכים")</f>
        <v>הערות וביאורים - 2 כרכים</v>
      </c>
      <c r="H1257" t="str">
        <f>_xlfn.CONCAT("https://tablet.otzar.org/",CHAR(35),"/exKotar/656819")</f>
        <v>https://tablet.otzar.org/#/exKotar/656819</v>
      </c>
    </row>
    <row r="1258" spans="1:8" x14ac:dyDescent="0.25">
      <c r="A1258">
        <v>649237</v>
      </c>
      <c r="B1258" t="s">
        <v>2706</v>
      </c>
      <c r="C1258" t="s">
        <v>2707</v>
      </c>
      <c r="D1258" t="s">
        <v>10</v>
      </c>
      <c r="E1258" t="s">
        <v>117</v>
      </c>
      <c r="G1258" t="str">
        <f>HYPERLINK(_xlfn.CONCAT("https://tablet.otzar.org/",CHAR(35),"/exKotar/649237"),"הערות וביאורים - 3 כרכים")</f>
        <v>הערות וביאורים - 3 כרכים</v>
      </c>
      <c r="H1258" t="str">
        <f>_xlfn.CONCAT("https://tablet.otzar.org/",CHAR(35),"/exKotar/649237")</f>
        <v>https://tablet.otzar.org/#/exKotar/649237</v>
      </c>
    </row>
    <row r="1259" spans="1:8" x14ac:dyDescent="0.25">
      <c r="A1259">
        <v>656037</v>
      </c>
      <c r="B1259" t="s">
        <v>2708</v>
      </c>
      <c r="C1259" t="s">
        <v>2709</v>
      </c>
      <c r="D1259" t="s">
        <v>193</v>
      </c>
      <c r="E1259" t="s">
        <v>84</v>
      </c>
      <c r="G1259" t="str">
        <f>HYPERLINK(_xlfn.CONCAT("https://tablet.otzar.org/",CHAR(35),"/book/656037/p/-1/t/1/fs/0/start/0/end/0/c"),"הערות וביאורים בהלכות השכמת הבוקר ובהלכות ציצית")</f>
        <v>הערות וביאורים בהלכות השכמת הבוקר ובהלכות ציצית</v>
      </c>
      <c r="H1259" t="str">
        <f>_xlfn.CONCAT("https://tablet.otzar.org/",CHAR(35),"/book/656037/p/-1/t/1/fs/0/start/0/end/0/c")</f>
        <v>https://tablet.otzar.org/#/book/656037/p/-1/t/1/fs/0/start/0/end/0/c</v>
      </c>
    </row>
    <row r="1260" spans="1:8" x14ac:dyDescent="0.25">
      <c r="A1260">
        <v>656038</v>
      </c>
      <c r="B1260" t="s">
        <v>2710</v>
      </c>
      <c r="C1260" t="s">
        <v>2709</v>
      </c>
      <c r="D1260" t="s">
        <v>193</v>
      </c>
      <c r="E1260" t="s">
        <v>84</v>
      </c>
      <c r="G1260" t="str">
        <f>HYPERLINK(_xlfn.CONCAT("https://tablet.otzar.org/",CHAR(35),"/book/656038/p/-1/t/1/fs/0/start/0/end/0/c"),"הערות וביאורים בהלכות יום טוב וחול המועד")</f>
        <v>הערות וביאורים בהלכות יום טוב וחול המועד</v>
      </c>
      <c r="H1260" t="str">
        <f>_xlfn.CONCAT("https://tablet.otzar.org/",CHAR(35),"/book/656038/p/-1/t/1/fs/0/start/0/end/0/c")</f>
        <v>https://tablet.otzar.org/#/book/656038/p/-1/t/1/fs/0/start/0/end/0/c</v>
      </c>
    </row>
    <row r="1261" spans="1:8" x14ac:dyDescent="0.25">
      <c r="A1261">
        <v>649744</v>
      </c>
      <c r="B1261" t="s">
        <v>2711</v>
      </c>
      <c r="C1261" t="s">
        <v>2712</v>
      </c>
      <c r="D1261" t="s">
        <v>52</v>
      </c>
      <c r="E1261" t="s">
        <v>2713</v>
      </c>
      <c r="G1261" t="str">
        <f>HYPERLINK(_xlfn.CONCAT("https://tablet.otzar.org/",CHAR(35),"/book/649744/p/-1/t/1/fs/0/start/0/end/0/c"),"הערות והארות")</f>
        <v>הערות והארות</v>
      </c>
      <c r="H1261" t="str">
        <f>_xlfn.CONCAT("https://tablet.otzar.org/",CHAR(35),"/book/649744/p/-1/t/1/fs/0/start/0/end/0/c")</f>
        <v>https://tablet.otzar.org/#/book/649744/p/-1/t/1/fs/0/start/0/end/0/c</v>
      </c>
    </row>
    <row r="1262" spans="1:8" x14ac:dyDescent="0.25">
      <c r="A1262">
        <v>652838</v>
      </c>
      <c r="B1262" t="s">
        <v>2714</v>
      </c>
      <c r="C1262" t="s">
        <v>2715</v>
      </c>
      <c r="D1262" t="s">
        <v>2716</v>
      </c>
      <c r="E1262" t="s">
        <v>45</v>
      </c>
      <c r="G1262" t="str">
        <f>HYPERLINK(_xlfn.CONCAT("https://tablet.otzar.org/",CHAR(35),"/book/652838/p/-1/t/1/fs/0/start/0/end/0/c"),"הערות ושו""""ת במסכת ביצה ומועד קטן")</f>
        <v>הערות ושו""ת במסכת ביצה ומועד קטן</v>
      </c>
      <c r="H1262" t="str">
        <f>_xlfn.CONCAT("https://tablet.otzar.org/",CHAR(35),"/book/652838/p/-1/t/1/fs/0/start/0/end/0/c")</f>
        <v>https://tablet.otzar.org/#/book/652838/p/-1/t/1/fs/0/start/0/end/0/c</v>
      </c>
    </row>
    <row r="1263" spans="1:8" x14ac:dyDescent="0.25">
      <c r="A1263">
        <v>652831</v>
      </c>
      <c r="B1263" t="s">
        <v>2717</v>
      </c>
      <c r="C1263" t="s">
        <v>2715</v>
      </c>
      <c r="D1263" t="s">
        <v>2716</v>
      </c>
      <c r="E1263" t="s">
        <v>45</v>
      </c>
      <c r="G1263" t="str">
        <f>HYPERLINK(_xlfn.CONCAT("https://tablet.otzar.org/",CHAR(35),"/book/652831/p/-1/t/1/fs/0/start/0/end/0/c"),"הערות ושו""""ת במסכת מכות והוריות")</f>
        <v>הערות ושו""ת במסכת מכות והוריות</v>
      </c>
      <c r="H1263" t="str">
        <f>_xlfn.CONCAT("https://tablet.otzar.org/",CHAR(35),"/book/652831/p/-1/t/1/fs/0/start/0/end/0/c")</f>
        <v>https://tablet.otzar.org/#/book/652831/p/-1/t/1/fs/0/start/0/end/0/c</v>
      </c>
    </row>
    <row r="1264" spans="1:8" x14ac:dyDescent="0.25">
      <c r="A1264">
        <v>652830</v>
      </c>
      <c r="B1264" t="s">
        <v>2718</v>
      </c>
      <c r="C1264" t="s">
        <v>2715</v>
      </c>
      <c r="D1264" t="s">
        <v>2716</v>
      </c>
      <c r="E1264" t="s">
        <v>84</v>
      </c>
      <c r="G1264" t="str">
        <f>HYPERLINK(_xlfn.CONCAT("https://tablet.otzar.org/",CHAR(35),"/book/652830/p/-1/t/1/fs/0/start/0/end/0/c"),"הערות ושו""""ת במסכת ערכין")</f>
        <v>הערות ושו""ת במסכת ערכין</v>
      </c>
      <c r="H1264" t="str">
        <f>_xlfn.CONCAT("https://tablet.otzar.org/",CHAR(35),"/book/652830/p/-1/t/1/fs/0/start/0/end/0/c")</f>
        <v>https://tablet.otzar.org/#/book/652830/p/-1/t/1/fs/0/start/0/end/0/c</v>
      </c>
    </row>
    <row r="1265" spans="1:8" x14ac:dyDescent="0.25">
      <c r="A1265">
        <v>643247</v>
      </c>
      <c r="B1265" t="s">
        <v>2719</v>
      </c>
      <c r="C1265" t="s">
        <v>2720</v>
      </c>
      <c r="E1265" t="s">
        <v>507</v>
      </c>
      <c r="G1265" t="str">
        <f>HYPERLINK(_xlfn.CONCAT("https://tablet.otzar.org/",CHAR(35),"/book/643247/p/-1/t/1/fs/0/start/0/end/0/c"),"הערות לביאור הגר""""א על ספרא דצניעותא - יד אליהו, לשם שבו ואחלמה")</f>
        <v>הערות לביאור הגר""א על ספרא דצניעותא - יד אליהו, לשם שבו ואחלמה</v>
      </c>
      <c r="H1265" t="str">
        <f>_xlfn.CONCAT("https://tablet.otzar.org/",CHAR(35),"/book/643247/p/-1/t/1/fs/0/start/0/end/0/c")</f>
        <v>https://tablet.otzar.org/#/book/643247/p/-1/t/1/fs/0/start/0/end/0/c</v>
      </c>
    </row>
    <row r="1266" spans="1:8" x14ac:dyDescent="0.25">
      <c r="A1266">
        <v>649225</v>
      </c>
      <c r="B1266" t="s">
        <v>2721</v>
      </c>
      <c r="C1266" t="s">
        <v>2722</v>
      </c>
      <c r="D1266" t="s">
        <v>34</v>
      </c>
      <c r="E1266" t="s">
        <v>11</v>
      </c>
      <c r="G1266" t="str">
        <f>HYPERLINK(_xlfn.CONCAT("https://tablet.otzar.org/",CHAR(35),"/book/649225/p/-1/t/1/fs/0/start/0/end/0/c"),"הערות קצרות - בבא קמא")</f>
        <v>הערות קצרות - בבא קמא</v>
      </c>
      <c r="H1266" t="str">
        <f>_xlfn.CONCAT("https://tablet.otzar.org/",CHAR(35),"/book/649225/p/-1/t/1/fs/0/start/0/end/0/c")</f>
        <v>https://tablet.otzar.org/#/book/649225/p/-1/t/1/fs/0/start/0/end/0/c</v>
      </c>
    </row>
    <row r="1267" spans="1:8" x14ac:dyDescent="0.25">
      <c r="A1267">
        <v>656039</v>
      </c>
      <c r="B1267" t="s">
        <v>2723</v>
      </c>
      <c r="C1267" t="s">
        <v>2709</v>
      </c>
      <c r="D1267" t="s">
        <v>193</v>
      </c>
      <c r="E1267" t="s">
        <v>84</v>
      </c>
      <c r="G1267" t="str">
        <f>HYPERLINK(_xlfn.CONCAT("https://tablet.otzar.org/",CHAR(35),"/book/656039/p/-1/t/1/fs/0/start/0/end/0/c"),"הערות קצרות בהלכות שבת")</f>
        <v>הערות קצרות בהלכות שבת</v>
      </c>
      <c r="H1267" t="str">
        <f>_xlfn.CONCAT("https://tablet.otzar.org/",CHAR(35),"/book/656039/p/-1/t/1/fs/0/start/0/end/0/c")</f>
        <v>https://tablet.otzar.org/#/book/656039/p/-1/t/1/fs/0/start/0/end/0/c</v>
      </c>
    </row>
    <row r="1268" spans="1:8" x14ac:dyDescent="0.25">
      <c r="A1268">
        <v>654423</v>
      </c>
      <c r="B1268" t="s">
        <v>2724</v>
      </c>
      <c r="C1268" t="s">
        <v>2725</v>
      </c>
      <c r="D1268" t="s">
        <v>212</v>
      </c>
      <c r="E1268" t="s">
        <v>11</v>
      </c>
      <c r="G1268" t="str">
        <f>HYPERLINK(_xlfn.CONCAT("https://tablet.otzar.org/",CHAR(35),"/book/654423/p/-1/t/1/fs/0/start/0/end/0/c"),"הפוך בה")</f>
        <v>הפוך בה</v>
      </c>
      <c r="H1268" t="str">
        <f>_xlfn.CONCAT("https://tablet.otzar.org/",CHAR(35),"/book/654423/p/-1/t/1/fs/0/start/0/end/0/c")</f>
        <v>https://tablet.otzar.org/#/book/654423/p/-1/t/1/fs/0/start/0/end/0/c</v>
      </c>
    </row>
    <row r="1269" spans="1:8" x14ac:dyDescent="0.25">
      <c r="A1269">
        <v>651823</v>
      </c>
      <c r="B1269" t="s">
        <v>2726</v>
      </c>
      <c r="C1269" t="s">
        <v>2727</v>
      </c>
      <c r="D1269" t="s">
        <v>2728</v>
      </c>
      <c r="E1269" t="s">
        <v>2729</v>
      </c>
      <c r="G1269" t="str">
        <f>HYPERLINK(_xlfn.CONCAT("https://tablet.otzar.org/",CHAR(35),"/book/651823/p/-1/t/1/fs/0/start/0/end/0/c"),"הפותח שער")</f>
        <v>הפותח שער</v>
      </c>
      <c r="H1269" t="str">
        <f>_xlfn.CONCAT("https://tablet.otzar.org/",CHAR(35),"/book/651823/p/-1/t/1/fs/0/start/0/end/0/c")</f>
        <v>https://tablet.otzar.org/#/book/651823/p/-1/t/1/fs/0/start/0/end/0/c</v>
      </c>
    </row>
    <row r="1270" spans="1:8" x14ac:dyDescent="0.25">
      <c r="A1270">
        <v>638725</v>
      </c>
      <c r="B1270" t="s">
        <v>2730</v>
      </c>
      <c r="C1270" t="s">
        <v>2731</v>
      </c>
      <c r="D1270" t="s">
        <v>10</v>
      </c>
      <c r="E1270" t="s">
        <v>224</v>
      </c>
      <c r="G1270" t="str">
        <f>HYPERLINK(_xlfn.CONCAT("https://tablet.otzar.org/",CHAR(35),"/book/638725/p/-1/t/1/fs/0/start/0/end/0/c"),"הפטרת השבוע - רעיונות חינוכיים")</f>
        <v>הפטרת השבוע - רעיונות חינוכיים</v>
      </c>
      <c r="H1270" t="str">
        <f>_xlfn.CONCAT("https://tablet.otzar.org/",CHAR(35),"/book/638725/p/-1/t/1/fs/0/start/0/end/0/c")</f>
        <v>https://tablet.otzar.org/#/book/638725/p/-1/t/1/fs/0/start/0/end/0/c</v>
      </c>
    </row>
    <row r="1271" spans="1:8" x14ac:dyDescent="0.25">
      <c r="A1271">
        <v>652807</v>
      </c>
      <c r="B1271" t="s">
        <v>2732</v>
      </c>
      <c r="C1271" t="s">
        <v>851</v>
      </c>
      <c r="D1271" t="s">
        <v>129</v>
      </c>
      <c r="E1271" t="s">
        <v>2733</v>
      </c>
      <c r="G1271" t="str">
        <f>HYPERLINK(_xlfn.CONCAT("https://tablet.otzar.org/",CHAR(35),"/book/652807/p/-1/t/1/fs/0/start/0/end/0/c"),"הפילוסופיה של ה""""חסידות""""")</f>
        <v>הפילוסופיה של ה""חסידות""</v>
      </c>
      <c r="H1271" t="str">
        <f>_xlfn.CONCAT("https://tablet.otzar.org/",CHAR(35),"/book/652807/p/-1/t/1/fs/0/start/0/end/0/c")</f>
        <v>https://tablet.otzar.org/#/book/652807/p/-1/t/1/fs/0/start/0/end/0/c</v>
      </c>
    </row>
    <row r="1272" spans="1:8" x14ac:dyDescent="0.25">
      <c r="A1272">
        <v>651511</v>
      </c>
      <c r="B1272" t="s">
        <v>2734</v>
      </c>
      <c r="C1272" t="s">
        <v>2735</v>
      </c>
      <c r="D1272" t="s">
        <v>10</v>
      </c>
      <c r="E1272" t="s">
        <v>45</v>
      </c>
      <c r="G1272" t="str">
        <f>HYPERLINK(_xlfn.CONCAT("https://tablet.otzar.org/",CHAR(35),"/book/651511/p/-1/t/1/fs/0/start/0/end/0/c"),"הפני מנחם - ג")</f>
        <v>הפני מנחם - ג</v>
      </c>
      <c r="H1272" t="str">
        <f>_xlfn.CONCAT("https://tablet.otzar.org/",CHAR(35),"/book/651511/p/-1/t/1/fs/0/start/0/end/0/c")</f>
        <v>https://tablet.otzar.org/#/book/651511/p/-1/t/1/fs/0/start/0/end/0/c</v>
      </c>
    </row>
    <row r="1273" spans="1:8" x14ac:dyDescent="0.25">
      <c r="A1273">
        <v>651443</v>
      </c>
      <c r="B1273" t="s">
        <v>2736</v>
      </c>
      <c r="C1273" t="s">
        <v>2737</v>
      </c>
      <c r="D1273" t="s">
        <v>10</v>
      </c>
      <c r="E1273" t="s">
        <v>224</v>
      </c>
      <c r="G1273" t="str">
        <f>HYPERLINK(_xlfn.CONCAT("https://tablet.otzar.org/",CHAR(35),"/book/651443/p/-1/t/1/fs/0/start/0/end/0/c"),"הפקדון")</f>
        <v>הפקדון</v>
      </c>
      <c r="H1273" t="str">
        <f>_xlfn.CONCAT("https://tablet.otzar.org/",CHAR(35),"/book/651443/p/-1/t/1/fs/0/start/0/end/0/c")</f>
        <v>https://tablet.otzar.org/#/book/651443/p/-1/t/1/fs/0/start/0/end/0/c</v>
      </c>
    </row>
    <row r="1274" spans="1:8" x14ac:dyDescent="0.25">
      <c r="A1274">
        <v>647926</v>
      </c>
      <c r="B1274" t="s">
        <v>2738</v>
      </c>
      <c r="C1274" t="s">
        <v>2739</v>
      </c>
      <c r="D1274" t="s">
        <v>10</v>
      </c>
      <c r="E1274" t="s">
        <v>682</v>
      </c>
      <c r="G1274" t="str">
        <f>HYPERLINK(_xlfn.CONCAT("https://tablet.otzar.org/",CHAR(35),"/exKotar/647926"),"הפרדס - 2 כרכים")</f>
        <v>הפרדס - 2 כרכים</v>
      </c>
      <c r="H1274" t="str">
        <f>_xlfn.CONCAT("https://tablet.otzar.org/",CHAR(35),"/exKotar/647926")</f>
        <v>https://tablet.otzar.org/#/exKotar/647926</v>
      </c>
    </row>
    <row r="1275" spans="1:8" x14ac:dyDescent="0.25">
      <c r="A1275">
        <v>649857</v>
      </c>
      <c r="B1275" t="s">
        <v>2740</v>
      </c>
      <c r="C1275" t="s">
        <v>2741</v>
      </c>
      <c r="D1275" t="s">
        <v>10</v>
      </c>
      <c r="E1275" t="s">
        <v>146</v>
      </c>
      <c r="G1275" t="str">
        <f>HYPERLINK(_xlfn.CONCAT("https://tablet.otzar.org/",CHAR(35),"/book/649857/p/-1/t/1/fs/0/start/0/end/0/c"),"הפרשת תרומות ומעשרות בדרך נכונה")</f>
        <v>הפרשת תרומות ומעשרות בדרך נכונה</v>
      </c>
      <c r="H1275" t="str">
        <f>_xlfn.CONCAT("https://tablet.otzar.org/",CHAR(35),"/book/649857/p/-1/t/1/fs/0/start/0/end/0/c")</f>
        <v>https://tablet.otzar.org/#/book/649857/p/-1/t/1/fs/0/start/0/end/0/c</v>
      </c>
    </row>
    <row r="1276" spans="1:8" x14ac:dyDescent="0.25">
      <c r="A1276">
        <v>654987</v>
      </c>
      <c r="B1276" t="s">
        <v>2742</v>
      </c>
      <c r="C1276" t="s">
        <v>2743</v>
      </c>
      <c r="D1276" t="s">
        <v>10</v>
      </c>
      <c r="E1276" t="s">
        <v>77</v>
      </c>
      <c r="G1276" t="str">
        <f>HYPERLINK(_xlfn.CONCAT("https://tablet.otzar.org/",CHAR(35),"/exKotar/654987"),"הצ'יק בהלכה - 2 כרכים")</f>
        <v>הצ'יק בהלכה - 2 כרכים</v>
      </c>
      <c r="H1276" t="str">
        <f>_xlfn.CONCAT("https://tablet.otzar.org/",CHAR(35),"/exKotar/654987")</f>
        <v>https://tablet.otzar.org/#/exKotar/654987</v>
      </c>
    </row>
    <row r="1277" spans="1:8" x14ac:dyDescent="0.25">
      <c r="A1277">
        <v>650650</v>
      </c>
      <c r="B1277" t="s">
        <v>2744</v>
      </c>
      <c r="C1277" t="s">
        <v>2745</v>
      </c>
      <c r="D1277" t="s">
        <v>34</v>
      </c>
      <c r="E1277" t="s">
        <v>70</v>
      </c>
      <c r="G1277" t="str">
        <f>HYPERLINK(_xlfn.CONCAT("https://tablet.otzar.org/",CHAR(35),"/book/650650/p/-1/t/1/fs/0/start/0/end/0/c"),"הצדיק הגנוז")</f>
        <v>הצדיק הגנוז</v>
      </c>
      <c r="H1277" t="str">
        <f>_xlfn.CONCAT("https://tablet.otzar.org/",CHAR(35),"/book/650650/p/-1/t/1/fs/0/start/0/end/0/c")</f>
        <v>https://tablet.otzar.org/#/book/650650/p/-1/t/1/fs/0/start/0/end/0/c</v>
      </c>
    </row>
    <row r="1278" spans="1:8" x14ac:dyDescent="0.25">
      <c r="A1278">
        <v>651900</v>
      </c>
      <c r="B1278" t="s">
        <v>2746</v>
      </c>
      <c r="C1278" t="s">
        <v>2747</v>
      </c>
      <c r="D1278" t="s">
        <v>2748</v>
      </c>
      <c r="E1278" t="s">
        <v>2749</v>
      </c>
      <c r="G1278" t="str">
        <f>HYPERLINK(_xlfn.CONCAT("https://tablet.otzar.org/",CHAR(35),"/book/651900/p/-1/t/1/fs/0/start/0/end/0/c"),"הצופה על דרכי המשנה")</f>
        <v>הצופה על דרכי המשנה</v>
      </c>
      <c r="H1278" t="str">
        <f>_xlfn.CONCAT("https://tablet.otzar.org/",CHAR(35),"/book/651900/p/-1/t/1/fs/0/start/0/end/0/c")</f>
        <v>https://tablet.otzar.org/#/book/651900/p/-1/t/1/fs/0/start/0/end/0/c</v>
      </c>
    </row>
    <row r="1279" spans="1:8" x14ac:dyDescent="0.25">
      <c r="A1279">
        <v>649440</v>
      </c>
      <c r="B1279" t="s">
        <v>2750</v>
      </c>
      <c r="C1279" t="s">
        <v>2751</v>
      </c>
      <c r="D1279" t="s">
        <v>58</v>
      </c>
      <c r="E1279" t="s">
        <v>2752</v>
      </c>
      <c r="G1279" t="str">
        <f>HYPERLINK(_xlfn.CONCAT("https://tablet.otzar.org/",CHAR(35),"/book/649440/p/-1/t/1/fs/0/start/0/end/0/c"),"הציבי ציונים - ב")</f>
        <v>הציבי ציונים - ב</v>
      </c>
      <c r="H1279" t="str">
        <f>_xlfn.CONCAT("https://tablet.otzar.org/",CHAR(35),"/book/649440/p/-1/t/1/fs/0/start/0/end/0/c")</f>
        <v>https://tablet.otzar.org/#/book/649440/p/-1/t/1/fs/0/start/0/end/0/c</v>
      </c>
    </row>
    <row r="1280" spans="1:8" x14ac:dyDescent="0.25">
      <c r="A1280">
        <v>647527</v>
      </c>
      <c r="B1280" t="s">
        <v>2753</v>
      </c>
      <c r="C1280" t="s">
        <v>2754</v>
      </c>
      <c r="D1280" t="s">
        <v>52</v>
      </c>
      <c r="E1280" t="s">
        <v>35</v>
      </c>
      <c r="G1280" t="str">
        <f>HYPERLINK(_xlfn.CONCAT("https://tablet.otzar.org/",CHAR(35),"/book/647527/p/-1/t/1/fs/0/start/0/end/0/c"),"הציבי ציונים - תענית (תקנת עזרא)")</f>
        <v>הציבי ציונים - תענית (תקנת עזרא)</v>
      </c>
      <c r="H1280" t="str">
        <f>_xlfn.CONCAT("https://tablet.otzar.org/",CHAR(35),"/book/647527/p/-1/t/1/fs/0/start/0/end/0/c")</f>
        <v>https://tablet.otzar.org/#/book/647527/p/-1/t/1/fs/0/start/0/end/0/c</v>
      </c>
    </row>
    <row r="1281" spans="1:8" x14ac:dyDescent="0.25">
      <c r="A1281">
        <v>648972</v>
      </c>
      <c r="B1281" t="s">
        <v>2755</v>
      </c>
      <c r="C1281" t="s">
        <v>614</v>
      </c>
      <c r="D1281" t="s">
        <v>52</v>
      </c>
      <c r="E1281" t="s">
        <v>558</v>
      </c>
      <c r="G1281" t="str">
        <f>HYPERLINK(_xlfn.CONCAT("https://tablet.otzar.org/",CHAR(35),"/book/648972/p/-1/t/1/fs/0/start/0/end/0/c"),"הצלחה בידיעת התורה")</f>
        <v>הצלחה בידיעת התורה</v>
      </c>
      <c r="H1281" t="str">
        <f>_xlfn.CONCAT("https://tablet.otzar.org/",CHAR(35),"/book/648972/p/-1/t/1/fs/0/start/0/end/0/c")</f>
        <v>https://tablet.otzar.org/#/book/648972/p/-1/t/1/fs/0/start/0/end/0/c</v>
      </c>
    </row>
    <row r="1282" spans="1:8" x14ac:dyDescent="0.25">
      <c r="A1282">
        <v>654676</v>
      </c>
      <c r="B1282" t="s">
        <v>2756</v>
      </c>
      <c r="C1282" t="s">
        <v>2757</v>
      </c>
      <c r="D1282" t="s">
        <v>139</v>
      </c>
      <c r="E1282" t="s">
        <v>657</v>
      </c>
      <c r="G1282" t="str">
        <f>HYPERLINK(_xlfn.CONCAT("https://tablet.otzar.org/",CHAR(35),"/book/654676/p/-1/t/1/fs/0/start/0/end/0/c"),"הצמצום והמציאות")</f>
        <v>הצמצום והמציאות</v>
      </c>
      <c r="H1282" t="str">
        <f>_xlfn.CONCAT("https://tablet.otzar.org/",CHAR(35),"/book/654676/p/-1/t/1/fs/0/start/0/end/0/c")</f>
        <v>https://tablet.otzar.org/#/book/654676/p/-1/t/1/fs/0/start/0/end/0/c</v>
      </c>
    </row>
    <row r="1283" spans="1:8" x14ac:dyDescent="0.25">
      <c r="A1283">
        <v>652906</v>
      </c>
      <c r="B1283" t="s">
        <v>2758</v>
      </c>
      <c r="C1283" t="s">
        <v>2759</v>
      </c>
      <c r="D1283" t="s">
        <v>10</v>
      </c>
      <c r="E1283" t="s">
        <v>763</v>
      </c>
      <c r="G1283" t="str">
        <f>HYPERLINK(_xlfn.CONCAT("https://tablet.otzar.org/",CHAR(35),"/book/652906/p/-1/t/1/fs/0/start/0/end/0/c"),"הצנע לכת")</f>
        <v>הצנע לכת</v>
      </c>
      <c r="H1283" t="str">
        <f>_xlfn.CONCAT("https://tablet.otzar.org/",CHAR(35),"/book/652906/p/-1/t/1/fs/0/start/0/end/0/c")</f>
        <v>https://tablet.otzar.org/#/book/652906/p/-1/t/1/fs/0/start/0/end/0/c</v>
      </c>
    </row>
    <row r="1284" spans="1:8" x14ac:dyDescent="0.25">
      <c r="A1284">
        <v>652790</v>
      </c>
      <c r="B1284" t="s">
        <v>2760</v>
      </c>
      <c r="C1284" t="s">
        <v>2761</v>
      </c>
      <c r="D1284" t="s">
        <v>2762</v>
      </c>
      <c r="E1284" t="s">
        <v>2763</v>
      </c>
      <c r="G1284" t="str">
        <f>HYPERLINK(_xlfn.CONCAT("https://tablet.otzar.org/",CHAR(35),"/book/652790/p/-1/t/1/fs/0/start/0/end/0/c"),"הצעה לטובת בנות ישראל העגונות")</f>
        <v>הצעה לטובת בנות ישראל העגונות</v>
      </c>
      <c r="H1284" t="str">
        <f>_xlfn.CONCAT("https://tablet.otzar.org/",CHAR(35),"/book/652790/p/-1/t/1/fs/0/start/0/end/0/c")</f>
        <v>https://tablet.otzar.org/#/book/652790/p/-1/t/1/fs/0/start/0/end/0/c</v>
      </c>
    </row>
    <row r="1285" spans="1:8" x14ac:dyDescent="0.25">
      <c r="A1285">
        <v>649878</v>
      </c>
      <c r="B1285" t="s">
        <v>2764</v>
      </c>
      <c r="C1285" t="s">
        <v>2765</v>
      </c>
      <c r="E1285" t="s">
        <v>11</v>
      </c>
      <c r="G1285" t="str">
        <f>HYPERLINK(_xlfn.CONCAT("https://tablet.otzar.org/",CHAR(35),"/book/649878/p/-1/t/1/fs/0/start/0/end/0/c"),"הצעת השלחן")</f>
        <v>הצעת השלחן</v>
      </c>
      <c r="H1285" t="str">
        <f>_xlfn.CONCAT("https://tablet.otzar.org/",CHAR(35),"/book/649878/p/-1/t/1/fs/0/start/0/end/0/c")</f>
        <v>https://tablet.otzar.org/#/book/649878/p/-1/t/1/fs/0/start/0/end/0/c</v>
      </c>
    </row>
    <row r="1286" spans="1:8" x14ac:dyDescent="0.25">
      <c r="A1286">
        <v>649759</v>
      </c>
      <c r="B1286" t="s">
        <v>2766</v>
      </c>
      <c r="C1286" t="s">
        <v>2767</v>
      </c>
      <c r="D1286" t="s">
        <v>10</v>
      </c>
      <c r="E1286" t="s">
        <v>1693</v>
      </c>
      <c r="G1286" t="str">
        <f>HYPERLINK(_xlfn.CONCAT("https://tablet.otzar.org/",CHAR(35),"/book/649759/p/-1/t/1/fs/0/start/0/end/0/c"),"הקדמות ושערים לחכמת הקבלה")</f>
        <v>הקדמות ושערים לחכמת הקבלה</v>
      </c>
      <c r="H1286" t="str">
        <f>_xlfn.CONCAT("https://tablet.otzar.org/",CHAR(35),"/book/649759/p/-1/t/1/fs/0/start/0/end/0/c")</f>
        <v>https://tablet.otzar.org/#/book/649759/p/-1/t/1/fs/0/start/0/end/0/c</v>
      </c>
    </row>
    <row r="1287" spans="1:8" x14ac:dyDescent="0.25">
      <c r="A1287">
        <v>647243</v>
      </c>
      <c r="B1287" t="s">
        <v>2768</v>
      </c>
      <c r="C1287" t="s">
        <v>2769</v>
      </c>
      <c r="D1287" t="s">
        <v>34</v>
      </c>
      <c r="E1287" t="s">
        <v>11</v>
      </c>
      <c r="G1287" t="str">
        <f>HYPERLINK(_xlfn.CONCAT("https://tablet.otzar.org/",CHAR(35),"/book/647243/p/-1/t/1/fs/0/start/0/end/0/c"),"הקדמות לחכמת התכונה")</f>
        <v>הקדמות לחכמת התכונה</v>
      </c>
      <c r="H1287" t="str">
        <f>_xlfn.CONCAT("https://tablet.otzar.org/",CHAR(35),"/book/647243/p/-1/t/1/fs/0/start/0/end/0/c")</f>
        <v>https://tablet.otzar.org/#/book/647243/p/-1/t/1/fs/0/start/0/end/0/c</v>
      </c>
    </row>
    <row r="1288" spans="1:8" x14ac:dyDescent="0.25">
      <c r="A1288">
        <v>655895</v>
      </c>
      <c r="B1288" t="s">
        <v>2770</v>
      </c>
      <c r="C1288" t="s">
        <v>2769</v>
      </c>
      <c r="D1288" t="s">
        <v>34</v>
      </c>
      <c r="E1288" t="s">
        <v>11</v>
      </c>
      <c r="G1288" t="str">
        <f>HYPERLINK(_xlfn.CONCAT("https://tablet.otzar.org/",CHAR(35),"/book/655895/p/-1/t/1/fs/0/start/0/end/0/c"),"הקדמות לחכמת התכונה וביאור הסוגיות למסכת ראש השנה")</f>
        <v>הקדמות לחכמת התכונה וביאור הסוגיות למסכת ראש השנה</v>
      </c>
      <c r="H1288" t="str">
        <f>_xlfn.CONCAT("https://tablet.otzar.org/",CHAR(35),"/book/655895/p/-1/t/1/fs/0/start/0/end/0/c")</f>
        <v>https://tablet.otzar.org/#/book/655895/p/-1/t/1/fs/0/start/0/end/0/c</v>
      </c>
    </row>
    <row r="1289" spans="1:8" x14ac:dyDescent="0.25">
      <c r="A1289">
        <v>652761</v>
      </c>
      <c r="B1289" t="s">
        <v>2771</v>
      </c>
      <c r="C1289" t="s">
        <v>2772</v>
      </c>
      <c r="D1289" t="s">
        <v>10</v>
      </c>
      <c r="E1289" t="s">
        <v>11</v>
      </c>
      <c r="G1289" t="str">
        <f>HYPERLINK(_xlfn.CONCAT("https://tablet.otzar.org/",CHAR(35),"/book/652761/p/-1/t/1/fs/0/start/0/end/0/c"),"הקדמת הרמב""""ם ליד החזקה - אגרת רבי שרירא גאון - זכרון לראשונים")</f>
        <v>הקדמת הרמב""ם ליד החזקה - אגרת רבי שרירא גאון - זכרון לראשונים</v>
      </c>
      <c r="H1289" t="str">
        <f>_xlfn.CONCAT("https://tablet.otzar.org/",CHAR(35),"/book/652761/p/-1/t/1/fs/0/start/0/end/0/c")</f>
        <v>https://tablet.otzar.org/#/book/652761/p/-1/t/1/fs/0/start/0/end/0/c</v>
      </c>
    </row>
    <row r="1290" spans="1:8" x14ac:dyDescent="0.25">
      <c r="A1290">
        <v>648040</v>
      </c>
      <c r="B1290" t="s">
        <v>2773</v>
      </c>
      <c r="C1290" t="s">
        <v>2774</v>
      </c>
      <c r="D1290" t="s">
        <v>287</v>
      </c>
      <c r="E1290" t="s">
        <v>293</v>
      </c>
      <c r="G1290" t="str">
        <f>HYPERLINK(_xlfn.CONCAT("https://tablet.otzar.org/",CHAR(35),"/book/648040/p/-1/t/1/fs/0/start/0/end/0/c"),"הקובץ ב")</f>
        <v>הקובץ ב</v>
      </c>
      <c r="H1290" t="str">
        <f>_xlfn.CONCAT("https://tablet.otzar.org/",CHAR(35),"/book/648040/p/-1/t/1/fs/0/start/0/end/0/c")</f>
        <v>https://tablet.otzar.org/#/book/648040/p/-1/t/1/fs/0/start/0/end/0/c</v>
      </c>
    </row>
    <row r="1291" spans="1:8" x14ac:dyDescent="0.25">
      <c r="A1291">
        <v>649130</v>
      </c>
      <c r="B1291" t="s">
        <v>2775</v>
      </c>
      <c r="C1291" t="s">
        <v>1327</v>
      </c>
      <c r="D1291" t="s">
        <v>10</v>
      </c>
      <c r="E1291" t="s">
        <v>352</v>
      </c>
      <c r="G1291" t="str">
        <f>HYPERLINK(_xlfn.CONCAT("https://tablet.otzar.org/",CHAR(35),"/book/649130/p/-1/t/1/fs/0/start/0/end/0/c"),"הקטן באיסורים - נועם השבת")</f>
        <v>הקטן באיסורים - נועם השבת</v>
      </c>
      <c r="H1291" t="str">
        <f>_xlfn.CONCAT("https://tablet.otzar.org/",CHAR(35),"/book/649130/p/-1/t/1/fs/0/start/0/end/0/c")</f>
        <v>https://tablet.otzar.org/#/book/649130/p/-1/t/1/fs/0/start/0/end/0/c</v>
      </c>
    </row>
    <row r="1292" spans="1:8" x14ac:dyDescent="0.25">
      <c r="A1292">
        <v>647385</v>
      </c>
      <c r="B1292" t="s">
        <v>2776</v>
      </c>
      <c r="C1292" t="s">
        <v>2777</v>
      </c>
      <c r="D1292" t="s">
        <v>10</v>
      </c>
      <c r="E1292" t="s">
        <v>495</v>
      </c>
      <c r="G1292" t="str">
        <f>HYPERLINK(_xlfn.CONCAT("https://tablet.otzar.org/",CHAR(35),"/book/647385/p/-1/t/1/fs/0/start/0/end/0/c"),"הקמת בתי מדרש של שם ועבר בימינו")</f>
        <v>הקמת בתי מדרש של שם ועבר בימינו</v>
      </c>
      <c r="H1292" t="str">
        <f>_xlfn.CONCAT("https://tablet.otzar.org/",CHAR(35),"/book/647385/p/-1/t/1/fs/0/start/0/end/0/c")</f>
        <v>https://tablet.otzar.org/#/book/647385/p/-1/t/1/fs/0/start/0/end/0/c</v>
      </c>
    </row>
    <row r="1293" spans="1:8" x14ac:dyDescent="0.25">
      <c r="A1293">
        <v>655857</v>
      </c>
      <c r="B1293" t="s">
        <v>2778</v>
      </c>
      <c r="C1293" t="s">
        <v>2779</v>
      </c>
      <c r="D1293" t="s">
        <v>10</v>
      </c>
      <c r="E1293" t="s">
        <v>45</v>
      </c>
      <c r="G1293" t="str">
        <f>HYPERLINK(_xlfn.CONCAT("https://tablet.otzar.org/",CHAR(35),"/exKotar/655857"),"הר בשן &lt;מבשן אשיב&gt; - 2 כרכים")</f>
        <v>הר בשן &lt;מבשן אשיב&gt; - 2 כרכים</v>
      </c>
      <c r="H1293" t="str">
        <f>_xlfn.CONCAT("https://tablet.otzar.org/",CHAR(35),"/exKotar/655857")</f>
        <v>https://tablet.otzar.org/#/exKotar/655857</v>
      </c>
    </row>
    <row r="1294" spans="1:8" x14ac:dyDescent="0.25">
      <c r="A1294">
        <v>650410</v>
      </c>
      <c r="B1294" t="s">
        <v>2780</v>
      </c>
      <c r="C1294" t="s">
        <v>2781</v>
      </c>
      <c r="D1294" t="s">
        <v>10</v>
      </c>
      <c r="E1294" t="s">
        <v>402</v>
      </c>
      <c r="G1294" t="str">
        <f>HYPERLINK(_xlfn.CONCAT("https://tablet.otzar.org/",CHAR(35),"/book/650410/p/-1/t/1/fs/0/start/0/end/0/c"),"הרב ובנו")</f>
        <v>הרב ובנו</v>
      </c>
      <c r="H1294" t="str">
        <f>_xlfn.CONCAT("https://tablet.otzar.org/",CHAR(35),"/book/650410/p/-1/t/1/fs/0/start/0/end/0/c")</f>
        <v>https://tablet.otzar.org/#/book/650410/p/-1/t/1/fs/0/start/0/end/0/c</v>
      </c>
    </row>
    <row r="1295" spans="1:8" x14ac:dyDescent="0.25">
      <c r="A1295">
        <v>652927</v>
      </c>
      <c r="B1295" t="s">
        <v>2782</v>
      </c>
      <c r="C1295" t="s">
        <v>2782</v>
      </c>
      <c r="D1295" t="s">
        <v>10</v>
      </c>
      <c r="E1295" t="s">
        <v>710</v>
      </c>
      <c r="G1295" t="str">
        <f>HYPERLINK(_xlfn.CONCAT("https://tablet.otzar.org/",CHAR(35),"/book/652927/p/-1/t/1/fs/0/start/0/end/0/c"),"הרבנות הראשית לישראל")</f>
        <v>הרבנות הראשית לישראל</v>
      </c>
      <c r="H1295" t="str">
        <f>_xlfn.CONCAT("https://tablet.otzar.org/",CHAR(35),"/book/652927/p/-1/t/1/fs/0/start/0/end/0/c")</f>
        <v>https://tablet.otzar.org/#/book/652927/p/-1/t/1/fs/0/start/0/end/0/c</v>
      </c>
    </row>
    <row r="1296" spans="1:8" x14ac:dyDescent="0.25">
      <c r="A1296">
        <v>651911</v>
      </c>
      <c r="B1296" t="s">
        <v>2783</v>
      </c>
      <c r="C1296" t="s">
        <v>2784</v>
      </c>
      <c r="D1296" t="s">
        <v>2785</v>
      </c>
      <c r="E1296" t="s">
        <v>84</v>
      </c>
      <c r="G1296" t="str">
        <f>HYPERLINK(_xlfn.CONCAT("https://tablet.otzar.org/",CHAR(35),"/book/651911/p/-1/t/1/fs/0/start/0/end/0/c"),"הרבנים במרכז - 22")</f>
        <v>הרבנים במרכז - 22</v>
      </c>
      <c r="H1296" t="str">
        <f>_xlfn.CONCAT("https://tablet.otzar.org/",CHAR(35),"/book/651911/p/-1/t/1/fs/0/start/0/end/0/c")</f>
        <v>https://tablet.otzar.org/#/book/651911/p/-1/t/1/fs/0/start/0/end/0/c</v>
      </c>
    </row>
    <row r="1297" spans="1:8" x14ac:dyDescent="0.25">
      <c r="A1297">
        <v>651989</v>
      </c>
      <c r="B1297" t="s">
        <v>2786</v>
      </c>
      <c r="C1297" t="s">
        <v>2786</v>
      </c>
      <c r="E1297" t="s">
        <v>507</v>
      </c>
      <c r="G1297" t="str">
        <f>HYPERLINK(_xlfn.CONCAT("https://tablet.otzar.org/",CHAR(35),"/book/651989/p/-1/t/1/fs/0/start/0/end/0/c"),"הרבנית")</f>
        <v>הרבנית</v>
      </c>
      <c r="H1297" t="str">
        <f>_xlfn.CONCAT("https://tablet.otzar.org/",CHAR(35),"/book/651989/p/-1/t/1/fs/0/start/0/end/0/c")</f>
        <v>https://tablet.otzar.org/#/book/651989/p/-1/t/1/fs/0/start/0/end/0/c</v>
      </c>
    </row>
    <row r="1298" spans="1:8" x14ac:dyDescent="0.25">
      <c r="A1298">
        <v>653359</v>
      </c>
      <c r="B1298" t="s">
        <v>2787</v>
      </c>
      <c r="C1298" t="s">
        <v>2788</v>
      </c>
      <c r="D1298" t="s">
        <v>52</v>
      </c>
      <c r="E1298" t="s">
        <v>70</v>
      </c>
      <c r="G1298" t="str">
        <f>HYPERLINK(_xlfn.CONCAT("https://tablet.otzar.org/",CHAR(35),"/exKotar/653359"),"הרהורי דברים - 2 כרכים")</f>
        <v>הרהורי דברים - 2 כרכים</v>
      </c>
      <c r="H1298" t="str">
        <f>_xlfn.CONCAT("https://tablet.otzar.org/",CHAR(35),"/exKotar/653359")</f>
        <v>https://tablet.otzar.org/#/exKotar/653359</v>
      </c>
    </row>
    <row r="1299" spans="1:8" x14ac:dyDescent="0.25">
      <c r="A1299">
        <v>650057</v>
      </c>
      <c r="B1299" t="s">
        <v>2789</v>
      </c>
      <c r="C1299" t="s">
        <v>712</v>
      </c>
      <c r="E1299" t="s">
        <v>507</v>
      </c>
      <c r="G1299" t="str">
        <f>HYPERLINK(_xlfn.CONCAT("https://tablet.otzar.org/",CHAR(35),"/book/650057/p/-1/t/1/fs/0/start/0/end/0/c"),"הרועה את הנולד")</f>
        <v>הרועה את הנולד</v>
      </c>
      <c r="H1299" t="str">
        <f>_xlfn.CONCAT("https://tablet.otzar.org/",CHAR(35),"/book/650057/p/-1/t/1/fs/0/start/0/end/0/c")</f>
        <v>https://tablet.otzar.org/#/book/650057/p/-1/t/1/fs/0/start/0/end/0/c</v>
      </c>
    </row>
    <row r="1300" spans="1:8" x14ac:dyDescent="0.25">
      <c r="A1300">
        <v>647754</v>
      </c>
      <c r="B1300" t="s">
        <v>2790</v>
      </c>
      <c r="C1300" t="s">
        <v>2791</v>
      </c>
      <c r="D1300" t="s">
        <v>10</v>
      </c>
      <c r="E1300" t="s">
        <v>11</v>
      </c>
      <c r="G1300" t="str">
        <f>HYPERLINK(_xlfn.CONCAT("https://tablet.otzar.org/",CHAR(35),"/exKotar/647754"),"הרחב עירובין - 2 כרכים")</f>
        <v>הרחב עירובין - 2 כרכים</v>
      </c>
      <c r="H1300" t="str">
        <f>_xlfn.CONCAT("https://tablet.otzar.org/",CHAR(35),"/exKotar/647754")</f>
        <v>https://tablet.otzar.org/#/exKotar/647754</v>
      </c>
    </row>
    <row r="1301" spans="1:8" x14ac:dyDescent="0.25">
      <c r="A1301">
        <v>649824</v>
      </c>
      <c r="B1301" t="s">
        <v>2792</v>
      </c>
      <c r="C1301" t="s">
        <v>1444</v>
      </c>
      <c r="D1301" t="s">
        <v>609</v>
      </c>
      <c r="E1301" t="s">
        <v>495</v>
      </c>
      <c r="G1301" t="str">
        <f>HYPERLINK(_xlfn.CONCAT("https://tablet.otzar.org/",CHAR(35),"/book/649824/p/-1/t/1/fs/0/start/0/end/0/c"),"הרחקת נזיקין")</f>
        <v>הרחקת נזיקין</v>
      </c>
      <c r="H1301" t="str">
        <f>_xlfn.CONCAT("https://tablet.otzar.org/",CHAR(35),"/book/649824/p/-1/t/1/fs/0/start/0/end/0/c")</f>
        <v>https://tablet.otzar.org/#/book/649824/p/-1/t/1/fs/0/start/0/end/0/c</v>
      </c>
    </row>
    <row r="1302" spans="1:8" x14ac:dyDescent="0.25">
      <c r="A1302">
        <v>655764</v>
      </c>
      <c r="B1302" t="s">
        <v>2793</v>
      </c>
      <c r="C1302" t="s">
        <v>2794</v>
      </c>
      <c r="D1302" t="s">
        <v>10</v>
      </c>
      <c r="E1302" t="s">
        <v>45</v>
      </c>
      <c r="G1302" t="str">
        <f>HYPERLINK(_xlfn.CONCAT("https://tablet.otzar.org/",CHAR(35),"/book/655764/p/-1/t/1/fs/0/start/0/end/0/c"),"הרי יהודה - ד")</f>
        <v>הרי יהודה - ד</v>
      </c>
      <c r="H1302" t="str">
        <f>_xlfn.CONCAT("https://tablet.otzar.org/",CHAR(35),"/book/655764/p/-1/t/1/fs/0/start/0/end/0/c")</f>
        <v>https://tablet.otzar.org/#/book/655764/p/-1/t/1/fs/0/start/0/end/0/c</v>
      </c>
    </row>
    <row r="1303" spans="1:8" x14ac:dyDescent="0.25">
      <c r="A1303">
        <v>655076</v>
      </c>
      <c r="B1303" t="s">
        <v>2795</v>
      </c>
      <c r="C1303" t="s">
        <v>2796</v>
      </c>
      <c r="D1303" t="s">
        <v>840</v>
      </c>
      <c r="E1303" t="s">
        <v>11</v>
      </c>
      <c r="G1303" t="str">
        <f>HYPERLINK(_xlfn.CONCAT("https://tablet.otzar.org/",CHAR(35),"/book/655076/p/-1/t/1/fs/0/start/0/end/0/c"),"הרי ישראל - הלכות ארבעת המינים")</f>
        <v>הרי ישראל - הלכות ארבעת המינים</v>
      </c>
      <c r="H1303" t="str">
        <f>_xlfn.CONCAT("https://tablet.otzar.org/",CHAR(35),"/book/655076/p/-1/t/1/fs/0/start/0/end/0/c")</f>
        <v>https://tablet.otzar.org/#/book/655076/p/-1/t/1/fs/0/start/0/end/0/c</v>
      </c>
    </row>
    <row r="1304" spans="1:8" x14ac:dyDescent="0.25">
      <c r="A1304">
        <v>651062</v>
      </c>
      <c r="B1304" t="s">
        <v>2797</v>
      </c>
      <c r="C1304" t="s">
        <v>2569</v>
      </c>
      <c r="D1304" t="s">
        <v>52</v>
      </c>
      <c r="E1304" t="s">
        <v>70</v>
      </c>
      <c r="G1304" t="str">
        <f>HYPERLINK(_xlfn.CONCAT("https://tablet.otzar.org/",CHAR(35),"/book/651062/p/-1/t/1/fs/0/start/0/end/0/c"),"הריבית בעידן המודרני")</f>
        <v>הריבית בעידן המודרני</v>
      </c>
      <c r="H1304" t="str">
        <f>_xlfn.CONCAT("https://tablet.otzar.org/",CHAR(35),"/book/651062/p/-1/t/1/fs/0/start/0/end/0/c")</f>
        <v>https://tablet.otzar.org/#/book/651062/p/-1/t/1/fs/0/start/0/end/0/c</v>
      </c>
    </row>
    <row r="1305" spans="1:8" x14ac:dyDescent="0.25">
      <c r="A1305">
        <v>650996</v>
      </c>
      <c r="B1305" t="s">
        <v>2798</v>
      </c>
      <c r="C1305" t="s">
        <v>2799</v>
      </c>
      <c r="D1305" t="s">
        <v>34</v>
      </c>
      <c r="E1305" t="s">
        <v>11</v>
      </c>
      <c r="G1305" t="str">
        <f>HYPERLINK(_xlfn.CONCAT("https://tablet.otzar.org/",CHAR(35),"/book/650996/p/-1/t/1/fs/0/start/0/end/0/c"),"הרימו מכשול")</f>
        <v>הרימו מכשול</v>
      </c>
      <c r="H1305" t="str">
        <f>_xlfn.CONCAT("https://tablet.otzar.org/",CHAR(35),"/book/650996/p/-1/t/1/fs/0/start/0/end/0/c")</f>
        <v>https://tablet.otzar.org/#/book/650996/p/-1/t/1/fs/0/start/0/end/0/c</v>
      </c>
    </row>
    <row r="1306" spans="1:8" x14ac:dyDescent="0.25">
      <c r="A1306">
        <v>649047</v>
      </c>
      <c r="B1306" t="s">
        <v>2800</v>
      </c>
      <c r="C1306" t="s">
        <v>2801</v>
      </c>
      <c r="D1306" t="s">
        <v>2802</v>
      </c>
      <c r="E1306" t="s">
        <v>11</v>
      </c>
      <c r="G1306" t="str">
        <f>HYPERLINK(_xlfn.CONCAT("https://tablet.otzar.org/",CHAR(35),"/book/649047/p/-1/t/1/fs/0/start/0/end/0/c"),"הרמב""""ם השלם - הלכות שבת כ-כא")</f>
        <v>הרמב""ם השלם - הלכות שבת כ-כא</v>
      </c>
      <c r="H1306" t="str">
        <f>_xlfn.CONCAT("https://tablet.otzar.org/",CHAR(35),"/book/649047/p/-1/t/1/fs/0/start/0/end/0/c")</f>
        <v>https://tablet.otzar.org/#/book/649047/p/-1/t/1/fs/0/start/0/end/0/c</v>
      </c>
    </row>
    <row r="1307" spans="1:8" x14ac:dyDescent="0.25">
      <c r="A1307">
        <v>652812</v>
      </c>
      <c r="B1307" t="s">
        <v>2803</v>
      </c>
      <c r="C1307" t="s">
        <v>851</v>
      </c>
      <c r="D1307" t="s">
        <v>129</v>
      </c>
      <c r="E1307" t="s">
        <v>2804</v>
      </c>
      <c r="G1307" t="str">
        <f>HYPERLINK(_xlfn.CONCAT("https://tablet.otzar.org/",CHAR(35),"/book/652812/p/-1/t/1/fs/0/start/0/end/0/c"),"הרמב""""ם ז""""ל")</f>
        <v>הרמב""ם ז""ל</v>
      </c>
      <c r="H1307" t="str">
        <f>_xlfn.CONCAT("https://tablet.otzar.org/",CHAR(35),"/book/652812/p/-1/t/1/fs/0/start/0/end/0/c")</f>
        <v>https://tablet.otzar.org/#/book/652812/p/-1/t/1/fs/0/start/0/end/0/c</v>
      </c>
    </row>
    <row r="1308" spans="1:8" x14ac:dyDescent="0.25">
      <c r="A1308">
        <v>647379</v>
      </c>
      <c r="B1308" t="s">
        <v>2805</v>
      </c>
      <c r="C1308" t="s">
        <v>2806</v>
      </c>
      <c r="E1308" t="s">
        <v>1409</v>
      </c>
      <c r="G1308" t="str">
        <f>HYPERLINK(_xlfn.CONCAT("https://tablet.otzar.org/",CHAR(35),"/book/647379/p/-1/t/1/fs/0/start/0/end/0/c"),"הרמב""""ם לאור חכמי הקבלה")</f>
        <v>הרמב""ם לאור חכמי הקבלה</v>
      </c>
      <c r="H1308" t="str">
        <f>_xlfn.CONCAT("https://tablet.otzar.org/",CHAR(35),"/book/647379/p/-1/t/1/fs/0/start/0/end/0/c")</f>
        <v>https://tablet.otzar.org/#/book/647379/p/-1/t/1/fs/0/start/0/end/0/c</v>
      </c>
    </row>
    <row r="1309" spans="1:8" x14ac:dyDescent="0.25">
      <c r="A1309">
        <v>655242</v>
      </c>
      <c r="B1309" t="s">
        <v>2807</v>
      </c>
      <c r="C1309" t="s">
        <v>911</v>
      </c>
      <c r="D1309" t="s">
        <v>10</v>
      </c>
      <c r="E1309" t="s">
        <v>84</v>
      </c>
      <c r="G1309" t="str">
        <f>HYPERLINK(_xlfn.CONCAT("https://tablet.otzar.org/",CHAR(35),"/book/655242/p/-1/t/1/fs/0/start/0/end/0/c"),"הרפואה בהלכה ובאגדה")</f>
        <v>הרפואה בהלכה ובאגדה</v>
      </c>
      <c r="H1309" t="str">
        <f>_xlfn.CONCAT("https://tablet.otzar.org/",CHAR(35),"/book/655242/p/-1/t/1/fs/0/start/0/end/0/c")</f>
        <v>https://tablet.otzar.org/#/book/655242/p/-1/t/1/fs/0/start/0/end/0/c</v>
      </c>
    </row>
    <row r="1310" spans="1:8" x14ac:dyDescent="0.25">
      <c r="A1310">
        <v>653985</v>
      </c>
      <c r="B1310" t="s">
        <v>2808</v>
      </c>
      <c r="C1310" t="s">
        <v>2809</v>
      </c>
      <c r="D1310" t="s">
        <v>10</v>
      </c>
      <c r="E1310" t="s">
        <v>45</v>
      </c>
      <c r="G1310" t="str">
        <f>HYPERLINK(_xlfn.CONCAT("https://tablet.otzar.org/",CHAR(35),"/book/653985/p/-1/t/1/fs/0/start/0/end/0/c"),"הרפואה המשלימה בהלכה")</f>
        <v>הרפואה המשלימה בהלכה</v>
      </c>
      <c r="H1310" t="str">
        <f>_xlfn.CONCAT("https://tablet.otzar.org/",CHAR(35),"/book/653985/p/-1/t/1/fs/0/start/0/end/0/c")</f>
        <v>https://tablet.otzar.org/#/book/653985/p/-1/t/1/fs/0/start/0/end/0/c</v>
      </c>
    </row>
    <row r="1311" spans="1:8" x14ac:dyDescent="0.25">
      <c r="A1311">
        <v>649093</v>
      </c>
      <c r="B1311" t="s">
        <v>2810</v>
      </c>
      <c r="C1311" t="s">
        <v>2811</v>
      </c>
      <c r="E1311" t="s">
        <v>507</v>
      </c>
      <c r="G1311" t="str">
        <f>HYPERLINK(_xlfn.CONCAT("https://tablet.otzar.org/",CHAR(35),"/book/649093/p/-1/t/1/fs/0/start/0/end/0/c"),"הררי ציון - ירושלמי ברכות")</f>
        <v>הררי ציון - ירושלמי ברכות</v>
      </c>
      <c r="H1311" t="str">
        <f>_xlfn.CONCAT("https://tablet.otzar.org/",CHAR(35),"/book/649093/p/-1/t/1/fs/0/start/0/end/0/c")</f>
        <v>https://tablet.otzar.org/#/book/649093/p/-1/t/1/fs/0/start/0/end/0/c</v>
      </c>
    </row>
    <row r="1312" spans="1:8" x14ac:dyDescent="0.25">
      <c r="A1312">
        <v>650062</v>
      </c>
      <c r="B1312" t="s">
        <v>2812</v>
      </c>
      <c r="C1312" t="s">
        <v>712</v>
      </c>
      <c r="E1312" t="s">
        <v>507</v>
      </c>
      <c r="G1312" t="str">
        <f>HYPERLINK(_xlfn.CONCAT("https://tablet.otzar.org/",CHAR(35),"/book/650062/p/-1/t/1/fs/0/start/0/end/0/c"),"השבת")</f>
        <v>השבת</v>
      </c>
      <c r="H1312" t="str">
        <f>_xlfn.CONCAT("https://tablet.otzar.org/",CHAR(35),"/book/650062/p/-1/t/1/fs/0/start/0/end/0/c")</f>
        <v>https://tablet.otzar.org/#/book/650062/p/-1/t/1/fs/0/start/0/end/0/c</v>
      </c>
    </row>
    <row r="1313" spans="1:8" x14ac:dyDescent="0.25">
      <c r="A1313">
        <v>655136</v>
      </c>
      <c r="B1313" t="s">
        <v>2813</v>
      </c>
      <c r="C1313" t="s">
        <v>2814</v>
      </c>
      <c r="D1313" t="s">
        <v>10</v>
      </c>
      <c r="E1313" t="s">
        <v>84</v>
      </c>
      <c r="G1313" t="str">
        <f>HYPERLINK(_xlfn.CONCAT("https://tablet.otzar.org/",CHAR(35),"/book/655136/p/-1/t/1/fs/0/start/0/end/0/c"),"השבת לשיטתם")</f>
        <v>השבת לשיטתם</v>
      </c>
      <c r="H1313" t="str">
        <f>_xlfn.CONCAT("https://tablet.otzar.org/",CHAR(35),"/book/655136/p/-1/t/1/fs/0/start/0/end/0/c")</f>
        <v>https://tablet.otzar.org/#/book/655136/p/-1/t/1/fs/0/start/0/end/0/c</v>
      </c>
    </row>
    <row r="1314" spans="1:8" x14ac:dyDescent="0.25">
      <c r="A1314">
        <v>652674</v>
      </c>
      <c r="B1314" t="s">
        <v>2815</v>
      </c>
      <c r="C1314" t="s">
        <v>1408</v>
      </c>
      <c r="D1314" t="s">
        <v>129</v>
      </c>
      <c r="E1314" t="s">
        <v>1409</v>
      </c>
      <c r="G1314" t="str">
        <f>HYPERLINK(_xlfn.CONCAT("https://tablet.otzar.org/",CHAR(35),"/book/652674/p/-1/t/1/fs/0/start/0/end/0/c"),"השושנה מסלוניקי, זיס אופנהיים, בת הש""""ך, במועד הנכון")</f>
        <v>השושנה מסלוניקי, זיס אופנהיים, בת הש""ך, במועד הנכון</v>
      </c>
      <c r="H1314" t="str">
        <f>_xlfn.CONCAT("https://tablet.otzar.org/",CHAR(35),"/book/652674/p/-1/t/1/fs/0/start/0/end/0/c")</f>
        <v>https://tablet.otzar.org/#/book/652674/p/-1/t/1/fs/0/start/0/end/0/c</v>
      </c>
    </row>
    <row r="1315" spans="1:8" x14ac:dyDescent="0.25">
      <c r="A1315">
        <v>655584</v>
      </c>
      <c r="B1315" t="s">
        <v>2816</v>
      </c>
      <c r="C1315" t="s">
        <v>2817</v>
      </c>
      <c r="E1315" t="s">
        <v>84</v>
      </c>
      <c r="G1315" t="str">
        <f>HYPERLINK(_xlfn.CONCAT("https://tablet.otzar.org/",CHAR(35),"/exKotar/655584"),"השיב משה &lt;מהדורה חדשה&gt;  - 5 כרכים")</f>
        <v>השיב משה &lt;מהדורה חדשה&gt;  - 5 כרכים</v>
      </c>
      <c r="H1315" t="str">
        <f>_xlfn.CONCAT("https://tablet.otzar.org/",CHAR(35),"/exKotar/655584")</f>
        <v>https://tablet.otzar.org/#/exKotar/655584</v>
      </c>
    </row>
    <row r="1316" spans="1:8" x14ac:dyDescent="0.25">
      <c r="A1316">
        <v>653639</v>
      </c>
      <c r="B1316" t="s">
        <v>2818</v>
      </c>
      <c r="C1316" t="s">
        <v>2819</v>
      </c>
      <c r="D1316" t="s">
        <v>34</v>
      </c>
      <c r="E1316" t="s">
        <v>11</v>
      </c>
      <c r="G1316" t="str">
        <f>HYPERLINK(_xlfn.CONCAT("https://tablet.otzar.org/",CHAR(35),"/book/653639/p/-1/t/1/fs/0/start/0/end/0/c"),"השיעורים והמידות בהלכה &lt;מהדורת ביקורת&gt;")</f>
        <v>השיעורים והמידות בהלכה &lt;מהדורת ביקורת&gt;</v>
      </c>
      <c r="H1316" t="str">
        <f>_xlfn.CONCAT("https://tablet.otzar.org/",CHAR(35),"/book/653639/p/-1/t/1/fs/0/start/0/end/0/c")</f>
        <v>https://tablet.otzar.org/#/book/653639/p/-1/t/1/fs/0/start/0/end/0/c</v>
      </c>
    </row>
    <row r="1317" spans="1:8" x14ac:dyDescent="0.25">
      <c r="A1317">
        <v>649809</v>
      </c>
      <c r="B1317" t="s">
        <v>2820</v>
      </c>
      <c r="C1317" t="s">
        <v>735</v>
      </c>
      <c r="D1317" t="s">
        <v>10</v>
      </c>
      <c r="E1317" t="s">
        <v>35</v>
      </c>
      <c r="G1317" t="str">
        <f>HYPERLINK(_xlfn.CONCAT("https://tablet.otzar.org/",CHAR(35),"/book/649809/p/-1/t/1/fs/0/start/0/end/0/c"),"השיר הישר - שיר השירים")</f>
        <v>השיר הישר - שיר השירים</v>
      </c>
      <c r="H1317" t="str">
        <f>_xlfn.CONCAT("https://tablet.otzar.org/",CHAR(35),"/book/649809/p/-1/t/1/fs/0/start/0/end/0/c")</f>
        <v>https://tablet.otzar.org/#/book/649809/p/-1/t/1/fs/0/start/0/end/0/c</v>
      </c>
    </row>
    <row r="1318" spans="1:8" x14ac:dyDescent="0.25">
      <c r="A1318">
        <v>652811</v>
      </c>
      <c r="B1318" t="s">
        <v>2821</v>
      </c>
      <c r="C1318" t="s">
        <v>851</v>
      </c>
      <c r="D1318" t="s">
        <v>129</v>
      </c>
      <c r="E1318" t="s">
        <v>2249</v>
      </c>
      <c r="G1318" t="str">
        <f>HYPERLINK(_xlfn.CONCAT("https://tablet.otzar.org/",CHAR(35),"/book/652811/p/-1/t/1/fs/0/start/0/end/0/c"),"השירה והציור")</f>
        <v>השירה והציור</v>
      </c>
      <c r="H1318" t="str">
        <f>_xlfn.CONCAT("https://tablet.otzar.org/",CHAR(35),"/book/652811/p/-1/t/1/fs/0/start/0/end/0/c")</f>
        <v>https://tablet.otzar.org/#/book/652811/p/-1/t/1/fs/0/start/0/end/0/c</v>
      </c>
    </row>
    <row r="1319" spans="1:8" x14ac:dyDescent="0.25">
      <c r="A1319">
        <v>652849</v>
      </c>
      <c r="B1319" t="s">
        <v>2822</v>
      </c>
      <c r="C1319" t="s">
        <v>2823</v>
      </c>
      <c r="D1319" t="s">
        <v>424</v>
      </c>
      <c r="E1319" t="s">
        <v>1937</v>
      </c>
      <c r="G1319" t="str">
        <f>HYPERLINK(_xlfn.CONCAT("https://tablet.otzar.org/",CHAR(35),"/book/652849/p/-1/t/1/fs/0/start/0/end/0/c"),"השלחן הטהור")</f>
        <v>השלחן הטהור</v>
      </c>
      <c r="H1319" t="str">
        <f>_xlfn.CONCAT("https://tablet.otzar.org/",CHAR(35),"/book/652849/p/-1/t/1/fs/0/start/0/end/0/c")</f>
        <v>https://tablet.otzar.org/#/book/652849/p/-1/t/1/fs/0/start/0/end/0/c</v>
      </c>
    </row>
    <row r="1320" spans="1:8" x14ac:dyDescent="0.25">
      <c r="A1320">
        <v>650088</v>
      </c>
      <c r="B1320" t="s">
        <v>2824</v>
      </c>
      <c r="C1320" t="s">
        <v>2825</v>
      </c>
      <c r="D1320" t="s">
        <v>432</v>
      </c>
      <c r="E1320" t="s">
        <v>11</v>
      </c>
      <c r="G1320" t="str">
        <f>HYPERLINK(_xlfn.CONCAT("https://tablet.otzar.org/",CHAR(35),"/book/650088/p/-1/t/1/fs/0/start/0/end/0/c"),"השמחה")</f>
        <v>השמחה</v>
      </c>
      <c r="H1320" t="str">
        <f>_xlfn.CONCAT("https://tablet.otzar.org/",CHAR(35),"/book/650088/p/-1/t/1/fs/0/start/0/end/0/c")</f>
        <v>https://tablet.otzar.org/#/book/650088/p/-1/t/1/fs/0/start/0/end/0/c</v>
      </c>
    </row>
    <row r="1321" spans="1:8" x14ac:dyDescent="0.25">
      <c r="A1321">
        <v>643136</v>
      </c>
      <c r="B1321" t="s">
        <v>2826</v>
      </c>
      <c r="C1321" t="s">
        <v>2827</v>
      </c>
      <c r="E1321" t="s">
        <v>1775</v>
      </c>
      <c r="G1321" t="str">
        <f>HYPERLINK(_xlfn.CONCAT("https://tablet.otzar.org/",CHAR(35),"/book/643136/p/-1/t/1/fs/0/start/0/end/0/c"),"השמטות ושנויי הדפוס בספרי הטור שלנו")</f>
        <v>השמטות ושנויי הדפוס בספרי הטור שלנו</v>
      </c>
      <c r="H1321" t="str">
        <f>_xlfn.CONCAT("https://tablet.otzar.org/",CHAR(35),"/book/643136/p/-1/t/1/fs/0/start/0/end/0/c")</f>
        <v>https://tablet.otzar.org/#/book/643136/p/-1/t/1/fs/0/start/0/end/0/c</v>
      </c>
    </row>
    <row r="1322" spans="1:8" x14ac:dyDescent="0.25">
      <c r="A1322">
        <v>647531</v>
      </c>
      <c r="B1322" t="s">
        <v>2828</v>
      </c>
      <c r="C1322" t="s">
        <v>2829</v>
      </c>
      <c r="D1322" t="s">
        <v>34</v>
      </c>
      <c r="E1322" t="s">
        <v>11</v>
      </c>
      <c r="G1322" t="str">
        <f>HYPERLINK(_xlfn.CONCAT("https://tablet.otzar.org/",CHAR(35),"/book/647531/p/-1/t/1/fs/0/start/0/end/0/c"),"השמיטה בגינה")</f>
        <v>השמיטה בגינה</v>
      </c>
      <c r="H1322" t="str">
        <f>_xlfn.CONCAT("https://tablet.otzar.org/",CHAR(35),"/book/647531/p/-1/t/1/fs/0/start/0/end/0/c")</f>
        <v>https://tablet.otzar.org/#/book/647531/p/-1/t/1/fs/0/start/0/end/0/c</v>
      </c>
    </row>
    <row r="1323" spans="1:8" x14ac:dyDescent="0.25">
      <c r="A1323">
        <v>648509</v>
      </c>
      <c r="B1323" t="s">
        <v>2830</v>
      </c>
      <c r="C1323" t="s">
        <v>2831</v>
      </c>
      <c r="D1323" t="s">
        <v>10</v>
      </c>
      <c r="E1323" t="s">
        <v>11</v>
      </c>
      <c r="G1323" t="str">
        <f>HYPERLINK(_xlfn.CONCAT("https://tablet.otzar.org/",CHAR(35),"/book/648509/p/-1/t/1/fs/0/start/0/end/0/c"),"השמיטה והלכותיה")</f>
        <v>השמיטה והלכותיה</v>
      </c>
      <c r="H1323" t="str">
        <f>_xlfn.CONCAT("https://tablet.otzar.org/",CHAR(35),"/book/648509/p/-1/t/1/fs/0/start/0/end/0/c")</f>
        <v>https://tablet.otzar.org/#/book/648509/p/-1/t/1/fs/0/start/0/end/0/c</v>
      </c>
    </row>
    <row r="1324" spans="1:8" x14ac:dyDescent="0.25">
      <c r="A1324">
        <v>647441</v>
      </c>
      <c r="B1324" t="s">
        <v>2832</v>
      </c>
      <c r="C1324" t="s">
        <v>2833</v>
      </c>
      <c r="D1324" t="s">
        <v>10</v>
      </c>
      <c r="E1324" t="s">
        <v>70</v>
      </c>
      <c r="G1324" t="str">
        <f>HYPERLINK(_xlfn.CONCAT("https://tablet.otzar.org/",CHAR(35),"/book/647441/p/-1/t/1/fs/0/start/0/end/0/c"),"השמש - 1")</f>
        <v>השמש - 1</v>
      </c>
      <c r="H1324" t="str">
        <f>_xlfn.CONCAT("https://tablet.otzar.org/",CHAR(35),"/book/647441/p/-1/t/1/fs/0/start/0/end/0/c")</f>
        <v>https://tablet.otzar.org/#/book/647441/p/-1/t/1/fs/0/start/0/end/0/c</v>
      </c>
    </row>
    <row r="1325" spans="1:8" x14ac:dyDescent="0.25">
      <c r="A1325">
        <v>647402</v>
      </c>
      <c r="B1325" t="s">
        <v>2834</v>
      </c>
      <c r="C1325" t="s">
        <v>2835</v>
      </c>
      <c r="D1325" t="s">
        <v>2836</v>
      </c>
      <c r="E1325" t="s">
        <v>200</v>
      </c>
      <c r="G1325" t="str">
        <f>HYPERLINK(_xlfn.CONCAT("https://tablet.otzar.org/",CHAR(35),"/book/647402/p/-1/t/1/fs/0/start/0/end/0/c"),"השמש יצא על הארץ - מנחות ד")</f>
        <v>השמש יצא על הארץ - מנחות ד</v>
      </c>
      <c r="H1325" t="str">
        <f>_xlfn.CONCAT("https://tablet.otzar.org/",CHAR(35),"/book/647402/p/-1/t/1/fs/0/start/0/end/0/c")</f>
        <v>https://tablet.otzar.org/#/book/647402/p/-1/t/1/fs/0/start/0/end/0/c</v>
      </c>
    </row>
    <row r="1326" spans="1:8" x14ac:dyDescent="0.25">
      <c r="A1326">
        <v>653202</v>
      </c>
      <c r="B1326" t="s">
        <v>2837</v>
      </c>
      <c r="C1326" t="s">
        <v>2838</v>
      </c>
      <c r="D1326" t="s">
        <v>10</v>
      </c>
      <c r="E1326" t="s">
        <v>405</v>
      </c>
      <c r="G1326" t="str">
        <f>HYPERLINK(_xlfn.CONCAT("https://tablet.otzar.org/",CHAR(35),"/book/653202/p/-1/t/1/fs/0/start/0/end/0/c"),"השקפת התורה")</f>
        <v>השקפת התורה</v>
      </c>
      <c r="H1326" t="str">
        <f>_xlfn.CONCAT("https://tablet.otzar.org/",CHAR(35),"/book/653202/p/-1/t/1/fs/0/start/0/end/0/c")</f>
        <v>https://tablet.otzar.org/#/book/653202/p/-1/t/1/fs/0/start/0/end/0/c</v>
      </c>
    </row>
    <row r="1327" spans="1:8" x14ac:dyDescent="0.25">
      <c r="A1327">
        <v>648238</v>
      </c>
      <c r="B1327" t="s">
        <v>2839</v>
      </c>
      <c r="C1327" t="s">
        <v>2840</v>
      </c>
      <c r="E1327" t="s">
        <v>205</v>
      </c>
      <c r="G1327" t="str">
        <f>HYPERLINK(_xlfn.CONCAT("https://tablet.otzar.org/",CHAR(35),"/book/648238/p/-1/t/1/fs/0/start/0/end/0/c"),"השתיקה מחייה")</f>
        <v>השתיקה מחייה</v>
      </c>
      <c r="H1327" t="str">
        <f>_xlfn.CONCAT("https://tablet.otzar.org/",CHAR(35),"/book/648238/p/-1/t/1/fs/0/start/0/end/0/c")</f>
        <v>https://tablet.otzar.org/#/book/648238/p/-1/t/1/fs/0/start/0/end/0/c</v>
      </c>
    </row>
    <row r="1328" spans="1:8" x14ac:dyDescent="0.25">
      <c r="A1328">
        <v>650997</v>
      </c>
      <c r="B1328" t="s">
        <v>2841</v>
      </c>
      <c r="C1328" t="s">
        <v>2842</v>
      </c>
      <c r="D1328" t="s">
        <v>10</v>
      </c>
      <c r="E1328" t="s">
        <v>690</v>
      </c>
      <c r="G1328" t="str">
        <f>HYPERLINK(_xlfn.CONCAT("https://tablet.otzar.org/",CHAR(35),"/book/650997/p/-1/t/1/fs/0/start/0/end/0/c"),"השתלשלות התורה")</f>
        <v>השתלשלות התורה</v>
      </c>
      <c r="H1328" t="str">
        <f>_xlfn.CONCAT("https://tablet.otzar.org/",CHAR(35),"/book/650997/p/-1/t/1/fs/0/start/0/end/0/c")</f>
        <v>https://tablet.otzar.org/#/book/650997/p/-1/t/1/fs/0/start/0/end/0/c</v>
      </c>
    </row>
    <row r="1329" spans="1:8" x14ac:dyDescent="0.25">
      <c r="A1329">
        <v>650826</v>
      </c>
      <c r="B1329" t="s">
        <v>2843</v>
      </c>
      <c r="C1329" t="s">
        <v>2844</v>
      </c>
      <c r="D1329" t="s">
        <v>273</v>
      </c>
      <c r="E1329" t="s">
        <v>11</v>
      </c>
      <c r="G1329" t="str">
        <f>HYPERLINK(_xlfn.CONCAT("https://tablet.otzar.org/",CHAR(35),"/book/650826/p/-1/t/1/fs/0/start/0/end/0/c"),"התלמוד הירושלמי כבסיס לתורת ארץ ישראל")</f>
        <v>התלמוד הירושלמי כבסיס לתורת ארץ ישראל</v>
      </c>
      <c r="H1329" t="str">
        <f>_xlfn.CONCAT("https://tablet.otzar.org/",CHAR(35),"/book/650826/p/-1/t/1/fs/0/start/0/end/0/c")</f>
        <v>https://tablet.otzar.org/#/book/650826/p/-1/t/1/fs/0/start/0/end/0/c</v>
      </c>
    </row>
    <row r="1330" spans="1:8" x14ac:dyDescent="0.25">
      <c r="A1330">
        <v>616156</v>
      </c>
      <c r="B1330" t="s">
        <v>2845</v>
      </c>
      <c r="C1330" t="s">
        <v>2846</v>
      </c>
      <c r="D1330" t="s">
        <v>424</v>
      </c>
      <c r="E1330" t="s">
        <v>106</v>
      </c>
      <c r="G1330" t="str">
        <f>HYPERLINK(_xlfn.CONCAT("https://tablet.otzar.org/",CHAR(35),"/exKotar/616156"),"התלמוד ויוצריו - 2 כרכים")</f>
        <v>התלמוד ויוצריו - 2 כרכים</v>
      </c>
      <c r="H1330" t="str">
        <f>_xlfn.CONCAT("https://tablet.otzar.org/",CHAR(35),"/exKotar/616156")</f>
        <v>https://tablet.otzar.org/#/exKotar/616156</v>
      </c>
    </row>
    <row r="1331" spans="1:8" x14ac:dyDescent="0.25">
      <c r="A1331">
        <v>652633</v>
      </c>
      <c r="B1331" t="s">
        <v>2847</v>
      </c>
      <c r="C1331" t="s">
        <v>2848</v>
      </c>
      <c r="D1331" t="s">
        <v>2849</v>
      </c>
      <c r="E1331" t="s">
        <v>1962</v>
      </c>
      <c r="G1331" t="str">
        <f>HYPERLINK(_xlfn.CONCAT("https://tablet.otzar.org/",CHAR(35),"/book/652633/p/-1/t/1/fs/0/start/0/end/0/c"),"התמנות כהן גדול")</f>
        <v>התמנות כהן גדול</v>
      </c>
      <c r="H1331" t="str">
        <f>_xlfn.CONCAT("https://tablet.otzar.org/",CHAR(35),"/book/652633/p/-1/t/1/fs/0/start/0/end/0/c")</f>
        <v>https://tablet.otzar.org/#/book/652633/p/-1/t/1/fs/0/start/0/end/0/c</v>
      </c>
    </row>
    <row r="1332" spans="1:8" x14ac:dyDescent="0.25">
      <c r="A1332">
        <v>652892</v>
      </c>
      <c r="B1332" t="s">
        <v>2850</v>
      </c>
      <c r="C1332" t="s">
        <v>2851</v>
      </c>
      <c r="D1332" t="s">
        <v>2852</v>
      </c>
      <c r="E1332" t="s">
        <v>200</v>
      </c>
      <c r="G1332" t="str">
        <f>HYPERLINK(_xlfn.CONCAT("https://tablet.otzar.org/",CHAR(35),"/book/652892/p/-1/t/1/fs/0/start/0/end/0/c"),"התעשיה והיצור במקורות היהדות")</f>
        <v>התעשיה והיצור במקורות היהדות</v>
      </c>
      <c r="H1332" t="str">
        <f>_xlfn.CONCAT("https://tablet.otzar.org/",CHAR(35),"/book/652892/p/-1/t/1/fs/0/start/0/end/0/c")</f>
        <v>https://tablet.otzar.org/#/book/652892/p/-1/t/1/fs/0/start/0/end/0/c</v>
      </c>
    </row>
    <row r="1333" spans="1:8" x14ac:dyDescent="0.25">
      <c r="A1333">
        <v>652591</v>
      </c>
      <c r="B1333" t="s">
        <v>2853</v>
      </c>
      <c r="C1333" t="s">
        <v>2854</v>
      </c>
      <c r="D1333" t="s">
        <v>2855</v>
      </c>
      <c r="E1333" t="s">
        <v>70</v>
      </c>
      <c r="G1333" t="str">
        <f>HYPERLINK(_xlfn.CONCAT("https://tablet.otzar.org/",CHAR(35),"/book/652591/p/-1/t/1/fs/0/start/0/end/0/c"),"התפלה בישראל בהתפתחותה")</f>
        <v>התפלה בישראל בהתפתחותה</v>
      </c>
      <c r="H1333" t="str">
        <f>_xlfn.CONCAT("https://tablet.otzar.org/",CHAR(35),"/book/652591/p/-1/t/1/fs/0/start/0/end/0/c")</f>
        <v>https://tablet.otzar.org/#/book/652591/p/-1/t/1/fs/0/start/0/end/0/c</v>
      </c>
    </row>
    <row r="1334" spans="1:8" x14ac:dyDescent="0.25">
      <c r="A1334">
        <v>652372</v>
      </c>
      <c r="B1334" t="s">
        <v>2856</v>
      </c>
      <c r="C1334" t="s">
        <v>2857</v>
      </c>
      <c r="D1334" t="s">
        <v>386</v>
      </c>
      <c r="E1334" t="s">
        <v>35</v>
      </c>
      <c r="G1334" t="str">
        <f>HYPERLINK(_xlfn.CONCAT("https://tablet.otzar.org/",CHAR(35),"/exKotar/652372"),"התקשרות - 22 כרכים")</f>
        <v>התקשרות - 22 כרכים</v>
      </c>
      <c r="H1334" t="str">
        <f>_xlfn.CONCAT("https://tablet.otzar.org/",CHAR(35),"/exKotar/652372")</f>
        <v>https://tablet.otzar.org/#/exKotar/652372</v>
      </c>
    </row>
    <row r="1335" spans="1:8" x14ac:dyDescent="0.25">
      <c r="A1335">
        <v>653252</v>
      </c>
      <c r="B1335" t="s">
        <v>2858</v>
      </c>
      <c r="C1335" t="s">
        <v>2859</v>
      </c>
      <c r="D1335" t="s">
        <v>2860</v>
      </c>
      <c r="E1335" t="s">
        <v>70</v>
      </c>
      <c r="G1335" t="str">
        <f>HYPERLINK(_xlfn.CONCAT("https://tablet.otzar.org/",CHAR(35),"/book/653252/p/-1/t/1/fs/0/start/0/end/0/c"),"התשובה שיבה אל העצמאיות")</f>
        <v>התשובה שיבה אל העצמאיות</v>
      </c>
      <c r="H1335" t="str">
        <f>_xlfn.CONCAT("https://tablet.otzar.org/",CHAR(35),"/book/653252/p/-1/t/1/fs/0/start/0/end/0/c")</f>
        <v>https://tablet.otzar.org/#/book/653252/p/-1/t/1/fs/0/start/0/end/0/c</v>
      </c>
    </row>
    <row r="1336" spans="1:8" x14ac:dyDescent="0.25">
      <c r="A1336">
        <v>651246</v>
      </c>
      <c r="B1336" t="s">
        <v>2861</v>
      </c>
      <c r="C1336" t="s">
        <v>2862</v>
      </c>
      <c r="D1336" t="s">
        <v>10</v>
      </c>
      <c r="E1336" t="s">
        <v>224</v>
      </c>
      <c r="G1336" t="str">
        <f>HYPERLINK(_xlfn.CONCAT("https://tablet.otzar.org/",CHAR(35),"/book/651246/p/-1/t/1/fs/0/start/0/end/0/c"),"ואחד תרגום")</f>
        <v>ואחד תרגום</v>
      </c>
      <c r="H1336" t="str">
        <f>_xlfn.CONCAT("https://tablet.otzar.org/",CHAR(35),"/book/651246/p/-1/t/1/fs/0/start/0/end/0/c")</f>
        <v>https://tablet.otzar.org/#/book/651246/p/-1/t/1/fs/0/start/0/end/0/c</v>
      </c>
    </row>
    <row r="1337" spans="1:8" x14ac:dyDescent="0.25">
      <c r="A1337">
        <v>649135</v>
      </c>
      <c r="B1337" t="s">
        <v>2863</v>
      </c>
      <c r="C1337" t="s">
        <v>2209</v>
      </c>
      <c r="D1337" t="s">
        <v>34</v>
      </c>
      <c r="E1337" t="s">
        <v>45</v>
      </c>
      <c r="G1337" t="str">
        <f>HYPERLINK(_xlfn.CONCAT("https://tablet.otzar.org/",CHAR(35),"/book/649135/p/-1/t/1/fs/0/start/0/end/0/c"),"ואין למו מכשול - מועדי ישראל ב")</f>
        <v>ואין למו מכשול - מועדי ישראל ב</v>
      </c>
      <c r="H1337" t="str">
        <f>_xlfn.CONCAT("https://tablet.otzar.org/",CHAR(35),"/book/649135/p/-1/t/1/fs/0/start/0/end/0/c")</f>
        <v>https://tablet.otzar.org/#/book/649135/p/-1/t/1/fs/0/start/0/end/0/c</v>
      </c>
    </row>
    <row r="1338" spans="1:8" x14ac:dyDescent="0.25">
      <c r="A1338">
        <v>649361</v>
      </c>
      <c r="B1338" t="s">
        <v>2864</v>
      </c>
      <c r="C1338" t="s">
        <v>2865</v>
      </c>
      <c r="D1338" t="s">
        <v>10</v>
      </c>
      <c r="E1338" t="s">
        <v>246</v>
      </c>
      <c r="G1338" t="str">
        <f>HYPERLINK(_xlfn.CONCAT("https://tablet.otzar.org/",CHAR(35),"/book/649361/p/-1/t/1/fs/0/start/0/end/0/c"),"ואמונתך בלילות - תכלית היסורים ומעלת קבלתם באהבה")</f>
        <v>ואמונתך בלילות - תכלית היסורים ומעלת קבלתם באהבה</v>
      </c>
      <c r="H1338" t="str">
        <f>_xlfn.CONCAT("https://tablet.otzar.org/",CHAR(35),"/book/649361/p/-1/t/1/fs/0/start/0/end/0/c")</f>
        <v>https://tablet.otzar.org/#/book/649361/p/-1/t/1/fs/0/start/0/end/0/c</v>
      </c>
    </row>
    <row r="1339" spans="1:8" x14ac:dyDescent="0.25">
      <c r="A1339">
        <v>657051</v>
      </c>
      <c r="B1339" t="s">
        <v>2866</v>
      </c>
      <c r="C1339" t="s">
        <v>2867</v>
      </c>
      <c r="D1339" t="s">
        <v>10</v>
      </c>
      <c r="E1339" t="s">
        <v>11</v>
      </c>
      <c r="G1339" t="str">
        <f>HYPERLINK(_xlfn.CONCAT("https://tablet.otzar.org/",CHAR(35),"/book/657051/p/-1/t/1/fs/0/start/0/end/0/c"),"ואשיבה דברי - דרושים למועדים וזמני השנה")</f>
        <v>ואשיבה דברי - דרושים למועדים וזמני השנה</v>
      </c>
      <c r="H1339" t="str">
        <f>_xlfn.CONCAT("https://tablet.otzar.org/",CHAR(35),"/book/657051/p/-1/t/1/fs/0/start/0/end/0/c")</f>
        <v>https://tablet.otzar.org/#/book/657051/p/-1/t/1/fs/0/start/0/end/0/c</v>
      </c>
    </row>
    <row r="1340" spans="1:8" x14ac:dyDescent="0.25">
      <c r="A1340">
        <v>651092</v>
      </c>
      <c r="B1340" t="s">
        <v>2868</v>
      </c>
      <c r="C1340" t="s">
        <v>2869</v>
      </c>
      <c r="E1340" t="s">
        <v>146</v>
      </c>
      <c r="G1340" t="str">
        <f>HYPERLINK(_xlfn.CONCAT("https://tablet.otzar.org/",CHAR(35),"/book/651092/p/-1/t/1/fs/0/start/0/end/0/c"),"ובו תדבק")</f>
        <v>ובו תדבק</v>
      </c>
      <c r="H1340" t="str">
        <f>_xlfn.CONCAT("https://tablet.otzar.org/",CHAR(35),"/book/651092/p/-1/t/1/fs/0/start/0/end/0/c")</f>
        <v>https://tablet.otzar.org/#/book/651092/p/-1/t/1/fs/0/start/0/end/0/c</v>
      </c>
    </row>
    <row r="1341" spans="1:8" x14ac:dyDescent="0.25">
      <c r="A1341">
        <v>647703</v>
      </c>
      <c r="B1341" t="s">
        <v>2870</v>
      </c>
      <c r="C1341" t="s">
        <v>2871</v>
      </c>
      <c r="D1341" t="s">
        <v>52</v>
      </c>
      <c r="E1341" t="s">
        <v>19</v>
      </c>
      <c r="G1341" t="str">
        <f>HYPERLINK(_xlfn.CONCAT("https://tablet.otzar.org/",CHAR(35),"/book/647703/p/-1/t/1/fs/0/start/0/end/0/c"),"ובחרת בחיים")</f>
        <v>ובחרת בחיים</v>
      </c>
      <c r="H1341" t="str">
        <f>_xlfn.CONCAT("https://tablet.otzar.org/",CHAR(35),"/book/647703/p/-1/t/1/fs/0/start/0/end/0/c")</f>
        <v>https://tablet.otzar.org/#/book/647703/p/-1/t/1/fs/0/start/0/end/0/c</v>
      </c>
    </row>
    <row r="1342" spans="1:8" x14ac:dyDescent="0.25">
      <c r="A1342">
        <v>650145</v>
      </c>
      <c r="B1342" t="s">
        <v>2872</v>
      </c>
      <c r="C1342" t="s">
        <v>2873</v>
      </c>
      <c r="D1342" t="s">
        <v>52</v>
      </c>
      <c r="E1342" t="s">
        <v>804</v>
      </c>
      <c r="G1342" t="str">
        <f>HYPERLINK(_xlfn.CONCAT("https://tablet.otzar.org/",CHAR(35),"/exKotar/650145"),"ובחרת בחיים - 2 כרכים")</f>
        <v>ובחרת בחיים - 2 כרכים</v>
      </c>
      <c r="H1342" t="str">
        <f>_xlfn.CONCAT("https://tablet.otzar.org/",CHAR(35),"/exKotar/650145")</f>
        <v>https://tablet.otzar.org/#/exKotar/650145</v>
      </c>
    </row>
    <row r="1343" spans="1:8" x14ac:dyDescent="0.25">
      <c r="A1343">
        <v>643284</v>
      </c>
      <c r="B1343" t="s">
        <v>2874</v>
      </c>
      <c r="C1343" t="s">
        <v>2875</v>
      </c>
      <c r="E1343" t="s">
        <v>507</v>
      </c>
      <c r="G1343" t="str">
        <f>HYPERLINK(_xlfn.CONCAT("https://tablet.otzar.org/",CHAR(35),"/book/643284/p/-1/t/1/fs/0/start/0/end/0/c"),"וגילו צדיקים - נסיעה לצדיק")</f>
        <v>וגילו צדיקים - נסיעה לצדיק</v>
      </c>
      <c r="H1343" t="str">
        <f>_xlfn.CONCAT("https://tablet.otzar.org/",CHAR(35),"/book/643284/p/-1/t/1/fs/0/start/0/end/0/c")</f>
        <v>https://tablet.otzar.org/#/book/643284/p/-1/t/1/fs/0/start/0/end/0/c</v>
      </c>
    </row>
    <row r="1344" spans="1:8" x14ac:dyDescent="0.25">
      <c r="A1344">
        <v>650998</v>
      </c>
      <c r="B1344" t="s">
        <v>2876</v>
      </c>
      <c r="C1344" t="s">
        <v>2877</v>
      </c>
      <c r="D1344" t="s">
        <v>34</v>
      </c>
      <c r="E1344" t="s">
        <v>35</v>
      </c>
      <c r="G1344" t="str">
        <f>HYPERLINK(_xlfn.CONCAT("https://tablet.otzar.org/",CHAR(35),"/book/650998/p/-1/t/1/fs/0/start/0/end/0/c"),"וגילח הכהן")</f>
        <v>וגילח הכהן</v>
      </c>
      <c r="H1344" t="str">
        <f>_xlfn.CONCAT("https://tablet.otzar.org/",CHAR(35),"/book/650998/p/-1/t/1/fs/0/start/0/end/0/c")</f>
        <v>https://tablet.otzar.org/#/book/650998/p/-1/t/1/fs/0/start/0/end/0/c</v>
      </c>
    </row>
    <row r="1345" spans="1:8" x14ac:dyDescent="0.25">
      <c r="A1345">
        <v>649845</v>
      </c>
      <c r="B1345" t="s">
        <v>2878</v>
      </c>
      <c r="C1345" t="s">
        <v>2879</v>
      </c>
      <c r="D1345" t="s">
        <v>10</v>
      </c>
      <c r="E1345" t="s">
        <v>405</v>
      </c>
      <c r="G1345" t="str">
        <f>HYPERLINK(_xlfn.CONCAT("https://tablet.otzar.org/",CHAR(35),"/book/649845/p/-1/t/1/fs/0/start/0/end/0/c"),"ודברת ב""""ם")</f>
        <v>ודברת ב""ם</v>
      </c>
      <c r="H1345" t="str">
        <f>_xlfn.CONCAT("https://tablet.otzar.org/",CHAR(35),"/book/649845/p/-1/t/1/fs/0/start/0/end/0/c")</f>
        <v>https://tablet.otzar.org/#/book/649845/p/-1/t/1/fs/0/start/0/end/0/c</v>
      </c>
    </row>
    <row r="1346" spans="1:8" x14ac:dyDescent="0.25">
      <c r="A1346">
        <v>653333</v>
      </c>
      <c r="B1346" t="s">
        <v>2880</v>
      </c>
      <c r="C1346" t="s">
        <v>2881</v>
      </c>
      <c r="D1346" t="s">
        <v>52</v>
      </c>
      <c r="E1346" t="s">
        <v>366</v>
      </c>
      <c r="G1346" t="str">
        <f>HYPERLINK(_xlfn.CONCAT("https://tablet.otzar.org/",CHAR(35),"/book/653333/p/-1/t/1/fs/0/start/0/end/0/c"),"ודברת בם - שמות, ויקרא")</f>
        <v>ודברת בם - שמות, ויקרא</v>
      </c>
      <c r="H1346" t="str">
        <f>_xlfn.CONCAT("https://tablet.otzar.org/",CHAR(35),"/book/653333/p/-1/t/1/fs/0/start/0/end/0/c")</f>
        <v>https://tablet.otzar.org/#/book/653333/p/-1/t/1/fs/0/start/0/end/0/c</v>
      </c>
    </row>
    <row r="1347" spans="1:8" x14ac:dyDescent="0.25">
      <c r="A1347">
        <v>648986</v>
      </c>
      <c r="B1347" t="s">
        <v>2882</v>
      </c>
      <c r="C1347" t="s">
        <v>2883</v>
      </c>
      <c r="D1347" t="s">
        <v>10</v>
      </c>
      <c r="E1347" t="s">
        <v>352</v>
      </c>
      <c r="G1347" t="str">
        <f>HYPERLINK(_xlfn.CONCAT("https://tablet.otzar.org/",CHAR(35),"/book/648986/p/-1/t/1/fs/0/start/0/end/0/c"),"ודברת בם - תשס""""ו (טו)")</f>
        <v>ודברת בם - תשס""ו (טו)</v>
      </c>
      <c r="H1347" t="str">
        <f>_xlfn.CONCAT("https://tablet.otzar.org/",CHAR(35),"/book/648986/p/-1/t/1/fs/0/start/0/end/0/c")</f>
        <v>https://tablet.otzar.org/#/book/648986/p/-1/t/1/fs/0/start/0/end/0/c</v>
      </c>
    </row>
    <row r="1348" spans="1:8" x14ac:dyDescent="0.25">
      <c r="A1348">
        <v>649137</v>
      </c>
      <c r="B1348" t="s">
        <v>2884</v>
      </c>
      <c r="C1348" t="s">
        <v>2885</v>
      </c>
      <c r="D1348" t="s">
        <v>424</v>
      </c>
      <c r="E1348" t="s">
        <v>405</v>
      </c>
      <c r="G1348" t="str">
        <f>HYPERLINK(_xlfn.CONCAT("https://tablet.otzar.org/",CHAR(35),"/exKotar/649137"),"ודברת בם - 2 כרכים")</f>
        <v>ודברת בם - 2 כרכים</v>
      </c>
      <c r="H1348" t="str">
        <f>_xlfn.CONCAT("https://tablet.otzar.org/",CHAR(35),"/exKotar/649137")</f>
        <v>https://tablet.otzar.org/#/exKotar/649137</v>
      </c>
    </row>
    <row r="1349" spans="1:8" x14ac:dyDescent="0.25">
      <c r="A1349">
        <v>647935</v>
      </c>
      <c r="B1349" t="s">
        <v>2886</v>
      </c>
      <c r="C1349" t="s">
        <v>2887</v>
      </c>
      <c r="D1349" t="s">
        <v>2728</v>
      </c>
      <c r="E1349" t="s">
        <v>1330</v>
      </c>
      <c r="G1349" t="str">
        <f>HYPERLINK(_xlfn.CONCAT("https://tablet.otzar.org/",CHAR(35),"/book/647935/p/-1/t/1/fs/0/start/0/end/0/c"),"ודרשת והגידו לך")</f>
        <v>ודרשת והגידו לך</v>
      </c>
      <c r="H1349" t="str">
        <f>_xlfn.CONCAT("https://tablet.otzar.org/",CHAR(35),"/book/647935/p/-1/t/1/fs/0/start/0/end/0/c")</f>
        <v>https://tablet.otzar.org/#/book/647935/p/-1/t/1/fs/0/start/0/end/0/c</v>
      </c>
    </row>
    <row r="1350" spans="1:8" x14ac:dyDescent="0.25">
      <c r="A1350">
        <v>650408</v>
      </c>
      <c r="B1350" t="s">
        <v>2888</v>
      </c>
      <c r="C1350" t="s">
        <v>2889</v>
      </c>
      <c r="D1350" t="s">
        <v>840</v>
      </c>
      <c r="E1350" t="s">
        <v>11</v>
      </c>
      <c r="G1350" t="str">
        <f>HYPERLINK(_xlfn.CONCAT("https://tablet.otzar.org/",CHAR(35),"/book/650408/p/-1/t/1/fs/0/start/0/end/0/c"),"ודרשת וחקרת")</f>
        <v>ודרשת וחקרת</v>
      </c>
      <c r="H1350" t="str">
        <f>_xlfn.CONCAT("https://tablet.otzar.org/",CHAR(35),"/book/650408/p/-1/t/1/fs/0/start/0/end/0/c")</f>
        <v>https://tablet.otzar.org/#/book/650408/p/-1/t/1/fs/0/start/0/end/0/c</v>
      </c>
    </row>
    <row r="1351" spans="1:8" x14ac:dyDescent="0.25">
      <c r="A1351">
        <v>651558</v>
      </c>
      <c r="B1351" t="s">
        <v>2890</v>
      </c>
      <c r="C1351" t="s">
        <v>2891</v>
      </c>
      <c r="D1351" t="s">
        <v>34</v>
      </c>
      <c r="E1351" t="s">
        <v>117</v>
      </c>
      <c r="G1351" t="str">
        <f>HYPERLINK(_xlfn.CONCAT("https://tablet.otzar.org/",CHAR(35),"/book/651558/p/-1/t/1/fs/0/start/0/end/0/c"),"והגדת לבנך")</f>
        <v>והגדת לבנך</v>
      </c>
      <c r="H1351" t="str">
        <f>_xlfn.CONCAT("https://tablet.otzar.org/",CHAR(35),"/book/651558/p/-1/t/1/fs/0/start/0/end/0/c")</f>
        <v>https://tablet.otzar.org/#/book/651558/p/-1/t/1/fs/0/start/0/end/0/c</v>
      </c>
    </row>
    <row r="1352" spans="1:8" x14ac:dyDescent="0.25">
      <c r="A1352">
        <v>651776</v>
      </c>
      <c r="B1352" t="s">
        <v>2892</v>
      </c>
      <c r="C1352" t="s">
        <v>1423</v>
      </c>
      <c r="D1352" t="s">
        <v>432</v>
      </c>
      <c r="E1352" t="s">
        <v>70</v>
      </c>
      <c r="G1352" t="str">
        <f>HYPERLINK(_xlfn.CONCAT("https://tablet.otzar.org/",CHAR(35),"/book/651776/p/-1/t/1/fs/0/start/0/end/0/c"),"והגדת לבנך - ב")</f>
        <v>והגדת לבנך - ב</v>
      </c>
      <c r="H1352" t="str">
        <f>_xlfn.CONCAT("https://tablet.otzar.org/",CHAR(35),"/book/651776/p/-1/t/1/fs/0/start/0/end/0/c")</f>
        <v>https://tablet.otzar.org/#/book/651776/p/-1/t/1/fs/0/start/0/end/0/c</v>
      </c>
    </row>
    <row r="1353" spans="1:8" x14ac:dyDescent="0.25">
      <c r="A1353">
        <v>655903</v>
      </c>
      <c r="B1353" t="s">
        <v>2893</v>
      </c>
      <c r="C1353" t="s">
        <v>614</v>
      </c>
      <c r="D1353" t="s">
        <v>34</v>
      </c>
      <c r="E1353" t="s">
        <v>29</v>
      </c>
      <c r="G1353" t="str">
        <f>HYPERLINK(_xlfn.CONCAT("https://tablet.otzar.org/",CHAR(35),"/book/655903/p/-1/t/1/fs/0/start/0/end/0/c"),"והגית בו יומם ולילה")</f>
        <v>והגית בו יומם ולילה</v>
      </c>
      <c r="H1353" t="str">
        <f>_xlfn.CONCAT("https://tablet.otzar.org/",CHAR(35),"/book/655903/p/-1/t/1/fs/0/start/0/end/0/c")</f>
        <v>https://tablet.otzar.org/#/book/655903/p/-1/t/1/fs/0/start/0/end/0/c</v>
      </c>
    </row>
    <row r="1354" spans="1:8" x14ac:dyDescent="0.25">
      <c r="A1354">
        <v>651930</v>
      </c>
      <c r="B1354" t="s">
        <v>2894</v>
      </c>
      <c r="C1354" t="s">
        <v>2895</v>
      </c>
      <c r="E1354" t="s">
        <v>11</v>
      </c>
      <c r="G1354" t="str">
        <f>HYPERLINK(_xlfn.CONCAT("https://tablet.otzar.org/",CHAR(35),"/book/651930/p/-1/t/1/fs/0/start/0/end/0/c"),"והודעתם - ג")</f>
        <v>והודעתם - ג</v>
      </c>
      <c r="H1354" t="str">
        <f>_xlfn.CONCAT("https://tablet.otzar.org/",CHAR(35),"/book/651930/p/-1/t/1/fs/0/start/0/end/0/c")</f>
        <v>https://tablet.otzar.org/#/book/651930/p/-1/t/1/fs/0/start/0/end/0/c</v>
      </c>
    </row>
    <row r="1355" spans="1:8" x14ac:dyDescent="0.25">
      <c r="A1355">
        <v>651661</v>
      </c>
      <c r="B1355" t="s">
        <v>2896</v>
      </c>
      <c r="C1355" t="s">
        <v>1124</v>
      </c>
      <c r="D1355" t="s">
        <v>34</v>
      </c>
      <c r="E1355" t="s">
        <v>70</v>
      </c>
      <c r="G1355" t="str">
        <f>HYPERLINK(_xlfn.CONCAT("https://tablet.otzar.org/",CHAR(35),"/book/651661/p/-1/t/1/fs/0/start/0/end/0/c"),"והופע והנשא עלינו")</f>
        <v>והופע והנשא עלינו</v>
      </c>
      <c r="H1355" t="str">
        <f>_xlfn.CONCAT("https://tablet.otzar.org/",CHAR(35),"/book/651661/p/-1/t/1/fs/0/start/0/end/0/c")</f>
        <v>https://tablet.otzar.org/#/book/651661/p/-1/t/1/fs/0/start/0/end/0/c</v>
      </c>
    </row>
    <row r="1356" spans="1:8" x14ac:dyDescent="0.25">
      <c r="A1356">
        <v>656102</v>
      </c>
      <c r="B1356" t="s">
        <v>2897</v>
      </c>
      <c r="C1356" t="s">
        <v>2709</v>
      </c>
      <c r="D1356" t="s">
        <v>193</v>
      </c>
      <c r="E1356" t="s">
        <v>29</v>
      </c>
      <c r="G1356" t="str">
        <f>HYPERLINK(_xlfn.CONCAT("https://tablet.otzar.org/",CHAR(35),"/book/656102/p/-1/t/1/fs/0/start/0/end/0/c"),"והיו לאחדים - א")</f>
        <v>והיו לאחדים - א</v>
      </c>
      <c r="H1356" t="str">
        <f>_xlfn.CONCAT("https://tablet.otzar.org/",CHAR(35),"/book/656102/p/-1/t/1/fs/0/start/0/end/0/c")</f>
        <v>https://tablet.otzar.org/#/book/656102/p/-1/t/1/fs/0/start/0/end/0/c</v>
      </c>
    </row>
    <row r="1357" spans="1:8" x14ac:dyDescent="0.25">
      <c r="A1357">
        <v>649164</v>
      </c>
      <c r="B1357" t="s">
        <v>2898</v>
      </c>
      <c r="C1357" t="s">
        <v>2899</v>
      </c>
      <c r="D1357" t="s">
        <v>10</v>
      </c>
      <c r="E1357" t="s">
        <v>35</v>
      </c>
      <c r="G1357" t="str">
        <f>HYPERLINK(_xlfn.CONCAT("https://tablet.otzar.org/",CHAR(35),"/book/649164/p/-1/t/1/fs/0/start/0/end/0/c"),"והייתם לי סגולה")</f>
        <v>והייתם לי סגולה</v>
      </c>
      <c r="H1357" t="str">
        <f>_xlfn.CONCAT("https://tablet.otzar.org/",CHAR(35),"/book/649164/p/-1/t/1/fs/0/start/0/end/0/c")</f>
        <v>https://tablet.otzar.org/#/book/649164/p/-1/t/1/fs/0/start/0/end/0/c</v>
      </c>
    </row>
    <row r="1358" spans="1:8" x14ac:dyDescent="0.25">
      <c r="A1358">
        <v>651869</v>
      </c>
      <c r="B1358" t="s">
        <v>2900</v>
      </c>
      <c r="C1358" t="s">
        <v>2901</v>
      </c>
      <c r="E1358" t="s">
        <v>11</v>
      </c>
      <c r="G1358" t="str">
        <f>HYPERLINK(_xlfn.CONCAT("https://tablet.otzar.org/",CHAR(35),"/book/651869/p/-1/t/1/fs/0/start/0/end/0/c"),"והימים האלה נזכרים")</f>
        <v>והימים האלה נזכרים</v>
      </c>
      <c r="H1358" t="str">
        <f>_xlfn.CONCAT("https://tablet.otzar.org/",CHAR(35),"/book/651869/p/-1/t/1/fs/0/start/0/end/0/c")</f>
        <v>https://tablet.otzar.org/#/book/651869/p/-1/t/1/fs/0/start/0/end/0/c</v>
      </c>
    </row>
    <row r="1359" spans="1:8" x14ac:dyDescent="0.25">
      <c r="A1359">
        <v>648271</v>
      </c>
      <c r="B1359" t="s">
        <v>2902</v>
      </c>
      <c r="C1359" t="s">
        <v>2903</v>
      </c>
      <c r="E1359" t="s">
        <v>2534</v>
      </c>
      <c r="G1359" t="str">
        <f>HYPERLINK(_xlfn.CONCAT("https://tablet.otzar.org/",CHAR(35),"/book/648271/p/-1/t/1/fs/0/start/0/end/0/c"),"והלכת בדרכיו")</f>
        <v>והלכת בדרכיו</v>
      </c>
      <c r="H1359" t="str">
        <f>_xlfn.CONCAT("https://tablet.otzar.org/",CHAR(35),"/book/648271/p/-1/t/1/fs/0/start/0/end/0/c")</f>
        <v>https://tablet.otzar.org/#/book/648271/p/-1/t/1/fs/0/start/0/end/0/c</v>
      </c>
    </row>
    <row r="1360" spans="1:8" x14ac:dyDescent="0.25">
      <c r="A1360">
        <v>656343</v>
      </c>
      <c r="B1360" t="s">
        <v>2904</v>
      </c>
      <c r="C1360" t="s">
        <v>2905</v>
      </c>
      <c r="D1360" t="s">
        <v>2906</v>
      </c>
      <c r="E1360" t="s">
        <v>2907</v>
      </c>
      <c r="G1360" t="str">
        <f>HYPERLINK(_xlfn.CONCAT("https://tablet.otzar.org/",CHAR(35),"/book/656343/p/-1/t/1/fs/0/start/0/end/0/c"),"והמה בכתובים")</f>
        <v>והמה בכתובים</v>
      </c>
      <c r="H1360" t="str">
        <f>_xlfn.CONCAT("https://tablet.otzar.org/",CHAR(35),"/book/656343/p/-1/t/1/fs/0/start/0/end/0/c")</f>
        <v>https://tablet.otzar.org/#/book/656343/p/-1/t/1/fs/0/start/0/end/0/c</v>
      </c>
    </row>
    <row r="1361" spans="1:8" x14ac:dyDescent="0.25">
      <c r="A1361">
        <v>650714</v>
      </c>
      <c r="B1361" t="s">
        <v>2908</v>
      </c>
      <c r="C1361" t="s">
        <v>2909</v>
      </c>
      <c r="D1361" t="s">
        <v>10</v>
      </c>
      <c r="E1361" t="s">
        <v>405</v>
      </c>
      <c r="G1361" t="str">
        <f>HYPERLINK(_xlfn.CONCAT("https://tablet.otzar.org/",CHAR(35),"/book/650714/p/-1/t/1/fs/0/start/0/end/0/c"),"והרים הכהן - ה")</f>
        <v>והרים הכהן - ה</v>
      </c>
      <c r="H1361" t="str">
        <f>_xlfn.CONCAT("https://tablet.otzar.org/",CHAR(35),"/book/650714/p/-1/t/1/fs/0/start/0/end/0/c")</f>
        <v>https://tablet.otzar.org/#/book/650714/p/-1/t/1/fs/0/start/0/end/0/c</v>
      </c>
    </row>
    <row r="1362" spans="1:8" x14ac:dyDescent="0.25">
      <c r="A1362">
        <v>647359</v>
      </c>
      <c r="B1362" t="s">
        <v>2910</v>
      </c>
      <c r="C1362" t="s">
        <v>857</v>
      </c>
      <c r="D1362" t="s">
        <v>858</v>
      </c>
      <c r="E1362" t="s">
        <v>70</v>
      </c>
      <c r="G1362" t="str">
        <f>HYPERLINK(_xlfn.CONCAT("https://tablet.otzar.org/",CHAR(35),"/book/647359/p/-1/t/1/fs/0/start/0/end/0/c"),"וואס איז פארט א איד")</f>
        <v>וואס איז פארט א איד</v>
      </c>
      <c r="H1362" t="str">
        <f>_xlfn.CONCAT("https://tablet.otzar.org/",CHAR(35),"/book/647359/p/-1/t/1/fs/0/start/0/end/0/c")</f>
        <v>https://tablet.otzar.org/#/book/647359/p/-1/t/1/fs/0/start/0/end/0/c</v>
      </c>
    </row>
    <row r="1363" spans="1:8" x14ac:dyDescent="0.25">
      <c r="A1363">
        <v>651409</v>
      </c>
      <c r="B1363" t="s">
        <v>2911</v>
      </c>
      <c r="C1363" t="s">
        <v>2912</v>
      </c>
      <c r="D1363" t="s">
        <v>34</v>
      </c>
      <c r="E1363" t="s">
        <v>70</v>
      </c>
      <c r="G1363" t="str">
        <f>HYPERLINK(_xlfn.CONCAT("https://tablet.otzar.org/",CHAR(35),"/book/651409/p/-1/t/1/fs/0/start/0/end/0/c"),"ווארט קצר לפרשת השבוע")</f>
        <v>ווארט קצר לפרשת השבוע</v>
      </c>
      <c r="H1363" t="str">
        <f>_xlfn.CONCAT("https://tablet.otzar.org/",CHAR(35),"/book/651409/p/-1/t/1/fs/0/start/0/end/0/c")</f>
        <v>https://tablet.otzar.org/#/book/651409/p/-1/t/1/fs/0/start/0/end/0/c</v>
      </c>
    </row>
    <row r="1364" spans="1:8" x14ac:dyDescent="0.25">
      <c r="A1364">
        <v>650411</v>
      </c>
      <c r="B1364" t="s">
        <v>2913</v>
      </c>
      <c r="D1364" t="s">
        <v>139</v>
      </c>
      <c r="E1364" t="s">
        <v>84</v>
      </c>
      <c r="G1364" t="str">
        <f>HYPERLINK(_xlfn.CONCAT("https://tablet.otzar.org/",CHAR(35),"/book/650411/p/-1/t/1/fs/0/start/0/end/0/c"),"וזאת ליהודה - ראם, יעקב בן שמואל אהרן")</f>
        <v>וזאת ליהודה - ראם, יעקב בן שמואל אהרן</v>
      </c>
      <c r="H1364" t="str">
        <f>_xlfn.CONCAT("https://tablet.otzar.org/",CHAR(35),"/book/650411/p/-1/t/1/fs/0/start/0/end/0/c")</f>
        <v>https://tablet.otzar.org/#/book/650411/p/-1/t/1/fs/0/start/0/end/0/c</v>
      </c>
    </row>
    <row r="1365" spans="1:8" x14ac:dyDescent="0.25">
      <c r="A1365">
        <v>652507</v>
      </c>
      <c r="B1365" t="s">
        <v>2914</v>
      </c>
      <c r="C1365" t="s">
        <v>2915</v>
      </c>
      <c r="D1365" t="s">
        <v>52</v>
      </c>
      <c r="E1365" t="s">
        <v>84</v>
      </c>
      <c r="G1365" t="str">
        <f>HYPERLINK(_xlfn.CONCAT("https://tablet.otzar.org/",CHAR(35),"/exKotar/652507"),"וזאת ליהודה - 3 כרכים")</f>
        <v>וזאת ליהודה - 3 כרכים</v>
      </c>
      <c r="H1365" t="str">
        <f>_xlfn.CONCAT("https://tablet.otzar.org/",CHAR(35),"/exKotar/652507")</f>
        <v>https://tablet.otzar.org/#/exKotar/652507</v>
      </c>
    </row>
    <row r="1366" spans="1:8" x14ac:dyDescent="0.25">
      <c r="A1366">
        <v>651445</v>
      </c>
      <c r="B1366" t="s">
        <v>2916</v>
      </c>
      <c r="C1366" t="s">
        <v>2917</v>
      </c>
      <c r="D1366" t="s">
        <v>549</v>
      </c>
      <c r="E1366" t="s">
        <v>11</v>
      </c>
      <c r="G1366" t="str">
        <f>HYPERLINK(_xlfn.CONCAT("https://tablet.otzar.org/",CHAR(35),"/book/651445/p/-1/t/1/fs/0/start/0/end/0/c"),"וזה דבר השמיטה")</f>
        <v>וזה דבר השמיטה</v>
      </c>
      <c r="H1366" t="str">
        <f>_xlfn.CONCAT("https://tablet.otzar.org/",CHAR(35),"/book/651445/p/-1/t/1/fs/0/start/0/end/0/c")</f>
        <v>https://tablet.otzar.org/#/book/651445/p/-1/t/1/fs/0/start/0/end/0/c</v>
      </c>
    </row>
    <row r="1367" spans="1:8" x14ac:dyDescent="0.25">
      <c r="A1367">
        <v>647720</v>
      </c>
      <c r="B1367" t="s">
        <v>2918</v>
      </c>
      <c r="C1367" t="s">
        <v>614</v>
      </c>
      <c r="D1367" t="s">
        <v>10</v>
      </c>
      <c r="E1367" t="s">
        <v>11</v>
      </c>
      <c r="G1367" t="str">
        <f>HYPERLINK(_xlfn.CONCAT("https://tablet.otzar.org/",CHAR(35),"/book/647720/p/-1/t/1/fs/0/start/0/end/0/c"),"וחזקת והיית לאיש")</f>
        <v>וחזקת והיית לאיש</v>
      </c>
      <c r="H1367" t="str">
        <f>_xlfn.CONCAT("https://tablet.otzar.org/",CHAR(35),"/book/647720/p/-1/t/1/fs/0/start/0/end/0/c")</f>
        <v>https://tablet.otzar.org/#/book/647720/p/-1/t/1/fs/0/start/0/end/0/c</v>
      </c>
    </row>
    <row r="1368" spans="1:8" x14ac:dyDescent="0.25">
      <c r="A1368">
        <v>655301</v>
      </c>
      <c r="B1368" t="s">
        <v>2919</v>
      </c>
      <c r="C1368" t="s">
        <v>2920</v>
      </c>
      <c r="D1368" t="s">
        <v>10</v>
      </c>
      <c r="E1368" t="s">
        <v>1061</v>
      </c>
      <c r="G1368" t="str">
        <f>HYPERLINK(_xlfn.CONCAT("https://tablet.otzar.org/",CHAR(35),"/exKotar/655301"),"ויאמר אברהם - 3 כרכים")</f>
        <v>ויאמר אברהם - 3 כרכים</v>
      </c>
      <c r="H1368" t="str">
        <f>_xlfn.CONCAT("https://tablet.otzar.org/",CHAR(35),"/exKotar/655301")</f>
        <v>https://tablet.otzar.org/#/exKotar/655301</v>
      </c>
    </row>
    <row r="1369" spans="1:8" x14ac:dyDescent="0.25">
      <c r="A1369">
        <v>647979</v>
      </c>
      <c r="B1369" t="s">
        <v>2921</v>
      </c>
      <c r="C1369" t="s">
        <v>2922</v>
      </c>
      <c r="D1369" t="s">
        <v>2923</v>
      </c>
      <c r="E1369" t="s">
        <v>117</v>
      </c>
      <c r="G1369" t="str">
        <f>HYPERLINK(_xlfn.CONCAT("https://tablet.otzar.org/",CHAR(35),"/exKotar/647979"),"ויאמר גבריאל - 5 כרכים")</f>
        <v>ויאמר גבריאל - 5 כרכים</v>
      </c>
      <c r="H1369" t="str">
        <f>_xlfn.CONCAT("https://tablet.otzar.org/",CHAR(35),"/exKotar/647979")</f>
        <v>https://tablet.otzar.org/#/exKotar/647979</v>
      </c>
    </row>
    <row r="1370" spans="1:8" x14ac:dyDescent="0.25">
      <c r="A1370">
        <v>652787</v>
      </c>
      <c r="B1370" t="s">
        <v>2924</v>
      </c>
      <c r="C1370" t="s">
        <v>2925</v>
      </c>
      <c r="D1370" t="s">
        <v>58</v>
      </c>
      <c r="E1370" t="s">
        <v>1664</v>
      </c>
      <c r="G1370" t="str">
        <f>HYPERLINK(_xlfn.CONCAT("https://tablet.otzar.org/",CHAR(35),"/book/652787/p/-1/t/1/fs/0/start/0/end/0/c"),"ויאמר דוד")</f>
        <v>ויאמר דוד</v>
      </c>
      <c r="H1370" t="str">
        <f>_xlfn.CONCAT("https://tablet.otzar.org/",CHAR(35),"/book/652787/p/-1/t/1/fs/0/start/0/end/0/c")</f>
        <v>https://tablet.otzar.org/#/book/652787/p/-1/t/1/fs/0/start/0/end/0/c</v>
      </c>
    </row>
    <row r="1371" spans="1:8" x14ac:dyDescent="0.25">
      <c r="A1371">
        <v>655731</v>
      </c>
      <c r="B1371" t="s">
        <v>2926</v>
      </c>
      <c r="C1371" t="s">
        <v>2927</v>
      </c>
      <c r="E1371" t="s">
        <v>45</v>
      </c>
      <c r="G1371" t="str">
        <f>HYPERLINK(_xlfn.CONCAT("https://tablet.otzar.org/",CHAR(35),"/exKotar/655731"),"ויאמר יהושע - 2 כרכים")</f>
        <v>ויאמר יהושע - 2 כרכים</v>
      </c>
      <c r="H1371" t="str">
        <f>_xlfn.CONCAT("https://tablet.otzar.org/",CHAR(35),"/exKotar/655731")</f>
        <v>https://tablet.otzar.org/#/exKotar/655731</v>
      </c>
    </row>
    <row r="1372" spans="1:8" x14ac:dyDescent="0.25">
      <c r="A1372">
        <v>653388</v>
      </c>
      <c r="B1372" t="s">
        <v>2928</v>
      </c>
      <c r="C1372" t="s">
        <v>2929</v>
      </c>
      <c r="D1372" t="s">
        <v>10</v>
      </c>
      <c r="E1372" t="s">
        <v>11</v>
      </c>
      <c r="G1372" t="str">
        <f>HYPERLINK(_xlfn.CONCAT("https://tablet.otzar.org/",CHAR(35),"/exKotar/653388"),"ויאמר יצחק &lt;מהדורה חדשה&gt;  - 3 כרכים")</f>
        <v>ויאמר יצחק &lt;מהדורה חדשה&gt;  - 3 כרכים</v>
      </c>
      <c r="H1372" t="str">
        <f>_xlfn.CONCAT("https://tablet.otzar.org/",CHAR(35),"/exKotar/653388")</f>
        <v>https://tablet.otzar.org/#/exKotar/653388</v>
      </c>
    </row>
    <row r="1373" spans="1:8" x14ac:dyDescent="0.25">
      <c r="A1373">
        <v>646756</v>
      </c>
      <c r="B1373" t="s">
        <v>2930</v>
      </c>
      <c r="C1373" t="s">
        <v>2931</v>
      </c>
      <c r="D1373" t="s">
        <v>1453</v>
      </c>
      <c r="E1373" t="s">
        <v>1077</v>
      </c>
      <c r="G1373" t="str">
        <f>HYPERLINK(_xlfn.CONCAT("https://tablet.otzar.org/",CHAR(35),"/book/646756/p/-1/t/1/fs/0/start/0/end/0/c"),"ויאמר משה ושערי צדק - ג ויקרא, במדבר, פרקי אבות")</f>
        <v>ויאמר משה ושערי צדק - ג ויקרא, במדבר, פרקי אבות</v>
      </c>
      <c r="H1373" t="str">
        <f>_xlfn.CONCAT("https://tablet.otzar.org/",CHAR(35),"/book/646756/p/-1/t/1/fs/0/start/0/end/0/c")</f>
        <v>https://tablet.otzar.org/#/book/646756/p/-1/t/1/fs/0/start/0/end/0/c</v>
      </c>
    </row>
    <row r="1374" spans="1:8" x14ac:dyDescent="0.25">
      <c r="A1374">
        <v>649085</v>
      </c>
      <c r="B1374" t="s">
        <v>2932</v>
      </c>
      <c r="C1374" t="s">
        <v>2933</v>
      </c>
      <c r="D1374" t="s">
        <v>606</v>
      </c>
      <c r="E1374" t="s">
        <v>405</v>
      </c>
      <c r="G1374" t="str">
        <f>HYPERLINK(_xlfn.CONCAT("https://tablet.otzar.org/",CHAR(35),"/book/649085/p/-1/t/1/fs/0/start/0/end/0/c"),"ויאמר שמואל")</f>
        <v>ויאמר שמואל</v>
      </c>
      <c r="H1374" t="str">
        <f>_xlfn.CONCAT("https://tablet.otzar.org/",CHAR(35),"/book/649085/p/-1/t/1/fs/0/start/0/end/0/c")</f>
        <v>https://tablet.otzar.org/#/book/649085/p/-1/t/1/fs/0/start/0/end/0/c</v>
      </c>
    </row>
    <row r="1375" spans="1:8" x14ac:dyDescent="0.25">
      <c r="A1375">
        <v>652530</v>
      </c>
      <c r="B1375" t="s">
        <v>2934</v>
      </c>
      <c r="C1375" t="s">
        <v>2935</v>
      </c>
      <c r="D1375" t="s">
        <v>52</v>
      </c>
      <c r="E1375" t="s">
        <v>11</v>
      </c>
      <c r="G1375" t="str">
        <f>HYPERLINK(_xlfn.CONCAT("https://tablet.otzar.org/",CHAR(35),"/book/652530/p/-1/t/1/fs/0/start/0/end/0/c"),"ויבן אברהם - קידושין")</f>
        <v>ויבן אברהם - קידושין</v>
      </c>
      <c r="H1375" t="str">
        <f>_xlfn.CONCAT("https://tablet.otzar.org/",CHAR(35),"/book/652530/p/-1/t/1/fs/0/start/0/end/0/c")</f>
        <v>https://tablet.otzar.org/#/book/652530/p/-1/t/1/fs/0/start/0/end/0/c</v>
      </c>
    </row>
    <row r="1376" spans="1:8" x14ac:dyDescent="0.25">
      <c r="A1376">
        <v>656122</v>
      </c>
      <c r="B1376" t="s">
        <v>2936</v>
      </c>
      <c r="C1376" t="s">
        <v>2937</v>
      </c>
      <c r="D1376" t="s">
        <v>340</v>
      </c>
      <c r="E1376" t="s">
        <v>11</v>
      </c>
      <c r="G1376" t="str">
        <f>HYPERLINK(_xlfn.CONCAT("https://tablet.otzar.org/",CHAR(35),"/book/656122/p/-1/t/1/fs/0/start/0/end/0/c"),"ויברך דוד - ברכות")</f>
        <v>ויברך דוד - ברכות</v>
      </c>
      <c r="H1376" t="str">
        <f>_xlfn.CONCAT("https://tablet.otzar.org/",CHAR(35),"/book/656122/p/-1/t/1/fs/0/start/0/end/0/c")</f>
        <v>https://tablet.otzar.org/#/book/656122/p/-1/t/1/fs/0/start/0/end/0/c</v>
      </c>
    </row>
    <row r="1377" spans="1:8" x14ac:dyDescent="0.25">
      <c r="A1377">
        <v>655440</v>
      </c>
      <c r="B1377" t="s">
        <v>2938</v>
      </c>
      <c r="C1377" t="s">
        <v>2939</v>
      </c>
      <c r="E1377" t="s">
        <v>312</v>
      </c>
      <c r="G1377" t="str">
        <f>HYPERLINK(_xlfn.CONCAT("https://tablet.otzar.org/",CHAR(35),"/exKotar/655440"),"ויברך דוד - 2 כרכים")</f>
        <v>ויברך דוד - 2 כרכים</v>
      </c>
      <c r="H1377" t="str">
        <f>_xlfn.CONCAT("https://tablet.otzar.org/",CHAR(35),"/exKotar/655440")</f>
        <v>https://tablet.otzar.org/#/exKotar/655440</v>
      </c>
    </row>
    <row r="1378" spans="1:8" x14ac:dyDescent="0.25">
      <c r="A1378">
        <v>651690</v>
      </c>
      <c r="B1378" t="s">
        <v>2940</v>
      </c>
      <c r="C1378" t="s">
        <v>382</v>
      </c>
      <c r="D1378" t="s">
        <v>52</v>
      </c>
      <c r="E1378" t="s">
        <v>11</v>
      </c>
      <c r="G1378" t="str">
        <f>HYPERLINK(_xlfn.CONCAT("https://tablet.otzar.org/",CHAR(35),"/book/651690/p/-1/t/1/fs/0/start/0/end/0/c"),"ויברכהו יהושע - ב")</f>
        <v>ויברכהו יהושע - ב</v>
      </c>
      <c r="H1378" t="str">
        <f>_xlfn.CONCAT("https://tablet.otzar.org/",CHAR(35),"/book/651690/p/-1/t/1/fs/0/start/0/end/0/c")</f>
        <v>https://tablet.otzar.org/#/book/651690/p/-1/t/1/fs/0/start/0/end/0/c</v>
      </c>
    </row>
    <row r="1379" spans="1:8" x14ac:dyDescent="0.25">
      <c r="A1379">
        <v>655733</v>
      </c>
      <c r="B1379" t="s">
        <v>2941</v>
      </c>
      <c r="C1379" t="s">
        <v>2942</v>
      </c>
      <c r="D1379" t="s">
        <v>2943</v>
      </c>
      <c r="E1379" t="s">
        <v>11</v>
      </c>
      <c r="G1379" t="str">
        <f>HYPERLINK(_xlfn.CONCAT("https://tablet.otzar.org/",CHAR(35),"/exKotar/655733"),"ויגד משה - 3 כרכים")</f>
        <v>ויגד משה - 3 כרכים</v>
      </c>
      <c r="H1379" t="str">
        <f>_xlfn.CONCAT("https://tablet.otzar.org/",CHAR(35),"/exKotar/655733")</f>
        <v>https://tablet.otzar.org/#/exKotar/655733</v>
      </c>
    </row>
    <row r="1380" spans="1:8" x14ac:dyDescent="0.25">
      <c r="A1380">
        <v>647667</v>
      </c>
      <c r="B1380" t="s">
        <v>2944</v>
      </c>
      <c r="C1380" t="s">
        <v>2945</v>
      </c>
      <c r="D1380" t="s">
        <v>52</v>
      </c>
      <c r="E1380" t="s">
        <v>817</v>
      </c>
      <c r="G1380" t="str">
        <f>HYPERLINK(_xlfn.CONCAT("https://tablet.otzar.org/",CHAR(35),"/book/647667/p/-1/t/1/fs/0/start/0/end/0/c"),"ויגדל המספד - א")</f>
        <v>ויגדל המספד - א</v>
      </c>
      <c r="H1380" t="str">
        <f>_xlfn.CONCAT("https://tablet.otzar.org/",CHAR(35),"/book/647667/p/-1/t/1/fs/0/start/0/end/0/c")</f>
        <v>https://tablet.otzar.org/#/book/647667/p/-1/t/1/fs/0/start/0/end/0/c</v>
      </c>
    </row>
    <row r="1381" spans="1:8" x14ac:dyDescent="0.25">
      <c r="A1381">
        <v>651211</v>
      </c>
      <c r="B1381" t="s">
        <v>2946</v>
      </c>
      <c r="C1381" t="s">
        <v>2947</v>
      </c>
      <c r="D1381" t="s">
        <v>10</v>
      </c>
      <c r="E1381" t="s">
        <v>62</v>
      </c>
      <c r="G1381" t="str">
        <f>HYPERLINK(_xlfn.CONCAT("https://tablet.otzar.org/",CHAR(35),"/book/651211/p/-1/t/1/fs/0/start/0/end/0/c"),"ויגדלו הנערים - בר מצוה")</f>
        <v>ויגדלו הנערים - בר מצוה</v>
      </c>
      <c r="H1381" t="str">
        <f>_xlfn.CONCAT("https://tablet.otzar.org/",CHAR(35),"/book/651211/p/-1/t/1/fs/0/start/0/end/0/c")</f>
        <v>https://tablet.otzar.org/#/book/651211/p/-1/t/1/fs/0/start/0/end/0/c</v>
      </c>
    </row>
    <row r="1382" spans="1:8" x14ac:dyDescent="0.25">
      <c r="A1382">
        <v>649776</v>
      </c>
      <c r="B1382" t="s">
        <v>2948</v>
      </c>
      <c r="C1382" t="s">
        <v>2949</v>
      </c>
      <c r="D1382" t="s">
        <v>88</v>
      </c>
      <c r="E1382" t="s">
        <v>146</v>
      </c>
      <c r="G1382" t="str">
        <f>HYPERLINK(_xlfn.CONCAT("https://tablet.otzar.org/",CHAR(35),"/book/649776/p/-1/t/1/fs/0/start/0/end/0/c"),"ויגמול שקדים")</f>
        <v>ויגמול שקדים</v>
      </c>
      <c r="H1382" t="str">
        <f>_xlfn.CONCAT("https://tablet.otzar.org/",CHAR(35),"/book/649776/p/-1/t/1/fs/0/start/0/end/0/c")</f>
        <v>https://tablet.otzar.org/#/book/649776/p/-1/t/1/fs/0/start/0/end/0/c</v>
      </c>
    </row>
    <row r="1383" spans="1:8" x14ac:dyDescent="0.25">
      <c r="A1383">
        <v>653733</v>
      </c>
      <c r="B1383" t="s">
        <v>2950</v>
      </c>
      <c r="C1383" t="s">
        <v>2951</v>
      </c>
      <c r="D1383" t="s">
        <v>34</v>
      </c>
      <c r="E1383" t="s">
        <v>70</v>
      </c>
      <c r="G1383" t="str">
        <f>HYPERLINK(_xlfn.CONCAT("https://tablet.otzar.org/",CHAR(35),"/exKotar/653733"),"וידבר משה &lt;שער אליעזר&gt;  - 6 כרכים")</f>
        <v>וידבר משה &lt;שער אליעזר&gt;  - 6 כרכים</v>
      </c>
      <c r="H1383" t="str">
        <f>_xlfn.CONCAT("https://tablet.otzar.org/",CHAR(35),"/exKotar/653733")</f>
        <v>https://tablet.otzar.org/#/exKotar/653733</v>
      </c>
    </row>
    <row r="1384" spans="1:8" x14ac:dyDescent="0.25">
      <c r="A1384">
        <v>655517</v>
      </c>
      <c r="B1384" t="s">
        <v>2952</v>
      </c>
      <c r="C1384" t="s">
        <v>2953</v>
      </c>
      <c r="D1384" t="s">
        <v>52</v>
      </c>
      <c r="E1384" t="s">
        <v>35</v>
      </c>
      <c r="G1384" t="str">
        <f>HYPERLINK(_xlfn.CONCAT("https://tablet.otzar.org/",CHAR(35),"/exKotar/655517"),"וידעת היום - 2 כרכים")</f>
        <v>וידעת היום - 2 כרכים</v>
      </c>
      <c r="H1384" t="str">
        <f>_xlfn.CONCAT("https://tablet.otzar.org/",CHAR(35),"/exKotar/655517")</f>
        <v>https://tablet.otzar.org/#/exKotar/655517</v>
      </c>
    </row>
    <row r="1385" spans="1:8" x14ac:dyDescent="0.25">
      <c r="A1385">
        <v>650412</v>
      </c>
      <c r="B1385" t="s">
        <v>2954</v>
      </c>
      <c r="C1385" t="s">
        <v>2955</v>
      </c>
      <c r="D1385" t="s">
        <v>10</v>
      </c>
      <c r="E1385" t="s">
        <v>70</v>
      </c>
      <c r="G1385" t="str">
        <f>HYPERLINK(_xlfn.CONCAT("https://tablet.otzar.org/",CHAR(35),"/book/650412/p/-1/t/1/fs/0/start/0/end/0/c"),"ויהי בנסוע")</f>
        <v>ויהי בנסוע</v>
      </c>
      <c r="H1385" t="str">
        <f>_xlfn.CONCAT("https://tablet.otzar.org/",CHAR(35),"/book/650412/p/-1/t/1/fs/0/start/0/end/0/c")</f>
        <v>https://tablet.otzar.org/#/book/650412/p/-1/t/1/fs/0/start/0/end/0/c</v>
      </c>
    </row>
    <row r="1386" spans="1:8" x14ac:dyDescent="0.25">
      <c r="A1386">
        <v>653360</v>
      </c>
      <c r="B1386" t="s">
        <v>2956</v>
      </c>
      <c r="C1386" t="s">
        <v>2957</v>
      </c>
      <c r="D1386" t="s">
        <v>58</v>
      </c>
      <c r="E1386" t="s">
        <v>2958</v>
      </c>
      <c r="G1386" t="str">
        <f>HYPERLINK(_xlfn.CONCAT("https://tablet.otzar.org/",CHAR(35),"/book/653360/p/-1/t/1/fs/0/start/0/end/0/c"),"ויהי נועם")</f>
        <v>ויהי נועם</v>
      </c>
      <c r="H1386" t="str">
        <f>_xlfn.CONCAT("https://tablet.otzar.org/",CHAR(35),"/book/653360/p/-1/t/1/fs/0/start/0/end/0/c")</f>
        <v>https://tablet.otzar.org/#/book/653360/p/-1/t/1/fs/0/start/0/end/0/c</v>
      </c>
    </row>
    <row r="1387" spans="1:8" x14ac:dyDescent="0.25">
      <c r="A1387">
        <v>650999</v>
      </c>
      <c r="B1387" t="s">
        <v>2959</v>
      </c>
      <c r="C1387" t="s">
        <v>614</v>
      </c>
      <c r="D1387" t="s">
        <v>34</v>
      </c>
      <c r="E1387" t="s">
        <v>117</v>
      </c>
      <c r="G1387" t="str">
        <f>HYPERLINK(_xlfn.CONCAT("https://tablet.otzar.org/",CHAR(35),"/book/650999/p/-1/t/1/fs/0/start/0/end/0/c"),"ויהי נעם - שמות")</f>
        <v>ויהי נעם - שמות</v>
      </c>
      <c r="H1387" t="str">
        <f>_xlfn.CONCAT("https://tablet.otzar.org/",CHAR(35),"/book/650999/p/-1/t/1/fs/0/start/0/end/0/c")</f>
        <v>https://tablet.otzar.org/#/book/650999/p/-1/t/1/fs/0/start/0/end/0/c</v>
      </c>
    </row>
    <row r="1388" spans="1:8" x14ac:dyDescent="0.25">
      <c r="A1388">
        <v>649399</v>
      </c>
      <c r="B1388" t="s">
        <v>2960</v>
      </c>
      <c r="C1388" t="s">
        <v>1874</v>
      </c>
      <c r="D1388" t="s">
        <v>440</v>
      </c>
      <c r="E1388" t="s">
        <v>45</v>
      </c>
      <c r="G1388" t="str">
        <f>HYPERLINK(_xlfn.CONCAT("https://tablet.otzar.org/",CHAR(35),"/exKotar/649399"),"ויואל משה &lt;הבהיר&gt;  - 2 כרכים")</f>
        <v>ויואל משה &lt;הבהיר&gt;  - 2 כרכים</v>
      </c>
      <c r="H1388" t="str">
        <f>_xlfn.CONCAT("https://tablet.otzar.org/",CHAR(35),"/exKotar/649399")</f>
        <v>https://tablet.otzar.org/#/exKotar/649399</v>
      </c>
    </row>
    <row r="1389" spans="1:8" x14ac:dyDescent="0.25">
      <c r="A1389">
        <v>650047</v>
      </c>
      <c r="B1389" t="s">
        <v>2961</v>
      </c>
      <c r="C1389" t="s">
        <v>2962</v>
      </c>
      <c r="D1389" t="s">
        <v>1650</v>
      </c>
      <c r="E1389" t="s">
        <v>25</v>
      </c>
      <c r="G1389" t="str">
        <f>HYPERLINK(_xlfn.CONCAT("https://tablet.otzar.org/",CHAR(35),"/book/650047/p/-1/t/1/fs/0/start/0/end/0/c"),"ויוסף עוד דוד - ב")</f>
        <v>ויוסף עוד דוד - ב</v>
      </c>
      <c r="H1389" t="str">
        <f>_xlfn.CONCAT("https://tablet.otzar.org/",CHAR(35),"/book/650047/p/-1/t/1/fs/0/start/0/end/0/c")</f>
        <v>https://tablet.otzar.org/#/book/650047/p/-1/t/1/fs/0/start/0/end/0/c</v>
      </c>
    </row>
    <row r="1390" spans="1:8" x14ac:dyDescent="0.25">
      <c r="A1390">
        <v>649778</v>
      </c>
      <c r="B1390" t="s">
        <v>2963</v>
      </c>
      <c r="C1390" t="s">
        <v>2964</v>
      </c>
      <c r="E1390" t="s">
        <v>2965</v>
      </c>
      <c r="G1390" t="str">
        <f>HYPERLINK(_xlfn.CONCAT("https://tablet.otzar.org/",CHAR(35),"/book/649778/p/-1/t/1/fs/0/start/0/end/0/c"),"ויז'ניץ - שבעים שנות חינוך")</f>
        <v>ויז'ניץ - שבעים שנות חינוך</v>
      </c>
      <c r="H1390" t="str">
        <f>_xlfn.CONCAT("https://tablet.otzar.org/",CHAR(35),"/book/649778/p/-1/t/1/fs/0/start/0/end/0/c")</f>
        <v>https://tablet.otzar.org/#/book/649778/p/-1/t/1/fs/0/start/0/end/0/c</v>
      </c>
    </row>
    <row r="1391" spans="1:8" x14ac:dyDescent="0.25">
      <c r="A1391">
        <v>650873</v>
      </c>
      <c r="B1391" t="s">
        <v>2966</v>
      </c>
      <c r="C1391" t="s">
        <v>2967</v>
      </c>
      <c r="D1391" t="s">
        <v>10</v>
      </c>
      <c r="E1391" t="s">
        <v>11</v>
      </c>
      <c r="G1391" t="str">
        <f>HYPERLINK(_xlfn.CONCAT("https://tablet.otzar.org/",CHAR(35),"/exKotar/650873"),"ויזרח אור - 2 כרכים")</f>
        <v>ויזרח אור - 2 כרכים</v>
      </c>
      <c r="H1391" t="str">
        <f>_xlfn.CONCAT("https://tablet.otzar.org/",CHAR(35),"/exKotar/650873")</f>
        <v>https://tablet.otzar.org/#/exKotar/650873</v>
      </c>
    </row>
    <row r="1392" spans="1:8" x14ac:dyDescent="0.25">
      <c r="A1392">
        <v>649875</v>
      </c>
      <c r="B1392" t="s">
        <v>2968</v>
      </c>
      <c r="C1392" t="s">
        <v>2969</v>
      </c>
      <c r="D1392" t="s">
        <v>52</v>
      </c>
      <c r="E1392" t="s">
        <v>11</v>
      </c>
      <c r="G1392" t="str">
        <f>HYPERLINK(_xlfn.CONCAT("https://tablet.otzar.org/",CHAR(35),"/book/649875/p/-1/t/1/fs/0/start/0/end/0/c"),"ויטע אשל - מעילה")</f>
        <v>ויטע אשל - מעילה</v>
      </c>
      <c r="H1392" t="str">
        <f>_xlfn.CONCAT("https://tablet.otzar.org/",CHAR(35),"/book/649875/p/-1/t/1/fs/0/start/0/end/0/c")</f>
        <v>https://tablet.otzar.org/#/book/649875/p/-1/t/1/fs/0/start/0/end/0/c</v>
      </c>
    </row>
    <row r="1393" spans="1:8" x14ac:dyDescent="0.25">
      <c r="A1393">
        <v>650037</v>
      </c>
      <c r="B1393" t="s">
        <v>2970</v>
      </c>
      <c r="C1393" t="s">
        <v>2971</v>
      </c>
      <c r="D1393" t="s">
        <v>2972</v>
      </c>
      <c r="E1393" t="s">
        <v>89</v>
      </c>
      <c r="G1393" t="str">
        <f>HYPERLINK(_xlfn.CONCAT("https://tablet.otzar.org/",CHAR(35),"/book/650037/p/-1/t/1/fs/0/start/0/end/0/c"),"ויכוחי אמונה")</f>
        <v>ויכוחי אמונה</v>
      </c>
      <c r="H1393" t="str">
        <f>_xlfn.CONCAT("https://tablet.otzar.org/",CHAR(35),"/book/650037/p/-1/t/1/fs/0/start/0/end/0/c")</f>
        <v>https://tablet.otzar.org/#/book/650037/p/-1/t/1/fs/0/start/0/end/0/c</v>
      </c>
    </row>
    <row r="1394" spans="1:8" x14ac:dyDescent="0.25">
      <c r="A1394">
        <v>651520</v>
      </c>
      <c r="B1394" t="s">
        <v>2973</v>
      </c>
      <c r="C1394" t="s">
        <v>2974</v>
      </c>
      <c r="E1394" t="s">
        <v>224</v>
      </c>
      <c r="G1394" t="str">
        <f>HYPERLINK(_xlfn.CONCAT("https://tablet.otzar.org/",CHAR(35),"/book/651520/p/-1/t/1/fs/0/start/0/end/0/c"),"ויכתוב מרדכי - ביאור הלכות קידוש החודש לרמב""""ם - א")</f>
        <v>ויכתוב מרדכי - ביאור הלכות קידוש החודש לרמב""ם - א</v>
      </c>
      <c r="H1394" t="str">
        <f>_xlfn.CONCAT("https://tablet.otzar.org/",CHAR(35),"/book/651520/p/-1/t/1/fs/0/start/0/end/0/c")</f>
        <v>https://tablet.otzar.org/#/book/651520/p/-1/t/1/fs/0/start/0/end/0/c</v>
      </c>
    </row>
    <row r="1395" spans="1:8" x14ac:dyDescent="0.25">
      <c r="A1395">
        <v>655967</v>
      </c>
      <c r="B1395" t="s">
        <v>2975</v>
      </c>
      <c r="C1395" t="s">
        <v>239</v>
      </c>
      <c r="D1395" t="s">
        <v>52</v>
      </c>
      <c r="E1395" t="s">
        <v>11</v>
      </c>
      <c r="G1395" t="str">
        <f>HYPERLINK(_xlfn.CONCAT("https://tablet.otzar.org/",CHAR(35),"/exKotar/655967"),"וילן בעמק - 2 כרכים")</f>
        <v>וילן בעמק - 2 כרכים</v>
      </c>
      <c r="H1395" t="str">
        <f>_xlfn.CONCAT("https://tablet.otzar.org/",CHAR(35),"/exKotar/655967")</f>
        <v>https://tablet.otzar.org/#/exKotar/655967</v>
      </c>
    </row>
    <row r="1396" spans="1:8" x14ac:dyDescent="0.25">
      <c r="A1396">
        <v>651617</v>
      </c>
      <c r="B1396" t="s">
        <v>2976</v>
      </c>
      <c r="C1396" t="s">
        <v>2977</v>
      </c>
      <c r="D1396" t="s">
        <v>10</v>
      </c>
      <c r="E1396" t="s">
        <v>817</v>
      </c>
      <c r="G1396" t="str">
        <f>HYPERLINK(_xlfn.CONCAT("https://tablet.otzar.org/",CHAR(35),"/book/651617/p/-1/t/1/fs/0/start/0/end/0/c"),"וימינו תחבקני")</f>
        <v>וימינו תחבקני</v>
      </c>
      <c r="H1396" t="str">
        <f>_xlfn.CONCAT("https://tablet.otzar.org/",CHAR(35),"/book/651617/p/-1/t/1/fs/0/start/0/end/0/c")</f>
        <v>https://tablet.otzar.org/#/book/651617/p/-1/t/1/fs/0/start/0/end/0/c</v>
      </c>
    </row>
    <row r="1397" spans="1:8" x14ac:dyDescent="0.25">
      <c r="A1397">
        <v>651498</v>
      </c>
      <c r="B1397" t="s">
        <v>2978</v>
      </c>
      <c r="C1397" t="s">
        <v>2979</v>
      </c>
      <c r="D1397" t="s">
        <v>10</v>
      </c>
      <c r="E1397" t="s">
        <v>405</v>
      </c>
      <c r="G1397" t="str">
        <f>HYPERLINK(_xlfn.CONCAT("https://tablet.otzar.org/",CHAR(35),"/exKotar/651498"),"ויניקהו דבש - 4 כרכים")</f>
        <v>ויניקהו דבש - 4 כרכים</v>
      </c>
      <c r="H1397" t="str">
        <f>_xlfn.CONCAT("https://tablet.otzar.org/",CHAR(35),"/exKotar/651498")</f>
        <v>https://tablet.otzar.org/#/exKotar/651498</v>
      </c>
    </row>
    <row r="1398" spans="1:8" x14ac:dyDescent="0.25">
      <c r="A1398">
        <v>651562</v>
      </c>
      <c r="B1398" t="s">
        <v>2980</v>
      </c>
      <c r="C1398" t="s">
        <v>1643</v>
      </c>
      <c r="D1398" t="s">
        <v>10</v>
      </c>
      <c r="E1398" t="s">
        <v>11</v>
      </c>
      <c r="G1398" t="str">
        <f>HYPERLINK(_xlfn.CONCAT("https://tablet.otzar.org/",CHAR(35),"/book/651562/p/-1/t/1/fs/0/start/0/end/0/c"),"ויעודם לג &lt;ניסן&gt; תשפ""""ב")</f>
        <v>ויעודם לג &lt;ניסן&gt; תשפ""ב</v>
      </c>
      <c r="H1398" t="str">
        <f>_xlfn.CONCAT("https://tablet.otzar.org/",CHAR(35),"/book/651562/p/-1/t/1/fs/0/start/0/end/0/c")</f>
        <v>https://tablet.otzar.org/#/book/651562/p/-1/t/1/fs/0/start/0/end/0/c</v>
      </c>
    </row>
    <row r="1399" spans="1:8" x14ac:dyDescent="0.25">
      <c r="A1399">
        <v>651515</v>
      </c>
      <c r="B1399" t="s">
        <v>2981</v>
      </c>
      <c r="C1399" t="s">
        <v>1643</v>
      </c>
      <c r="D1399" t="s">
        <v>10</v>
      </c>
      <c r="E1399" t="s">
        <v>11</v>
      </c>
      <c r="G1399" t="str">
        <f>HYPERLINK(_xlfn.CONCAT("https://tablet.otzar.org/",CHAR(35),"/book/651515/p/-1/t/1/fs/0/start/0/end/0/c"),"ויעודם לב &lt;אדר&gt; תשפ""""ב")</f>
        <v>ויעודם לב &lt;אדר&gt; תשפ""ב</v>
      </c>
      <c r="H1399" t="str">
        <f>_xlfn.CONCAT("https://tablet.otzar.org/",CHAR(35),"/book/651515/p/-1/t/1/fs/0/start/0/end/0/c")</f>
        <v>https://tablet.otzar.org/#/book/651515/p/-1/t/1/fs/0/start/0/end/0/c</v>
      </c>
    </row>
    <row r="1400" spans="1:8" x14ac:dyDescent="0.25">
      <c r="A1400">
        <v>648435</v>
      </c>
      <c r="B1400" t="s">
        <v>2982</v>
      </c>
      <c r="C1400" t="s">
        <v>2983</v>
      </c>
      <c r="D1400" t="s">
        <v>52</v>
      </c>
      <c r="E1400" t="s">
        <v>383</v>
      </c>
      <c r="G1400" t="str">
        <f>HYPERLINK(_xlfn.CONCAT("https://tablet.otzar.org/",CHAR(35),"/book/648435/p/-1/t/1/fs/0/start/0/end/0/c"),"ויעל אליהו")</f>
        <v>ויעל אליהו</v>
      </c>
      <c r="H1400" t="str">
        <f>_xlfn.CONCAT("https://tablet.otzar.org/",CHAR(35),"/book/648435/p/-1/t/1/fs/0/start/0/end/0/c")</f>
        <v>https://tablet.otzar.org/#/book/648435/p/-1/t/1/fs/0/start/0/end/0/c</v>
      </c>
    </row>
    <row r="1401" spans="1:8" x14ac:dyDescent="0.25">
      <c r="A1401">
        <v>654658</v>
      </c>
      <c r="B1401" t="s">
        <v>2984</v>
      </c>
      <c r="C1401" t="s">
        <v>2985</v>
      </c>
      <c r="D1401" t="s">
        <v>34</v>
      </c>
      <c r="E1401" t="s">
        <v>29</v>
      </c>
      <c r="G1401" t="str">
        <f>HYPERLINK(_xlfn.CONCAT("https://tablet.otzar.org/",CHAR(35),"/book/654658/p/-1/t/1/fs/0/start/0/end/0/c"),"ויעל משה")</f>
        <v>ויעל משה</v>
      </c>
      <c r="H1401" t="str">
        <f>_xlfn.CONCAT("https://tablet.otzar.org/",CHAR(35),"/book/654658/p/-1/t/1/fs/0/start/0/end/0/c")</f>
        <v>https://tablet.otzar.org/#/book/654658/p/-1/t/1/fs/0/start/0/end/0/c</v>
      </c>
    </row>
    <row r="1402" spans="1:8" x14ac:dyDescent="0.25">
      <c r="A1402">
        <v>160689</v>
      </c>
      <c r="B1402" t="s">
        <v>2986</v>
      </c>
      <c r="C1402" t="s">
        <v>2987</v>
      </c>
      <c r="D1402" t="s">
        <v>10</v>
      </c>
      <c r="E1402" t="s">
        <v>25</v>
      </c>
      <c r="G1402" t="str">
        <f>HYPERLINK(_xlfn.CONCAT("https://tablet.otzar.org/",CHAR(35),"/book/160689/p/-1/t/1/fs/0/start/0/end/0/c"),"ויעמידה ליעקב לחק")</f>
        <v>ויעמידה ליעקב לחק</v>
      </c>
      <c r="H1402" t="str">
        <f>_xlfn.CONCAT("https://tablet.otzar.org/",CHAR(35),"/book/160689/p/-1/t/1/fs/0/start/0/end/0/c")</f>
        <v>https://tablet.otzar.org/#/book/160689/p/-1/t/1/fs/0/start/0/end/0/c</v>
      </c>
    </row>
    <row r="1403" spans="1:8" x14ac:dyDescent="0.25">
      <c r="A1403">
        <v>647605</v>
      </c>
      <c r="B1403" t="s">
        <v>2988</v>
      </c>
      <c r="C1403" t="s">
        <v>2989</v>
      </c>
      <c r="D1403" t="s">
        <v>52</v>
      </c>
      <c r="E1403" t="s">
        <v>45</v>
      </c>
      <c r="G1403" t="str">
        <f>HYPERLINK(_xlfn.CONCAT("https://tablet.otzar.org/",CHAR(35),"/book/647605/p/-1/t/1/fs/0/start/0/end/0/c"),"ויען שמואל - כג")</f>
        <v>ויען שמואל - כג</v>
      </c>
      <c r="H1403" t="str">
        <f>_xlfn.CONCAT("https://tablet.otzar.org/",CHAR(35),"/book/647605/p/-1/t/1/fs/0/start/0/end/0/c")</f>
        <v>https://tablet.otzar.org/#/book/647605/p/-1/t/1/fs/0/start/0/end/0/c</v>
      </c>
    </row>
    <row r="1404" spans="1:8" x14ac:dyDescent="0.25">
      <c r="A1404">
        <v>655765</v>
      </c>
      <c r="B1404" t="s">
        <v>2990</v>
      </c>
      <c r="C1404" t="s">
        <v>2991</v>
      </c>
      <c r="D1404" t="s">
        <v>1593</v>
      </c>
      <c r="E1404" t="s">
        <v>35</v>
      </c>
      <c r="G1404" t="str">
        <f>HYPERLINK(_xlfn.CONCAT("https://tablet.otzar.org/",CHAR(35),"/book/655765/p/-1/t/1/fs/0/start/0/end/0/c"),"ויען שמעון")</f>
        <v>ויען שמעון</v>
      </c>
      <c r="H1404" t="str">
        <f>_xlfn.CONCAT("https://tablet.otzar.org/",CHAR(35),"/book/655765/p/-1/t/1/fs/0/start/0/end/0/c")</f>
        <v>https://tablet.otzar.org/#/book/655765/p/-1/t/1/fs/0/start/0/end/0/c</v>
      </c>
    </row>
    <row r="1405" spans="1:8" x14ac:dyDescent="0.25">
      <c r="A1405">
        <v>654853</v>
      </c>
      <c r="B1405" t="s">
        <v>2992</v>
      </c>
      <c r="C1405" t="s">
        <v>2174</v>
      </c>
      <c r="D1405" t="s">
        <v>52</v>
      </c>
      <c r="E1405" t="s">
        <v>11</v>
      </c>
      <c r="G1405" t="str">
        <f>HYPERLINK(_xlfn.CONCAT("https://tablet.otzar.org/",CHAR(35),"/exKotar/654853"),"ויקהל משה - 5 כרכים")</f>
        <v>ויקהל משה - 5 כרכים</v>
      </c>
      <c r="H1405" t="str">
        <f>_xlfn.CONCAT("https://tablet.otzar.org/",CHAR(35),"/exKotar/654853")</f>
        <v>https://tablet.otzar.org/#/exKotar/654853</v>
      </c>
    </row>
    <row r="1406" spans="1:8" x14ac:dyDescent="0.25">
      <c r="A1406">
        <v>651076</v>
      </c>
      <c r="B1406" t="s">
        <v>2993</v>
      </c>
      <c r="C1406" t="s">
        <v>2994</v>
      </c>
      <c r="D1406" t="s">
        <v>52</v>
      </c>
      <c r="E1406" t="s">
        <v>11</v>
      </c>
      <c r="G1406" t="str">
        <f>HYPERLINK(_xlfn.CONCAT("https://tablet.otzar.org/",CHAR(35),"/book/651076/p/-1/t/1/fs/0/start/0/end/0/c"),"וירא יעקב - בהר")</f>
        <v>וירא יעקב - בהר</v>
      </c>
      <c r="H1406" t="str">
        <f>_xlfn.CONCAT("https://tablet.otzar.org/",CHAR(35),"/book/651076/p/-1/t/1/fs/0/start/0/end/0/c")</f>
        <v>https://tablet.otzar.org/#/book/651076/p/-1/t/1/fs/0/start/0/end/0/c</v>
      </c>
    </row>
    <row r="1407" spans="1:8" x14ac:dyDescent="0.25">
      <c r="A1407">
        <v>656936</v>
      </c>
      <c r="B1407" t="s">
        <v>2995</v>
      </c>
      <c r="C1407" t="s">
        <v>2996</v>
      </c>
      <c r="E1407" t="s">
        <v>1056</v>
      </c>
      <c r="G1407" t="str">
        <f>HYPERLINK(_xlfn.CONCAT("https://tablet.otzar.org/",CHAR(35),"/book/656936/p/-1/t/1/fs/0/start/0/end/0/c"),"וישב יוסף - ג")</f>
        <v>וישב יוסף - ג</v>
      </c>
      <c r="H1407" t="str">
        <f>_xlfn.CONCAT("https://tablet.otzar.org/",CHAR(35),"/book/656936/p/-1/t/1/fs/0/start/0/end/0/c")</f>
        <v>https://tablet.otzar.org/#/book/656936/p/-1/t/1/fs/0/start/0/end/0/c</v>
      </c>
    </row>
    <row r="1408" spans="1:8" x14ac:dyDescent="0.25">
      <c r="A1408">
        <v>647440</v>
      </c>
      <c r="B1408" t="s">
        <v>2997</v>
      </c>
      <c r="C1408" t="s">
        <v>2016</v>
      </c>
      <c r="D1408" t="s">
        <v>10</v>
      </c>
      <c r="E1408" t="s">
        <v>89</v>
      </c>
      <c r="G1408" t="str">
        <f>HYPERLINK(_xlfn.CONCAT("https://tablet.otzar.org/",CHAR(35),"/book/647440/p/-1/t/1/fs/0/start/0/end/0/c"),"וישב משה - שו""""ע אבן העזר")</f>
        <v>וישב משה - שו""ע אבן העזר</v>
      </c>
      <c r="H1408" t="str">
        <f>_xlfn.CONCAT("https://tablet.otzar.org/",CHAR(35),"/book/647440/p/-1/t/1/fs/0/start/0/end/0/c")</f>
        <v>https://tablet.otzar.org/#/book/647440/p/-1/t/1/fs/0/start/0/end/0/c</v>
      </c>
    </row>
    <row r="1409" spans="1:8" x14ac:dyDescent="0.25">
      <c r="A1409">
        <v>655177</v>
      </c>
      <c r="B1409" t="s">
        <v>2998</v>
      </c>
      <c r="C1409" t="s">
        <v>667</v>
      </c>
      <c r="D1409" t="s">
        <v>10</v>
      </c>
      <c r="E1409" t="s">
        <v>11</v>
      </c>
      <c r="G1409" t="str">
        <f>HYPERLINK(_xlfn.CONCAT("https://tablet.otzar.org/",CHAR(35),"/book/655177/p/-1/t/1/fs/0/start/0/end/0/c"),"וישבתם בה")</f>
        <v>וישבתם בה</v>
      </c>
      <c r="H1409" t="str">
        <f>_xlfn.CONCAT("https://tablet.otzar.org/",CHAR(35),"/book/655177/p/-1/t/1/fs/0/start/0/end/0/c")</f>
        <v>https://tablet.otzar.org/#/book/655177/p/-1/t/1/fs/0/start/0/end/0/c</v>
      </c>
    </row>
    <row r="1410" spans="1:8" x14ac:dyDescent="0.25">
      <c r="A1410">
        <v>649993</v>
      </c>
      <c r="B1410" t="s">
        <v>2999</v>
      </c>
      <c r="C1410" t="s">
        <v>3000</v>
      </c>
      <c r="E1410" t="s">
        <v>11</v>
      </c>
      <c r="G1410" t="str">
        <f>HYPERLINK(_xlfn.CONCAT("https://tablet.otzar.org/",CHAR(35),"/book/649993/p/-1/t/1/fs/0/start/0/end/0/c"),"וישמע משה - ו")</f>
        <v>וישמע משה - ו</v>
      </c>
      <c r="H1410" t="str">
        <f>_xlfn.CONCAT("https://tablet.otzar.org/",CHAR(35),"/book/649993/p/-1/t/1/fs/0/start/0/end/0/c")</f>
        <v>https://tablet.otzar.org/#/book/649993/p/-1/t/1/fs/0/start/0/end/0/c</v>
      </c>
    </row>
    <row r="1411" spans="1:8" x14ac:dyDescent="0.25">
      <c r="A1411">
        <v>647598</v>
      </c>
      <c r="B1411" t="s">
        <v>3001</v>
      </c>
      <c r="C1411" t="s">
        <v>3002</v>
      </c>
      <c r="D1411" t="s">
        <v>340</v>
      </c>
      <c r="E1411" t="s">
        <v>146</v>
      </c>
      <c r="G1411" t="str">
        <f>HYPERLINK(_xlfn.CONCAT("https://tablet.otzar.org/",CHAR(35),"/book/647598/p/-1/t/1/fs/0/start/0/end/0/c"),"וישרים יעלוזו")</f>
        <v>וישרים יעלוזו</v>
      </c>
      <c r="H1411" t="str">
        <f>_xlfn.CONCAT("https://tablet.otzar.org/",CHAR(35),"/book/647598/p/-1/t/1/fs/0/start/0/end/0/c")</f>
        <v>https://tablet.otzar.org/#/book/647598/p/-1/t/1/fs/0/start/0/end/0/c</v>
      </c>
    </row>
    <row r="1412" spans="1:8" x14ac:dyDescent="0.25">
      <c r="A1412">
        <v>655734</v>
      </c>
      <c r="B1412" t="s">
        <v>3003</v>
      </c>
      <c r="C1412" t="s">
        <v>3004</v>
      </c>
      <c r="D1412" t="s">
        <v>2943</v>
      </c>
      <c r="E1412" t="s">
        <v>11</v>
      </c>
      <c r="G1412" t="str">
        <f>HYPERLINK(_xlfn.CONCAT("https://tablet.otzar.org/",CHAR(35),"/exKotar/655734"),"ולאשר אמר - 2 כרכים")</f>
        <v>ולאשר אמר - 2 כרכים</v>
      </c>
      <c r="H1412" t="str">
        <f>_xlfn.CONCAT("https://tablet.otzar.org/",CHAR(35),"/exKotar/655734")</f>
        <v>https://tablet.otzar.org/#/exKotar/655734</v>
      </c>
    </row>
    <row r="1413" spans="1:8" x14ac:dyDescent="0.25">
      <c r="A1413">
        <v>650955</v>
      </c>
      <c r="B1413" t="s">
        <v>3005</v>
      </c>
      <c r="C1413" t="s">
        <v>614</v>
      </c>
      <c r="D1413" t="s">
        <v>34</v>
      </c>
      <c r="E1413" t="s">
        <v>574</v>
      </c>
      <c r="G1413" t="str">
        <f>HYPERLINK(_xlfn.CONCAT("https://tablet.otzar.org/",CHAR(35),"/book/650955/p/-1/t/1/fs/0/start/0/end/0/c"),"ולחשך קרא לילה")</f>
        <v>ולחשך קרא לילה</v>
      </c>
      <c r="H1413" t="str">
        <f>_xlfn.CONCAT("https://tablet.otzar.org/",CHAR(35),"/book/650955/p/-1/t/1/fs/0/start/0/end/0/c")</f>
        <v>https://tablet.otzar.org/#/book/650955/p/-1/t/1/fs/0/start/0/end/0/c</v>
      </c>
    </row>
    <row r="1414" spans="1:8" x14ac:dyDescent="0.25">
      <c r="A1414">
        <v>649830</v>
      </c>
      <c r="B1414" t="s">
        <v>3006</v>
      </c>
      <c r="C1414" t="s">
        <v>2580</v>
      </c>
      <c r="D1414" t="s">
        <v>609</v>
      </c>
      <c r="E1414" t="s">
        <v>45</v>
      </c>
      <c r="G1414" t="str">
        <f>HYPERLINK(_xlfn.CONCAT("https://tablet.otzar.org/",CHAR(35),"/book/649830/p/-1/t/1/fs/0/start/0/end/0/c"),"ולירושלים עירך")</f>
        <v>ולירושלים עירך</v>
      </c>
      <c r="H1414" t="str">
        <f>_xlfn.CONCAT("https://tablet.otzar.org/",CHAR(35),"/book/649830/p/-1/t/1/fs/0/start/0/end/0/c")</f>
        <v>https://tablet.otzar.org/#/book/649830/p/-1/t/1/fs/0/start/0/end/0/c</v>
      </c>
    </row>
    <row r="1415" spans="1:8" x14ac:dyDescent="0.25">
      <c r="A1415">
        <v>653250</v>
      </c>
      <c r="B1415" t="s">
        <v>3006</v>
      </c>
      <c r="C1415" t="s">
        <v>3007</v>
      </c>
      <c r="D1415" t="s">
        <v>1813</v>
      </c>
      <c r="E1415" t="s">
        <v>213</v>
      </c>
      <c r="G1415" t="str">
        <f>HYPERLINK(_xlfn.CONCAT("https://tablet.otzar.org/",CHAR(35),"/book/653250/p/-1/t/1/fs/0/start/0/end/0/c"),"ולירושלים עירך")</f>
        <v>ולירושלים עירך</v>
      </c>
      <c r="H1415" t="str">
        <f>_xlfn.CONCAT("https://tablet.otzar.org/",CHAR(35),"/book/653250/p/-1/t/1/fs/0/start/0/end/0/c")</f>
        <v>https://tablet.otzar.org/#/book/653250/p/-1/t/1/fs/0/start/0/end/0/c</v>
      </c>
    </row>
    <row r="1416" spans="1:8" x14ac:dyDescent="0.25">
      <c r="A1416">
        <v>653548</v>
      </c>
      <c r="B1416" t="s">
        <v>3008</v>
      </c>
      <c r="C1416" t="s">
        <v>3009</v>
      </c>
      <c r="D1416" t="s">
        <v>340</v>
      </c>
      <c r="E1416" t="s">
        <v>11</v>
      </c>
      <c r="G1416" t="str">
        <f>HYPERLINK(_xlfn.CONCAT("https://tablet.otzar.org/",CHAR(35),"/book/653548/p/-1/t/1/fs/0/start/0/end/0/c"),"ולנפתלי אמר - פסח וספירת העומר")</f>
        <v>ולנפתלי אמר - פסח וספירת העומר</v>
      </c>
      <c r="H1416" t="str">
        <f>_xlfn.CONCAT("https://tablet.otzar.org/",CHAR(35),"/book/653548/p/-1/t/1/fs/0/start/0/end/0/c")</f>
        <v>https://tablet.otzar.org/#/book/653548/p/-1/t/1/fs/0/start/0/end/0/c</v>
      </c>
    </row>
    <row r="1417" spans="1:8" x14ac:dyDescent="0.25">
      <c r="A1417">
        <v>649165</v>
      </c>
      <c r="B1417" t="s">
        <v>3010</v>
      </c>
      <c r="C1417" t="s">
        <v>2899</v>
      </c>
      <c r="D1417" t="s">
        <v>10</v>
      </c>
      <c r="E1417" t="s">
        <v>213</v>
      </c>
      <c r="G1417" t="str">
        <f>HYPERLINK(_xlfn.CONCAT("https://tablet.otzar.org/",CHAR(35),"/book/649165/p/-1/t/1/fs/0/start/0/end/0/c"),"ולעבדו בכל לבבכם")</f>
        <v>ולעבדו בכל לבבכם</v>
      </c>
      <c r="H1417" t="str">
        <f>_xlfn.CONCAT("https://tablet.otzar.org/",CHAR(35),"/book/649165/p/-1/t/1/fs/0/start/0/end/0/c")</f>
        <v>https://tablet.otzar.org/#/book/649165/p/-1/t/1/fs/0/start/0/end/0/c</v>
      </c>
    </row>
    <row r="1418" spans="1:8" x14ac:dyDescent="0.25">
      <c r="A1418">
        <v>651540</v>
      </c>
      <c r="B1418" t="s">
        <v>3011</v>
      </c>
      <c r="C1418" t="s">
        <v>3012</v>
      </c>
      <c r="D1418" t="s">
        <v>10</v>
      </c>
      <c r="E1418" t="s">
        <v>11</v>
      </c>
      <c r="G1418" t="str">
        <f>HYPERLINK(_xlfn.CONCAT("https://tablet.otzar.org/",CHAR(35),"/book/651540/p/-1/t/1/fs/0/start/0/end/0/c"),"ומהללים לה' יום ביום")</f>
        <v>ומהללים לה' יום ביום</v>
      </c>
      <c r="H1418" t="str">
        <f>_xlfn.CONCAT("https://tablet.otzar.org/",CHAR(35),"/book/651540/p/-1/t/1/fs/0/start/0/end/0/c")</f>
        <v>https://tablet.otzar.org/#/book/651540/p/-1/t/1/fs/0/start/0/end/0/c</v>
      </c>
    </row>
    <row r="1419" spans="1:8" x14ac:dyDescent="0.25">
      <c r="A1419">
        <v>649786</v>
      </c>
      <c r="B1419" t="s">
        <v>3013</v>
      </c>
      <c r="C1419" t="s">
        <v>3014</v>
      </c>
      <c r="D1419" t="s">
        <v>52</v>
      </c>
      <c r="E1419" t="s">
        <v>11</v>
      </c>
      <c r="G1419" t="str">
        <f>HYPERLINK(_xlfn.CONCAT("https://tablet.otzar.org/",CHAR(35),"/book/649786/p/-1/t/1/fs/0/start/0/end/0/c"),"ומתוקים מדבש")</f>
        <v>ומתוקים מדבש</v>
      </c>
      <c r="H1419" t="str">
        <f>_xlfn.CONCAT("https://tablet.otzar.org/",CHAR(35),"/book/649786/p/-1/t/1/fs/0/start/0/end/0/c")</f>
        <v>https://tablet.otzar.org/#/book/649786/p/-1/t/1/fs/0/start/0/end/0/c</v>
      </c>
    </row>
    <row r="1420" spans="1:8" x14ac:dyDescent="0.25">
      <c r="A1420">
        <v>650413</v>
      </c>
      <c r="B1420" t="s">
        <v>3015</v>
      </c>
      <c r="C1420" t="s">
        <v>614</v>
      </c>
      <c r="D1420" t="s">
        <v>193</v>
      </c>
      <c r="E1420" t="s">
        <v>70</v>
      </c>
      <c r="G1420" t="str">
        <f>HYPERLINK(_xlfn.CONCAT("https://tablet.otzar.org/",CHAR(35),"/book/650413/p/-1/t/1/fs/0/start/0/end/0/c"),"ונתנו על ציצית הכנף")</f>
        <v>ונתנו על ציצית הכנף</v>
      </c>
      <c r="H1420" t="str">
        <f>_xlfn.CONCAT("https://tablet.otzar.org/",CHAR(35),"/book/650413/p/-1/t/1/fs/0/start/0/end/0/c")</f>
        <v>https://tablet.otzar.org/#/book/650413/p/-1/t/1/fs/0/start/0/end/0/c</v>
      </c>
    </row>
    <row r="1421" spans="1:8" x14ac:dyDescent="0.25">
      <c r="A1421">
        <v>652446</v>
      </c>
      <c r="B1421" t="s">
        <v>3016</v>
      </c>
      <c r="C1421" t="s">
        <v>3017</v>
      </c>
      <c r="D1421" t="s">
        <v>10</v>
      </c>
      <c r="E1421" t="s">
        <v>11</v>
      </c>
      <c r="G1421" t="str">
        <f>HYPERLINK(_xlfn.CONCAT("https://tablet.otzar.org/",CHAR(35),"/book/652446/p/-1/t/1/fs/0/start/0/end/0/c"),"וסת הגוף")</f>
        <v>וסת הגוף</v>
      </c>
      <c r="H1421" t="str">
        <f>_xlfn.CONCAT("https://tablet.otzar.org/",CHAR(35),"/book/652446/p/-1/t/1/fs/0/start/0/end/0/c")</f>
        <v>https://tablet.otzar.org/#/book/652446/p/-1/t/1/fs/0/start/0/end/0/c</v>
      </c>
    </row>
    <row r="1422" spans="1:8" x14ac:dyDescent="0.25">
      <c r="A1422">
        <v>648946</v>
      </c>
      <c r="B1422" t="s">
        <v>3018</v>
      </c>
      <c r="C1422" t="s">
        <v>3019</v>
      </c>
      <c r="D1422" t="s">
        <v>2293</v>
      </c>
      <c r="E1422" t="s">
        <v>2097</v>
      </c>
      <c r="G1422" t="str">
        <f>HYPERLINK(_xlfn.CONCAT("https://tablet.otzar.org/",CHAR(35),"/book/648946/p/-1/t/1/fs/0/start/0/end/0/c"),"ועד היוזם להרחבת פעולות """"למען קדושת השבת"""" בישראל")</f>
        <v>ועד היוזם להרחבת פעולות ""למען קדושת השבת"" בישראל</v>
      </c>
      <c r="H1422" t="str">
        <f>_xlfn.CONCAT("https://tablet.otzar.org/",CHAR(35),"/book/648946/p/-1/t/1/fs/0/start/0/end/0/c")</f>
        <v>https://tablet.otzar.org/#/book/648946/p/-1/t/1/fs/0/start/0/end/0/c</v>
      </c>
    </row>
    <row r="1423" spans="1:8" x14ac:dyDescent="0.25">
      <c r="A1423">
        <v>650875</v>
      </c>
      <c r="B1423" t="s">
        <v>3020</v>
      </c>
      <c r="C1423" t="s">
        <v>3021</v>
      </c>
      <c r="D1423" t="s">
        <v>347</v>
      </c>
      <c r="E1423" t="s">
        <v>35</v>
      </c>
      <c r="G1423" t="str">
        <f>HYPERLINK(_xlfn.CONCAT("https://tablet.otzar.org/",CHAR(35),"/book/650875/p/-1/t/1/fs/0/start/0/end/0/c"),"ועתה כתבו לכם")</f>
        <v>ועתה כתבו לכם</v>
      </c>
      <c r="H1423" t="str">
        <f>_xlfn.CONCAT("https://tablet.otzar.org/",CHAR(35),"/book/650875/p/-1/t/1/fs/0/start/0/end/0/c")</f>
        <v>https://tablet.otzar.org/#/book/650875/p/-1/t/1/fs/0/start/0/end/0/c</v>
      </c>
    </row>
    <row r="1424" spans="1:8" x14ac:dyDescent="0.25">
      <c r="A1424">
        <v>652542</v>
      </c>
      <c r="B1424" t="s">
        <v>3022</v>
      </c>
      <c r="C1424" t="s">
        <v>3023</v>
      </c>
      <c r="D1424" t="s">
        <v>10</v>
      </c>
      <c r="E1424" t="s">
        <v>89</v>
      </c>
      <c r="G1424" t="str">
        <f>HYPERLINK(_xlfn.CONCAT("https://tablet.otzar.org/",CHAR(35),"/book/652542/p/-1/t/1/fs/0/start/0/end/0/c"),"וקדשתו")</f>
        <v>וקדשתו</v>
      </c>
      <c r="H1424" t="str">
        <f>_xlfn.CONCAT("https://tablet.otzar.org/",CHAR(35),"/book/652542/p/-1/t/1/fs/0/start/0/end/0/c")</f>
        <v>https://tablet.otzar.org/#/book/652542/p/-1/t/1/fs/0/start/0/end/0/c</v>
      </c>
    </row>
    <row r="1425" spans="1:8" x14ac:dyDescent="0.25">
      <c r="A1425">
        <v>653269</v>
      </c>
      <c r="B1425" t="s">
        <v>3024</v>
      </c>
      <c r="C1425" t="s">
        <v>3025</v>
      </c>
      <c r="D1425" t="s">
        <v>10</v>
      </c>
      <c r="E1425" t="s">
        <v>11</v>
      </c>
      <c r="G1425" t="str">
        <f>HYPERLINK(_xlfn.CONCAT("https://tablet.otzar.org/",CHAR(35),"/book/653269/p/-1/t/1/fs/0/start/0/end/0/c"),"ושב ורפא - ט")</f>
        <v>ושב ורפא - ט</v>
      </c>
      <c r="H1425" t="str">
        <f>_xlfn.CONCAT("https://tablet.otzar.org/",CHAR(35),"/book/653269/p/-1/t/1/fs/0/start/0/end/0/c")</f>
        <v>https://tablet.otzar.org/#/book/653269/p/-1/t/1/fs/0/start/0/end/0/c</v>
      </c>
    </row>
    <row r="1426" spans="1:8" x14ac:dyDescent="0.25">
      <c r="A1426">
        <v>647269</v>
      </c>
      <c r="B1426" t="s">
        <v>3026</v>
      </c>
      <c r="C1426" t="s">
        <v>1325</v>
      </c>
      <c r="D1426" t="s">
        <v>693</v>
      </c>
      <c r="E1426" t="s">
        <v>11</v>
      </c>
      <c r="G1426" t="str">
        <f>HYPERLINK(_xlfn.CONCAT("https://tablet.otzar.org/",CHAR(35),"/book/647269/p/-1/t/1/fs/0/start/0/end/0/c"),"ושבתה הארץ")</f>
        <v>ושבתה הארץ</v>
      </c>
      <c r="H1426" t="str">
        <f>_xlfn.CONCAT("https://tablet.otzar.org/",CHAR(35),"/book/647269/p/-1/t/1/fs/0/start/0/end/0/c")</f>
        <v>https://tablet.otzar.org/#/book/647269/p/-1/t/1/fs/0/start/0/end/0/c</v>
      </c>
    </row>
    <row r="1427" spans="1:8" x14ac:dyDescent="0.25">
      <c r="A1427">
        <v>647597</v>
      </c>
      <c r="B1427" t="s">
        <v>3027</v>
      </c>
      <c r="C1427" t="s">
        <v>614</v>
      </c>
      <c r="D1427" t="s">
        <v>34</v>
      </c>
      <c r="E1427" t="s">
        <v>45</v>
      </c>
      <c r="G1427" t="str">
        <f>HYPERLINK(_xlfn.CONCAT("https://tablet.otzar.org/",CHAR(35),"/book/647597/p/-1/t/1/fs/0/start/0/end/0/c"),"ושכנתי בתוכם")</f>
        <v>ושכנתי בתוכם</v>
      </c>
      <c r="H1427" t="str">
        <f>_xlfn.CONCAT("https://tablet.otzar.org/",CHAR(35),"/book/647597/p/-1/t/1/fs/0/start/0/end/0/c")</f>
        <v>https://tablet.otzar.org/#/book/647597/p/-1/t/1/fs/0/start/0/end/0/c</v>
      </c>
    </row>
    <row r="1428" spans="1:8" x14ac:dyDescent="0.25">
      <c r="A1428">
        <v>652889</v>
      </c>
      <c r="B1428" t="s">
        <v>3028</v>
      </c>
      <c r="C1428" t="s">
        <v>3029</v>
      </c>
      <c r="E1428" t="s">
        <v>117</v>
      </c>
      <c r="G1428" t="str">
        <f>HYPERLINK(_xlfn.CONCAT("https://tablet.otzar.org/",CHAR(35),"/book/652889/p/-1/t/1/fs/0/start/0/end/0/c"),"ושמואל בקראי שמו")</f>
        <v>ושמואל בקראי שמו</v>
      </c>
      <c r="H1428" t="str">
        <f>_xlfn.CONCAT("https://tablet.otzar.org/",CHAR(35),"/book/652889/p/-1/t/1/fs/0/start/0/end/0/c")</f>
        <v>https://tablet.otzar.org/#/book/652889/p/-1/t/1/fs/0/start/0/end/0/c</v>
      </c>
    </row>
    <row r="1429" spans="1:8" x14ac:dyDescent="0.25">
      <c r="A1429">
        <v>655859</v>
      </c>
      <c r="B1429" t="s">
        <v>3030</v>
      </c>
      <c r="C1429" t="s">
        <v>3031</v>
      </c>
      <c r="D1429" t="s">
        <v>3032</v>
      </c>
      <c r="E1429" t="s">
        <v>35</v>
      </c>
      <c r="G1429" t="str">
        <f>HYPERLINK(_xlfn.CONCAT("https://tablet.otzar.org/",CHAR(35),"/exKotar/655859"),"ושמחתם לפני ה' - 3 כרכים")</f>
        <v>ושמחתם לפני ה' - 3 כרכים</v>
      </c>
      <c r="H1429" t="str">
        <f>_xlfn.CONCAT("https://tablet.otzar.org/",CHAR(35),"/exKotar/655859")</f>
        <v>https://tablet.otzar.org/#/exKotar/655859</v>
      </c>
    </row>
    <row r="1430" spans="1:8" x14ac:dyDescent="0.25">
      <c r="A1430">
        <v>648514</v>
      </c>
      <c r="B1430" t="s">
        <v>3033</v>
      </c>
      <c r="C1430" t="s">
        <v>2131</v>
      </c>
      <c r="D1430" t="s">
        <v>34</v>
      </c>
      <c r="E1430" t="s">
        <v>35</v>
      </c>
      <c r="G1430" t="str">
        <f>HYPERLINK(_xlfn.CONCAT("https://tablet.otzar.org/",CHAR(35),"/book/648514/p/-1/t/1/fs/0/start/0/end/0/c"),"ושננתם - שאלות ותשובות לחזרה על מסכת בבא קמא")</f>
        <v>ושננתם - שאלות ותשובות לחזרה על מסכת בבא קמא</v>
      </c>
      <c r="H1430" t="str">
        <f>_xlfn.CONCAT("https://tablet.otzar.org/",CHAR(35),"/book/648514/p/-1/t/1/fs/0/start/0/end/0/c")</f>
        <v>https://tablet.otzar.org/#/book/648514/p/-1/t/1/fs/0/start/0/end/0/c</v>
      </c>
    </row>
    <row r="1431" spans="1:8" x14ac:dyDescent="0.25">
      <c r="A1431">
        <v>647837</v>
      </c>
      <c r="B1431" t="s">
        <v>3034</v>
      </c>
      <c r="C1431" t="s">
        <v>3035</v>
      </c>
      <c r="D1431" t="s">
        <v>52</v>
      </c>
      <c r="E1431" t="s">
        <v>35</v>
      </c>
      <c r="G1431" t="str">
        <f>HYPERLINK(_xlfn.CONCAT("https://tablet.otzar.org/",CHAR(35),"/book/647837/p/-1/t/1/fs/0/start/0/end/0/c"),"ושפני טמוני חול")</f>
        <v>ושפני טמוני חול</v>
      </c>
      <c r="H1431" t="str">
        <f>_xlfn.CONCAT("https://tablet.otzar.org/",CHAR(35),"/book/647837/p/-1/t/1/fs/0/start/0/end/0/c")</f>
        <v>https://tablet.otzar.org/#/book/647837/p/-1/t/1/fs/0/start/0/end/0/c</v>
      </c>
    </row>
    <row r="1432" spans="1:8" x14ac:dyDescent="0.25">
      <c r="A1432">
        <v>650751</v>
      </c>
      <c r="B1432" t="s">
        <v>3036</v>
      </c>
      <c r="C1432" t="s">
        <v>3037</v>
      </c>
      <c r="D1432" t="s">
        <v>139</v>
      </c>
      <c r="E1432" t="s">
        <v>11</v>
      </c>
      <c r="G1432" t="str">
        <f>HYPERLINK(_xlfn.CONCAT("https://tablet.otzar.org/",CHAR(35),"/book/650751/p/-1/t/1/fs/0/start/0/end/0/c"),"ושתי את גבולך")</f>
        <v>ושתי את גבולך</v>
      </c>
      <c r="H1432" t="str">
        <f>_xlfn.CONCAT("https://tablet.otzar.org/",CHAR(35),"/book/650751/p/-1/t/1/fs/0/start/0/end/0/c")</f>
        <v>https://tablet.otzar.org/#/book/650751/p/-1/t/1/fs/0/start/0/end/0/c</v>
      </c>
    </row>
    <row r="1433" spans="1:8" x14ac:dyDescent="0.25">
      <c r="A1433">
        <v>651571</v>
      </c>
      <c r="B1433" t="s">
        <v>3038</v>
      </c>
      <c r="C1433" t="s">
        <v>3039</v>
      </c>
      <c r="D1433" t="s">
        <v>2314</v>
      </c>
      <c r="E1433" t="s">
        <v>11</v>
      </c>
      <c r="G1433" t="str">
        <f>HYPERLINK(_xlfn.CONCAT("https://tablet.otzar.org/",CHAR(35),"/book/651571/p/-1/t/1/fs/0/start/0/end/0/c"),"ותורתך שעשעי")</f>
        <v>ותורתך שעשעי</v>
      </c>
      <c r="H1433" t="str">
        <f>_xlfn.CONCAT("https://tablet.otzar.org/",CHAR(35),"/book/651571/p/-1/t/1/fs/0/start/0/end/0/c")</f>
        <v>https://tablet.otzar.org/#/book/651571/p/-1/t/1/fs/0/start/0/end/0/c</v>
      </c>
    </row>
    <row r="1434" spans="1:8" x14ac:dyDescent="0.25">
      <c r="A1434">
        <v>643146</v>
      </c>
      <c r="B1434" t="s">
        <v>3040</v>
      </c>
      <c r="C1434" t="s">
        <v>3041</v>
      </c>
      <c r="D1434" t="s">
        <v>52</v>
      </c>
      <c r="E1434" t="s">
        <v>89</v>
      </c>
      <c r="G1434" t="str">
        <f>HYPERLINK(_xlfn.CONCAT("https://tablet.otzar.org/",CHAR(35),"/book/643146/p/-1/t/1/fs/0/start/0/end/0/c"),"ותימרון חידושא - מודז'יץ")</f>
        <v>ותימרון חידושא - מודז'יץ</v>
      </c>
      <c r="H1434" t="str">
        <f>_xlfn.CONCAT("https://tablet.otzar.org/",CHAR(35),"/book/643146/p/-1/t/1/fs/0/start/0/end/0/c")</f>
        <v>https://tablet.otzar.org/#/book/643146/p/-1/t/1/fs/0/start/0/end/0/c</v>
      </c>
    </row>
    <row r="1435" spans="1:8" x14ac:dyDescent="0.25">
      <c r="A1435">
        <v>650699</v>
      </c>
      <c r="B1435" t="s">
        <v>3042</v>
      </c>
      <c r="C1435" t="s">
        <v>3043</v>
      </c>
      <c r="D1435" t="s">
        <v>10</v>
      </c>
      <c r="E1435" t="s">
        <v>45</v>
      </c>
      <c r="G1435" t="str">
        <f>HYPERLINK(_xlfn.CONCAT("https://tablet.otzar.org/",CHAR(35),"/book/650699/p/-1/t/1/fs/0/start/0/end/0/c"),"ותמכיה מאשר")</f>
        <v>ותמכיה מאשר</v>
      </c>
      <c r="H1435" t="str">
        <f>_xlfn.CONCAT("https://tablet.otzar.org/",CHAR(35),"/book/650699/p/-1/t/1/fs/0/start/0/end/0/c")</f>
        <v>https://tablet.otzar.org/#/book/650699/p/-1/t/1/fs/0/start/0/end/0/c</v>
      </c>
    </row>
    <row r="1436" spans="1:8" x14ac:dyDescent="0.25">
      <c r="A1436">
        <v>652642</v>
      </c>
      <c r="B1436" t="s">
        <v>3044</v>
      </c>
      <c r="C1436" t="s">
        <v>3045</v>
      </c>
      <c r="D1436" t="s">
        <v>58</v>
      </c>
      <c r="E1436" t="s">
        <v>435</v>
      </c>
      <c r="G1436" t="str">
        <f>HYPERLINK(_xlfn.CONCAT("https://tablet.otzar.org/",CHAR(35),"/book/652642/p/-1/t/1/fs/0/start/0/end/0/c"),"זאת חנוכה")</f>
        <v>זאת חנוכה</v>
      </c>
      <c r="H1436" t="str">
        <f>_xlfn.CONCAT("https://tablet.otzar.org/",CHAR(35),"/book/652642/p/-1/t/1/fs/0/start/0/end/0/c")</f>
        <v>https://tablet.otzar.org/#/book/652642/p/-1/t/1/fs/0/start/0/end/0/c</v>
      </c>
    </row>
    <row r="1437" spans="1:8" x14ac:dyDescent="0.25">
      <c r="A1437">
        <v>651505</v>
      </c>
      <c r="B1437" t="s">
        <v>3046</v>
      </c>
      <c r="C1437" t="s">
        <v>3047</v>
      </c>
      <c r="D1437" t="s">
        <v>10</v>
      </c>
      <c r="E1437" t="s">
        <v>19</v>
      </c>
      <c r="G1437" t="str">
        <f>HYPERLINK(_xlfn.CONCAT("https://tablet.otzar.org/",CHAR(35),"/book/651505/p/-1/t/1/fs/0/start/0/end/0/c"),"זאת משחת אהרן")</f>
        <v>זאת משחת אהרן</v>
      </c>
      <c r="H1437" t="str">
        <f>_xlfn.CONCAT("https://tablet.otzar.org/",CHAR(35),"/book/651505/p/-1/t/1/fs/0/start/0/end/0/c")</f>
        <v>https://tablet.otzar.org/#/book/651505/p/-1/t/1/fs/0/start/0/end/0/c</v>
      </c>
    </row>
    <row r="1438" spans="1:8" x14ac:dyDescent="0.25">
      <c r="A1438">
        <v>654256</v>
      </c>
      <c r="B1438" t="s">
        <v>3048</v>
      </c>
      <c r="C1438" t="s">
        <v>3049</v>
      </c>
      <c r="D1438" t="s">
        <v>3050</v>
      </c>
      <c r="E1438" t="s">
        <v>35</v>
      </c>
      <c r="G1438" t="str">
        <f>HYPERLINK(_xlfn.CONCAT("https://tablet.otzar.org/",CHAR(35),"/book/654256/p/-1/t/1/fs/0/start/0/end/0/c"),"זבח מיכאל")</f>
        <v>זבח מיכאל</v>
      </c>
      <c r="H1438" t="str">
        <f>_xlfn.CONCAT("https://tablet.otzar.org/",CHAR(35),"/book/654256/p/-1/t/1/fs/0/start/0/end/0/c")</f>
        <v>https://tablet.otzar.org/#/book/654256/p/-1/t/1/fs/0/start/0/end/0/c</v>
      </c>
    </row>
    <row r="1439" spans="1:8" x14ac:dyDescent="0.25">
      <c r="A1439">
        <v>651816</v>
      </c>
      <c r="B1439" t="s">
        <v>3051</v>
      </c>
      <c r="C1439" t="s">
        <v>3052</v>
      </c>
      <c r="D1439" t="s">
        <v>10</v>
      </c>
      <c r="E1439" t="s">
        <v>405</v>
      </c>
      <c r="G1439" t="str">
        <f>HYPERLINK(_xlfn.CONCAT("https://tablet.otzar.org/",CHAR(35),"/exKotar/651816"),"זבח שלמה - 2 כרכים")</f>
        <v>זבח שלמה - 2 כרכים</v>
      </c>
      <c r="H1439" t="str">
        <f>_xlfn.CONCAT("https://tablet.otzar.org/",CHAR(35),"/exKotar/651816")</f>
        <v>https://tablet.otzar.org/#/exKotar/651816</v>
      </c>
    </row>
    <row r="1440" spans="1:8" x14ac:dyDescent="0.25">
      <c r="A1440">
        <v>649576</v>
      </c>
      <c r="B1440" t="s">
        <v>3053</v>
      </c>
      <c r="C1440" t="s">
        <v>3054</v>
      </c>
      <c r="D1440" t="s">
        <v>1845</v>
      </c>
      <c r="E1440" t="s">
        <v>3055</v>
      </c>
      <c r="G1440" t="str">
        <f>HYPERLINK(_xlfn.CONCAT("https://tablet.otzar.org/",CHAR(35),"/book/649576/p/-1/t/1/fs/0/start/0/end/0/c"),"זבחי שלמים")</f>
        <v>זבחי שלמים</v>
      </c>
      <c r="H1440" t="str">
        <f>_xlfn.CONCAT("https://tablet.otzar.org/",CHAR(35),"/book/649576/p/-1/t/1/fs/0/start/0/end/0/c")</f>
        <v>https://tablet.otzar.org/#/book/649576/p/-1/t/1/fs/0/start/0/end/0/c</v>
      </c>
    </row>
    <row r="1441" spans="1:8" x14ac:dyDescent="0.25">
      <c r="A1441">
        <v>655607</v>
      </c>
      <c r="B1441" t="s">
        <v>3056</v>
      </c>
      <c r="C1441" t="s">
        <v>1184</v>
      </c>
      <c r="D1441" t="s">
        <v>621</v>
      </c>
      <c r="E1441" t="s">
        <v>35</v>
      </c>
      <c r="G1441" t="str">
        <f>HYPERLINK(_xlfn.CONCAT("https://tablet.otzar.org/",CHAR(35),"/book/655607/p/-1/t/1/fs/0/start/0/end/0/c"),"זה האות - עניני ברית מילה")</f>
        <v>זה האות - עניני ברית מילה</v>
      </c>
      <c r="H1441" t="str">
        <f>_xlfn.CONCAT("https://tablet.otzar.org/",CHAR(35),"/book/655607/p/-1/t/1/fs/0/start/0/end/0/c")</f>
        <v>https://tablet.otzar.org/#/book/655607/p/-1/t/1/fs/0/start/0/end/0/c</v>
      </c>
    </row>
    <row r="1442" spans="1:8" x14ac:dyDescent="0.25">
      <c r="A1442">
        <v>655609</v>
      </c>
      <c r="B1442" t="s">
        <v>3057</v>
      </c>
      <c r="C1442" t="s">
        <v>1184</v>
      </c>
      <c r="D1442" t="s">
        <v>347</v>
      </c>
      <c r="E1442" t="s">
        <v>11</v>
      </c>
      <c r="G1442" t="str">
        <f>HYPERLINK(_xlfn.CONCAT("https://tablet.otzar.org/",CHAR(35),"/exKotar/655609"),"זה היום - 2 כרכים")</f>
        <v>זה היום - 2 כרכים</v>
      </c>
      <c r="H1442" t="str">
        <f>_xlfn.CONCAT("https://tablet.otzar.org/",CHAR(35),"/exKotar/655609")</f>
        <v>https://tablet.otzar.org/#/exKotar/655609</v>
      </c>
    </row>
    <row r="1443" spans="1:8" x14ac:dyDescent="0.25">
      <c r="A1443">
        <v>654632</v>
      </c>
      <c r="B1443" t="s">
        <v>3058</v>
      </c>
      <c r="C1443" t="s">
        <v>1184</v>
      </c>
      <c r="D1443" t="s">
        <v>347</v>
      </c>
      <c r="E1443" t="s">
        <v>312</v>
      </c>
      <c r="G1443" t="str">
        <f>HYPERLINK(_xlfn.CONCAT("https://tablet.otzar.org/",CHAR(35),"/book/654632/p/-1/t/1/fs/0/start/0/end/0/c"),"זה כפרתינו")</f>
        <v>זה כפרתינו</v>
      </c>
      <c r="H1443" t="str">
        <f>_xlfn.CONCAT("https://tablet.otzar.org/",CHAR(35),"/book/654632/p/-1/t/1/fs/0/start/0/end/0/c")</f>
        <v>https://tablet.otzar.org/#/book/654632/p/-1/t/1/fs/0/start/0/end/0/c</v>
      </c>
    </row>
    <row r="1444" spans="1:8" x14ac:dyDescent="0.25">
      <c r="A1444">
        <v>653544</v>
      </c>
      <c r="B1444" t="s">
        <v>3059</v>
      </c>
      <c r="C1444" t="s">
        <v>3060</v>
      </c>
      <c r="D1444" t="s">
        <v>340</v>
      </c>
      <c r="E1444" t="s">
        <v>11</v>
      </c>
      <c r="G1444" t="str">
        <f>HYPERLINK(_xlfn.CONCAT("https://tablet.otzar.org/",CHAR(35),"/exKotar/653544"),"זה כתב ידי - 2 כרכים")</f>
        <v>זה כתב ידי - 2 כרכים</v>
      </c>
      <c r="H1444" t="str">
        <f>_xlfn.CONCAT("https://tablet.otzar.org/",CHAR(35),"/exKotar/653544")</f>
        <v>https://tablet.otzar.org/#/exKotar/653544</v>
      </c>
    </row>
    <row r="1445" spans="1:8" x14ac:dyDescent="0.25">
      <c r="A1445">
        <v>653203</v>
      </c>
      <c r="B1445" t="s">
        <v>3061</v>
      </c>
      <c r="C1445" t="s">
        <v>3062</v>
      </c>
      <c r="E1445" t="s">
        <v>405</v>
      </c>
      <c r="G1445" t="str">
        <f>HYPERLINK(_xlfn.CONCAT("https://tablet.otzar.org/",CHAR(35),"/book/653203/p/-1/t/1/fs/0/start/0/end/0/c"),"זהב שבא")</f>
        <v>זהב שבא</v>
      </c>
      <c r="H1445" t="str">
        <f>_xlfn.CONCAT("https://tablet.otzar.org/",CHAR(35),"/book/653203/p/-1/t/1/fs/0/start/0/end/0/c")</f>
        <v>https://tablet.otzar.org/#/book/653203/p/-1/t/1/fs/0/start/0/end/0/c</v>
      </c>
    </row>
    <row r="1446" spans="1:8" x14ac:dyDescent="0.25">
      <c r="A1446">
        <v>656033</v>
      </c>
      <c r="B1446" t="s">
        <v>3063</v>
      </c>
      <c r="C1446" t="s">
        <v>3064</v>
      </c>
      <c r="D1446" t="s">
        <v>10</v>
      </c>
      <c r="E1446" t="s">
        <v>35</v>
      </c>
      <c r="G1446" t="str">
        <f>HYPERLINK(_xlfn.CONCAT("https://tablet.otzar.org/",CHAR(35),"/book/656033/p/-1/t/1/fs/0/start/0/end/0/c"),"זהרי חיים")</f>
        <v>זהרי חיים</v>
      </c>
      <c r="H1446" t="str">
        <f>_xlfn.CONCAT("https://tablet.otzar.org/",CHAR(35),"/book/656033/p/-1/t/1/fs/0/start/0/end/0/c")</f>
        <v>https://tablet.otzar.org/#/book/656033/p/-1/t/1/fs/0/start/0/end/0/c</v>
      </c>
    </row>
    <row r="1447" spans="1:8" x14ac:dyDescent="0.25">
      <c r="A1447">
        <v>651686</v>
      </c>
      <c r="B1447" t="s">
        <v>3065</v>
      </c>
      <c r="C1447" t="s">
        <v>3066</v>
      </c>
      <c r="D1447" t="s">
        <v>34</v>
      </c>
      <c r="E1447" t="s">
        <v>11</v>
      </c>
      <c r="G1447" t="str">
        <f>HYPERLINK(_xlfn.CONCAT("https://tablet.otzar.org/",CHAR(35),"/book/651686/p/-1/t/1/fs/0/start/0/end/0/c"),"זוהר ההלכה - שמיטה")</f>
        <v>זוהר ההלכה - שמיטה</v>
      </c>
      <c r="H1447" t="str">
        <f>_xlfn.CONCAT("https://tablet.otzar.org/",CHAR(35),"/book/651686/p/-1/t/1/fs/0/start/0/end/0/c")</f>
        <v>https://tablet.otzar.org/#/book/651686/p/-1/t/1/fs/0/start/0/end/0/c</v>
      </c>
    </row>
    <row r="1448" spans="1:8" x14ac:dyDescent="0.25">
      <c r="A1448">
        <v>654374</v>
      </c>
      <c r="B1448" t="s">
        <v>3067</v>
      </c>
      <c r="C1448" t="s">
        <v>3068</v>
      </c>
      <c r="D1448" t="s">
        <v>1707</v>
      </c>
      <c r="E1448" t="s">
        <v>11</v>
      </c>
      <c r="G1448" t="str">
        <f>HYPERLINK(_xlfn.CONCAT("https://tablet.otzar.org/",CHAR(35),"/book/654374/p/-1/t/1/fs/0/start/0/end/0/c"),"זוהר התפילה - ימות החול - א")</f>
        <v>זוהר התפילה - ימות החול - א</v>
      </c>
      <c r="H1448" t="str">
        <f>_xlfn.CONCAT("https://tablet.otzar.org/",CHAR(35),"/book/654374/p/-1/t/1/fs/0/start/0/end/0/c")</f>
        <v>https://tablet.otzar.org/#/book/654374/p/-1/t/1/fs/0/start/0/end/0/c</v>
      </c>
    </row>
    <row r="1449" spans="1:8" x14ac:dyDescent="0.25">
      <c r="A1449">
        <v>656225</v>
      </c>
      <c r="B1449" t="s">
        <v>3069</v>
      </c>
      <c r="C1449" t="s">
        <v>3070</v>
      </c>
      <c r="D1449" t="s">
        <v>52</v>
      </c>
      <c r="E1449" t="s">
        <v>11</v>
      </c>
      <c r="G1449" t="str">
        <f>HYPERLINK(_xlfn.CONCAT("https://tablet.otzar.org/",CHAR(35),"/book/656225/p/-1/t/1/fs/0/start/0/end/0/c"),"זוהר רעיא מהימנא השלם")</f>
        <v>זוהר רעיא מהימנא השלם</v>
      </c>
      <c r="H1449" t="str">
        <f>_xlfn.CONCAT("https://tablet.otzar.org/",CHAR(35),"/book/656225/p/-1/t/1/fs/0/start/0/end/0/c")</f>
        <v>https://tablet.otzar.org/#/book/656225/p/-1/t/1/fs/0/start/0/end/0/c</v>
      </c>
    </row>
    <row r="1450" spans="1:8" x14ac:dyDescent="0.25">
      <c r="A1450">
        <v>649394</v>
      </c>
      <c r="B1450" t="s">
        <v>3071</v>
      </c>
      <c r="C1450" t="s">
        <v>3072</v>
      </c>
      <c r="D1450" t="s">
        <v>34</v>
      </c>
      <c r="E1450" t="s">
        <v>70</v>
      </c>
      <c r="G1450" t="str">
        <f>HYPERLINK(_xlfn.CONCAT("https://tablet.otzar.org/",CHAR(35),"/book/649394/p/-1/t/1/fs/0/start/0/end/0/c"),"זיקוקין של אש")</f>
        <v>זיקוקין של אש</v>
      </c>
      <c r="H1450" t="str">
        <f>_xlfn.CONCAT("https://tablet.otzar.org/",CHAR(35),"/book/649394/p/-1/t/1/fs/0/start/0/end/0/c")</f>
        <v>https://tablet.otzar.org/#/book/649394/p/-1/t/1/fs/0/start/0/end/0/c</v>
      </c>
    </row>
    <row r="1451" spans="1:8" x14ac:dyDescent="0.25">
      <c r="A1451">
        <v>650562</v>
      </c>
      <c r="B1451" t="s">
        <v>3073</v>
      </c>
      <c r="C1451" t="s">
        <v>3074</v>
      </c>
      <c r="D1451" t="s">
        <v>3075</v>
      </c>
      <c r="E1451" t="s">
        <v>35</v>
      </c>
      <c r="G1451" t="str">
        <f>HYPERLINK(_xlfn.CONCAT("https://tablet.otzar.org/",CHAR(35),"/book/650562/p/-1/t/1/fs/0/start/0/end/0/c"),"זית רענן")</f>
        <v>זית רענן</v>
      </c>
      <c r="H1451" t="str">
        <f>_xlfn.CONCAT("https://tablet.otzar.org/",CHAR(35),"/book/650562/p/-1/t/1/fs/0/start/0/end/0/c")</f>
        <v>https://tablet.otzar.org/#/book/650562/p/-1/t/1/fs/0/start/0/end/0/c</v>
      </c>
    </row>
    <row r="1452" spans="1:8" x14ac:dyDescent="0.25">
      <c r="A1452">
        <v>648889</v>
      </c>
      <c r="B1452" t="s">
        <v>3076</v>
      </c>
      <c r="C1452" t="s">
        <v>3077</v>
      </c>
      <c r="D1452" t="s">
        <v>10</v>
      </c>
      <c r="E1452" t="s">
        <v>77</v>
      </c>
      <c r="G1452" t="str">
        <f>HYPERLINK(_xlfn.CONCAT("https://tablet.otzar.org/",CHAR(35),"/book/648889/p/-1/t/1/fs/0/start/0/end/0/c"),"זכור זאת ליעקב")</f>
        <v>זכור זאת ליעקב</v>
      </c>
      <c r="H1452" t="str">
        <f>_xlfn.CONCAT("https://tablet.otzar.org/",CHAR(35),"/book/648889/p/-1/t/1/fs/0/start/0/end/0/c")</f>
        <v>https://tablet.otzar.org/#/book/648889/p/-1/t/1/fs/0/start/0/end/0/c</v>
      </c>
    </row>
    <row r="1453" spans="1:8" x14ac:dyDescent="0.25">
      <c r="A1453">
        <v>643262</v>
      </c>
      <c r="B1453" t="s">
        <v>3078</v>
      </c>
      <c r="C1453" t="s">
        <v>3079</v>
      </c>
      <c r="E1453" t="s">
        <v>507</v>
      </c>
      <c r="G1453" t="str">
        <f>HYPERLINK(_xlfn.CONCAT("https://tablet.otzar.org/",CHAR(35),"/book/643262/p/-1/t/1/fs/0/start/0/end/0/c"),"זכור לדוד")</f>
        <v>זכור לדוד</v>
      </c>
      <c r="H1453" t="str">
        <f>_xlfn.CONCAT("https://tablet.otzar.org/",CHAR(35),"/book/643262/p/-1/t/1/fs/0/start/0/end/0/c")</f>
        <v>https://tablet.otzar.org/#/book/643262/p/-1/t/1/fs/0/start/0/end/0/c</v>
      </c>
    </row>
    <row r="1454" spans="1:8" x14ac:dyDescent="0.25">
      <c r="A1454">
        <v>642374</v>
      </c>
      <c r="B1454" t="s">
        <v>3080</v>
      </c>
      <c r="C1454" t="s">
        <v>3081</v>
      </c>
      <c r="E1454" t="s">
        <v>3082</v>
      </c>
      <c r="G1454" t="str">
        <f>HYPERLINK(_xlfn.CONCAT("https://tablet.otzar.org/",CHAR(35),"/exKotar/642374"),"זכור לדוד - 2 כרכים")</f>
        <v>זכור לדוד - 2 כרכים</v>
      </c>
      <c r="H1454" t="str">
        <f>_xlfn.CONCAT("https://tablet.otzar.org/",CHAR(35),"/exKotar/642374")</f>
        <v>https://tablet.otzar.org/#/exKotar/642374</v>
      </c>
    </row>
    <row r="1455" spans="1:8" x14ac:dyDescent="0.25">
      <c r="A1455">
        <v>652557</v>
      </c>
      <c r="B1455" t="s">
        <v>3083</v>
      </c>
      <c r="C1455" t="s">
        <v>3084</v>
      </c>
      <c r="D1455" t="s">
        <v>10</v>
      </c>
      <c r="E1455">
        <v>1993</v>
      </c>
      <c r="G1455" t="str">
        <f>HYPERLINK(_xlfn.CONCAT("https://tablet.otzar.org/",CHAR(35),"/book/652557/p/-1/t/1/fs/0/start/0/end/0/c"),"זכור ליצחק &lt;מהדורה חדשה&gt;")</f>
        <v>זכור ליצחק &lt;מהדורה חדשה&gt;</v>
      </c>
      <c r="H1455" t="str">
        <f>_xlfn.CONCAT("https://tablet.otzar.org/",CHAR(35),"/book/652557/p/-1/t/1/fs/0/start/0/end/0/c")</f>
        <v>https://tablet.otzar.org/#/book/652557/p/-1/t/1/fs/0/start/0/end/0/c</v>
      </c>
    </row>
    <row r="1456" spans="1:8" x14ac:dyDescent="0.25">
      <c r="A1456">
        <v>649975</v>
      </c>
      <c r="B1456" t="s">
        <v>3085</v>
      </c>
      <c r="C1456" t="s">
        <v>3086</v>
      </c>
      <c r="D1456" t="s">
        <v>34</v>
      </c>
      <c r="E1456" t="s">
        <v>35</v>
      </c>
      <c r="G1456" t="str">
        <f>HYPERLINK(_xlfn.CONCAT("https://tablet.otzar.org/",CHAR(35),"/book/649975/p/-1/t/1/fs/0/start/0/end/0/c"),"זכור ליצחק - הגדה של פסח")</f>
        <v>זכור ליצחק - הגדה של פסח</v>
      </c>
      <c r="H1456" t="str">
        <f>_xlfn.CONCAT("https://tablet.otzar.org/",CHAR(35),"/book/649975/p/-1/t/1/fs/0/start/0/end/0/c")</f>
        <v>https://tablet.otzar.org/#/book/649975/p/-1/t/1/fs/0/start/0/end/0/c</v>
      </c>
    </row>
    <row r="1457" spans="1:8" x14ac:dyDescent="0.25">
      <c r="A1457">
        <v>654498</v>
      </c>
      <c r="B1457" t="s">
        <v>3087</v>
      </c>
      <c r="C1457" t="s">
        <v>3088</v>
      </c>
      <c r="E1457" t="s">
        <v>35</v>
      </c>
      <c r="G1457" t="str">
        <f>HYPERLINK(_xlfn.CONCAT("https://tablet.otzar.org/",CHAR(35),"/book/654498/p/-1/t/1/fs/0/start/0/end/0/c"),"זכור לקדשו - ב")</f>
        <v>זכור לקדשו - ב</v>
      </c>
      <c r="H1457" t="str">
        <f>_xlfn.CONCAT("https://tablet.otzar.org/",CHAR(35),"/book/654498/p/-1/t/1/fs/0/start/0/end/0/c")</f>
        <v>https://tablet.otzar.org/#/book/654498/p/-1/t/1/fs/0/start/0/end/0/c</v>
      </c>
    </row>
    <row r="1458" spans="1:8" x14ac:dyDescent="0.25">
      <c r="A1458">
        <v>656218</v>
      </c>
      <c r="B1458" t="s">
        <v>3089</v>
      </c>
      <c r="C1458" t="s">
        <v>870</v>
      </c>
      <c r="D1458" t="s">
        <v>193</v>
      </c>
      <c r="E1458" t="s">
        <v>11</v>
      </c>
      <c r="G1458" t="str">
        <f>HYPERLINK(_xlfn.CONCAT("https://tablet.otzar.org/",CHAR(35),"/book/656218/p/-1/t/1/fs/0/start/0/end/0/c"),"זכות אבות")</f>
        <v>זכות אבות</v>
      </c>
      <c r="H1458" t="str">
        <f>_xlfn.CONCAT("https://tablet.otzar.org/",CHAR(35),"/book/656218/p/-1/t/1/fs/0/start/0/end/0/c")</f>
        <v>https://tablet.otzar.org/#/book/656218/p/-1/t/1/fs/0/start/0/end/0/c</v>
      </c>
    </row>
    <row r="1459" spans="1:8" x14ac:dyDescent="0.25">
      <c r="A1459">
        <v>650589</v>
      </c>
      <c r="B1459" t="s">
        <v>3090</v>
      </c>
      <c r="C1459" t="s">
        <v>3091</v>
      </c>
      <c r="D1459" t="s">
        <v>52</v>
      </c>
      <c r="E1459" t="s">
        <v>35</v>
      </c>
      <c r="G1459" t="str">
        <f>HYPERLINK(_xlfn.CONCAT("https://tablet.otzar.org/",CHAR(35),"/book/650589/p/-1/t/1/fs/0/start/0/end/0/c"),"זכות התורה")</f>
        <v>זכות התורה</v>
      </c>
      <c r="H1459" t="str">
        <f>_xlfn.CONCAT("https://tablet.otzar.org/",CHAR(35),"/book/650589/p/-1/t/1/fs/0/start/0/end/0/c")</f>
        <v>https://tablet.otzar.org/#/book/650589/p/-1/t/1/fs/0/start/0/end/0/c</v>
      </c>
    </row>
    <row r="1460" spans="1:8" x14ac:dyDescent="0.25">
      <c r="A1460">
        <v>655708</v>
      </c>
      <c r="B1460" t="s">
        <v>3092</v>
      </c>
      <c r="C1460" t="s">
        <v>3093</v>
      </c>
      <c r="D1460" t="s">
        <v>10</v>
      </c>
      <c r="E1460" t="s">
        <v>2549</v>
      </c>
      <c r="G1460" t="str">
        <f>HYPERLINK(_xlfn.CONCAT("https://tablet.otzar.org/",CHAR(35),"/book/655708/p/-1/t/1/fs/0/start/0/end/0/c"),"זכות משה &lt;מהדורה חדשה&gt;")</f>
        <v>זכות משה &lt;מהדורה חדשה&gt;</v>
      </c>
      <c r="H1460" t="str">
        <f>_xlfn.CONCAT("https://tablet.otzar.org/",CHAR(35),"/book/655708/p/-1/t/1/fs/0/start/0/end/0/c")</f>
        <v>https://tablet.otzar.org/#/book/655708/p/-1/t/1/fs/0/start/0/end/0/c</v>
      </c>
    </row>
    <row r="1461" spans="1:8" x14ac:dyDescent="0.25">
      <c r="A1461">
        <v>654424</v>
      </c>
      <c r="B1461" t="s">
        <v>3094</v>
      </c>
      <c r="C1461" t="s">
        <v>983</v>
      </c>
      <c r="D1461" t="s">
        <v>3095</v>
      </c>
      <c r="E1461" t="s">
        <v>45</v>
      </c>
      <c r="G1461" t="str">
        <f>HYPERLINK(_xlfn.CONCAT("https://tablet.otzar.org/",CHAR(35),"/exKotar/654424"),"זכותיה דיוסף - 2 כרכים")</f>
        <v>זכותיה דיוסף - 2 כרכים</v>
      </c>
      <c r="H1461" t="str">
        <f>_xlfn.CONCAT("https://tablet.otzar.org/",CHAR(35),"/exKotar/654424")</f>
        <v>https://tablet.otzar.org/#/exKotar/654424</v>
      </c>
    </row>
    <row r="1462" spans="1:8" x14ac:dyDescent="0.25">
      <c r="A1462">
        <v>639553</v>
      </c>
      <c r="B1462" t="s">
        <v>3096</v>
      </c>
      <c r="C1462" t="s">
        <v>614</v>
      </c>
      <c r="D1462" t="s">
        <v>52</v>
      </c>
      <c r="E1462" t="s">
        <v>35</v>
      </c>
      <c r="G1462" t="str">
        <f>HYPERLINK(_xlfn.CONCAT("https://tablet.otzar.org/",CHAR(35),"/book/639553/p/-1/t/1/fs/0/start/0/end/0/c"),"זכירת המקדש")</f>
        <v>זכירת המקדש</v>
      </c>
      <c r="H1462" t="str">
        <f>_xlfn.CONCAT("https://tablet.otzar.org/",CHAR(35),"/book/639553/p/-1/t/1/fs/0/start/0/end/0/c")</f>
        <v>https://tablet.otzar.org/#/book/639553/p/-1/t/1/fs/0/start/0/end/0/c</v>
      </c>
    </row>
    <row r="1463" spans="1:8" x14ac:dyDescent="0.25">
      <c r="A1463">
        <v>654020</v>
      </c>
      <c r="B1463" t="s">
        <v>3096</v>
      </c>
      <c r="C1463" t="s">
        <v>1748</v>
      </c>
      <c r="D1463" t="s">
        <v>34</v>
      </c>
      <c r="E1463" t="s">
        <v>35</v>
      </c>
      <c r="G1463" t="str">
        <f>HYPERLINK(_xlfn.CONCAT("https://tablet.otzar.org/",CHAR(35),"/book/654020/p/-1/t/1/fs/0/start/0/end/0/c"),"זכירת המקדש")</f>
        <v>זכירת המקדש</v>
      </c>
      <c r="H1463" t="str">
        <f>_xlfn.CONCAT("https://tablet.otzar.org/",CHAR(35),"/book/654020/p/-1/t/1/fs/0/start/0/end/0/c")</f>
        <v>https://tablet.otzar.org/#/book/654020/p/-1/t/1/fs/0/start/0/end/0/c</v>
      </c>
    </row>
    <row r="1464" spans="1:8" x14ac:dyDescent="0.25">
      <c r="A1464">
        <v>649221</v>
      </c>
      <c r="B1464" t="s">
        <v>3097</v>
      </c>
      <c r="C1464" t="s">
        <v>3098</v>
      </c>
      <c r="D1464" t="s">
        <v>10</v>
      </c>
      <c r="E1464" t="s">
        <v>35</v>
      </c>
      <c r="G1464" t="str">
        <f>HYPERLINK(_xlfn.CONCAT("https://tablet.otzar.org/",CHAR(35),"/exKotar/649221"),"זכר חסדו - 4 כרכים")</f>
        <v>זכר חסדו - 4 כרכים</v>
      </c>
      <c r="H1464" t="str">
        <f>_xlfn.CONCAT("https://tablet.otzar.org/",CHAR(35),"/exKotar/649221")</f>
        <v>https://tablet.otzar.org/#/exKotar/649221</v>
      </c>
    </row>
    <row r="1465" spans="1:8" x14ac:dyDescent="0.25">
      <c r="A1465">
        <v>650436</v>
      </c>
      <c r="B1465" t="s">
        <v>3099</v>
      </c>
      <c r="C1465" t="s">
        <v>3100</v>
      </c>
      <c r="D1465" t="s">
        <v>58</v>
      </c>
      <c r="E1465" t="s">
        <v>3101</v>
      </c>
      <c r="G1465" t="str">
        <f>HYPERLINK(_xlfn.CONCAT("https://tablet.otzar.org/",CHAR(35),"/book/650436/p/-1/t/1/fs/0/start/0/end/0/c"),"זכר עולם")</f>
        <v>זכר עולם</v>
      </c>
      <c r="H1465" t="str">
        <f>_xlfn.CONCAT("https://tablet.otzar.org/",CHAR(35),"/book/650436/p/-1/t/1/fs/0/start/0/end/0/c")</f>
        <v>https://tablet.otzar.org/#/book/650436/p/-1/t/1/fs/0/start/0/end/0/c</v>
      </c>
    </row>
    <row r="1466" spans="1:8" x14ac:dyDescent="0.25">
      <c r="A1466">
        <v>651908</v>
      </c>
      <c r="B1466" t="s">
        <v>3099</v>
      </c>
      <c r="C1466" t="s">
        <v>3102</v>
      </c>
      <c r="D1466" t="s">
        <v>3103</v>
      </c>
      <c r="E1466" t="s">
        <v>2140</v>
      </c>
      <c r="G1466" t="str">
        <f>HYPERLINK(_xlfn.CONCAT("https://tablet.otzar.org/",CHAR(35),"/book/651908/p/-1/t/1/fs/0/start/0/end/0/c"),"זכר עולם")</f>
        <v>זכר עולם</v>
      </c>
      <c r="H1466" t="str">
        <f>_xlfn.CONCAT("https://tablet.otzar.org/",CHAR(35),"/book/651908/p/-1/t/1/fs/0/start/0/end/0/c")</f>
        <v>https://tablet.otzar.org/#/book/651908/p/-1/t/1/fs/0/start/0/end/0/c</v>
      </c>
    </row>
    <row r="1467" spans="1:8" x14ac:dyDescent="0.25">
      <c r="A1467">
        <v>650386</v>
      </c>
      <c r="B1467" t="s">
        <v>3104</v>
      </c>
      <c r="C1467" t="s">
        <v>3105</v>
      </c>
      <c r="D1467" t="s">
        <v>193</v>
      </c>
      <c r="E1467" t="s">
        <v>3106</v>
      </c>
      <c r="G1467" t="str">
        <f>HYPERLINK(_xlfn.CONCAT("https://tablet.otzar.org/",CHAR(35),"/book/650386/p/-1/t/1/fs/0/start/0/end/0/c"),"זכר צדיק לברכה")</f>
        <v>זכר צדיק לברכה</v>
      </c>
      <c r="H1467" t="str">
        <f>_xlfn.CONCAT("https://tablet.otzar.org/",CHAR(35),"/book/650386/p/-1/t/1/fs/0/start/0/end/0/c")</f>
        <v>https://tablet.otzar.org/#/book/650386/p/-1/t/1/fs/0/start/0/end/0/c</v>
      </c>
    </row>
    <row r="1468" spans="1:8" x14ac:dyDescent="0.25">
      <c r="A1468">
        <v>650492</v>
      </c>
      <c r="B1468" t="s">
        <v>3107</v>
      </c>
      <c r="C1468" t="s">
        <v>3108</v>
      </c>
      <c r="D1468" t="s">
        <v>10</v>
      </c>
      <c r="E1468" t="s">
        <v>70</v>
      </c>
      <c r="G1468" t="str">
        <f>HYPERLINK(_xlfn.CONCAT("https://tablet.otzar.org/",CHAR(35),"/book/650492/p/-1/t/1/fs/0/start/0/end/0/c"),"זכר צדיק לברכה &lt;הספד על מהרי""""ל דיסקין&gt;")</f>
        <v>זכר צדיק לברכה &lt;הספד על מהרי""ל דיסקין&gt;</v>
      </c>
      <c r="H1468" t="str">
        <f>_xlfn.CONCAT("https://tablet.otzar.org/",CHAR(35),"/book/650492/p/-1/t/1/fs/0/start/0/end/0/c")</f>
        <v>https://tablet.otzar.org/#/book/650492/p/-1/t/1/fs/0/start/0/end/0/c</v>
      </c>
    </row>
    <row r="1469" spans="1:8" x14ac:dyDescent="0.25">
      <c r="A1469">
        <v>651903</v>
      </c>
      <c r="B1469" t="s">
        <v>3109</v>
      </c>
      <c r="C1469" t="s">
        <v>498</v>
      </c>
      <c r="D1469" t="s">
        <v>10</v>
      </c>
      <c r="E1469" t="s">
        <v>2121</v>
      </c>
      <c r="G1469" t="str">
        <f>HYPERLINK(_xlfn.CONCAT("https://tablet.otzar.org/",CHAR(35),"/book/651903/p/-1/t/1/fs/0/start/0/end/0/c"),"זכר צדיק לברכה &lt;הספדים על מהרי""""ל דיסקין&gt;")</f>
        <v>זכר צדיק לברכה &lt;הספדים על מהרי""ל דיסקין&gt;</v>
      </c>
      <c r="H1469" t="str">
        <f>_xlfn.CONCAT("https://tablet.otzar.org/",CHAR(35),"/book/651903/p/-1/t/1/fs/0/start/0/end/0/c")</f>
        <v>https://tablet.otzar.org/#/book/651903/p/-1/t/1/fs/0/start/0/end/0/c</v>
      </c>
    </row>
    <row r="1470" spans="1:8" x14ac:dyDescent="0.25">
      <c r="A1470">
        <v>9339</v>
      </c>
      <c r="B1470" t="s">
        <v>3110</v>
      </c>
      <c r="C1470" t="s">
        <v>3111</v>
      </c>
      <c r="D1470" t="s">
        <v>10</v>
      </c>
      <c r="E1470" t="s">
        <v>710</v>
      </c>
      <c r="G1470" t="str">
        <f>HYPERLINK(_xlfn.CONCAT("https://tablet.otzar.org/",CHAR(35),"/book/9339/p/-1/t/1/fs/0/start/0/end/0/c"),"זכרון אהרן")</f>
        <v>זכרון אהרן</v>
      </c>
      <c r="H1470" t="str">
        <f>_xlfn.CONCAT("https://tablet.otzar.org/",CHAR(35),"/book/9339/p/-1/t/1/fs/0/start/0/end/0/c")</f>
        <v>https://tablet.otzar.org/#/book/9339/p/-1/t/1/fs/0/start/0/end/0/c</v>
      </c>
    </row>
    <row r="1471" spans="1:8" x14ac:dyDescent="0.25">
      <c r="A1471">
        <v>649939</v>
      </c>
      <c r="B1471" t="s">
        <v>3112</v>
      </c>
      <c r="C1471" t="s">
        <v>3113</v>
      </c>
      <c r="D1471" t="s">
        <v>58</v>
      </c>
      <c r="E1471" t="s">
        <v>1693</v>
      </c>
      <c r="G1471" t="str">
        <f>HYPERLINK(_xlfn.CONCAT("https://tablet.otzar.org/",CHAR(35),"/book/649939/p/-1/t/1/fs/0/start/0/end/0/c"),"זכרון אחי זה לעיר דוד")</f>
        <v>זכרון אחי זה לעיר דוד</v>
      </c>
      <c r="H1471" t="str">
        <f>_xlfn.CONCAT("https://tablet.otzar.org/",CHAR(35),"/book/649939/p/-1/t/1/fs/0/start/0/end/0/c")</f>
        <v>https://tablet.otzar.org/#/book/649939/p/-1/t/1/fs/0/start/0/end/0/c</v>
      </c>
    </row>
    <row r="1472" spans="1:8" x14ac:dyDescent="0.25">
      <c r="A1472">
        <v>650137</v>
      </c>
      <c r="B1472" t="s">
        <v>3114</v>
      </c>
      <c r="C1472" t="s">
        <v>3115</v>
      </c>
      <c r="D1472" t="s">
        <v>52</v>
      </c>
      <c r="E1472" t="s">
        <v>1077</v>
      </c>
      <c r="G1472" t="str">
        <f>HYPERLINK(_xlfn.CONCAT("https://tablet.otzar.org/",CHAR(35),"/book/650137/p/-1/t/1/fs/0/start/0/end/0/c"),"זכרון אשר")</f>
        <v>זכרון אשר</v>
      </c>
      <c r="H1472" t="str">
        <f>_xlfn.CONCAT("https://tablet.otzar.org/",CHAR(35),"/book/650137/p/-1/t/1/fs/0/start/0/end/0/c")</f>
        <v>https://tablet.otzar.org/#/book/650137/p/-1/t/1/fs/0/start/0/end/0/c</v>
      </c>
    </row>
    <row r="1473" spans="1:8" x14ac:dyDescent="0.25">
      <c r="A1473">
        <v>649750</v>
      </c>
      <c r="B1473" t="s">
        <v>3116</v>
      </c>
      <c r="C1473" t="s">
        <v>3117</v>
      </c>
      <c r="D1473" t="s">
        <v>58</v>
      </c>
      <c r="E1473" t="s">
        <v>3118</v>
      </c>
      <c r="G1473" t="str">
        <f>HYPERLINK(_xlfn.CONCAT("https://tablet.otzar.org/",CHAR(35),"/exKotar/649750"),"זכרון בירושלים - 2 כרכים")</f>
        <v>זכרון בירושלים - 2 כרכים</v>
      </c>
      <c r="H1473" t="str">
        <f>_xlfn.CONCAT("https://tablet.otzar.org/",CHAR(35),"/exKotar/649750")</f>
        <v>https://tablet.otzar.org/#/exKotar/649750</v>
      </c>
    </row>
    <row r="1474" spans="1:8" x14ac:dyDescent="0.25">
      <c r="A1474">
        <v>656126</v>
      </c>
      <c r="B1474" t="s">
        <v>3119</v>
      </c>
      <c r="C1474" t="s">
        <v>3120</v>
      </c>
      <c r="D1474" t="s">
        <v>10</v>
      </c>
      <c r="E1474" t="s">
        <v>35</v>
      </c>
      <c r="G1474" t="str">
        <f>HYPERLINK(_xlfn.CONCAT("https://tablet.otzar.org/",CHAR(35),"/exKotar/656126"),"זכרון בנימין זאב - 2 כרכים")</f>
        <v>זכרון בנימין זאב - 2 כרכים</v>
      </c>
      <c r="H1474" t="str">
        <f>_xlfn.CONCAT("https://tablet.otzar.org/",CHAR(35),"/exKotar/656126")</f>
        <v>https://tablet.otzar.org/#/exKotar/656126</v>
      </c>
    </row>
    <row r="1475" spans="1:8" x14ac:dyDescent="0.25">
      <c r="A1475">
        <v>654942</v>
      </c>
      <c r="B1475" t="s">
        <v>3121</v>
      </c>
      <c r="C1475" t="s">
        <v>3122</v>
      </c>
      <c r="D1475" t="s">
        <v>10</v>
      </c>
      <c r="E1475" t="s">
        <v>3123</v>
      </c>
      <c r="G1475" t="str">
        <f>HYPERLINK(_xlfn.CONCAT("https://tablet.otzar.org/",CHAR(35),"/book/654942/p/-1/t/1/fs/0/start/0/end/0/c"),"זכרון ברוך - שו""""ת מהר""""י נבון - דרושים למהר""""י נבון")</f>
        <v>זכרון ברוך - שו""ת מהר""י נבון - דרושים למהר""י נבון</v>
      </c>
      <c r="H1475" t="str">
        <f>_xlfn.CONCAT("https://tablet.otzar.org/",CHAR(35),"/book/654942/p/-1/t/1/fs/0/start/0/end/0/c")</f>
        <v>https://tablet.otzar.org/#/book/654942/p/-1/t/1/fs/0/start/0/end/0/c</v>
      </c>
    </row>
    <row r="1476" spans="1:8" x14ac:dyDescent="0.25">
      <c r="A1476">
        <v>654392</v>
      </c>
      <c r="B1476" t="s">
        <v>3124</v>
      </c>
      <c r="C1476" t="s">
        <v>3125</v>
      </c>
      <c r="D1476" t="s">
        <v>34</v>
      </c>
      <c r="E1476" t="s">
        <v>11</v>
      </c>
      <c r="G1476" t="str">
        <f>HYPERLINK(_xlfn.CONCAT("https://tablet.otzar.org/",CHAR(35),"/exKotar/654392"),"זכרון ברכה - 2 כרכים")</f>
        <v>זכרון ברכה - 2 כרכים</v>
      </c>
      <c r="H1476" t="str">
        <f>_xlfn.CONCAT("https://tablet.otzar.org/",CHAR(35),"/exKotar/654392")</f>
        <v>https://tablet.otzar.org/#/exKotar/654392</v>
      </c>
    </row>
    <row r="1477" spans="1:8" x14ac:dyDescent="0.25">
      <c r="A1477">
        <v>656935</v>
      </c>
      <c r="B1477" t="s">
        <v>3126</v>
      </c>
      <c r="C1477" t="s">
        <v>3127</v>
      </c>
      <c r="D1477" t="s">
        <v>52</v>
      </c>
      <c r="E1477" t="s">
        <v>1476</v>
      </c>
      <c r="G1477" t="str">
        <f>HYPERLINK(_xlfn.CONCAT("https://tablet.otzar.org/",CHAR(35),"/book/656935/p/-1/t/1/fs/0/start/0/end/0/c"),"זכרון דברים - חולין")</f>
        <v>זכרון דברים - חולין</v>
      </c>
      <c r="H1477" t="str">
        <f>_xlfn.CONCAT("https://tablet.otzar.org/",CHAR(35),"/book/656935/p/-1/t/1/fs/0/start/0/end/0/c")</f>
        <v>https://tablet.otzar.org/#/book/656935/p/-1/t/1/fs/0/start/0/end/0/c</v>
      </c>
    </row>
    <row r="1478" spans="1:8" x14ac:dyDescent="0.25">
      <c r="A1478">
        <v>649839</v>
      </c>
      <c r="B1478" t="s">
        <v>3128</v>
      </c>
      <c r="C1478" t="s">
        <v>3129</v>
      </c>
      <c r="D1478" t="s">
        <v>3130</v>
      </c>
      <c r="E1478" t="s">
        <v>224</v>
      </c>
      <c r="G1478" t="str">
        <f>HYPERLINK(_xlfn.CONCAT("https://tablet.otzar.org/",CHAR(35),"/exKotar/649839"),"זכרון דוד - 2 כרכים")</f>
        <v>זכרון דוד - 2 כרכים</v>
      </c>
      <c r="H1478" t="str">
        <f>_xlfn.CONCAT("https://tablet.otzar.org/",CHAR(35),"/exKotar/649839")</f>
        <v>https://tablet.otzar.org/#/exKotar/649839</v>
      </c>
    </row>
    <row r="1479" spans="1:8" x14ac:dyDescent="0.25">
      <c r="A1479">
        <v>654394</v>
      </c>
      <c r="B1479" t="s">
        <v>3131</v>
      </c>
      <c r="C1479" t="s">
        <v>3132</v>
      </c>
      <c r="D1479" t="s">
        <v>34</v>
      </c>
      <c r="E1479" t="s">
        <v>11</v>
      </c>
      <c r="G1479" t="str">
        <f>HYPERLINK(_xlfn.CONCAT("https://tablet.otzar.org/",CHAR(35),"/book/654394/p/-1/t/1/fs/0/start/0/end/0/c"),"זכרון השולחן - נדה (קפג-ר)")</f>
        <v>זכרון השולחן - נדה (קפג-ר)</v>
      </c>
      <c r="H1479" t="str">
        <f>_xlfn.CONCAT("https://tablet.otzar.org/",CHAR(35),"/book/654394/p/-1/t/1/fs/0/start/0/end/0/c")</f>
        <v>https://tablet.otzar.org/#/book/654394/p/-1/t/1/fs/0/start/0/end/0/c</v>
      </c>
    </row>
    <row r="1480" spans="1:8" x14ac:dyDescent="0.25">
      <c r="A1480">
        <v>652676</v>
      </c>
      <c r="B1480" t="s">
        <v>3133</v>
      </c>
      <c r="C1480" t="s">
        <v>3134</v>
      </c>
      <c r="D1480" t="s">
        <v>52</v>
      </c>
      <c r="E1480" t="s">
        <v>126</v>
      </c>
      <c r="G1480" t="str">
        <f>HYPERLINK(_xlfn.CONCAT("https://tablet.otzar.org/",CHAR(35),"/book/652676/p/-1/t/1/fs/0/start/0/end/0/c"),"זכרון חידושי רבי יצחק מאיר ובנו רבי יעקב")</f>
        <v>זכרון חידושי רבי יצחק מאיר ובנו רבי יעקב</v>
      </c>
      <c r="H1480" t="str">
        <f>_xlfn.CONCAT("https://tablet.otzar.org/",CHAR(35),"/book/652676/p/-1/t/1/fs/0/start/0/end/0/c")</f>
        <v>https://tablet.otzar.org/#/book/652676/p/-1/t/1/fs/0/start/0/end/0/c</v>
      </c>
    </row>
    <row r="1481" spans="1:8" x14ac:dyDescent="0.25">
      <c r="A1481">
        <v>652643</v>
      </c>
      <c r="B1481" t="s">
        <v>3135</v>
      </c>
      <c r="C1481" t="s">
        <v>3136</v>
      </c>
      <c r="D1481" t="s">
        <v>3137</v>
      </c>
      <c r="E1481">
        <v>1889</v>
      </c>
      <c r="G1481" t="str">
        <f>HYPERLINK(_xlfn.CONCAT("https://tablet.otzar.org/",CHAR(35),"/book/652643/p/-1/t/1/fs/0/start/0/end/0/c"),"זכרון יהודה")</f>
        <v>זכרון יהודה</v>
      </c>
      <c r="H1481" t="str">
        <f>_xlfn.CONCAT("https://tablet.otzar.org/",CHAR(35),"/book/652643/p/-1/t/1/fs/0/start/0/end/0/c")</f>
        <v>https://tablet.otzar.org/#/book/652643/p/-1/t/1/fs/0/start/0/end/0/c</v>
      </c>
    </row>
    <row r="1482" spans="1:8" x14ac:dyDescent="0.25">
      <c r="A1482">
        <v>650232</v>
      </c>
      <c r="B1482" t="s">
        <v>3138</v>
      </c>
      <c r="C1482" t="s">
        <v>3139</v>
      </c>
      <c r="E1482" t="s">
        <v>2648</v>
      </c>
      <c r="G1482" t="str">
        <f>HYPERLINK(_xlfn.CONCAT("https://tablet.otzar.org/",CHAR(35),"/book/650232/p/-1/t/1/fs/0/start/0/end/0/c"),"זכרון יהושע")</f>
        <v>זכרון יהושע</v>
      </c>
      <c r="H1482" t="str">
        <f>_xlfn.CONCAT("https://tablet.otzar.org/",CHAR(35),"/book/650232/p/-1/t/1/fs/0/start/0/end/0/c")</f>
        <v>https://tablet.otzar.org/#/book/650232/p/-1/t/1/fs/0/start/0/end/0/c</v>
      </c>
    </row>
    <row r="1483" spans="1:8" x14ac:dyDescent="0.25">
      <c r="A1483">
        <v>655454</v>
      </c>
      <c r="B1483" t="s">
        <v>3140</v>
      </c>
      <c r="C1483" t="s">
        <v>3141</v>
      </c>
      <c r="D1483" t="s">
        <v>10</v>
      </c>
      <c r="E1483" t="s">
        <v>2536</v>
      </c>
      <c r="G1483" t="str">
        <f>HYPERLINK(_xlfn.CONCAT("https://tablet.otzar.org/",CHAR(35),"/book/655454/p/-1/t/1/fs/0/start/0/end/0/c"),"זכרון יוסף - אבות")</f>
        <v>זכרון יוסף - אבות</v>
      </c>
      <c r="H1483" t="str">
        <f>_xlfn.CONCAT("https://tablet.otzar.org/",CHAR(35),"/book/655454/p/-1/t/1/fs/0/start/0/end/0/c")</f>
        <v>https://tablet.otzar.org/#/book/655454/p/-1/t/1/fs/0/start/0/end/0/c</v>
      </c>
    </row>
    <row r="1484" spans="1:8" x14ac:dyDescent="0.25">
      <c r="A1484">
        <v>651536</v>
      </c>
      <c r="B1484" t="s">
        <v>3142</v>
      </c>
      <c r="C1484" t="s">
        <v>3143</v>
      </c>
      <c r="D1484" t="s">
        <v>10</v>
      </c>
      <c r="E1484" t="s">
        <v>11</v>
      </c>
      <c r="G1484" t="str">
        <f>HYPERLINK(_xlfn.CONCAT("https://tablet.otzar.org/",CHAR(35),"/book/651536/p/-1/t/1/fs/0/start/0/end/0/c"),"זכרון יחזקאל אהרן - פסח")</f>
        <v>זכרון יחזקאל אהרן - פסח</v>
      </c>
      <c r="H1484" t="str">
        <f>_xlfn.CONCAT("https://tablet.otzar.org/",CHAR(35),"/book/651536/p/-1/t/1/fs/0/start/0/end/0/c")</f>
        <v>https://tablet.otzar.org/#/book/651536/p/-1/t/1/fs/0/start/0/end/0/c</v>
      </c>
    </row>
    <row r="1485" spans="1:8" x14ac:dyDescent="0.25">
      <c r="A1485">
        <v>649992</v>
      </c>
      <c r="B1485" t="s">
        <v>3144</v>
      </c>
      <c r="C1485" t="s">
        <v>3145</v>
      </c>
      <c r="D1485" t="s">
        <v>52</v>
      </c>
      <c r="E1485" t="s">
        <v>35</v>
      </c>
      <c r="G1485" t="str">
        <f>HYPERLINK(_xlfn.CONCAT("https://tablet.otzar.org/",CHAR(35),"/book/649992/p/-1/t/1/fs/0/start/0/end/0/c"),"זכרון יצחק")</f>
        <v>זכרון יצחק</v>
      </c>
      <c r="H1485" t="str">
        <f>_xlfn.CONCAT("https://tablet.otzar.org/",CHAR(35),"/book/649992/p/-1/t/1/fs/0/start/0/end/0/c")</f>
        <v>https://tablet.otzar.org/#/book/649992/p/-1/t/1/fs/0/start/0/end/0/c</v>
      </c>
    </row>
    <row r="1486" spans="1:8" x14ac:dyDescent="0.25">
      <c r="A1486">
        <v>651748</v>
      </c>
      <c r="B1486" t="s">
        <v>3146</v>
      </c>
      <c r="C1486" t="s">
        <v>3147</v>
      </c>
      <c r="E1486" t="s">
        <v>11</v>
      </c>
      <c r="G1486" t="str">
        <f>HYPERLINK(_xlfn.CONCAT("https://tablet.otzar.org/",CHAR(35),"/book/651748/p/-1/t/1/fs/0/start/0/end/0/c"),"זכרון ישעיה זושא")</f>
        <v>זכרון ישעיה זושא</v>
      </c>
      <c r="H1486" t="str">
        <f>_xlfn.CONCAT("https://tablet.otzar.org/",CHAR(35),"/book/651748/p/-1/t/1/fs/0/start/0/end/0/c")</f>
        <v>https://tablet.otzar.org/#/book/651748/p/-1/t/1/fs/0/start/0/end/0/c</v>
      </c>
    </row>
    <row r="1487" spans="1:8" x14ac:dyDescent="0.25">
      <c r="A1487">
        <v>649301</v>
      </c>
      <c r="B1487" t="s">
        <v>3148</v>
      </c>
      <c r="C1487" t="s">
        <v>3149</v>
      </c>
      <c r="D1487" t="s">
        <v>3150</v>
      </c>
      <c r="E1487" t="s">
        <v>3151</v>
      </c>
      <c r="G1487" t="str">
        <f>HYPERLINK(_xlfn.CONCAT("https://tablet.otzar.org/",CHAR(35),"/book/649301/p/-1/t/1/fs/0/start/0/end/0/c"),"זכרון למעשה בראשית")</f>
        <v>זכרון למעשה בראשית</v>
      </c>
      <c r="H1487" t="str">
        <f>_xlfn.CONCAT("https://tablet.otzar.org/",CHAR(35),"/book/649301/p/-1/t/1/fs/0/start/0/end/0/c")</f>
        <v>https://tablet.otzar.org/#/book/649301/p/-1/t/1/fs/0/start/0/end/0/c</v>
      </c>
    </row>
    <row r="1488" spans="1:8" x14ac:dyDescent="0.25">
      <c r="A1488">
        <v>652038</v>
      </c>
      <c r="B1488" t="s">
        <v>3152</v>
      </c>
      <c r="C1488" t="s">
        <v>3153</v>
      </c>
      <c r="D1488" t="s">
        <v>10</v>
      </c>
      <c r="E1488" t="s">
        <v>1364</v>
      </c>
      <c r="G1488" t="str">
        <f>HYPERLINK(_xlfn.CONCAT("https://tablet.otzar.org/",CHAR(35),"/book/652038/p/-1/t/1/fs/0/start/0/end/0/c"),"זכרון למשה")</f>
        <v>זכרון למשה</v>
      </c>
      <c r="H1488" t="str">
        <f>_xlfn.CONCAT("https://tablet.otzar.org/",CHAR(35),"/book/652038/p/-1/t/1/fs/0/start/0/end/0/c")</f>
        <v>https://tablet.otzar.org/#/book/652038/p/-1/t/1/fs/0/start/0/end/0/c</v>
      </c>
    </row>
    <row r="1489" spans="1:8" x14ac:dyDescent="0.25">
      <c r="A1489">
        <v>648018</v>
      </c>
      <c r="B1489" t="s">
        <v>3154</v>
      </c>
      <c r="C1489" t="s">
        <v>3155</v>
      </c>
      <c r="E1489" t="s">
        <v>2436</v>
      </c>
      <c r="G1489" t="str">
        <f>HYPERLINK(_xlfn.CONCAT("https://tablet.otzar.org/",CHAR(35),"/book/648018/p/-1/t/1/fs/0/start/0/end/0/c"),"זכרון משה")</f>
        <v>זכרון משה</v>
      </c>
      <c r="H1489" t="str">
        <f>_xlfn.CONCAT("https://tablet.otzar.org/",CHAR(35),"/book/648018/p/-1/t/1/fs/0/start/0/end/0/c")</f>
        <v>https://tablet.otzar.org/#/book/648018/p/-1/t/1/fs/0/start/0/end/0/c</v>
      </c>
    </row>
    <row r="1490" spans="1:8" x14ac:dyDescent="0.25">
      <c r="A1490">
        <v>655580</v>
      </c>
      <c r="B1490" t="s">
        <v>3156</v>
      </c>
      <c r="C1490" t="s">
        <v>3157</v>
      </c>
      <c r="D1490" t="s">
        <v>52</v>
      </c>
      <c r="E1490" t="s">
        <v>11</v>
      </c>
      <c r="G1490" t="str">
        <f>HYPERLINK(_xlfn.CONCAT("https://tablet.otzar.org/",CHAR(35),"/book/655580/p/-1/t/1/fs/0/start/0/end/0/c"),"זכרון נפתלי - החדש")</f>
        <v>זכרון נפתלי - החדש</v>
      </c>
      <c r="H1490" t="str">
        <f>_xlfn.CONCAT("https://tablet.otzar.org/",CHAR(35),"/book/655580/p/-1/t/1/fs/0/start/0/end/0/c")</f>
        <v>https://tablet.otzar.org/#/book/655580/p/-1/t/1/fs/0/start/0/end/0/c</v>
      </c>
    </row>
    <row r="1491" spans="1:8" x14ac:dyDescent="0.25">
      <c r="A1491">
        <v>643989</v>
      </c>
      <c r="B1491" t="s">
        <v>3158</v>
      </c>
      <c r="C1491" t="s">
        <v>3159</v>
      </c>
      <c r="D1491" t="s">
        <v>3160</v>
      </c>
      <c r="E1491" t="s">
        <v>495</v>
      </c>
      <c r="G1491" t="str">
        <f>HYPERLINK(_xlfn.CONCAT("https://tablet.otzar.org/",CHAR(35),"/book/643989/p/-1/t/1/fs/0/start/0/end/0/c"),"זכרון צבי מאיר - יג")</f>
        <v>זכרון צבי מאיר - יג</v>
      </c>
      <c r="H1491" t="str">
        <f>_xlfn.CONCAT("https://tablet.otzar.org/",CHAR(35),"/book/643989/p/-1/t/1/fs/0/start/0/end/0/c")</f>
        <v>https://tablet.otzar.org/#/book/643989/p/-1/t/1/fs/0/start/0/end/0/c</v>
      </c>
    </row>
    <row r="1492" spans="1:8" x14ac:dyDescent="0.25">
      <c r="A1492">
        <v>655477</v>
      </c>
      <c r="B1492" t="s">
        <v>3161</v>
      </c>
      <c r="C1492" t="s">
        <v>3162</v>
      </c>
      <c r="D1492" t="s">
        <v>10</v>
      </c>
      <c r="E1492" t="s">
        <v>3163</v>
      </c>
      <c r="G1492" t="str">
        <f>HYPERLINK(_xlfn.CONCAT("https://tablet.otzar.org/",CHAR(35),"/book/655477/p/-1/t/1/fs/0/start/0/end/0/c"),"זכרון תנחום")</f>
        <v>זכרון תנחום</v>
      </c>
      <c r="H1492" t="str">
        <f>_xlfn.CONCAT("https://tablet.otzar.org/",CHAR(35),"/book/655477/p/-1/t/1/fs/0/start/0/end/0/c")</f>
        <v>https://tablet.otzar.org/#/book/655477/p/-1/t/1/fs/0/start/0/end/0/c</v>
      </c>
    </row>
    <row r="1493" spans="1:8" x14ac:dyDescent="0.25">
      <c r="A1493">
        <v>653631</v>
      </c>
      <c r="B1493" t="s">
        <v>3164</v>
      </c>
      <c r="C1493" t="s">
        <v>3165</v>
      </c>
      <c r="D1493" t="s">
        <v>34</v>
      </c>
      <c r="E1493" t="s">
        <v>35</v>
      </c>
      <c r="G1493" t="str">
        <f>HYPERLINK(_xlfn.CONCAT("https://tablet.otzar.org/",CHAR(35),"/book/653631/p/-1/t/1/fs/0/start/0/end/0/c"),"זכרונה לברכה")</f>
        <v>זכרונה לברכה</v>
      </c>
      <c r="H1493" t="str">
        <f>_xlfn.CONCAT("https://tablet.otzar.org/",CHAR(35),"/book/653631/p/-1/t/1/fs/0/start/0/end/0/c")</f>
        <v>https://tablet.otzar.org/#/book/653631/p/-1/t/1/fs/0/start/0/end/0/c</v>
      </c>
    </row>
    <row r="1494" spans="1:8" x14ac:dyDescent="0.25">
      <c r="A1494">
        <v>649438</v>
      </c>
      <c r="B1494" t="s">
        <v>3166</v>
      </c>
      <c r="C1494" t="s">
        <v>3167</v>
      </c>
      <c r="D1494" t="s">
        <v>3050</v>
      </c>
      <c r="E1494" t="s">
        <v>3168</v>
      </c>
      <c r="G1494" t="str">
        <f>HYPERLINK(_xlfn.CONCAT("https://tablet.otzar.org/",CHAR(35),"/book/649438/p/-1/t/1/fs/0/start/0/end/0/c"),"זכרונות מן חברת כל ישראל חברים")</f>
        <v>זכרונות מן חברת כל ישראל חברים</v>
      </c>
      <c r="H1494" t="str">
        <f>_xlfn.CONCAT("https://tablet.otzar.org/",CHAR(35),"/book/649438/p/-1/t/1/fs/0/start/0/end/0/c")</f>
        <v>https://tablet.otzar.org/#/book/649438/p/-1/t/1/fs/0/start/0/end/0/c</v>
      </c>
    </row>
    <row r="1495" spans="1:8" x14ac:dyDescent="0.25">
      <c r="A1495">
        <v>652718</v>
      </c>
      <c r="B1495" t="s">
        <v>3169</v>
      </c>
      <c r="C1495" t="s">
        <v>3170</v>
      </c>
      <c r="D1495" t="s">
        <v>10</v>
      </c>
      <c r="E1495" t="s">
        <v>70</v>
      </c>
      <c r="G1495" t="str">
        <f>HYPERLINK(_xlfn.CONCAT("https://tablet.otzar.org/",CHAR(35),"/book/652718/p/-1/t/1/fs/0/start/0/end/0/c"),"זכרונות רמב""""ח")</f>
        <v>זכרונות רמב""ח</v>
      </c>
      <c r="H1495" t="str">
        <f>_xlfn.CONCAT("https://tablet.otzar.org/",CHAR(35),"/book/652718/p/-1/t/1/fs/0/start/0/end/0/c")</f>
        <v>https://tablet.otzar.org/#/book/652718/p/-1/t/1/fs/0/start/0/end/0/c</v>
      </c>
    </row>
    <row r="1496" spans="1:8" x14ac:dyDescent="0.25">
      <c r="A1496">
        <v>652584</v>
      </c>
      <c r="B1496" t="s">
        <v>3171</v>
      </c>
      <c r="C1496" t="s">
        <v>3172</v>
      </c>
      <c r="E1496" t="s">
        <v>357</v>
      </c>
      <c r="G1496" t="str">
        <f>HYPERLINK(_xlfn.CONCAT("https://tablet.otzar.org/",CHAR(35),"/book/652584/p/-1/t/1/fs/0/start/0/end/0/c"),"זכרנו לחיים")</f>
        <v>זכרנו לחיים</v>
      </c>
      <c r="H1496" t="str">
        <f>_xlfn.CONCAT("https://tablet.otzar.org/",CHAR(35),"/book/652584/p/-1/t/1/fs/0/start/0/end/0/c")</f>
        <v>https://tablet.otzar.org/#/book/652584/p/-1/t/1/fs/0/start/0/end/0/c</v>
      </c>
    </row>
    <row r="1497" spans="1:8" x14ac:dyDescent="0.25">
      <c r="A1497">
        <v>653225</v>
      </c>
      <c r="B1497" t="s">
        <v>3171</v>
      </c>
      <c r="C1497" t="s">
        <v>3173</v>
      </c>
      <c r="D1497" t="s">
        <v>52</v>
      </c>
      <c r="E1497" t="s">
        <v>45</v>
      </c>
      <c r="G1497" t="str">
        <f>HYPERLINK(_xlfn.CONCAT("https://tablet.otzar.org/",CHAR(35),"/book/653225/p/-1/t/1/fs/0/start/0/end/0/c"),"זכרנו לחיים")</f>
        <v>זכרנו לחיים</v>
      </c>
      <c r="H1497" t="str">
        <f>_xlfn.CONCAT("https://tablet.otzar.org/",CHAR(35),"/book/653225/p/-1/t/1/fs/0/start/0/end/0/c")</f>
        <v>https://tablet.otzar.org/#/book/653225/p/-1/t/1/fs/0/start/0/end/0/c</v>
      </c>
    </row>
    <row r="1498" spans="1:8" x14ac:dyDescent="0.25">
      <c r="A1498">
        <v>650194</v>
      </c>
      <c r="B1498" t="s">
        <v>3174</v>
      </c>
      <c r="C1498" t="s">
        <v>3175</v>
      </c>
      <c r="D1498" t="s">
        <v>10</v>
      </c>
      <c r="E1498" t="s">
        <v>558</v>
      </c>
      <c r="G1498" t="str">
        <f>HYPERLINK(_xlfn.CONCAT("https://tablet.otzar.org/",CHAR(35),"/book/650194/p/-1/t/1/fs/0/start/0/end/0/c"),"זמירות לשבת עם ילקוט נהורא דשבתא")</f>
        <v>זמירות לשבת עם ילקוט נהורא דשבתא</v>
      </c>
      <c r="H1498" t="str">
        <f>_xlfn.CONCAT("https://tablet.otzar.org/",CHAR(35),"/book/650194/p/-1/t/1/fs/0/start/0/end/0/c")</f>
        <v>https://tablet.otzar.org/#/book/650194/p/-1/t/1/fs/0/start/0/end/0/c</v>
      </c>
    </row>
    <row r="1499" spans="1:8" x14ac:dyDescent="0.25">
      <c r="A1499">
        <v>650172</v>
      </c>
      <c r="B1499" t="s">
        <v>3176</v>
      </c>
      <c r="C1499" t="s">
        <v>3177</v>
      </c>
      <c r="D1499" t="s">
        <v>10</v>
      </c>
      <c r="E1499" t="s">
        <v>62</v>
      </c>
      <c r="G1499" t="str">
        <f>HYPERLINK(_xlfn.CONCAT("https://tablet.otzar.org/",CHAR(35),"/book/650172/p/-1/t/1/fs/0/start/0/end/0/c"),"זמירות לשבת קודש &lt;מזמור לדוד&gt; לעלוב")</f>
        <v>זמירות לשבת קודש &lt;מזמור לדוד&gt; לעלוב</v>
      </c>
      <c r="H1499" t="str">
        <f>_xlfn.CONCAT("https://tablet.otzar.org/",CHAR(35),"/book/650172/p/-1/t/1/fs/0/start/0/end/0/c")</f>
        <v>https://tablet.otzar.org/#/book/650172/p/-1/t/1/fs/0/start/0/end/0/c</v>
      </c>
    </row>
    <row r="1500" spans="1:8" x14ac:dyDescent="0.25">
      <c r="A1500">
        <v>654344</v>
      </c>
      <c r="B1500" t="s">
        <v>3178</v>
      </c>
      <c r="C1500" t="s">
        <v>3179</v>
      </c>
      <c r="E1500" t="s">
        <v>35</v>
      </c>
      <c r="G1500" t="str">
        <f>HYPERLINK(_xlfn.CONCAT("https://tablet.otzar.org/",CHAR(35),"/book/654344/p/-1/t/1/fs/0/start/0/end/0/c"),"זמירות לשבת קודש {צמאה נפשי}")</f>
        <v>זמירות לשבת קודש {צמאה נפשי}</v>
      </c>
      <c r="H1500" t="str">
        <f>_xlfn.CONCAT("https://tablet.otzar.org/",CHAR(35),"/book/654344/p/-1/t/1/fs/0/start/0/end/0/c")</f>
        <v>https://tablet.otzar.org/#/book/654344/p/-1/t/1/fs/0/start/0/end/0/c</v>
      </c>
    </row>
    <row r="1501" spans="1:8" x14ac:dyDescent="0.25">
      <c r="A1501">
        <v>649762</v>
      </c>
      <c r="B1501" t="s">
        <v>3180</v>
      </c>
      <c r="C1501" t="s">
        <v>2361</v>
      </c>
      <c r="D1501" t="s">
        <v>10</v>
      </c>
      <c r="E1501" t="s">
        <v>352</v>
      </c>
      <c r="G1501" t="str">
        <f>HYPERLINK(_xlfn.CONCAT("https://tablet.otzar.org/",CHAR(35),"/book/649762/p/-1/t/1/fs/0/start/0/end/0/c"),"זמירות לשבת קודש מהרש""""ם")</f>
        <v>זמירות לשבת קודש מהרש""ם</v>
      </c>
      <c r="H1501" t="str">
        <f>_xlfn.CONCAT("https://tablet.otzar.org/",CHAR(35),"/book/649762/p/-1/t/1/fs/0/start/0/end/0/c")</f>
        <v>https://tablet.otzar.org/#/book/649762/p/-1/t/1/fs/0/start/0/end/0/c</v>
      </c>
    </row>
    <row r="1502" spans="1:8" x14ac:dyDescent="0.25">
      <c r="A1502">
        <v>640961</v>
      </c>
      <c r="B1502" t="s">
        <v>3181</v>
      </c>
      <c r="C1502" t="s">
        <v>3182</v>
      </c>
      <c r="D1502" t="s">
        <v>88</v>
      </c>
      <c r="E1502" t="s">
        <v>690</v>
      </c>
      <c r="G1502" t="str">
        <f>HYPERLINK(_xlfn.CONCAT("https://tablet.otzar.org/",CHAR(35),"/book/640961/p/-1/t/1/fs/0/start/0/end/0/c"),"זמירות לשבת קודש עם פניני קדושת לוי")</f>
        <v>זמירות לשבת קודש עם פניני קדושת לוי</v>
      </c>
      <c r="H1502" t="str">
        <f>_xlfn.CONCAT("https://tablet.otzar.org/",CHAR(35),"/book/640961/p/-1/t/1/fs/0/start/0/end/0/c")</f>
        <v>https://tablet.otzar.org/#/book/640961/p/-1/t/1/fs/0/start/0/end/0/c</v>
      </c>
    </row>
    <row r="1503" spans="1:8" x14ac:dyDescent="0.25">
      <c r="A1503">
        <v>649832</v>
      </c>
      <c r="B1503" t="s">
        <v>3183</v>
      </c>
      <c r="C1503" t="s">
        <v>3184</v>
      </c>
      <c r="E1503" t="s">
        <v>11</v>
      </c>
      <c r="G1503" t="str">
        <f>HYPERLINK(_xlfn.CONCAT("https://tablet.otzar.org/",CHAR(35),"/book/649832/p/-1/t/1/fs/0/start/0/end/0/c"),"זמירות קודש לשבת ברך משה")</f>
        <v>זמירות קודש לשבת ברך משה</v>
      </c>
      <c r="H1503" t="str">
        <f>_xlfn.CONCAT("https://tablet.otzar.org/",CHAR(35),"/book/649832/p/-1/t/1/fs/0/start/0/end/0/c")</f>
        <v>https://tablet.otzar.org/#/book/649832/p/-1/t/1/fs/0/start/0/end/0/c</v>
      </c>
    </row>
    <row r="1504" spans="1:8" x14ac:dyDescent="0.25">
      <c r="A1504">
        <v>648143</v>
      </c>
      <c r="B1504" t="s">
        <v>3185</v>
      </c>
      <c r="C1504" t="s">
        <v>2243</v>
      </c>
      <c r="D1504" t="s">
        <v>10</v>
      </c>
      <c r="E1504" t="s">
        <v>690</v>
      </c>
      <c r="G1504" t="str">
        <f>HYPERLINK(_xlfn.CONCAT("https://tablet.otzar.org/",CHAR(35),"/book/648143/p/-1/t/1/fs/0/start/0/end/0/c"),"זמירות שבת")</f>
        <v>זמירות שבת</v>
      </c>
      <c r="H1504" t="str">
        <f>_xlfn.CONCAT("https://tablet.otzar.org/",CHAR(35),"/book/648143/p/-1/t/1/fs/0/start/0/end/0/c")</f>
        <v>https://tablet.otzar.org/#/book/648143/p/-1/t/1/fs/0/start/0/end/0/c</v>
      </c>
    </row>
    <row r="1505" spans="1:8" x14ac:dyDescent="0.25">
      <c r="A1505">
        <v>656133</v>
      </c>
      <c r="B1505" t="s">
        <v>3186</v>
      </c>
      <c r="C1505" t="s">
        <v>3187</v>
      </c>
      <c r="D1505" t="s">
        <v>34</v>
      </c>
      <c r="E1505" t="s">
        <v>45</v>
      </c>
      <c r="G1505" t="str">
        <f>HYPERLINK(_xlfn.CONCAT("https://tablet.otzar.org/",CHAR(35),"/book/656133/p/-1/t/1/fs/0/start/0/end/0/c"),"זמירות שבת עלי באר")</f>
        <v>זמירות שבת עלי באר</v>
      </c>
      <c r="H1505" t="str">
        <f>_xlfn.CONCAT("https://tablet.otzar.org/",CHAR(35),"/book/656133/p/-1/t/1/fs/0/start/0/end/0/c")</f>
        <v>https://tablet.otzar.org/#/book/656133/p/-1/t/1/fs/0/start/0/end/0/c</v>
      </c>
    </row>
    <row r="1506" spans="1:8" x14ac:dyDescent="0.25">
      <c r="A1506">
        <v>650153</v>
      </c>
      <c r="B1506" t="s">
        <v>3188</v>
      </c>
      <c r="C1506" t="s">
        <v>3189</v>
      </c>
      <c r="D1506" t="s">
        <v>10</v>
      </c>
      <c r="E1506" t="s">
        <v>383</v>
      </c>
      <c r="G1506" t="str">
        <f>HYPERLINK(_xlfn.CONCAT("https://tablet.otzar.org/",CHAR(35),"/book/650153/p/-1/t/1/fs/0/start/0/end/0/c"),"זמירות שבת קודש קול מנחם")</f>
        <v>זמירות שבת קודש קול מנחם</v>
      </c>
      <c r="H1506" t="str">
        <f>_xlfn.CONCAT("https://tablet.otzar.org/",CHAR(35),"/book/650153/p/-1/t/1/fs/0/start/0/end/0/c")</f>
        <v>https://tablet.otzar.org/#/book/650153/p/-1/t/1/fs/0/start/0/end/0/c</v>
      </c>
    </row>
    <row r="1507" spans="1:8" x14ac:dyDescent="0.25">
      <c r="A1507">
        <v>648877</v>
      </c>
      <c r="B1507" t="s">
        <v>3190</v>
      </c>
      <c r="C1507" t="s">
        <v>2104</v>
      </c>
      <c r="D1507" t="s">
        <v>52</v>
      </c>
      <c r="E1507" t="s">
        <v>383</v>
      </c>
      <c r="G1507" t="str">
        <f>HYPERLINK(_xlfn.CONCAT("https://tablet.otzar.org/",CHAR(35),"/book/648877/p/-1/t/1/fs/0/start/0/end/0/c"),"זמן הקרבת הפסח במשנת הדבר יהושע")</f>
        <v>זמן הקרבת הפסח במשנת הדבר יהושע</v>
      </c>
      <c r="H1507" t="str">
        <f>_xlfn.CONCAT("https://tablet.otzar.org/",CHAR(35),"/book/648877/p/-1/t/1/fs/0/start/0/end/0/c")</f>
        <v>https://tablet.otzar.org/#/book/648877/p/-1/t/1/fs/0/start/0/end/0/c</v>
      </c>
    </row>
    <row r="1508" spans="1:8" x14ac:dyDescent="0.25">
      <c r="A1508">
        <v>656237</v>
      </c>
      <c r="B1508" t="s">
        <v>3191</v>
      </c>
      <c r="C1508" t="s">
        <v>3192</v>
      </c>
      <c r="D1508" t="s">
        <v>10</v>
      </c>
      <c r="E1508" t="s">
        <v>35</v>
      </c>
      <c r="G1508" t="str">
        <f>HYPERLINK(_xlfn.CONCAT("https://tablet.otzar.org/",CHAR(35),"/book/656237/p/-1/t/1/fs/0/start/0/end/0/c"),"זמן חרותנו")</f>
        <v>זמן חרותנו</v>
      </c>
      <c r="H1508" t="str">
        <f>_xlfn.CONCAT("https://tablet.otzar.org/",CHAR(35),"/book/656237/p/-1/t/1/fs/0/start/0/end/0/c")</f>
        <v>https://tablet.otzar.org/#/book/656237/p/-1/t/1/fs/0/start/0/end/0/c</v>
      </c>
    </row>
    <row r="1509" spans="1:8" x14ac:dyDescent="0.25">
      <c r="A1509">
        <v>647896</v>
      </c>
      <c r="B1509" t="s">
        <v>3193</v>
      </c>
      <c r="C1509" t="s">
        <v>3194</v>
      </c>
      <c r="D1509" t="s">
        <v>3195</v>
      </c>
      <c r="E1509" t="s">
        <v>3196</v>
      </c>
      <c r="G1509" t="str">
        <f>HYPERLINK(_xlfn.CONCAT("https://tablet.otzar.org/",CHAR(35),"/book/647896/p/-1/t/1/fs/0/start/0/end/0/c"),"זמרת הארץ")</f>
        <v>זמרת הארץ</v>
      </c>
      <c r="H1509" t="str">
        <f>_xlfn.CONCAT("https://tablet.otzar.org/",CHAR(35),"/book/647896/p/-1/t/1/fs/0/start/0/end/0/c")</f>
        <v>https://tablet.otzar.org/#/book/647896/p/-1/t/1/fs/0/start/0/end/0/c</v>
      </c>
    </row>
    <row r="1510" spans="1:8" x14ac:dyDescent="0.25">
      <c r="A1510">
        <v>649557</v>
      </c>
      <c r="B1510" t="s">
        <v>3193</v>
      </c>
      <c r="C1510" t="s">
        <v>3197</v>
      </c>
      <c r="D1510" t="s">
        <v>3198</v>
      </c>
      <c r="E1510" t="s">
        <v>3199</v>
      </c>
      <c r="G1510" t="str">
        <f>HYPERLINK(_xlfn.CONCAT("https://tablet.otzar.org/",CHAR(35),"/book/649557/p/-1/t/1/fs/0/start/0/end/0/c"),"זמרת הארץ")</f>
        <v>זמרת הארץ</v>
      </c>
      <c r="H1510" t="str">
        <f>_xlfn.CONCAT("https://tablet.otzar.org/",CHAR(35),"/book/649557/p/-1/t/1/fs/0/start/0/end/0/c")</f>
        <v>https://tablet.otzar.org/#/book/649557/p/-1/t/1/fs/0/start/0/end/0/c</v>
      </c>
    </row>
    <row r="1511" spans="1:8" x14ac:dyDescent="0.25">
      <c r="A1511">
        <v>647923</v>
      </c>
      <c r="B1511" t="s">
        <v>3200</v>
      </c>
      <c r="C1511" t="s">
        <v>2739</v>
      </c>
      <c r="D1511" t="s">
        <v>58</v>
      </c>
      <c r="E1511" t="s">
        <v>2051</v>
      </c>
      <c r="G1511" t="str">
        <f>HYPERLINK(_xlfn.CONCAT("https://tablet.otzar.org/",CHAR(35),"/exKotar/647923"),"זמרת הארץ - 2 כרכים")</f>
        <v>זמרת הארץ - 2 כרכים</v>
      </c>
      <c r="H1511" t="str">
        <f>_xlfn.CONCAT("https://tablet.otzar.org/",CHAR(35),"/exKotar/647923")</f>
        <v>https://tablet.otzar.org/#/exKotar/647923</v>
      </c>
    </row>
    <row r="1512" spans="1:8" x14ac:dyDescent="0.25">
      <c r="A1512">
        <v>654493</v>
      </c>
      <c r="B1512" t="s">
        <v>3201</v>
      </c>
      <c r="C1512" t="s">
        <v>3202</v>
      </c>
      <c r="D1512" t="s">
        <v>510</v>
      </c>
      <c r="E1512" t="s">
        <v>11</v>
      </c>
      <c r="G1512" t="str">
        <f>HYPERLINK(_xlfn.CONCAT("https://tablet.otzar.org/",CHAR(35),"/book/654493/p/-1/t/1/fs/0/start/0/end/0/c"),"זר זהב")</f>
        <v>זר זהב</v>
      </c>
      <c r="H1512" t="str">
        <f>_xlfn.CONCAT("https://tablet.otzar.org/",CHAR(35),"/book/654493/p/-1/t/1/fs/0/start/0/end/0/c")</f>
        <v>https://tablet.otzar.org/#/book/654493/p/-1/t/1/fs/0/start/0/end/0/c</v>
      </c>
    </row>
    <row r="1513" spans="1:8" x14ac:dyDescent="0.25">
      <c r="A1513">
        <v>654110</v>
      </c>
      <c r="B1513" t="s">
        <v>3203</v>
      </c>
      <c r="C1513" t="s">
        <v>3204</v>
      </c>
      <c r="D1513" t="s">
        <v>10</v>
      </c>
      <c r="E1513" t="s">
        <v>200</v>
      </c>
      <c r="G1513" t="str">
        <f>HYPERLINK(_xlfn.CONCAT("https://tablet.otzar.org/",CHAR(35),"/book/654110/p/-1/t/1/fs/0/start/0/end/0/c"),"זריעה ובנין בחינוך")</f>
        <v>זריעה ובנין בחינוך</v>
      </c>
      <c r="H1513" t="str">
        <f>_xlfn.CONCAT("https://tablet.otzar.org/",CHAR(35),"/book/654110/p/-1/t/1/fs/0/start/0/end/0/c")</f>
        <v>https://tablet.otzar.org/#/book/654110/p/-1/t/1/fs/0/start/0/end/0/c</v>
      </c>
    </row>
    <row r="1514" spans="1:8" x14ac:dyDescent="0.25">
      <c r="A1514">
        <v>648965</v>
      </c>
      <c r="B1514" t="s">
        <v>3205</v>
      </c>
      <c r="C1514" t="s">
        <v>3206</v>
      </c>
      <c r="E1514" t="s">
        <v>70</v>
      </c>
      <c r="G1514" t="str">
        <f>HYPERLINK(_xlfn.CONCAT("https://tablet.otzar.org/",CHAR(35),"/book/648965/p/-1/t/1/fs/0/start/0/end/0/c"),"זרמים ורמזים - א")</f>
        <v>זרמים ורמזים - א</v>
      </c>
      <c r="H1514" t="str">
        <f>_xlfn.CONCAT("https://tablet.otzar.org/",CHAR(35),"/book/648965/p/-1/t/1/fs/0/start/0/end/0/c")</f>
        <v>https://tablet.otzar.org/#/book/648965/p/-1/t/1/fs/0/start/0/end/0/c</v>
      </c>
    </row>
    <row r="1515" spans="1:8" x14ac:dyDescent="0.25">
      <c r="A1515">
        <v>648988</v>
      </c>
      <c r="B1515" t="s">
        <v>3207</v>
      </c>
      <c r="C1515" t="s">
        <v>1164</v>
      </c>
      <c r="D1515" t="s">
        <v>34</v>
      </c>
      <c r="E1515" t="s">
        <v>70</v>
      </c>
      <c r="G1515" t="str">
        <f>HYPERLINK(_xlfn.CONCAT("https://tablet.otzar.org/",CHAR(35),"/book/648988/p/-1/t/1/fs/0/start/0/end/0/c"),"זרע אברהם אוהבי - א")</f>
        <v>זרע אברהם אוהבי - א</v>
      </c>
      <c r="H1515" t="str">
        <f>_xlfn.CONCAT("https://tablet.otzar.org/",CHAR(35),"/book/648988/p/-1/t/1/fs/0/start/0/end/0/c")</f>
        <v>https://tablet.otzar.org/#/book/648988/p/-1/t/1/fs/0/start/0/end/0/c</v>
      </c>
    </row>
    <row r="1516" spans="1:8" x14ac:dyDescent="0.25">
      <c r="A1516">
        <v>654812</v>
      </c>
      <c r="B1516" t="s">
        <v>3208</v>
      </c>
      <c r="C1516" t="s">
        <v>3209</v>
      </c>
      <c r="D1516" t="s">
        <v>10</v>
      </c>
      <c r="E1516" t="s">
        <v>11</v>
      </c>
      <c r="G1516" t="str">
        <f>HYPERLINK(_xlfn.CONCAT("https://tablet.otzar.org/",CHAR(35),"/exKotar/654812"),"זרע אמת &lt;מהדורת אהבת שלום&gt; - 3 כרכים")</f>
        <v>זרע אמת &lt;מהדורת אהבת שלום&gt; - 3 כרכים</v>
      </c>
      <c r="H1516" t="str">
        <f>_xlfn.CONCAT("https://tablet.otzar.org/",CHAR(35),"/exKotar/654812")</f>
        <v>https://tablet.otzar.org/#/exKotar/654812</v>
      </c>
    </row>
    <row r="1517" spans="1:8" x14ac:dyDescent="0.25">
      <c r="A1517">
        <v>649907</v>
      </c>
      <c r="B1517" t="s">
        <v>3210</v>
      </c>
      <c r="C1517" t="s">
        <v>3211</v>
      </c>
      <c r="D1517" t="s">
        <v>347</v>
      </c>
      <c r="E1517" t="s">
        <v>35</v>
      </c>
      <c r="G1517" t="str">
        <f>HYPERLINK(_xlfn.CONCAT("https://tablet.otzar.org/",CHAR(35),"/exKotar/649907"),"זרע יהודה - 3 כרכים")</f>
        <v>זרע יהודה - 3 כרכים</v>
      </c>
      <c r="H1517" t="str">
        <f>_xlfn.CONCAT("https://tablet.otzar.org/",CHAR(35),"/exKotar/649907")</f>
        <v>https://tablet.otzar.org/#/exKotar/649907</v>
      </c>
    </row>
    <row r="1518" spans="1:8" x14ac:dyDescent="0.25">
      <c r="A1518">
        <v>649962</v>
      </c>
      <c r="B1518" t="s">
        <v>3212</v>
      </c>
      <c r="C1518" t="s">
        <v>3213</v>
      </c>
      <c r="D1518" t="s">
        <v>10</v>
      </c>
      <c r="E1518" t="s">
        <v>84</v>
      </c>
      <c r="G1518" t="str">
        <f>HYPERLINK(_xlfn.CONCAT("https://tablet.otzar.org/",CHAR(35),"/exKotar/649962"),"זרע יצחק - 7 כרכים")</f>
        <v>זרע יצחק - 7 כרכים</v>
      </c>
      <c r="H1518" t="str">
        <f>_xlfn.CONCAT("https://tablet.otzar.org/",CHAR(35),"/exKotar/649962")</f>
        <v>https://tablet.otzar.org/#/exKotar/649962</v>
      </c>
    </row>
    <row r="1519" spans="1:8" x14ac:dyDescent="0.25">
      <c r="A1519">
        <v>649743</v>
      </c>
      <c r="B1519" t="s">
        <v>3214</v>
      </c>
      <c r="C1519" t="s">
        <v>3215</v>
      </c>
      <c r="D1519" t="s">
        <v>10</v>
      </c>
      <c r="E1519" t="s">
        <v>84</v>
      </c>
      <c r="G1519" t="str">
        <f>HYPERLINK(_xlfn.CONCAT("https://tablet.otzar.org/",CHAR(35),"/book/649743/p/-1/t/1/fs/0/start/0/end/0/c"),"חבורות שנכתבו על סדר הסוגיות - כתובות")</f>
        <v>חבורות שנכתבו על סדר הסוגיות - כתובות</v>
      </c>
      <c r="H1519" t="str">
        <f>_xlfn.CONCAT("https://tablet.otzar.org/",CHAR(35),"/book/649743/p/-1/t/1/fs/0/start/0/end/0/c")</f>
        <v>https://tablet.otzar.org/#/book/649743/p/-1/t/1/fs/0/start/0/end/0/c</v>
      </c>
    </row>
    <row r="1520" spans="1:8" x14ac:dyDescent="0.25">
      <c r="A1520">
        <v>650183</v>
      </c>
      <c r="B1520" t="s">
        <v>3216</v>
      </c>
      <c r="C1520" t="s">
        <v>738</v>
      </c>
      <c r="D1520" t="s">
        <v>10</v>
      </c>
      <c r="E1520" t="s">
        <v>62</v>
      </c>
      <c r="G1520" t="str">
        <f>HYPERLINK(_xlfn.CONCAT("https://tablet.otzar.org/",CHAR(35),"/book/650183/p/-1/t/1/fs/0/start/0/end/0/c"),"חבוש על ראשך פארך")</f>
        <v>חבוש על ראשך פארך</v>
      </c>
      <c r="H1520" t="str">
        <f>_xlfn.CONCAT("https://tablet.otzar.org/",CHAR(35),"/book/650183/p/-1/t/1/fs/0/start/0/end/0/c")</f>
        <v>https://tablet.otzar.org/#/book/650183/p/-1/t/1/fs/0/start/0/end/0/c</v>
      </c>
    </row>
    <row r="1521" spans="1:8" x14ac:dyDescent="0.25">
      <c r="A1521">
        <v>648990</v>
      </c>
      <c r="B1521" t="s">
        <v>3217</v>
      </c>
      <c r="C1521" t="s">
        <v>3218</v>
      </c>
      <c r="D1521" t="s">
        <v>10</v>
      </c>
      <c r="E1521" t="s">
        <v>11</v>
      </c>
      <c r="G1521" t="str">
        <f>HYPERLINK(_xlfn.CONCAT("https://tablet.otzar.org/",CHAR(35),"/book/648990/p/-1/t/1/fs/0/start/0/end/0/c"),"חביבים יסורים")</f>
        <v>חביבים יסורים</v>
      </c>
      <c r="H1521" t="str">
        <f>_xlfn.CONCAT("https://tablet.otzar.org/",CHAR(35),"/book/648990/p/-1/t/1/fs/0/start/0/end/0/c")</f>
        <v>https://tablet.otzar.org/#/book/648990/p/-1/t/1/fs/0/start/0/end/0/c</v>
      </c>
    </row>
    <row r="1522" spans="1:8" x14ac:dyDescent="0.25">
      <c r="A1522">
        <v>656136</v>
      </c>
      <c r="B1522" t="s">
        <v>3219</v>
      </c>
      <c r="C1522" t="s">
        <v>3220</v>
      </c>
      <c r="D1522" t="s">
        <v>1053</v>
      </c>
      <c r="E1522" t="s">
        <v>45</v>
      </c>
      <c r="G1522" t="str">
        <f>HYPERLINK(_xlfn.CONCAT("https://tablet.otzar.org/",CHAR(35),"/book/656136/p/-1/t/1/fs/0/start/0/end/0/c"),"חבל הכסף")</f>
        <v>חבל הכסף</v>
      </c>
      <c r="H1522" t="str">
        <f>_xlfn.CONCAT("https://tablet.otzar.org/",CHAR(35),"/book/656136/p/-1/t/1/fs/0/start/0/end/0/c")</f>
        <v>https://tablet.otzar.org/#/book/656136/p/-1/t/1/fs/0/start/0/end/0/c</v>
      </c>
    </row>
    <row r="1523" spans="1:8" x14ac:dyDescent="0.25">
      <c r="A1523">
        <v>650761</v>
      </c>
      <c r="B1523" t="s">
        <v>3221</v>
      </c>
      <c r="C1523" t="s">
        <v>3222</v>
      </c>
      <c r="D1523" t="s">
        <v>10</v>
      </c>
      <c r="E1523" t="s">
        <v>11</v>
      </c>
      <c r="G1523" t="str">
        <f>HYPERLINK(_xlfn.CONCAT("https://tablet.otzar.org/",CHAR(35),"/book/650761/p/-1/t/1/fs/0/start/0/end/0/c"),"חבל יוסף אולם המשפט &lt;מהדורה חדשה&gt;")</f>
        <v>חבל יוסף אולם המשפט &lt;מהדורה חדשה&gt;</v>
      </c>
      <c r="H1523" t="str">
        <f>_xlfn.CONCAT("https://tablet.otzar.org/",CHAR(35),"/book/650761/p/-1/t/1/fs/0/start/0/end/0/c")</f>
        <v>https://tablet.otzar.org/#/book/650761/p/-1/t/1/fs/0/start/0/end/0/c</v>
      </c>
    </row>
    <row r="1524" spans="1:8" x14ac:dyDescent="0.25">
      <c r="A1524">
        <v>653501</v>
      </c>
      <c r="B1524" t="s">
        <v>3223</v>
      </c>
      <c r="C1524" t="s">
        <v>3224</v>
      </c>
      <c r="D1524" t="s">
        <v>3225</v>
      </c>
      <c r="E1524" t="s">
        <v>11</v>
      </c>
      <c r="G1524" t="str">
        <f>HYPERLINK(_xlfn.CONCAT("https://tablet.otzar.org/",CHAR(35),"/book/653501/p/-1/t/1/fs/0/start/0/end/0/c"),"חבל נחלתו - כו")</f>
        <v>חבל נחלתו - כו</v>
      </c>
      <c r="H1524" t="str">
        <f>_xlfn.CONCAT("https://tablet.otzar.org/",CHAR(35),"/book/653501/p/-1/t/1/fs/0/start/0/end/0/c")</f>
        <v>https://tablet.otzar.org/#/book/653501/p/-1/t/1/fs/0/start/0/end/0/c</v>
      </c>
    </row>
    <row r="1525" spans="1:8" x14ac:dyDescent="0.25">
      <c r="A1525">
        <v>647413</v>
      </c>
      <c r="B1525" t="s">
        <v>3226</v>
      </c>
      <c r="C1525" t="s">
        <v>3227</v>
      </c>
      <c r="D1525" t="s">
        <v>181</v>
      </c>
      <c r="E1525" t="s">
        <v>45</v>
      </c>
      <c r="G1525" t="str">
        <f>HYPERLINK(_xlfn.CONCAT("https://tablet.otzar.org/",CHAR(35),"/exKotar/647413"),"חבל נחלתו - 3 כרכים")</f>
        <v>חבל נחלתו - 3 כרכים</v>
      </c>
      <c r="H1525" t="str">
        <f>_xlfn.CONCAT("https://tablet.otzar.org/",CHAR(35),"/exKotar/647413")</f>
        <v>https://tablet.otzar.org/#/exKotar/647413</v>
      </c>
    </row>
    <row r="1526" spans="1:8" x14ac:dyDescent="0.25">
      <c r="A1526">
        <v>650494</v>
      </c>
      <c r="B1526" t="s">
        <v>3228</v>
      </c>
      <c r="C1526" t="s">
        <v>3229</v>
      </c>
      <c r="D1526" t="s">
        <v>58</v>
      </c>
      <c r="E1526" t="s">
        <v>719</v>
      </c>
      <c r="G1526" t="str">
        <f>HYPERLINK(_xlfn.CONCAT("https://tablet.otzar.org/",CHAR(35),"/book/650494/p/-1/t/1/fs/0/start/0/end/0/c"),"חברא מחזירי עטרה ליושנה")</f>
        <v>חברא מחזירי עטרה ליושנה</v>
      </c>
      <c r="H1526" t="str">
        <f>_xlfn.CONCAT("https://tablet.otzar.org/",CHAR(35),"/book/650494/p/-1/t/1/fs/0/start/0/end/0/c")</f>
        <v>https://tablet.otzar.org/#/book/650494/p/-1/t/1/fs/0/start/0/end/0/c</v>
      </c>
    </row>
    <row r="1527" spans="1:8" x14ac:dyDescent="0.25">
      <c r="A1527">
        <v>649151</v>
      </c>
      <c r="B1527" t="s">
        <v>3230</v>
      </c>
      <c r="C1527" t="s">
        <v>3231</v>
      </c>
      <c r="D1527" t="s">
        <v>2972</v>
      </c>
      <c r="E1527" t="s">
        <v>1077</v>
      </c>
      <c r="G1527" t="str">
        <f>HYPERLINK(_xlfn.CONCAT("https://tablet.otzar.org/",CHAR(35),"/exKotar/649151"),"חברה והלכה - 3 כרכים")</f>
        <v>חברה והלכה - 3 כרכים</v>
      </c>
      <c r="H1527" t="str">
        <f>_xlfn.CONCAT("https://tablet.otzar.org/",CHAR(35),"/exKotar/649151")</f>
        <v>https://tablet.otzar.org/#/exKotar/649151</v>
      </c>
    </row>
    <row r="1528" spans="1:8" x14ac:dyDescent="0.25">
      <c r="A1528">
        <v>648055</v>
      </c>
      <c r="B1528" t="s">
        <v>3232</v>
      </c>
      <c r="C1528" t="s">
        <v>3229</v>
      </c>
      <c r="D1528" t="s">
        <v>2860</v>
      </c>
      <c r="E1528" t="s">
        <v>224</v>
      </c>
      <c r="G1528" t="str">
        <f>HYPERLINK(_xlfn.CONCAT("https://tablet.otzar.org/",CHAR(35),"/book/648055/p/-1/t/1/fs/0/start/0/end/0/c"),"חברה מעל""""ה")</f>
        <v>חברה מעל""ה</v>
      </c>
      <c r="H1528" t="str">
        <f>_xlfn.CONCAT("https://tablet.otzar.org/",CHAR(35),"/book/648055/p/-1/t/1/fs/0/start/0/end/0/c")</f>
        <v>https://tablet.otzar.org/#/book/648055/p/-1/t/1/fs/0/start/0/end/0/c</v>
      </c>
    </row>
    <row r="1529" spans="1:8" x14ac:dyDescent="0.25">
      <c r="A1529">
        <v>649766</v>
      </c>
      <c r="B1529" t="s">
        <v>3233</v>
      </c>
      <c r="C1529" t="s">
        <v>3234</v>
      </c>
      <c r="D1529" t="s">
        <v>10</v>
      </c>
      <c r="G1529" t="str">
        <f>HYPERLINK(_xlfn.CONCAT("https://tablet.otzar.org/",CHAR(35),"/book/649766/p/-1/t/1/fs/0/start/0/end/0/c"),"חברה קדישא גחש""""א")</f>
        <v>חברה קדישא גחש""א</v>
      </c>
      <c r="H1529" t="str">
        <f>_xlfn.CONCAT("https://tablet.otzar.org/",CHAR(35),"/book/649766/p/-1/t/1/fs/0/start/0/end/0/c")</f>
        <v>https://tablet.otzar.org/#/book/649766/p/-1/t/1/fs/0/start/0/end/0/c</v>
      </c>
    </row>
    <row r="1530" spans="1:8" x14ac:dyDescent="0.25">
      <c r="A1530">
        <v>651349</v>
      </c>
      <c r="B1530" t="s">
        <v>2860</v>
      </c>
      <c r="C1530" t="s">
        <v>3235</v>
      </c>
      <c r="D1530" t="s">
        <v>10</v>
      </c>
      <c r="E1530" t="s">
        <v>507</v>
      </c>
      <c r="G1530" t="str">
        <f>HYPERLINK(_xlfn.CONCAT("https://tablet.otzar.org/",CHAR(35),"/book/651349/p/-1/t/1/fs/0/start/0/end/0/c"),"חברון")</f>
        <v>חברון</v>
      </c>
      <c r="H1530" t="str">
        <f>_xlfn.CONCAT("https://tablet.otzar.org/",CHAR(35),"/book/651349/p/-1/t/1/fs/0/start/0/end/0/c")</f>
        <v>https://tablet.otzar.org/#/book/651349/p/-1/t/1/fs/0/start/0/end/0/c</v>
      </c>
    </row>
    <row r="1531" spans="1:8" x14ac:dyDescent="0.25">
      <c r="A1531">
        <v>653283</v>
      </c>
      <c r="B1531" t="s">
        <v>3236</v>
      </c>
      <c r="C1531" t="s">
        <v>3236</v>
      </c>
      <c r="D1531" t="s">
        <v>10</v>
      </c>
      <c r="E1531" t="s">
        <v>2523</v>
      </c>
      <c r="G1531" t="str">
        <f>HYPERLINK(_xlfn.CONCAT("https://tablet.otzar.org/",CHAR(35),"/book/653283/p/-1/t/1/fs/0/start/0/end/0/c"),"חברת כרם שלמה")</f>
        <v>חברת כרם שלמה</v>
      </c>
      <c r="H1531" t="str">
        <f>_xlfn.CONCAT("https://tablet.otzar.org/",CHAR(35),"/book/653283/p/-1/t/1/fs/0/start/0/end/0/c")</f>
        <v>https://tablet.otzar.org/#/book/653283/p/-1/t/1/fs/0/start/0/end/0/c</v>
      </c>
    </row>
    <row r="1532" spans="1:8" x14ac:dyDescent="0.25">
      <c r="A1532">
        <v>655237</v>
      </c>
      <c r="B1532" t="s">
        <v>3237</v>
      </c>
      <c r="C1532" t="s">
        <v>911</v>
      </c>
      <c r="D1532" t="s">
        <v>10</v>
      </c>
      <c r="E1532" t="s">
        <v>11</v>
      </c>
      <c r="G1532" t="str">
        <f>HYPERLINK(_xlfn.CONCAT("https://tablet.otzar.org/",CHAR(35),"/book/655237/p/-1/t/1/fs/0/start/0/end/0/c"),"חג הפסח בהלכה ובאגדה")</f>
        <v>חג הפסח בהלכה ובאגדה</v>
      </c>
      <c r="H1532" t="str">
        <f>_xlfn.CONCAT("https://tablet.otzar.org/",CHAR(35),"/book/655237/p/-1/t/1/fs/0/start/0/end/0/c")</f>
        <v>https://tablet.otzar.org/#/book/655237/p/-1/t/1/fs/0/start/0/end/0/c</v>
      </c>
    </row>
    <row r="1533" spans="1:8" x14ac:dyDescent="0.25">
      <c r="A1533">
        <v>650967</v>
      </c>
      <c r="B1533" t="s">
        <v>3238</v>
      </c>
      <c r="C1533" t="s">
        <v>3239</v>
      </c>
      <c r="D1533" t="s">
        <v>10</v>
      </c>
      <c r="E1533" t="s">
        <v>2368</v>
      </c>
      <c r="G1533" t="str">
        <f>HYPERLINK(_xlfn.CONCAT("https://tablet.otzar.org/",CHAR(35),"/book/650967/p/-1/t/1/fs/0/start/0/end/0/c"),"חג הפסח במורשת ישראל")</f>
        <v>חג הפסח במורשת ישראל</v>
      </c>
      <c r="H1533" t="str">
        <f>_xlfn.CONCAT("https://tablet.otzar.org/",CHAR(35),"/book/650967/p/-1/t/1/fs/0/start/0/end/0/c")</f>
        <v>https://tablet.otzar.org/#/book/650967/p/-1/t/1/fs/0/start/0/end/0/c</v>
      </c>
    </row>
    <row r="1534" spans="1:8" x14ac:dyDescent="0.25">
      <c r="A1534">
        <v>655243</v>
      </c>
      <c r="B1534" t="s">
        <v>3240</v>
      </c>
      <c r="C1534" t="s">
        <v>911</v>
      </c>
      <c r="D1534" t="s">
        <v>10</v>
      </c>
      <c r="E1534" t="s">
        <v>11</v>
      </c>
      <c r="G1534" t="str">
        <f>HYPERLINK(_xlfn.CONCAT("https://tablet.otzar.org/",CHAR(35),"/book/655243/p/-1/t/1/fs/0/start/0/end/0/c"),"חג השבועות בהלכה ובאגדה")</f>
        <v>חג השבועות בהלכה ובאגדה</v>
      </c>
      <c r="H1534" t="str">
        <f>_xlfn.CONCAT("https://tablet.otzar.org/",CHAR(35),"/book/655243/p/-1/t/1/fs/0/start/0/end/0/c")</f>
        <v>https://tablet.otzar.org/#/book/655243/p/-1/t/1/fs/0/start/0/end/0/c</v>
      </c>
    </row>
    <row r="1535" spans="1:8" x14ac:dyDescent="0.25">
      <c r="A1535">
        <v>652913</v>
      </c>
      <c r="B1535" t="s">
        <v>3241</v>
      </c>
      <c r="C1535" t="s">
        <v>3242</v>
      </c>
      <c r="D1535" t="s">
        <v>10</v>
      </c>
      <c r="E1535" t="s">
        <v>35</v>
      </c>
      <c r="G1535" t="str">
        <f>HYPERLINK(_xlfn.CONCAT("https://tablet.otzar.org/",CHAR(35),"/book/652913/p/-1/t/1/fs/0/start/0/end/0/c"),"חג מציון")</f>
        <v>חג מציון</v>
      </c>
      <c r="H1535" t="str">
        <f>_xlfn.CONCAT("https://tablet.otzar.org/",CHAR(35),"/book/652913/p/-1/t/1/fs/0/start/0/end/0/c")</f>
        <v>https://tablet.otzar.org/#/book/652913/p/-1/t/1/fs/0/start/0/end/0/c</v>
      </c>
    </row>
    <row r="1536" spans="1:8" x14ac:dyDescent="0.25">
      <c r="A1536">
        <v>651688</v>
      </c>
      <c r="B1536" t="s">
        <v>3243</v>
      </c>
      <c r="C1536" t="s">
        <v>3244</v>
      </c>
      <c r="D1536" t="s">
        <v>34</v>
      </c>
      <c r="E1536" t="s">
        <v>11</v>
      </c>
      <c r="G1536" t="str">
        <f>HYPERLINK(_xlfn.CONCAT("https://tablet.otzar.org/",CHAR(35),"/book/651688/p/-1/t/1/fs/0/start/0/end/0/c"),"חדוותא - 12")</f>
        <v>חדוותא - 12</v>
      </c>
      <c r="H1536" t="str">
        <f>_xlfn.CONCAT("https://tablet.otzar.org/",CHAR(35),"/book/651688/p/-1/t/1/fs/0/start/0/end/0/c")</f>
        <v>https://tablet.otzar.org/#/book/651688/p/-1/t/1/fs/0/start/0/end/0/c</v>
      </c>
    </row>
    <row r="1537" spans="1:8" x14ac:dyDescent="0.25">
      <c r="A1537">
        <v>654869</v>
      </c>
      <c r="B1537" t="s">
        <v>3245</v>
      </c>
      <c r="C1537" t="s">
        <v>3246</v>
      </c>
      <c r="D1537" t="s">
        <v>52</v>
      </c>
      <c r="E1537" t="s">
        <v>11</v>
      </c>
      <c r="G1537" t="str">
        <f>HYPERLINK(_xlfn.CONCAT("https://tablet.otzar.org/",CHAR(35),"/book/654869/p/-1/t/1/fs/0/start/0/end/0/c"),"חדר הורתי")</f>
        <v>חדר הורתי</v>
      </c>
      <c r="H1537" t="str">
        <f>_xlfn.CONCAT("https://tablet.otzar.org/",CHAR(35),"/book/654869/p/-1/t/1/fs/0/start/0/end/0/c")</f>
        <v>https://tablet.otzar.org/#/book/654869/p/-1/t/1/fs/0/start/0/end/0/c</v>
      </c>
    </row>
    <row r="1538" spans="1:8" x14ac:dyDescent="0.25">
      <c r="A1538">
        <v>651812</v>
      </c>
      <c r="B1538" t="s">
        <v>3247</v>
      </c>
      <c r="C1538" t="s">
        <v>1902</v>
      </c>
      <c r="D1538" t="s">
        <v>10</v>
      </c>
      <c r="E1538" t="s">
        <v>11</v>
      </c>
      <c r="G1538" t="str">
        <f>HYPERLINK(_xlfn.CONCAT("https://tablet.otzar.org/",CHAR(35),"/book/651812/p/-1/t/1/fs/0/start/0/end/0/c"),"חדרי תורה - בבא קמא")</f>
        <v>חדרי תורה - בבא קמא</v>
      </c>
      <c r="H1538" t="str">
        <f>_xlfn.CONCAT("https://tablet.otzar.org/",CHAR(35),"/book/651812/p/-1/t/1/fs/0/start/0/end/0/c")</f>
        <v>https://tablet.otzar.org/#/book/651812/p/-1/t/1/fs/0/start/0/end/0/c</v>
      </c>
    </row>
    <row r="1539" spans="1:8" x14ac:dyDescent="0.25">
      <c r="A1539">
        <v>648746</v>
      </c>
      <c r="B1539" t="s">
        <v>3248</v>
      </c>
      <c r="C1539" t="s">
        <v>614</v>
      </c>
      <c r="D1539" t="s">
        <v>34</v>
      </c>
      <c r="E1539" t="s">
        <v>70</v>
      </c>
      <c r="G1539" t="str">
        <f>HYPERLINK(_xlfn.CONCAT("https://tablet.otzar.org/",CHAR(35),"/book/648746/p/-1/t/1/fs/0/start/0/end/0/c"),"חדשות עולם הספר - א")</f>
        <v>חדשות עולם הספר - א</v>
      </c>
      <c r="H1539" t="str">
        <f>_xlfn.CONCAT("https://tablet.otzar.org/",CHAR(35),"/book/648746/p/-1/t/1/fs/0/start/0/end/0/c")</f>
        <v>https://tablet.otzar.org/#/book/648746/p/-1/t/1/fs/0/start/0/end/0/c</v>
      </c>
    </row>
    <row r="1540" spans="1:8" x14ac:dyDescent="0.25">
      <c r="A1540">
        <v>650879</v>
      </c>
      <c r="B1540" t="s">
        <v>3249</v>
      </c>
      <c r="C1540" t="s">
        <v>3250</v>
      </c>
      <c r="E1540" t="s">
        <v>35</v>
      </c>
      <c r="G1540" t="str">
        <f>HYPERLINK(_xlfn.CONCAT("https://tablet.otzar.org/",CHAR(35),"/book/650879/p/-1/t/1/fs/0/start/0/end/0/c"),"חובות הלבבות שער  הכניעה &lt;לב הארי&gt;")</f>
        <v>חובות הלבבות שער  הכניעה &lt;לב הארי&gt;</v>
      </c>
      <c r="H1540" t="str">
        <f>_xlfn.CONCAT("https://tablet.otzar.org/",CHAR(35),"/book/650879/p/-1/t/1/fs/0/start/0/end/0/c")</f>
        <v>https://tablet.otzar.org/#/book/650879/p/-1/t/1/fs/0/start/0/end/0/c</v>
      </c>
    </row>
    <row r="1541" spans="1:8" x14ac:dyDescent="0.25">
      <c r="A1541">
        <v>650877</v>
      </c>
      <c r="B1541" t="s">
        <v>3251</v>
      </c>
      <c r="C1541" t="s">
        <v>3250</v>
      </c>
      <c r="E1541" t="s">
        <v>45</v>
      </c>
      <c r="G1541" t="str">
        <f>HYPERLINK(_xlfn.CONCAT("https://tablet.otzar.org/",CHAR(35),"/book/650877/p/-1/t/1/fs/0/start/0/end/0/c"),"חובות הלבבות שער הבטחון &lt;לב הארי&gt;")</f>
        <v>חובות הלבבות שער הבטחון &lt;לב הארי&gt;</v>
      </c>
      <c r="H1541" t="str">
        <f>_xlfn.CONCAT("https://tablet.otzar.org/",CHAR(35),"/book/650877/p/-1/t/1/fs/0/start/0/end/0/c")</f>
        <v>https://tablet.otzar.org/#/book/650877/p/-1/t/1/fs/0/start/0/end/0/c</v>
      </c>
    </row>
    <row r="1542" spans="1:8" x14ac:dyDescent="0.25">
      <c r="A1542">
        <v>650878</v>
      </c>
      <c r="B1542" t="s">
        <v>3252</v>
      </c>
      <c r="C1542" t="s">
        <v>3250</v>
      </c>
      <c r="E1542" t="s">
        <v>117</v>
      </c>
      <c r="G1542" t="str">
        <f>HYPERLINK(_xlfn.CONCAT("https://tablet.otzar.org/",CHAR(35),"/book/650878/p/-1/t/1/fs/0/start/0/end/0/c"),"חובות הלבבות שער יחוד המעשה &lt;לב הארי&gt;")</f>
        <v>חובות הלבבות שער יחוד המעשה &lt;לב הארי&gt;</v>
      </c>
      <c r="H1542" t="str">
        <f>_xlfn.CONCAT("https://tablet.otzar.org/",CHAR(35),"/book/650878/p/-1/t/1/fs/0/start/0/end/0/c")</f>
        <v>https://tablet.otzar.org/#/book/650878/p/-1/t/1/fs/0/start/0/end/0/c</v>
      </c>
    </row>
    <row r="1543" spans="1:8" x14ac:dyDescent="0.25">
      <c r="A1543">
        <v>648293</v>
      </c>
      <c r="B1543" t="s">
        <v>3253</v>
      </c>
      <c r="C1543" t="s">
        <v>382</v>
      </c>
      <c r="D1543" t="s">
        <v>287</v>
      </c>
      <c r="E1543" t="s">
        <v>2436</v>
      </c>
      <c r="G1543" t="str">
        <f>HYPERLINK(_xlfn.CONCAT("https://tablet.otzar.org/",CHAR(35),"/book/648293/p/-1/t/1/fs/0/start/0/end/0/c"),"חוברת ירחי כלה גיטסהד")</f>
        <v>חוברת ירחי כלה גיטסהד</v>
      </c>
      <c r="H1543" t="str">
        <f>_xlfn.CONCAT("https://tablet.otzar.org/",CHAR(35),"/book/648293/p/-1/t/1/fs/0/start/0/end/0/c")</f>
        <v>https://tablet.otzar.org/#/book/648293/p/-1/t/1/fs/0/start/0/end/0/c</v>
      </c>
    </row>
    <row r="1544" spans="1:8" x14ac:dyDescent="0.25">
      <c r="A1544">
        <v>647347</v>
      </c>
      <c r="B1544" t="s">
        <v>3254</v>
      </c>
      <c r="C1544" t="s">
        <v>3255</v>
      </c>
      <c r="D1544" t="s">
        <v>424</v>
      </c>
      <c r="E1544" t="s">
        <v>526</v>
      </c>
      <c r="G1544" t="str">
        <f>HYPERLINK(_xlfn.CONCAT("https://tablet.otzar.org/",CHAR(35),"/exKotar/647347"),"חוברת לחזרה והעמקה בתורה ומפרשים - 4 כרכים")</f>
        <v>חוברת לחזרה והעמקה בתורה ומפרשים - 4 כרכים</v>
      </c>
      <c r="H1544" t="str">
        <f>_xlfn.CONCAT("https://tablet.otzar.org/",CHAR(35),"/exKotar/647347")</f>
        <v>https://tablet.otzar.org/#/exKotar/647347</v>
      </c>
    </row>
    <row r="1545" spans="1:8" x14ac:dyDescent="0.25">
      <c r="A1545">
        <v>655202</v>
      </c>
      <c r="B1545" t="s">
        <v>3256</v>
      </c>
      <c r="C1545" t="s">
        <v>3257</v>
      </c>
      <c r="D1545" t="s">
        <v>287</v>
      </c>
      <c r="E1545" t="s">
        <v>657</v>
      </c>
      <c r="G1545" t="str">
        <f>HYPERLINK(_xlfn.CONCAT("https://tablet.otzar.org/",CHAR(35),"/book/655202/p/-1/t/1/fs/0/start/0/end/0/c"),"חובת הלבבות &lt;לבב הסופר&gt;")</f>
        <v>חובת הלבבות &lt;לבב הסופר&gt;</v>
      </c>
      <c r="H1545" t="str">
        <f>_xlfn.CONCAT("https://tablet.otzar.org/",CHAR(35),"/book/655202/p/-1/t/1/fs/0/start/0/end/0/c")</f>
        <v>https://tablet.otzar.org/#/book/655202/p/-1/t/1/fs/0/start/0/end/0/c</v>
      </c>
    </row>
    <row r="1546" spans="1:8" x14ac:dyDescent="0.25">
      <c r="A1546">
        <v>640402</v>
      </c>
      <c r="B1546" t="s">
        <v>3258</v>
      </c>
      <c r="C1546" t="s">
        <v>3259</v>
      </c>
      <c r="D1546" t="s">
        <v>3260</v>
      </c>
      <c r="E1546" t="s">
        <v>2763</v>
      </c>
      <c r="G1546" t="str">
        <f>HYPERLINK(_xlfn.CONCAT("https://tablet.otzar.org/",CHAR(35),"/book/640402/p/-1/t/1/fs/0/start/0/end/0/c"),"חובת נשים &lt;מדת ודין&gt; - ב")</f>
        <v>חובת נשים &lt;מדת ודין&gt; - ב</v>
      </c>
      <c r="H1546" t="str">
        <f>_xlfn.CONCAT("https://tablet.otzar.org/",CHAR(35),"/book/640402/p/-1/t/1/fs/0/start/0/end/0/c")</f>
        <v>https://tablet.otzar.org/#/book/640402/p/-1/t/1/fs/0/start/0/end/0/c</v>
      </c>
    </row>
    <row r="1547" spans="1:8" x14ac:dyDescent="0.25">
      <c r="A1547">
        <v>652897</v>
      </c>
      <c r="B1547" t="s">
        <v>3261</v>
      </c>
      <c r="C1547" t="s">
        <v>3262</v>
      </c>
      <c r="D1547" t="s">
        <v>39</v>
      </c>
      <c r="E1547" t="s">
        <v>70</v>
      </c>
      <c r="G1547" t="str">
        <f>HYPERLINK(_xlfn.CONCAT("https://tablet.otzar.org/",CHAR(35),"/book/652897/p/-1/t/1/fs/0/start/0/end/0/c"),"חודה תנ""""ך")</f>
        <v>חודה תנ""ך</v>
      </c>
      <c r="H1547" t="str">
        <f>_xlfn.CONCAT("https://tablet.otzar.org/",CHAR(35),"/book/652897/p/-1/t/1/fs/0/start/0/end/0/c")</f>
        <v>https://tablet.otzar.org/#/book/652897/p/-1/t/1/fs/0/start/0/end/0/c</v>
      </c>
    </row>
    <row r="1548" spans="1:8" x14ac:dyDescent="0.25">
      <c r="A1548">
        <v>639779</v>
      </c>
      <c r="B1548" t="s">
        <v>3263</v>
      </c>
      <c r="C1548" t="s">
        <v>3264</v>
      </c>
      <c r="D1548" t="s">
        <v>52</v>
      </c>
      <c r="E1548" t="s">
        <v>383</v>
      </c>
      <c r="G1548" t="str">
        <f>HYPERLINK(_xlfn.CONCAT("https://tablet.otzar.org/",CHAR(35),"/book/639779/p/-1/t/1/fs/0/start/0/end/0/c"),"חודש בחדשו - לוח תש""""ע")</f>
        <v>חודש בחדשו - לוח תש""ע</v>
      </c>
      <c r="H1548" t="str">
        <f>_xlfn.CONCAT("https://tablet.otzar.org/",CHAR(35),"/book/639779/p/-1/t/1/fs/0/start/0/end/0/c")</f>
        <v>https://tablet.otzar.org/#/book/639779/p/-1/t/1/fs/0/start/0/end/0/c</v>
      </c>
    </row>
    <row r="1549" spans="1:8" x14ac:dyDescent="0.25">
      <c r="A1549">
        <v>654440</v>
      </c>
      <c r="B1549" t="s">
        <v>3265</v>
      </c>
      <c r="C1549" t="s">
        <v>3266</v>
      </c>
      <c r="D1549" t="s">
        <v>3267</v>
      </c>
      <c r="E1549" t="s">
        <v>11</v>
      </c>
      <c r="G1549" t="str">
        <f>HYPERLINK(_xlfn.CONCAT("https://tablet.otzar.org/",CHAR(35),"/book/654440/p/-1/t/1/fs/0/start/0/end/0/c"),"חודשי השנה")</f>
        <v>חודשי השנה</v>
      </c>
      <c r="H1549" t="str">
        <f>_xlfn.CONCAT("https://tablet.otzar.org/",CHAR(35),"/book/654440/p/-1/t/1/fs/0/start/0/end/0/c")</f>
        <v>https://tablet.otzar.org/#/book/654440/p/-1/t/1/fs/0/start/0/end/0/c</v>
      </c>
    </row>
    <row r="1550" spans="1:8" x14ac:dyDescent="0.25">
      <c r="A1550">
        <v>651539</v>
      </c>
      <c r="B1550" t="s">
        <v>3268</v>
      </c>
      <c r="C1550" t="s">
        <v>3269</v>
      </c>
      <c r="D1550" t="s">
        <v>10</v>
      </c>
      <c r="E1550" t="s">
        <v>35</v>
      </c>
      <c r="G1550" t="str">
        <f>HYPERLINK(_xlfn.CONCAT("https://tablet.otzar.org/",CHAR(35),"/book/651539/p/-1/t/1/fs/0/start/0/end/0/c"),"חוות דעת נדה &lt;דעת שלום&gt;")</f>
        <v>חוות דעת נדה &lt;דעת שלום&gt;</v>
      </c>
      <c r="H1550" t="str">
        <f>_xlfn.CONCAT("https://tablet.otzar.org/",CHAR(35),"/book/651539/p/-1/t/1/fs/0/start/0/end/0/c")</f>
        <v>https://tablet.otzar.org/#/book/651539/p/-1/t/1/fs/0/start/0/end/0/c</v>
      </c>
    </row>
    <row r="1551" spans="1:8" x14ac:dyDescent="0.25">
      <c r="A1551">
        <v>651568</v>
      </c>
      <c r="B1551" t="s">
        <v>3270</v>
      </c>
      <c r="C1551" t="s">
        <v>3271</v>
      </c>
      <c r="D1551" t="s">
        <v>840</v>
      </c>
      <c r="E1551" t="s">
        <v>11</v>
      </c>
      <c r="G1551" t="str">
        <f>HYPERLINK(_xlfn.CONCAT("https://tablet.otzar.org/",CHAR(35),"/exKotar/651568"),"חוט המשולש - 2 כרכים")</f>
        <v>חוט המשולש - 2 כרכים</v>
      </c>
      <c r="H1551" t="str">
        <f>_xlfn.CONCAT("https://tablet.otzar.org/",CHAR(35),"/exKotar/651568")</f>
        <v>https://tablet.otzar.org/#/exKotar/651568</v>
      </c>
    </row>
    <row r="1552" spans="1:8" x14ac:dyDescent="0.25">
      <c r="A1552">
        <v>654182</v>
      </c>
      <c r="B1552" t="s">
        <v>3272</v>
      </c>
      <c r="C1552" t="s">
        <v>3273</v>
      </c>
      <c r="D1552" t="s">
        <v>10</v>
      </c>
      <c r="E1552" t="s">
        <v>383</v>
      </c>
      <c r="G1552" t="str">
        <f>HYPERLINK(_xlfn.CONCAT("https://tablet.otzar.org/",CHAR(35),"/book/654182/p/-1/t/1/fs/0/start/0/end/0/c"),"חוט המשולש החדש")</f>
        <v>חוט המשולש החדש</v>
      </c>
      <c r="H1552" t="str">
        <f>_xlfn.CONCAT("https://tablet.otzar.org/",CHAR(35),"/book/654182/p/-1/t/1/fs/0/start/0/end/0/c")</f>
        <v>https://tablet.otzar.org/#/book/654182/p/-1/t/1/fs/0/start/0/end/0/c</v>
      </c>
    </row>
    <row r="1553" spans="1:8" x14ac:dyDescent="0.25">
      <c r="A1553">
        <v>647908</v>
      </c>
      <c r="B1553" t="s">
        <v>3274</v>
      </c>
      <c r="C1553" t="s">
        <v>3275</v>
      </c>
      <c r="D1553" t="s">
        <v>39</v>
      </c>
      <c r="E1553" t="s">
        <v>636</v>
      </c>
      <c r="G1553" t="str">
        <f>HYPERLINK(_xlfn.CONCAT("https://tablet.otzar.org/",CHAR(35),"/book/647908/p/-1/t/1/fs/0/start/0/end/0/c"),"חומות ירושלים")</f>
        <v>חומות ירושלים</v>
      </c>
      <c r="H1553" t="str">
        <f>_xlfn.CONCAT("https://tablet.otzar.org/",CHAR(35),"/book/647908/p/-1/t/1/fs/0/start/0/end/0/c")</f>
        <v>https://tablet.otzar.org/#/book/647908/p/-1/t/1/fs/0/start/0/end/0/c</v>
      </c>
    </row>
    <row r="1554" spans="1:8" x14ac:dyDescent="0.25">
      <c r="A1554">
        <v>653383</v>
      </c>
      <c r="B1554" t="s">
        <v>3276</v>
      </c>
      <c r="C1554" t="s">
        <v>3277</v>
      </c>
      <c r="D1554" t="s">
        <v>10</v>
      </c>
      <c r="E1554" t="s">
        <v>11</v>
      </c>
      <c r="G1554" t="str">
        <f>HYPERLINK(_xlfn.CONCAT("https://tablet.otzar.org/",CHAR(35),"/exKotar/653383"),"חומש אור יקר - 5 כרכים")</f>
        <v>חומש אור יקר - 5 כרכים</v>
      </c>
      <c r="H1554" t="str">
        <f>_xlfn.CONCAT("https://tablet.otzar.org/",CHAR(35),"/exKotar/653383")</f>
        <v>https://tablet.otzar.org/#/exKotar/653383</v>
      </c>
    </row>
    <row r="1555" spans="1:8" x14ac:dyDescent="0.25">
      <c r="A1555">
        <v>632754</v>
      </c>
      <c r="B1555" t="s">
        <v>3278</v>
      </c>
      <c r="C1555" t="s">
        <v>3279</v>
      </c>
      <c r="D1555" t="s">
        <v>10</v>
      </c>
      <c r="E1555" t="s">
        <v>237</v>
      </c>
      <c r="G1555" t="str">
        <f>HYPERLINK(_xlfn.CONCAT("https://tablet.otzar.org/",CHAR(35),"/exKotar/632754"),"חומש שיח התורה - 2 כרכים")</f>
        <v>חומש שיח התורה - 2 כרכים</v>
      </c>
      <c r="H1555" t="str">
        <f>_xlfn.CONCAT("https://tablet.otzar.org/",CHAR(35),"/exKotar/632754")</f>
        <v>https://tablet.otzar.org/#/exKotar/632754</v>
      </c>
    </row>
    <row r="1556" spans="1:8" x14ac:dyDescent="0.25">
      <c r="A1556">
        <v>647276</v>
      </c>
      <c r="B1556" t="s">
        <v>3280</v>
      </c>
      <c r="C1556" t="s">
        <v>3281</v>
      </c>
      <c r="D1556" t="s">
        <v>10</v>
      </c>
      <c r="E1556" t="s">
        <v>352</v>
      </c>
      <c r="G1556" t="str">
        <f>HYPERLINK(_xlfn.CONCAT("https://tablet.otzar.org/",CHAR(35),"/book/647276/p/-1/t/1/fs/0/start/0/end/0/c"),"חומת ירושלים - שבת")</f>
        <v>חומת ירושלים - שבת</v>
      </c>
      <c r="H1556" t="str">
        <f>_xlfn.CONCAT("https://tablet.otzar.org/",CHAR(35),"/book/647276/p/-1/t/1/fs/0/start/0/end/0/c")</f>
        <v>https://tablet.otzar.org/#/book/647276/p/-1/t/1/fs/0/start/0/end/0/c</v>
      </c>
    </row>
    <row r="1557" spans="1:8" x14ac:dyDescent="0.25">
      <c r="A1557">
        <v>649852</v>
      </c>
      <c r="B1557" t="s">
        <v>3282</v>
      </c>
      <c r="C1557" t="s">
        <v>614</v>
      </c>
      <c r="D1557" t="s">
        <v>52</v>
      </c>
      <c r="E1557" t="s">
        <v>690</v>
      </c>
      <c r="G1557" t="str">
        <f>HYPERLINK(_xlfn.CONCAT("https://tablet.otzar.org/",CHAR(35),"/exKotar/649852"),"חומת ישראל - 2 כרכים")</f>
        <v>חומת ישראל - 2 כרכים</v>
      </c>
      <c r="H1557" t="str">
        <f>_xlfn.CONCAT("https://tablet.otzar.org/",CHAR(35),"/exKotar/649852")</f>
        <v>https://tablet.otzar.org/#/exKotar/649852</v>
      </c>
    </row>
    <row r="1558" spans="1:8" x14ac:dyDescent="0.25">
      <c r="A1558">
        <v>650064</v>
      </c>
      <c r="B1558" t="s">
        <v>3283</v>
      </c>
      <c r="C1558" t="s">
        <v>183</v>
      </c>
      <c r="D1558" t="s">
        <v>10</v>
      </c>
      <c r="E1558" t="s">
        <v>146</v>
      </c>
      <c r="G1558" t="str">
        <f>HYPERLINK(_xlfn.CONCAT("https://tablet.otzar.org/",CHAR(35),"/book/650064/p/-1/t/1/fs/0/start/0/end/0/c"),"חוסט ובנותיה")</f>
        <v>חוסט ובנותיה</v>
      </c>
      <c r="H1558" t="str">
        <f>_xlfn.CONCAT("https://tablet.otzar.org/",CHAR(35),"/book/650064/p/-1/t/1/fs/0/start/0/end/0/c")</f>
        <v>https://tablet.otzar.org/#/book/650064/p/-1/t/1/fs/0/start/0/end/0/c</v>
      </c>
    </row>
    <row r="1559" spans="1:8" x14ac:dyDescent="0.25">
      <c r="A1559">
        <v>647388</v>
      </c>
      <c r="B1559" t="s">
        <v>3284</v>
      </c>
      <c r="C1559" t="s">
        <v>3285</v>
      </c>
      <c r="E1559" t="s">
        <v>1157</v>
      </c>
      <c r="G1559" t="str">
        <f>HYPERLINK(_xlfn.CONCAT("https://tablet.otzar.org/",CHAR(35),"/book/647388/p/-1/t/1/fs/0/start/0/end/0/c"),"חופת חתנים &lt;יידיש&gt;")</f>
        <v>חופת חתנים &lt;יידיש&gt;</v>
      </c>
      <c r="H1559" t="str">
        <f>_xlfn.CONCAT("https://tablet.otzar.org/",CHAR(35),"/book/647388/p/-1/t/1/fs/0/start/0/end/0/c")</f>
        <v>https://tablet.otzar.org/#/book/647388/p/-1/t/1/fs/0/start/0/end/0/c</v>
      </c>
    </row>
    <row r="1560" spans="1:8" x14ac:dyDescent="0.25">
      <c r="A1560">
        <v>655210</v>
      </c>
      <c r="B1560" t="s">
        <v>3286</v>
      </c>
      <c r="C1560" t="s">
        <v>928</v>
      </c>
      <c r="D1560" t="s">
        <v>287</v>
      </c>
      <c r="E1560" t="s">
        <v>399</v>
      </c>
      <c r="G1560" t="str">
        <f>HYPERLINK(_xlfn.CONCAT("https://tablet.otzar.org/",CHAR(35),"/book/655210/p/-1/t/1/fs/0/start/0/end/0/c"),"חוקי הסופר")</f>
        <v>חוקי הסופר</v>
      </c>
      <c r="H1560" t="str">
        <f>_xlfn.CONCAT("https://tablet.otzar.org/",CHAR(35),"/book/655210/p/-1/t/1/fs/0/start/0/end/0/c")</f>
        <v>https://tablet.otzar.org/#/book/655210/p/-1/t/1/fs/0/start/0/end/0/c</v>
      </c>
    </row>
    <row r="1561" spans="1:8" x14ac:dyDescent="0.25">
      <c r="A1561">
        <v>649577</v>
      </c>
      <c r="B1561" t="s">
        <v>3287</v>
      </c>
      <c r="C1561" t="s">
        <v>3288</v>
      </c>
      <c r="D1561" t="s">
        <v>34</v>
      </c>
      <c r="E1561" t="s">
        <v>45</v>
      </c>
      <c r="G1561" t="str">
        <f>HYPERLINK(_xlfn.CONCAT("https://tablet.otzar.org/",CHAR(35),"/book/649577/p/-1/t/1/fs/0/start/0/end/0/c"),"חוקי חיים")</f>
        <v>חוקי חיים</v>
      </c>
      <c r="H1561" t="str">
        <f>_xlfn.CONCAT("https://tablet.otzar.org/",CHAR(35),"/book/649577/p/-1/t/1/fs/0/start/0/end/0/c")</f>
        <v>https://tablet.otzar.org/#/book/649577/p/-1/t/1/fs/0/start/0/end/0/c</v>
      </c>
    </row>
    <row r="1562" spans="1:8" x14ac:dyDescent="0.25">
      <c r="A1562">
        <v>654435</v>
      </c>
      <c r="B1562" t="s">
        <v>3289</v>
      </c>
      <c r="C1562" t="s">
        <v>116</v>
      </c>
      <c r="D1562" t="s">
        <v>10</v>
      </c>
      <c r="E1562" t="s">
        <v>11</v>
      </c>
      <c r="G1562" t="str">
        <f>HYPERLINK(_xlfn.CONCAT("https://tablet.otzar.org/",CHAR(35),"/book/654435/p/-1/t/1/fs/0/start/0/end/0/c"),"חוקי חיים - דברים")</f>
        <v>חוקי חיים - דברים</v>
      </c>
      <c r="H1562" t="str">
        <f>_xlfn.CONCAT("https://tablet.otzar.org/",CHAR(35),"/book/654435/p/-1/t/1/fs/0/start/0/end/0/c")</f>
        <v>https://tablet.otzar.org/#/book/654435/p/-1/t/1/fs/0/start/0/end/0/c</v>
      </c>
    </row>
    <row r="1563" spans="1:8" x14ac:dyDescent="0.25">
      <c r="A1563">
        <v>653626</v>
      </c>
      <c r="B1563" t="s">
        <v>3290</v>
      </c>
      <c r="C1563" t="s">
        <v>3291</v>
      </c>
      <c r="D1563" t="s">
        <v>52</v>
      </c>
      <c r="E1563" t="s">
        <v>11</v>
      </c>
      <c r="G1563" t="str">
        <f>HYPERLINK(_xlfn.CONCAT("https://tablet.otzar.org/",CHAR(35),"/exKotar/653626"),"חוקים להורתם - 2 כרכים")</f>
        <v>חוקים להורתם - 2 כרכים</v>
      </c>
      <c r="H1563" t="str">
        <f>_xlfn.CONCAT("https://tablet.otzar.org/",CHAR(35),"/exKotar/653626")</f>
        <v>https://tablet.otzar.org/#/exKotar/653626</v>
      </c>
    </row>
    <row r="1564" spans="1:8" x14ac:dyDescent="0.25">
      <c r="A1564">
        <v>652744</v>
      </c>
      <c r="B1564" t="s">
        <v>3292</v>
      </c>
      <c r="C1564" t="s">
        <v>3293</v>
      </c>
      <c r="D1564" t="s">
        <v>10</v>
      </c>
      <c r="E1564" t="s">
        <v>405</v>
      </c>
      <c r="G1564" t="str">
        <f>HYPERLINK(_xlfn.CONCAT("https://tablet.otzar.org/",CHAR(35),"/book/652744/p/-1/t/1/fs/0/start/0/end/0/c"),"חזון איש - עמ""""ס זבחים א")</f>
        <v>חזון איש - עמ""ס זבחים א</v>
      </c>
      <c r="H1564" t="str">
        <f>_xlfn.CONCAT("https://tablet.otzar.org/",CHAR(35),"/book/652744/p/-1/t/1/fs/0/start/0/end/0/c")</f>
        <v>https://tablet.otzar.org/#/book/652744/p/-1/t/1/fs/0/start/0/end/0/c</v>
      </c>
    </row>
    <row r="1565" spans="1:8" x14ac:dyDescent="0.25">
      <c r="A1565">
        <v>656040</v>
      </c>
      <c r="B1565" t="s">
        <v>3294</v>
      </c>
      <c r="C1565" t="s">
        <v>3293</v>
      </c>
      <c r="D1565" t="s">
        <v>10</v>
      </c>
      <c r="E1565" t="s">
        <v>320</v>
      </c>
      <c r="G1565" t="str">
        <f>HYPERLINK(_xlfn.CONCAT("https://tablet.otzar.org/",CHAR(35),"/exKotar/656040"),"חזון איש עם ביאורים והערות - 4 כרכים")</f>
        <v>חזון איש עם ביאורים והערות - 4 כרכים</v>
      </c>
      <c r="H1565" t="str">
        <f>_xlfn.CONCAT("https://tablet.otzar.org/",CHAR(35),"/exKotar/656040")</f>
        <v>https://tablet.otzar.org/#/exKotar/656040</v>
      </c>
    </row>
    <row r="1566" spans="1:8" x14ac:dyDescent="0.25">
      <c r="A1566">
        <v>650637</v>
      </c>
      <c r="B1566" t="s">
        <v>3295</v>
      </c>
      <c r="C1566" t="s">
        <v>3296</v>
      </c>
      <c r="D1566" t="s">
        <v>212</v>
      </c>
      <c r="E1566" t="s">
        <v>405</v>
      </c>
      <c r="G1566" t="str">
        <f>HYPERLINK(_xlfn.CONCAT("https://tablet.otzar.org/",CHAR(35),"/book/650637/p/-1/t/1/fs/0/start/0/end/0/c"),"חזון איש קונטרס השיעורים ע""""פ פשר חזון")</f>
        <v>חזון איש קונטרס השיעורים ע""פ פשר חזון</v>
      </c>
      <c r="H1566" t="str">
        <f>_xlfn.CONCAT("https://tablet.otzar.org/",CHAR(35),"/book/650637/p/-1/t/1/fs/0/start/0/end/0/c")</f>
        <v>https://tablet.otzar.org/#/book/650637/p/-1/t/1/fs/0/start/0/end/0/c</v>
      </c>
    </row>
    <row r="1567" spans="1:8" x14ac:dyDescent="0.25">
      <c r="A1567">
        <v>649533</v>
      </c>
      <c r="B1567" t="s">
        <v>3297</v>
      </c>
      <c r="C1567" t="s">
        <v>3298</v>
      </c>
      <c r="D1567" t="s">
        <v>10</v>
      </c>
      <c r="E1567" t="s">
        <v>11</v>
      </c>
      <c r="G1567" t="str">
        <f>HYPERLINK(_xlfn.CONCAT("https://tablet.otzar.org/",CHAR(35),"/book/649533/p/-1/t/1/fs/0/start/0/end/0/c"),"חזון טברימון")</f>
        <v>חזון טברימון</v>
      </c>
      <c r="H1567" t="str">
        <f>_xlfn.CONCAT("https://tablet.otzar.org/",CHAR(35),"/book/649533/p/-1/t/1/fs/0/start/0/end/0/c")</f>
        <v>https://tablet.otzar.org/#/book/649533/p/-1/t/1/fs/0/start/0/end/0/c</v>
      </c>
    </row>
    <row r="1568" spans="1:8" x14ac:dyDescent="0.25">
      <c r="A1568">
        <v>649088</v>
      </c>
      <c r="B1568" t="s">
        <v>3299</v>
      </c>
      <c r="C1568" t="s">
        <v>3300</v>
      </c>
      <c r="D1568" t="s">
        <v>10</v>
      </c>
      <c r="E1568" t="s">
        <v>55</v>
      </c>
      <c r="G1568" t="str">
        <f>HYPERLINK(_xlfn.CONCAT("https://tablet.otzar.org/",CHAR(35),"/book/649088/p/-1/t/1/fs/0/start/0/end/0/c"),"חזון ישעיהו (יד השל""""ה)")</f>
        <v>חזון ישעיהו (יד השל""ה)</v>
      </c>
      <c r="H1568" t="str">
        <f>_xlfn.CONCAT("https://tablet.otzar.org/",CHAR(35),"/book/649088/p/-1/t/1/fs/0/start/0/end/0/c")</f>
        <v>https://tablet.otzar.org/#/book/649088/p/-1/t/1/fs/0/start/0/end/0/c</v>
      </c>
    </row>
    <row r="1569" spans="1:8" x14ac:dyDescent="0.25">
      <c r="A1569">
        <v>655370</v>
      </c>
      <c r="B1569" t="s">
        <v>3301</v>
      </c>
      <c r="C1569" t="s">
        <v>2145</v>
      </c>
      <c r="D1569" t="s">
        <v>10</v>
      </c>
      <c r="E1569" t="s">
        <v>77</v>
      </c>
      <c r="G1569" t="str">
        <f>HYPERLINK(_xlfn.CONCAT("https://tablet.otzar.org/",CHAR(35),"/exKotar/655370"),"חזון עובדיה - 22 כרכים")</f>
        <v>חזון עובדיה - 22 כרכים</v>
      </c>
      <c r="H1569" t="str">
        <f>_xlfn.CONCAT("https://tablet.otzar.org/",CHAR(35),"/exKotar/655370")</f>
        <v>https://tablet.otzar.org/#/exKotar/655370</v>
      </c>
    </row>
    <row r="1570" spans="1:8" x14ac:dyDescent="0.25">
      <c r="A1570">
        <v>652935</v>
      </c>
      <c r="B1570" t="s">
        <v>3302</v>
      </c>
      <c r="C1570" t="s">
        <v>3303</v>
      </c>
      <c r="D1570" t="s">
        <v>52</v>
      </c>
      <c r="E1570" t="s">
        <v>224</v>
      </c>
      <c r="G1570" t="str">
        <f>HYPERLINK(_xlfn.CONCAT("https://tablet.otzar.org/",CHAR(35),"/book/652935/p/-1/t/1/fs/0/start/0/end/0/c"),"חזוננו - 5")</f>
        <v>חזוננו - 5</v>
      </c>
      <c r="H1570" t="str">
        <f>_xlfn.CONCAT("https://tablet.otzar.org/",CHAR(35),"/book/652935/p/-1/t/1/fs/0/start/0/end/0/c")</f>
        <v>https://tablet.otzar.org/#/book/652935/p/-1/t/1/fs/0/start/0/end/0/c</v>
      </c>
    </row>
    <row r="1571" spans="1:8" x14ac:dyDescent="0.25">
      <c r="A1571">
        <v>649537</v>
      </c>
      <c r="B1571" t="s">
        <v>3304</v>
      </c>
      <c r="C1571" t="s">
        <v>3305</v>
      </c>
      <c r="D1571" t="s">
        <v>10</v>
      </c>
      <c r="E1571" t="s">
        <v>3306</v>
      </c>
      <c r="G1571" t="str">
        <f>HYPERLINK(_xlfn.CONCAT("https://tablet.otzar.org/",CHAR(35),"/book/649537/p/-1/t/1/fs/0/start/0/end/0/c"),"חזוק אמונה")</f>
        <v>חזוק אמונה</v>
      </c>
      <c r="H1571" t="str">
        <f>_xlfn.CONCAT("https://tablet.otzar.org/",CHAR(35),"/book/649537/p/-1/t/1/fs/0/start/0/end/0/c")</f>
        <v>https://tablet.otzar.org/#/book/649537/p/-1/t/1/fs/0/start/0/end/0/c</v>
      </c>
    </row>
    <row r="1572" spans="1:8" x14ac:dyDescent="0.25">
      <c r="A1572">
        <v>655068</v>
      </c>
      <c r="B1572" t="s">
        <v>3307</v>
      </c>
      <c r="C1572" t="s">
        <v>614</v>
      </c>
      <c r="D1572" t="s">
        <v>34</v>
      </c>
      <c r="E1572" t="s">
        <v>200</v>
      </c>
      <c r="G1572" t="str">
        <f>HYPERLINK(_xlfn.CONCAT("https://tablet.otzar.org/",CHAR(35),"/book/655068/p/-1/t/1/fs/0/start/0/end/0/c"),"חזוק הנפש")</f>
        <v>חזוק הנפש</v>
      </c>
      <c r="H1572" t="str">
        <f>_xlfn.CONCAT("https://tablet.otzar.org/",CHAR(35),"/book/655068/p/-1/t/1/fs/0/start/0/end/0/c")</f>
        <v>https://tablet.otzar.org/#/book/655068/p/-1/t/1/fs/0/start/0/end/0/c</v>
      </c>
    </row>
    <row r="1573" spans="1:8" x14ac:dyDescent="0.25">
      <c r="A1573">
        <v>650880</v>
      </c>
      <c r="B1573" t="s">
        <v>3308</v>
      </c>
      <c r="C1573" t="s">
        <v>3309</v>
      </c>
      <c r="D1573" t="s">
        <v>139</v>
      </c>
      <c r="E1573" t="s">
        <v>11</v>
      </c>
      <c r="G1573" t="str">
        <f>HYPERLINK(_xlfn.CONCAT("https://tablet.otzar.org/",CHAR(35),"/book/650880/p/-1/t/1/fs/0/start/0/end/0/c"),"חזן הכנסת")</f>
        <v>חזן הכנסת</v>
      </c>
      <c r="H1573" t="str">
        <f>_xlfn.CONCAT("https://tablet.otzar.org/",CHAR(35),"/book/650880/p/-1/t/1/fs/0/start/0/end/0/c")</f>
        <v>https://tablet.otzar.org/#/book/650880/p/-1/t/1/fs/0/start/0/end/0/c</v>
      </c>
    </row>
    <row r="1574" spans="1:8" x14ac:dyDescent="0.25">
      <c r="A1574">
        <v>647448</v>
      </c>
      <c r="B1574" t="s">
        <v>3310</v>
      </c>
      <c r="C1574" t="s">
        <v>3311</v>
      </c>
      <c r="D1574" t="s">
        <v>10</v>
      </c>
      <c r="E1574" t="s">
        <v>352</v>
      </c>
      <c r="G1574" t="str">
        <f>HYPERLINK(_xlfn.CONCAT("https://tablet.otzar.org/",CHAR(35),"/book/647448/p/-1/t/1/fs/0/start/0/end/0/c"),"חזקו ויאמץ לבבכם")</f>
        <v>חזקו ויאמץ לבבכם</v>
      </c>
      <c r="H1574" t="str">
        <f>_xlfn.CONCAT("https://tablet.otzar.org/",CHAR(35),"/book/647448/p/-1/t/1/fs/0/start/0/end/0/c")</f>
        <v>https://tablet.otzar.org/#/book/647448/p/-1/t/1/fs/0/start/0/end/0/c</v>
      </c>
    </row>
    <row r="1575" spans="1:8" x14ac:dyDescent="0.25">
      <c r="A1575">
        <v>647464</v>
      </c>
      <c r="B1575" t="s">
        <v>3312</v>
      </c>
      <c r="C1575" t="s">
        <v>2680</v>
      </c>
      <c r="D1575" t="s">
        <v>10</v>
      </c>
      <c r="E1575" t="s">
        <v>106</v>
      </c>
      <c r="G1575" t="str">
        <f>HYPERLINK(_xlfn.CONCAT("https://tablet.otzar.org/",CHAR(35),"/book/647464/p/-1/t/1/fs/0/start/0/end/0/c"),"חטא תוכחה ותשובה במשנת ר""""א מליז'ענסק")</f>
        <v>חטא תוכחה ותשובה במשנת ר""א מליז'ענסק</v>
      </c>
      <c r="H1575" t="str">
        <f>_xlfn.CONCAT("https://tablet.otzar.org/",CHAR(35),"/book/647464/p/-1/t/1/fs/0/start/0/end/0/c")</f>
        <v>https://tablet.otzar.org/#/book/647464/p/-1/t/1/fs/0/start/0/end/0/c</v>
      </c>
    </row>
    <row r="1576" spans="1:8" x14ac:dyDescent="0.25">
      <c r="A1576">
        <v>648908</v>
      </c>
      <c r="B1576" t="s">
        <v>3313</v>
      </c>
      <c r="C1576" t="s">
        <v>642</v>
      </c>
      <c r="D1576" t="s">
        <v>10</v>
      </c>
      <c r="E1576" t="s">
        <v>73</v>
      </c>
      <c r="G1576" t="str">
        <f>HYPERLINK(_xlfn.CONCAT("https://tablet.otzar.org/",CHAR(35),"/book/648908/p/-1/t/1/fs/0/start/0/end/0/c"),"חטיבה אחת בעולם")</f>
        <v>חטיבה אחת בעולם</v>
      </c>
      <c r="H1576" t="str">
        <f>_xlfn.CONCAT("https://tablet.otzar.org/",CHAR(35),"/book/648908/p/-1/t/1/fs/0/start/0/end/0/c")</f>
        <v>https://tablet.otzar.org/#/book/648908/p/-1/t/1/fs/0/start/0/end/0/c</v>
      </c>
    </row>
    <row r="1577" spans="1:8" x14ac:dyDescent="0.25">
      <c r="A1577">
        <v>650881</v>
      </c>
      <c r="B1577" t="s">
        <v>3314</v>
      </c>
      <c r="C1577" t="s">
        <v>3315</v>
      </c>
      <c r="D1577" t="s">
        <v>34</v>
      </c>
      <c r="E1577" t="s">
        <v>117</v>
      </c>
      <c r="G1577" t="str">
        <f>HYPERLINK(_xlfn.CONCAT("https://tablet.otzar.org/",CHAR(35),"/book/650881/p/-1/t/1/fs/0/start/0/end/0/c"),"חיבת העבודה")</f>
        <v>חיבת העבודה</v>
      </c>
      <c r="H1577" t="str">
        <f>_xlfn.CONCAT("https://tablet.otzar.org/",CHAR(35),"/book/650881/p/-1/t/1/fs/0/start/0/end/0/c")</f>
        <v>https://tablet.otzar.org/#/book/650881/p/-1/t/1/fs/0/start/0/end/0/c</v>
      </c>
    </row>
    <row r="1578" spans="1:8" x14ac:dyDescent="0.25">
      <c r="A1578">
        <v>654864</v>
      </c>
      <c r="B1578" t="s">
        <v>3316</v>
      </c>
      <c r="C1578" t="s">
        <v>284</v>
      </c>
      <c r="D1578" t="s">
        <v>10</v>
      </c>
      <c r="E1578" t="s">
        <v>35</v>
      </c>
      <c r="G1578" t="str">
        <f>HYPERLINK(_xlfn.CONCAT("https://tablet.otzar.org/",CHAR(35),"/exKotar/654864"),"חידושי הגאון רבי יהושע ליב דיסקין - 2 כרכים")</f>
        <v>חידושי הגאון רבי יהושע ליב דיסקין - 2 כרכים</v>
      </c>
      <c r="H1578" t="str">
        <f>_xlfn.CONCAT("https://tablet.otzar.org/",CHAR(35),"/exKotar/654864")</f>
        <v>https://tablet.otzar.org/#/exKotar/654864</v>
      </c>
    </row>
    <row r="1579" spans="1:8" x14ac:dyDescent="0.25">
      <c r="A1579">
        <v>653998</v>
      </c>
      <c r="B1579" t="s">
        <v>3317</v>
      </c>
      <c r="C1579" t="s">
        <v>3318</v>
      </c>
      <c r="E1579" t="s">
        <v>45</v>
      </c>
      <c r="G1579" t="str">
        <f>HYPERLINK(_xlfn.CONCAT("https://tablet.otzar.org/",CHAR(35),"/book/653998/p/-1/t/1/fs/0/start/0/end/0/c"),"חידושי הגר""""ח השלם - בבא בתרא")</f>
        <v>חידושי הגר""ח השלם - בבא בתרא</v>
      </c>
      <c r="H1579" t="str">
        <f>_xlfn.CONCAT("https://tablet.otzar.org/",CHAR(35),"/book/653998/p/-1/t/1/fs/0/start/0/end/0/c")</f>
        <v>https://tablet.otzar.org/#/book/653998/p/-1/t/1/fs/0/start/0/end/0/c</v>
      </c>
    </row>
    <row r="1580" spans="1:8" x14ac:dyDescent="0.25">
      <c r="A1580">
        <v>650199</v>
      </c>
      <c r="B1580" t="s">
        <v>3319</v>
      </c>
      <c r="C1580" t="s">
        <v>3320</v>
      </c>
      <c r="D1580" t="s">
        <v>10</v>
      </c>
      <c r="E1580" t="s">
        <v>45</v>
      </c>
      <c r="G1580" t="str">
        <f>HYPERLINK(_xlfn.CONCAT("https://tablet.otzar.org/",CHAR(35),"/exKotar/650199"),"חידושי הלכות מהר""""ם חריף - 4 כרכים")</f>
        <v>חידושי הלכות מהר""ם חריף - 4 כרכים</v>
      </c>
      <c r="H1580" t="str">
        <f>_xlfn.CONCAT("https://tablet.otzar.org/",CHAR(35),"/exKotar/650199")</f>
        <v>https://tablet.otzar.org/#/exKotar/650199</v>
      </c>
    </row>
    <row r="1581" spans="1:8" x14ac:dyDescent="0.25">
      <c r="A1581">
        <v>647773</v>
      </c>
      <c r="B1581" t="s">
        <v>3321</v>
      </c>
      <c r="C1581" t="s">
        <v>3322</v>
      </c>
      <c r="D1581" t="s">
        <v>52</v>
      </c>
      <c r="E1581" t="s">
        <v>35</v>
      </c>
      <c r="G1581" t="str">
        <f>HYPERLINK(_xlfn.CONCAT("https://tablet.otzar.org/",CHAR(35),"/book/647773/p/-1/t/1/fs/0/start/0/end/0/c"),"חידושי הלכות מהרש""""א - עיון המהרש""""א - גיטין קידושין")</f>
        <v>חידושי הלכות מהרש""א - עיון המהרש""א - גיטין קידושין</v>
      </c>
      <c r="H1581" t="str">
        <f>_xlfn.CONCAT("https://tablet.otzar.org/",CHAR(35),"/book/647773/p/-1/t/1/fs/0/start/0/end/0/c")</f>
        <v>https://tablet.otzar.org/#/book/647773/p/-1/t/1/fs/0/start/0/end/0/c</v>
      </c>
    </row>
    <row r="1582" spans="1:8" x14ac:dyDescent="0.25">
      <c r="A1582">
        <v>649408</v>
      </c>
      <c r="B1582" t="s">
        <v>3323</v>
      </c>
      <c r="C1582" t="s">
        <v>284</v>
      </c>
      <c r="D1582" t="s">
        <v>347</v>
      </c>
      <c r="E1582" t="s">
        <v>11</v>
      </c>
      <c r="G1582" t="str">
        <f>HYPERLINK(_xlfn.CONCAT("https://tablet.otzar.org/",CHAR(35),"/book/649408/p/-1/t/1/fs/0/start/0/end/0/c"),"חידושי המהריל""""ד - יבמות")</f>
        <v>חידושי המהריל""ד - יבמות</v>
      </c>
      <c r="H1582" t="str">
        <f>_xlfn.CONCAT("https://tablet.otzar.org/",CHAR(35),"/book/649408/p/-1/t/1/fs/0/start/0/end/0/c")</f>
        <v>https://tablet.otzar.org/#/book/649408/p/-1/t/1/fs/0/start/0/end/0/c</v>
      </c>
    </row>
    <row r="1583" spans="1:8" x14ac:dyDescent="0.25">
      <c r="A1583">
        <v>636741</v>
      </c>
      <c r="B1583" t="s">
        <v>3324</v>
      </c>
      <c r="C1583" t="s">
        <v>3325</v>
      </c>
      <c r="D1583" t="s">
        <v>3326</v>
      </c>
      <c r="E1583" t="s">
        <v>3327</v>
      </c>
      <c r="G1583" t="str">
        <f>HYPERLINK(_xlfn.CONCAT("https://tablet.otzar.org/",CHAR(35),"/book/636741/p/-1/t/1/fs/0/start/0/end/0/c"),"חידושי הרב המאירי על מסכת שבת")</f>
        <v>חידושי הרב המאירי על מסכת שבת</v>
      </c>
      <c r="H1583" t="str">
        <f>_xlfn.CONCAT("https://tablet.otzar.org/",CHAR(35),"/book/636741/p/-1/t/1/fs/0/start/0/end/0/c")</f>
        <v>https://tablet.otzar.org/#/book/636741/p/-1/t/1/fs/0/start/0/end/0/c</v>
      </c>
    </row>
    <row r="1584" spans="1:8" x14ac:dyDescent="0.25">
      <c r="A1584">
        <v>647519</v>
      </c>
      <c r="B1584" t="s">
        <v>3328</v>
      </c>
      <c r="C1584" t="s">
        <v>2228</v>
      </c>
      <c r="D1584" t="s">
        <v>10</v>
      </c>
      <c r="E1584" t="s">
        <v>763</v>
      </c>
      <c r="G1584" t="str">
        <f>HYPERLINK(_xlfn.CONCAT("https://tablet.otzar.org/",CHAR(35),"/book/647519/p/-1/t/1/fs/0/start/0/end/0/c"),"חידושי הרמב""""ן &lt;מהדורה מוערת&gt;- קידושין")</f>
        <v>חידושי הרמב""ן &lt;מהדורה מוערת&gt;- קידושין</v>
      </c>
      <c r="H1584" t="str">
        <f>_xlfn.CONCAT("https://tablet.otzar.org/",CHAR(35),"/book/647519/p/-1/t/1/fs/0/start/0/end/0/c")</f>
        <v>https://tablet.otzar.org/#/book/647519/p/-1/t/1/fs/0/start/0/end/0/c</v>
      </c>
    </row>
    <row r="1585" spans="1:8" x14ac:dyDescent="0.25">
      <c r="A1585">
        <v>653814</v>
      </c>
      <c r="B1585" t="s">
        <v>3329</v>
      </c>
      <c r="C1585" t="s">
        <v>3330</v>
      </c>
      <c r="D1585" t="s">
        <v>10</v>
      </c>
      <c r="E1585" t="s">
        <v>19</v>
      </c>
      <c r="G1585" t="str">
        <f>HYPERLINK(_xlfn.CONCAT("https://tablet.otzar.org/",CHAR(35),"/book/653814/p/-1/t/1/fs/0/start/0/end/0/c"),"חידושי וביאורי רבי אריה לייב")</f>
        <v>חידושי וביאורי רבי אריה לייב</v>
      </c>
      <c r="H1585" t="str">
        <f>_xlfn.CONCAT("https://tablet.otzar.org/",CHAR(35),"/book/653814/p/-1/t/1/fs/0/start/0/end/0/c")</f>
        <v>https://tablet.otzar.org/#/book/653814/p/-1/t/1/fs/0/start/0/end/0/c</v>
      </c>
    </row>
    <row r="1586" spans="1:8" x14ac:dyDescent="0.25">
      <c r="A1586">
        <v>656836</v>
      </c>
      <c r="B1586" t="s">
        <v>3331</v>
      </c>
      <c r="C1586" t="s">
        <v>3332</v>
      </c>
      <c r="D1586" t="s">
        <v>10</v>
      </c>
      <c r="E1586" t="s">
        <v>11</v>
      </c>
      <c r="G1586" t="str">
        <f>HYPERLINK(_xlfn.CONCAT("https://tablet.otzar.org/",CHAR(35),"/book/656836/p/-1/t/1/fs/0/start/0/end/0/c"),"חידושי וכתבי רבי שלמה הלוי אלקבץ")</f>
        <v>חידושי וכתבי רבי שלמה הלוי אלקבץ</v>
      </c>
      <c r="H1586" t="str">
        <f>_xlfn.CONCAT("https://tablet.otzar.org/",CHAR(35),"/book/656836/p/-1/t/1/fs/0/start/0/end/0/c")</f>
        <v>https://tablet.otzar.org/#/book/656836/p/-1/t/1/fs/0/start/0/end/0/c</v>
      </c>
    </row>
    <row r="1587" spans="1:8" x14ac:dyDescent="0.25">
      <c r="A1587">
        <v>648382</v>
      </c>
      <c r="B1587" t="s">
        <v>3333</v>
      </c>
      <c r="C1587" t="s">
        <v>3334</v>
      </c>
      <c r="D1587" t="s">
        <v>2460</v>
      </c>
      <c r="E1587" t="s">
        <v>3335</v>
      </c>
      <c r="G1587" t="str">
        <f>HYPERLINK(_xlfn.CONCAT("https://tablet.otzar.org/",CHAR(35),"/book/648382/p/-1/t/1/fs/0/start/0/end/0/c"),"חידושי חיים - א")</f>
        <v>חידושי חיים - א</v>
      </c>
      <c r="H1587" t="str">
        <f>_xlfn.CONCAT("https://tablet.otzar.org/",CHAR(35),"/book/648382/p/-1/t/1/fs/0/start/0/end/0/c")</f>
        <v>https://tablet.otzar.org/#/book/648382/p/-1/t/1/fs/0/start/0/end/0/c</v>
      </c>
    </row>
    <row r="1588" spans="1:8" x14ac:dyDescent="0.25">
      <c r="A1588">
        <v>647046</v>
      </c>
      <c r="B1588" t="s">
        <v>3336</v>
      </c>
      <c r="C1588" t="s">
        <v>928</v>
      </c>
      <c r="E1588" t="s">
        <v>539</v>
      </c>
      <c r="G1588" t="str">
        <f>HYPERLINK(_xlfn.CONCAT("https://tablet.otzar.org/",CHAR(35),"/book/647046/p/-1/t/1/fs/0/start/0/end/0/c"),"חידושי חתם סופר - בבא בתרא עם ביאורים")</f>
        <v>חידושי חתם סופר - בבא בתרא עם ביאורים</v>
      </c>
      <c r="H1588" t="str">
        <f>_xlfn.CONCAT("https://tablet.otzar.org/",CHAR(35),"/book/647046/p/-1/t/1/fs/0/start/0/end/0/c")</f>
        <v>https://tablet.otzar.org/#/book/647046/p/-1/t/1/fs/0/start/0/end/0/c</v>
      </c>
    </row>
    <row r="1589" spans="1:8" x14ac:dyDescent="0.25">
      <c r="A1589">
        <v>651924</v>
      </c>
      <c r="B1589" t="s">
        <v>3337</v>
      </c>
      <c r="C1589" t="s">
        <v>3338</v>
      </c>
      <c r="D1589" t="s">
        <v>10</v>
      </c>
      <c r="E1589" t="s">
        <v>35</v>
      </c>
      <c r="G1589" t="str">
        <f>HYPERLINK(_xlfn.CONCAT("https://tablet.otzar.org/",CHAR(35),"/book/651924/p/-1/t/1/fs/0/start/0/end/0/c"),"חידושי יפה לב - ברכות")</f>
        <v>חידושי יפה לב - ברכות</v>
      </c>
      <c r="H1589" t="str">
        <f>_xlfn.CONCAT("https://tablet.otzar.org/",CHAR(35),"/book/651924/p/-1/t/1/fs/0/start/0/end/0/c")</f>
        <v>https://tablet.otzar.org/#/book/651924/p/-1/t/1/fs/0/start/0/end/0/c</v>
      </c>
    </row>
    <row r="1590" spans="1:8" x14ac:dyDescent="0.25">
      <c r="A1590">
        <v>657053</v>
      </c>
      <c r="B1590" t="s">
        <v>3339</v>
      </c>
      <c r="C1590" t="s">
        <v>3340</v>
      </c>
      <c r="D1590" t="s">
        <v>10</v>
      </c>
      <c r="E1590" t="s">
        <v>84</v>
      </c>
      <c r="G1590" t="str">
        <f>HYPERLINK(_xlfn.CONCAT("https://tablet.otzar.org/",CHAR(35),"/book/657053/p/-1/t/1/fs/0/start/0/end/0/c"),"חידושי מהר""""י שפירא - יבמות")</f>
        <v>חידושי מהר""י שפירא - יבמות</v>
      </c>
      <c r="H1590" t="str">
        <f>_xlfn.CONCAT("https://tablet.otzar.org/",CHAR(35),"/book/657053/p/-1/t/1/fs/0/start/0/end/0/c")</f>
        <v>https://tablet.otzar.org/#/book/657053/p/-1/t/1/fs/0/start/0/end/0/c</v>
      </c>
    </row>
    <row r="1591" spans="1:8" x14ac:dyDescent="0.25">
      <c r="A1591">
        <v>652495</v>
      </c>
      <c r="B1591" t="s">
        <v>3341</v>
      </c>
      <c r="C1591" t="s">
        <v>3342</v>
      </c>
      <c r="E1591" t="s">
        <v>126</v>
      </c>
      <c r="G1591" t="str">
        <f>HYPERLINK(_xlfn.CONCAT("https://tablet.otzar.org/",CHAR(35),"/book/652495/p/-1/t/1/fs/0/start/0/end/0/c"),"חידושי מחצית השקל - עירובין")</f>
        <v>חידושי מחצית השקל - עירובין</v>
      </c>
      <c r="H1591" t="str">
        <f>_xlfn.CONCAT("https://tablet.otzar.org/",CHAR(35),"/book/652495/p/-1/t/1/fs/0/start/0/end/0/c")</f>
        <v>https://tablet.otzar.org/#/book/652495/p/-1/t/1/fs/0/start/0/end/0/c</v>
      </c>
    </row>
    <row r="1592" spans="1:8" x14ac:dyDescent="0.25">
      <c r="A1592">
        <v>654804</v>
      </c>
      <c r="B1592" t="s">
        <v>3343</v>
      </c>
      <c r="C1592" t="s">
        <v>1756</v>
      </c>
      <c r="D1592" t="s">
        <v>52</v>
      </c>
      <c r="E1592" t="s">
        <v>11</v>
      </c>
      <c r="G1592" t="str">
        <f>HYPERLINK(_xlfn.CONCAT("https://tablet.otzar.org/",CHAR(35),"/exKotar/654804"),"חידושי רבי דב לנדו - 7 כרכים")</f>
        <v>חידושי רבי דב לנדו - 7 כרכים</v>
      </c>
      <c r="H1592" t="str">
        <f>_xlfn.CONCAT("https://tablet.otzar.org/",CHAR(35),"/exKotar/654804")</f>
        <v>https://tablet.otzar.org/#/exKotar/654804</v>
      </c>
    </row>
    <row r="1593" spans="1:8" x14ac:dyDescent="0.25">
      <c r="A1593">
        <v>653664</v>
      </c>
      <c r="B1593" t="s">
        <v>3344</v>
      </c>
      <c r="C1593" t="s">
        <v>3345</v>
      </c>
      <c r="E1593" t="s">
        <v>817</v>
      </c>
      <c r="G1593" t="str">
        <f>HYPERLINK(_xlfn.CONCAT("https://tablet.otzar.org/",CHAR(35),"/book/653664/p/-1/t/1/fs/0/start/0/end/0/c"),"חידושי רבי חיים ישר")</f>
        <v>חידושי רבי חיים ישר</v>
      </c>
      <c r="H1593" t="str">
        <f>_xlfn.CONCAT("https://tablet.otzar.org/",CHAR(35),"/book/653664/p/-1/t/1/fs/0/start/0/end/0/c")</f>
        <v>https://tablet.otzar.org/#/book/653664/p/-1/t/1/fs/0/start/0/end/0/c</v>
      </c>
    </row>
    <row r="1594" spans="1:8" x14ac:dyDescent="0.25">
      <c r="A1594">
        <v>654817</v>
      </c>
      <c r="B1594" t="s">
        <v>3346</v>
      </c>
      <c r="C1594" t="s">
        <v>3347</v>
      </c>
      <c r="D1594" t="s">
        <v>10</v>
      </c>
      <c r="E1594" t="s">
        <v>3348</v>
      </c>
      <c r="G1594" t="str">
        <f>HYPERLINK(_xlfn.CONCAT("https://tablet.otzar.org/",CHAR(35),"/book/654817/p/-1/t/1/fs/0/start/0/end/0/c"),"חידושי רבינו משה מאימראן - עבודה זרה")</f>
        <v>חידושי רבינו משה מאימראן - עבודה זרה</v>
      </c>
      <c r="H1594" t="str">
        <f>_xlfn.CONCAT("https://tablet.otzar.org/",CHAR(35),"/book/654817/p/-1/t/1/fs/0/start/0/end/0/c")</f>
        <v>https://tablet.otzar.org/#/book/654817/p/-1/t/1/fs/0/start/0/end/0/c</v>
      </c>
    </row>
    <row r="1595" spans="1:8" x14ac:dyDescent="0.25">
      <c r="A1595">
        <v>656211</v>
      </c>
      <c r="B1595" t="s">
        <v>3349</v>
      </c>
      <c r="C1595" t="s">
        <v>3350</v>
      </c>
      <c r="D1595" t="s">
        <v>10</v>
      </c>
      <c r="E1595" t="s">
        <v>507</v>
      </c>
      <c r="G1595" t="str">
        <f>HYPERLINK(_xlfn.CONCAT("https://tablet.otzar.org/",CHAR(35),"/book/656211/p/-1/t/1/fs/0/start/0/end/0/c"),"חידושי רפאל &lt;מכון כנסת&gt; - מכות")</f>
        <v>חידושי רפאל &lt;מכון כנסת&gt; - מכות</v>
      </c>
      <c r="H1595" t="str">
        <f>_xlfn.CONCAT("https://tablet.otzar.org/",CHAR(35),"/book/656211/p/-1/t/1/fs/0/start/0/end/0/c")</f>
        <v>https://tablet.otzar.org/#/book/656211/p/-1/t/1/fs/0/start/0/end/0/c</v>
      </c>
    </row>
    <row r="1596" spans="1:8" x14ac:dyDescent="0.25">
      <c r="A1596">
        <v>651826</v>
      </c>
      <c r="B1596" t="s">
        <v>3351</v>
      </c>
      <c r="C1596" t="s">
        <v>790</v>
      </c>
      <c r="D1596" t="s">
        <v>791</v>
      </c>
      <c r="E1596" t="s">
        <v>2057</v>
      </c>
      <c r="G1596" t="str">
        <f>HYPERLINK(_xlfn.CONCAT("https://tablet.otzar.org/",CHAR(35),"/book/651826/p/-1/t/1/fs/0/start/0/end/0/c"),"חידושי תורה")</f>
        <v>חידושי תורה</v>
      </c>
      <c r="H1596" t="str">
        <f>_xlfn.CONCAT("https://tablet.otzar.org/",CHAR(35),"/book/651826/p/-1/t/1/fs/0/start/0/end/0/c")</f>
        <v>https://tablet.otzar.org/#/book/651826/p/-1/t/1/fs/0/start/0/end/0/c</v>
      </c>
    </row>
    <row r="1597" spans="1:8" x14ac:dyDescent="0.25">
      <c r="A1597">
        <v>648544</v>
      </c>
      <c r="B1597" t="s">
        <v>3352</v>
      </c>
      <c r="C1597" t="s">
        <v>1874</v>
      </c>
      <c r="E1597" t="s">
        <v>2612</v>
      </c>
      <c r="G1597" t="str">
        <f>HYPERLINK(_xlfn.CONCAT("https://tablet.otzar.org/",CHAR(35),"/exKotar/648544"),"חידושי תורה - 4 כרכים")</f>
        <v>חידושי תורה - 4 כרכים</v>
      </c>
      <c r="H1597" t="str">
        <f>_xlfn.CONCAT("https://tablet.otzar.org/",CHAR(35),"/exKotar/648544")</f>
        <v>https://tablet.otzar.org/#/exKotar/648544</v>
      </c>
    </row>
    <row r="1598" spans="1:8" x14ac:dyDescent="0.25">
      <c r="A1598">
        <v>648545</v>
      </c>
      <c r="B1598" t="s">
        <v>3353</v>
      </c>
      <c r="C1598" t="s">
        <v>1874</v>
      </c>
      <c r="E1598" t="s">
        <v>495</v>
      </c>
      <c r="G1598" t="str">
        <f>HYPERLINK(_xlfn.CONCAT("https://tablet.otzar.org/",CHAR(35),"/exKotar/648545"),"חידושי תורה &lt;במסיבות להחזקת מוסדות התורה והחינוך&gt;  - 2 כרכים")</f>
        <v>חידושי תורה &lt;במסיבות להחזקת מוסדות התורה והחינוך&gt;  - 2 כרכים</v>
      </c>
      <c r="H1598" t="str">
        <f>_xlfn.CONCAT("https://tablet.otzar.org/",CHAR(35),"/exKotar/648545")</f>
        <v>https://tablet.otzar.org/#/exKotar/648545</v>
      </c>
    </row>
    <row r="1599" spans="1:8" x14ac:dyDescent="0.25">
      <c r="A1599">
        <v>651427</v>
      </c>
      <c r="B1599" t="s">
        <v>3354</v>
      </c>
      <c r="C1599" t="s">
        <v>3355</v>
      </c>
      <c r="D1599" t="s">
        <v>10</v>
      </c>
      <c r="E1599" t="s">
        <v>89</v>
      </c>
      <c r="G1599" t="str">
        <f>HYPERLINK(_xlfn.CONCAT("https://tablet.otzar.org/",CHAR(35),"/book/651427/p/-1/t/1/fs/0/start/0/end/0/c"),"חידושי תורה עמ""""ס ב""""מ")</f>
        <v>חידושי תורה עמ""ס ב""מ</v>
      </c>
      <c r="H1599" t="str">
        <f>_xlfn.CONCAT("https://tablet.otzar.org/",CHAR(35),"/book/651427/p/-1/t/1/fs/0/start/0/end/0/c")</f>
        <v>https://tablet.otzar.org/#/book/651427/p/-1/t/1/fs/0/start/0/end/0/c</v>
      </c>
    </row>
    <row r="1600" spans="1:8" x14ac:dyDescent="0.25">
      <c r="A1600">
        <v>651866</v>
      </c>
      <c r="B1600" t="s">
        <v>3356</v>
      </c>
      <c r="C1600" t="s">
        <v>3357</v>
      </c>
      <c r="D1600" t="s">
        <v>10</v>
      </c>
      <c r="E1600" t="s">
        <v>11</v>
      </c>
      <c r="G1600" t="str">
        <f>HYPERLINK(_xlfn.CONCAT("https://tablet.otzar.org/",CHAR(35),"/book/651866/p/-1/t/1/fs/0/start/0/end/0/c"),"חידושים וביאורים בענייני ל""""ג בעומר")</f>
        <v>חידושים וביאורים בענייני ל""ג בעומר</v>
      </c>
      <c r="H1600" t="str">
        <f>_xlfn.CONCAT("https://tablet.otzar.org/",CHAR(35),"/book/651866/p/-1/t/1/fs/0/start/0/end/0/c")</f>
        <v>https://tablet.otzar.org/#/book/651866/p/-1/t/1/fs/0/start/0/end/0/c</v>
      </c>
    </row>
    <row r="1601" spans="1:8" x14ac:dyDescent="0.25">
      <c r="A1601">
        <v>649171</v>
      </c>
      <c r="B1601" t="s">
        <v>3358</v>
      </c>
      <c r="C1601" t="s">
        <v>3357</v>
      </c>
      <c r="D1601" t="s">
        <v>10</v>
      </c>
      <c r="E1601" t="s">
        <v>11</v>
      </c>
      <c r="G1601" t="str">
        <f>HYPERLINK(_xlfn.CONCAT("https://tablet.otzar.org/",CHAR(35),"/book/649171/p/-1/t/1/fs/0/start/0/end/0/c"),"חידושים וביאורים בענייני עשרה בטבת")</f>
        <v>חידושים וביאורים בענייני עשרה בטבת</v>
      </c>
      <c r="H1601" t="str">
        <f>_xlfn.CONCAT("https://tablet.otzar.org/",CHAR(35),"/book/649171/p/-1/t/1/fs/0/start/0/end/0/c")</f>
        <v>https://tablet.otzar.org/#/book/649171/p/-1/t/1/fs/0/start/0/end/0/c</v>
      </c>
    </row>
    <row r="1602" spans="1:8" x14ac:dyDescent="0.25">
      <c r="A1602">
        <v>649172</v>
      </c>
      <c r="B1602" t="s">
        <v>3359</v>
      </c>
      <c r="C1602" t="s">
        <v>3357</v>
      </c>
      <c r="D1602" t="s">
        <v>10</v>
      </c>
      <c r="E1602" t="s">
        <v>11</v>
      </c>
      <c r="G1602" t="str">
        <f>HYPERLINK(_xlfn.CONCAT("https://tablet.otzar.org/",CHAR(35),"/book/649172/p/-1/t/1/fs/0/start/0/end/0/c"),"חידושים וביאורים בענייני שובבי""""ם וט""""ו בשבט")</f>
        <v>חידושים וביאורים בענייני שובבי""ם וט""ו בשבט</v>
      </c>
      <c r="H1602" t="str">
        <f>_xlfn.CONCAT("https://tablet.otzar.org/",CHAR(35),"/book/649172/p/-1/t/1/fs/0/start/0/end/0/c")</f>
        <v>https://tablet.otzar.org/#/book/649172/p/-1/t/1/fs/0/start/0/end/0/c</v>
      </c>
    </row>
    <row r="1603" spans="1:8" x14ac:dyDescent="0.25">
      <c r="A1603">
        <v>647518</v>
      </c>
      <c r="B1603" t="s">
        <v>3360</v>
      </c>
      <c r="C1603" t="s">
        <v>3361</v>
      </c>
      <c r="D1603" t="s">
        <v>855</v>
      </c>
      <c r="E1603" t="s">
        <v>495</v>
      </c>
      <c r="G1603" t="str">
        <f>HYPERLINK(_xlfn.CONCAT("https://tablet.otzar.org/",CHAR(35),"/book/647518/p/-1/t/1/fs/0/start/0/end/0/c"),"חידושים לאחד מהראשונים &lt;מיוחס לרשב""""א&gt;  עמ""""ס מנחות")</f>
        <v>חידושים לאחד מהראשונים &lt;מיוחס לרשב""א&gt;  עמ""ס מנחות</v>
      </c>
      <c r="H1603" t="str">
        <f>_xlfn.CONCAT("https://tablet.otzar.org/",CHAR(35),"/book/647518/p/-1/t/1/fs/0/start/0/end/0/c")</f>
        <v>https://tablet.otzar.org/#/book/647518/p/-1/t/1/fs/0/start/0/end/0/c</v>
      </c>
    </row>
    <row r="1604" spans="1:8" x14ac:dyDescent="0.25">
      <c r="A1604">
        <v>651654</v>
      </c>
      <c r="B1604" t="s">
        <v>3362</v>
      </c>
      <c r="C1604" t="s">
        <v>3363</v>
      </c>
      <c r="D1604" t="s">
        <v>34</v>
      </c>
      <c r="E1604" t="s">
        <v>70</v>
      </c>
      <c r="G1604" t="str">
        <f>HYPERLINK(_xlfn.CONCAT("https://tablet.otzar.org/",CHAR(35),"/book/651654/p/-1/t/1/fs/0/start/0/end/0/c"),"חידושים מפתיעים על מעשיות חז""""ל - יא")</f>
        <v>חידושים מפתיעים על מעשיות חז""ל - יא</v>
      </c>
      <c r="H1604" t="str">
        <f>_xlfn.CONCAT("https://tablet.otzar.org/",CHAR(35),"/book/651654/p/-1/t/1/fs/0/start/0/end/0/c")</f>
        <v>https://tablet.otzar.org/#/book/651654/p/-1/t/1/fs/0/start/0/end/0/c</v>
      </c>
    </row>
    <row r="1605" spans="1:8" x14ac:dyDescent="0.25">
      <c r="A1605">
        <v>650735</v>
      </c>
      <c r="B1605" t="s">
        <v>3364</v>
      </c>
      <c r="C1605" t="s">
        <v>3365</v>
      </c>
      <c r="D1605" t="s">
        <v>34</v>
      </c>
      <c r="E1605" t="s">
        <v>84</v>
      </c>
      <c r="G1605" t="str">
        <f>HYPERLINK(_xlfn.CONCAT("https://tablet.otzar.org/",CHAR(35),"/book/650735/p/-1/t/1/fs/0/start/0/end/0/c"),"חידושים נחמדים")</f>
        <v>חידושים נחמדים</v>
      </c>
      <c r="H1605" t="str">
        <f>_xlfn.CONCAT("https://tablet.otzar.org/",CHAR(35),"/book/650735/p/-1/t/1/fs/0/start/0/end/0/c")</f>
        <v>https://tablet.otzar.org/#/book/650735/p/-1/t/1/fs/0/start/0/end/0/c</v>
      </c>
    </row>
    <row r="1606" spans="1:8" x14ac:dyDescent="0.25">
      <c r="A1606">
        <v>652900</v>
      </c>
      <c r="B1606" t="s">
        <v>3366</v>
      </c>
      <c r="C1606" t="s">
        <v>3367</v>
      </c>
      <c r="D1606" t="s">
        <v>10</v>
      </c>
      <c r="E1606" t="s">
        <v>1101</v>
      </c>
      <c r="G1606" t="str">
        <f>HYPERLINK(_xlfn.CONCAT("https://tablet.otzar.org/",CHAR(35),"/book/652900/p/-1/t/1/fs/0/start/0/end/0/c"),"חיוניות יהודית בשואה")</f>
        <v>חיוניות יהודית בשואה</v>
      </c>
      <c r="H1606" t="str">
        <f>_xlfn.CONCAT("https://tablet.otzar.org/",CHAR(35),"/book/652900/p/-1/t/1/fs/0/start/0/end/0/c")</f>
        <v>https://tablet.otzar.org/#/book/652900/p/-1/t/1/fs/0/start/0/end/0/c</v>
      </c>
    </row>
    <row r="1607" spans="1:8" x14ac:dyDescent="0.25">
      <c r="A1607">
        <v>648784</v>
      </c>
      <c r="B1607" t="s">
        <v>3368</v>
      </c>
      <c r="C1607" t="s">
        <v>3369</v>
      </c>
      <c r="D1607" t="s">
        <v>88</v>
      </c>
      <c r="E1607" t="s">
        <v>35</v>
      </c>
      <c r="G1607" t="str">
        <f>HYPERLINK(_xlfn.CONCAT("https://tablet.otzar.org/",CHAR(35),"/book/648784/p/-1/t/1/fs/0/start/0/end/0/c"),"חיי אברהם - כיצד מברכים, שלשה שאכלו")</f>
        <v>חיי אברהם - כיצד מברכים, שלשה שאכלו</v>
      </c>
      <c r="H1607" t="str">
        <f>_xlfn.CONCAT("https://tablet.otzar.org/",CHAR(35),"/book/648784/p/-1/t/1/fs/0/start/0/end/0/c")</f>
        <v>https://tablet.otzar.org/#/book/648784/p/-1/t/1/fs/0/start/0/end/0/c</v>
      </c>
    </row>
    <row r="1608" spans="1:8" x14ac:dyDescent="0.25">
      <c r="A1608">
        <v>654378</v>
      </c>
      <c r="B1608" t="s">
        <v>3370</v>
      </c>
      <c r="C1608" t="s">
        <v>3371</v>
      </c>
      <c r="D1608" t="s">
        <v>10</v>
      </c>
      <c r="E1608" t="s">
        <v>213</v>
      </c>
      <c r="G1608" t="str">
        <f>HYPERLINK(_xlfn.CONCAT("https://tablet.otzar.org/",CHAR(35),"/book/654378/p/-1/t/1/fs/0/start/0/end/0/c"),"חיי אדם - שומר מצוה")</f>
        <v>חיי אדם - שומר מצוה</v>
      </c>
      <c r="H1608" t="str">
        <f>_xlfn.CONCAT("https://tablet.otzar.org/",CHAR(35),"/book/654378/p/-1/t/1/fs/0/start/0/end/0/c")</f>
        <v>https://tablet.otzar.org/#/book/654378/p/-1/t/1/fs/0/start/0/end/0/c</v>
      </c>
    </row>
    <row r="1609" spans="1:8" x14ac:dyDescent="0.25">
      <c r="A1609">
        <v>654746</v>
      </c>
      <c r="B1609" t="s">
        <v>3372</v>
      </c>
      <c r="C1609" t="s">
        <v>3373</v>
      </c>
      <c r="D1609" t="s">
        <v>10</v>
      </c>
      <c r="E1609" t="s">
        <v>507</v>
      </c>
      <c r="G1609" t="str">
        <f>HYPERLINK(_xlfn.CONCAT("https://tablet.otzar.org/",CHAR(35),"/book/654746/p/-1/t/1/fs/0/start/0/end/0/c"),"חיי אפרים - על התורה")</f>
        <v>חיי אפרים - על התורה</v>
      </c>
      <c r="H1609" t="str">
        <f>_xlfn.CONCAT("https://tablet.otzar.org/",CHAR(35),"/book/654746/p/-1/t/1/fs/0/start/0/end/0/c")</f>
        <v>https://tablet.otzar.org/#/book/654746/p/-1/t/1/fs/0/start/0/end/0/c</v>
      </c>
    </row>
    <row r="1610" spans="1:8" x14ac:dyDescent="0.25">
      <c r="A1610">
        <v>651089</v>
      </c>
      <c r="B1610" t="s">
        <v>3374</v>
      </c>
      <c r="C1610" t="s">
        <v>3375</v>
      </c>
      <c r="D1610" t="s">
        <v>858</v>
      </c>
      <c r="E1610" t="s">
        <v>11</v>
      </c>
      <c r="G1610" t="str">
        <f>HYPERLINK(_xlfn.CONCAT("https://tablet.otzar.org/",CHAR(35),"/book/651089/p/-1/t/1/fs/0/start/0/end/0/c"),"חיי הלוי ט &lt;תריג מצוות ג&gt;")</f>
        <v>חיי הלוי ט &lt;תריג מצוות ג&gt;</v>
      </c>
      <c r="H1610" t="str">
        <f>_xlfn.CONCAT("https://tablet.otzar.org/",CHAR(35),"/book/651089/p/-1/t/1/fs/0/start/0/end/0/c")</f>
        <v>https://tablet.otzar.org/#/book/651089/p/-1/t/1/fs/0/start/0/end/0/c</v>
      </c>
    </row>
    <row r="1611" spans="1:8" x14ac:dyDescent="0.25">
      <c r="A1611">
        <v>646986</v>
      </c>
      <c r="B1611" t="s">
        <v>3376</v>
      </c>
      <c r="C1611" t="s">
        <v>3375</v>
      </c>
      <c r="D1611" t="s">
        <v>858</v>
      </c>
      <c r="E1611" t="s">
        <v>35</v>
      </c>
      <c r="G1611" t="str">
        <f>HYPERLINK(_xlfn.CONCAT("https://tablet.otzar.org/",CHAR(35),"/book/646986/p/-1/t/1/fs/0/start/0/end/0/c"),"חיי הלוי - יא")</f>
        <v>חיי הלוי - יא</v>
      </c>
      <c r="H1611" t="str">
        <f>_xlfn.CONCAT("https://tablet.otzar.org/",CHAR(35),"/book/646986/p/-1/t/1/fs/0/start/0/end/0/c")</f>
        <v>https://tablet.otzar.org/#/book/646986/p/-1/t/1/fs/0/start/0/end/0/c</v>
      </c>
    </row>
    <row r="1612" spans="1:8" x14ac:dyDescent="0.25">
      <c r="A1612">
        <v>656087</v>
      </c>
      <c r="B1612" t="s">
        <v>3377</v>
      </c>
      <c r="C1612" t="s">
        <v>3378</v>
      </c>
      <c r="D1612" t="s">
        <v>52</v>
      </c>
      <c r="E1612" t="s">
        <v>35</v>
      </c>
      <c r="G1612" t="str">
        <f>HYPERLINK(_xlfn.CONCAT("https://tablet.otzar.org/",CHAR(35),"/exKotar/656087"),"חיי נועם - 3 כרכים")</f>
        <v>חיי נועם - 3 כרכים</v>
      </c>
      <c r="H1612" t="str">
        <f>_xlfn.CONCAT("https://tablet.otzar.org/",CHAR(35),"/exKotar/656087")</f>
        <v>https://tablet.otzar.org/#/exKotar/656087</v>
      </c>
    </row>
    <row r="1613" spans="1:8" x14ac:dyDescent="0.25">
      <c r="A1613">
        <v>654636</v>
      </c>
      <c r="B1613" t="s">
        <v>3379</v>
      </c>
      <c r="C1613" t="s">
        <v>614</v>
      </c>
      <c r="D1613" t="s">
        <v>52</v>
      </c>
      <c r="E1613" t="s">
        <v>11</v>
      </c>
      <c r="G1613" t="str">
        <f>HYPERLINK(_xlfn.CONCAT("https://tablet.otzar.org/",CHAR(35),"/book/654636/p/-1/t/1/fs/0/start/0/end/0/c"),"חיי עולם - שער הכונות א")</f>
        <v>חיי עולם - שער הכונות א</v>
      </c>
      <c r="H1613" t="str">
        <f>_xlfn.CONCAT("https://tablet.otzar.org/",CHAR(35),"/book/654636/p/-1/t/1/fs/0/start/0/end/0/c")</f>
        <v>https://tablet.otzar.org/#/book/654636/p/-1/t/1/fs/0/start/0/end/0/c</v>
      </c>
    </row>
    <row r="1614" spans="1:8" x14ac:dyDescent="0.25">
      <c r="A1614">
        <v>652586</v>
      </c>
      <c r="B1614" t="s">
        <v>3380</v>
      </c>
      <c r="C1614" t="s">
        <v>3381</v>
      </c>
      <c r="D1614" t="s">
        <v>10</v>
      </c>
      <c r="E1614" t="s">
        <v>2097</v>
      </c>
      <c r="G1614" t="str">
        <f>HYPERLINK(_xlfn.CONCAT("https://tablet.otzar.org/",CHAR(35),"/book/652586/p/-1/t/1/fs/0/start/0/end/0/c"),"חיי עולם ובית הכנסת")</f>
        <v>חיי עולם ובית הכנסת</v>
      </c>
      <c r="H1614" t="str">
        <f>_xlfn.CONCAT("https://tablet.otzar.org/",CHAR(35),"/book/652586/p/-1/t/1/fs/0/start/0/end/0/c")</f>
        <v>https://tablet.otzar.org/#/book/652586/p/-1/t/1/fs/0/start/0/end/0/c</v>
      </c>
    </row>
    <row r="1615" spans="1:8" x14ac:dyDescent="0.25">
      <c r="A1615">
        <v>653746</v>
      </c>
      <c r="B1615" t="s">
        <v>3382</v>
      </c>
      <c r="C1615" t="s">
        <v>3383</v>
      </c>
      <c r="D1615" t="s">
        <v>10</v>
      </c>
      <c r="E1615" t="s">
        <v>11</v>
      </c>
      <c r="G1615" t="str">
        <f>HYPERLINK(_xlfn.CONCAT("https://tablet.otzar.org/",CHAR(35),"/book/653746/p/-1/t/1/fs/0/start/0/end/0/c"),"חיי פנחס")</f>
        <v>חיי פנחס</v>
      </c>
      <c r="H1615" t="str">
        <f>_xlfn.CONCAT("https://tablet.otzar.org/",CHAR(35),"/book/653746/p/-1/t/1/fs/0/start/0/end/0/c")</f>
        <v>https://tablet.otzar.org/#/book/653746/p/-1/t/1/fs/0/start/0/end/0/c</v>
      </c>
    </row>
    <row r="1616" spans="1:8" x14ac:dyDescent="0.25">
      <c r="A1616">
        <v>647751</v>
      </c>
      <c r="B1616" t="s">
        <v>3384</v>
      </c>
      <c r="C1616" t="s">
        <v>3385</v>
      </c>
      <c r="D1616" t="s">
        <v>52</v>
      </c>
      <c r="E1616" t="s">
        <v>35</v>
      </c>
      <c r="G1616" t="str">
        <f>HYPERLINK(_xlfn.CONCAT("https://tablet.otzar.org/",CHAR(35),"/exKotar/647751"),"חיי שלמה - 3 כרכים")</f>
        <v>חיי שלמה - 3 כרכים</v>
      </c>
      <c r="H1616" t="str">
        <f>_xlfn.CONCAT("https://tablet.otzar.org/",CHAR(35),"/exKotar/647751")</f>
        <v>https://tablet.otzar.org/#/exKotar/647751</v>
      </c>
    </row>
    <row r="1617" spans="1:8" x14ac:dyDescent="0.25">
      <c r="A1617">
        <v>653274</v>
      </c>
      <c r="B1617" t="s">
        <v>3386</v>
      </c>
      <c r="C1617" t="s">
        <v>3387</v>
      </c>
      <c r="D1617" t="s">
        <v>432</v>
      </c>
      <c r="E1617" t="s">
        <v>405</v>
      </c>
      <c r="G1617" t="str">
        <f>HYPERLINK(_xlfn.CONCAT("https://tablet.otzar.org/",CHAR(35),"/book/653274/p/-1/t/1/fs/0/start/0/end/0/c"),"חייב איניש לבסומי בפוריא")</f>
        <v>חייב איניש לבסומי בפוריא</v>
      </c>
      <c r="H1617" t="str">
        <f>_xlfn.CONCAT("https://tablet.otzar.org/",CHAR(35),"/book/653274/p/-1/t/1/fs/0/start/0/end/0/c")</f>
        <v>https://tablet.otzar.org/#/book/653274/p/-1/t/1/fs/0/start/0/end/0/c</v>
      </c>
    </row>
    <row r="1618" spans="1:8" x14ac:dyDescent="0.25">
      <c r="A1618">
        <v>654550</v>
      </c>
      <c r="B1618" t="s">
        <v>3388</v>
      </c>
      <c r="C1618" t="s">
        <v>3389</v>
      </c>
      <c r="D1618" t="s">
        <v>52</v>
      </c>
      <c r="E1618" t="s">
        <v>11</v>
      </c>
      <c r="G1618" t="str">
        <f>HYPERLINK(_xlfn.CONCAT("https://tablet.otzar.org/",CHAR(35),"/book/654550/p/-1/t/1/fs/0/start/0/end/0/c"),"חיים הדבקים")</f>
        <v>חיים הדבקים</v>
      </c>
      <c r="H1618" t="str">
        <f>_xlfn.CONCAT("https://tablet.otzar.org/",CHAR(35),"/book/654550/p/-1/t/1/fs/0/start/0/end/0/c")</f>
        <v>https://tablet.otzar.org/#/book/654550/p/-1/t/1/fs/0/start/0/end/0/c</v>
      </c>
    </row>
    <row r="1619" spans="1:8" x14ac:dyDescent="0.25">
      <c r="A1619">
        <v>655937</v>
      </c>
      <c r="B1619" t="s">
        <v>3390</v>
      </c>
      <c r="C1619" t="s">
        <v>2517</v>
      </c>
      <c r="D1619" t="s">
        <v>139</v>
      </c>
      <c r="E1619" t="s">
        <v>11</v>
      </c>
      <c r="G1619" t="str">
        <f>HYPERLINK(_xlfn.CONCAT("https://tablet.otzar.org/",CHAR(35),"/book/655937/p/-1/t/1/fs/0/start/0/end/0/c"),"חיים למוצאיהם")</f>
        <v>חיים למוצאיהם</v>
      </c>
      <c r="H1619" t="str">
        <f>_xlfn.CONCAT("https://tablet.otzar.org/",CHAR(35),"/book/655937/p/-1/t/1/fs/0/start/0/end/0/c")</f>
        <v>https://tablet.otzar.org/#/book/655937/p/-1/t/1/fs/0/start/0/end/0/c</v>
      </c>
    </row>
    <row r="1620" spans="1:8" x14ac:dyDescent="0.25">
      <c r="A1620">
        <v>639358</v>
      </c>
      <c r="B1620" t="s">
        <v>3391</v>
      </c>
      <c r="C1620" t="s">
        <v>3392</v>
      </c>
      <c r="D1620" t="s">
        <v>34</v>
      </c>
      <c r="E1620" t="s">
        <v>405</v>
      </c>
      <c r="G1620" t="str">
        <f>HYPERLINK(_xlfn.CONCAT("https://tablet.otzar.org/",CHAR(35),"/exKotar/639358"),"חיים של ברכה - 2 כרכים")</f>
        <v>חיים של ברכה - 2 כרכים</v>
      </c>
      <c r="H1620" t="str">
        <f>_xlfn.CONCAT("https://tablet.otzar.org/",CHAR(35),"/exKotar/639358")</f>
        <v>https://tablet.otzar.org/#/exKotar/639358</v>
      </c>
    </row>
    <row r="1621" spans="1:8" x14ac:dyDescent="0.25">
      <c r="A1621">
        <v>647654</v>
      </c>
      <c r="B1621" t="s">
        <v>3393</v>
      </c>
      <c r="C1621" t="s">
        <v>3394</v>
      </c>
      <c r="D1621" t="s">
        <v>10</v>
      </c>
      <c r="E1621" t="s">
        <v>35</v>
      </c>
      <c r="G1621" t="str">
        <f>HYPERLINK(_xlfn.CONCAT("https://tablet.otzar.org/",CHAR(35),"/book/647654/p/-1/t/1/fs/0/start/0/end/0/c"),"חיינתי נפשי")</f>
        <v>חיינתי נפשי</v>
      </c>
      <c r="H1621" t="str">
        <f>_xlfn.CONCAT("https://tablet.otzar.org/",CHAR(35),"/book/647654/p/-1/t/1/fs/0/start/0/end/0/c")</f>
        <v>https://tablet.otzar.org/#/book/647654/p/-1/t/1/fs/0/start/0/end/0/c</v>
      </c>
    </row>
    <row r="1622" spans="1:8" x14ac:dyDescent="0.25">
      <c r="A1622">
        <v>647792</v>
      </c>
      <c r="B1622" t="s">
        <v>3395</v>
      </c>
      <c r="C1622" t="s">
        <v>3394</v>
      </c>
      <c r="D1622" t="s">
        <v>10</v>
      </c>
      <c r="E1622" t="s">
        <v>35</v>
      </c>
      <c r="G1622" t="str">
        <f>HYPERLINK(_xlfn.CONCAT("https://tablet.otzar.org/",CHAR(35),"/exKotar/647792"),"חייתני נפשי - 2 כרכים")</f>
        <v>חייתני נפשי - 2 כרכים</v>
      </c>
      <c r="H1622" t="str">
        <f>_xlfn.CONCAT("https://tablet.otzar.org/",CHAR(35),"/exKotar/647792")</f>
        <v>https://tablet.otzar.org/#/exKotar/647792</v>
      </c>
    </row>
    <row r="1623" spans="1:8" x14ac:dyDescent="0.25">
      <c r="A1623">
        <v>649729</v>
      </c>
      <c r="B1623" t="s">
        <v>3396</v>
      </c>
      <c r="C1623" t="s">
        <v>3397</v>
      </c>
      <c r="D1623" t="s">
        <v>3398</v>
      </c>
      <c r="E1623" t="s">
        <v>70</v>
      </c>
      <c r="G1623" t="str">
        <f>HYPERLINK(_xlfn.CONCAT("https://tablet.otzar.org/",CHAR(35),"/book/649729/p/-1/t/1/fs/0/start/0/end/0/c"),"חינוך האבות")</f>
        <v>חינוך האבות</v>
      </c>
      <c r="H1623" t="str">
        <f>_xlfn.CONCAT("https://tablet.otzar.org/",CHAR(35),"/book/649729/p/-1/t/1/fs/0/start/0/end/0/c")</f>
        <v>https://tablet.otzar.org/#/book/649729/p/-1/t/1/fs/0/start/0/end/0/c</v>
      </c>
    </row>
    <row r="1624" spans="1:8" x14ac:dyDescent="0.25">
      <c r="A1624">
        <v>653281</v>
      </c>
      <c r="B1624" t="s">
        <v>3399</v>
      </c>
      <c r="C1624" t="s">
        <v>3400</v>
      </c>
      <c r="D1624" t="s">
        <v>166</v>
      </c>
      <c r="E1624" t="s">
        <v>3401</v>
      </c>
      <c r="G1624" t="str">
        <f>HYPERLINK(_xlfn.CONCAT("https://tablet.otzar.org/",CHAR(35),"/book/653281/p/-1/t/1/fs/0/start/0/end/0/c"),"חכם ושר")</f>
        <v>חכם ושר</v>
      </c>
      <c r="H1624" t="str">
        <f>_xlfn.CONCAT("https://tablet.otzar.org/",CHAR(35),"/book/653281/p/-1/t/1/fs/0/start/0/end/0/c")</f>
        <v>https://tablet.otzar.org/#/book/653281/p/-1/t/1/fs/0/start/0/end/0/c</v>
      </c>
    </row>
    <row r="1625" spans="1:8" x14ac:dyDescent="0.25">
      <c r="A1625">
        <v>651518</v>
      </c>
      <c r="B1625" t="s">
        <v>3402</v>
      </c>
      <c r="C1625" t="s">
        <v>3403</v>
      </c>
      <c r="D1625" t="s">
        <v>287</v>
      </c>
      <c r="E1625" t="s">
        <v>11</v>
      </c>
      <c r="G1625" t="str">
        <f>HYPERLINK(_xlfn.CONCAT("https://tablet.otzar.org/",CHAR(35),"/exKotar/651518"),"חכם לב - 2 כרכים")</f>
        <v>חכם לב - 2 כרכים</v>
      </c>
      <c r="H1625" t="str">
        <f>_xlfn.CONCAT("https://tablet.otzar.org/",CHAR(35),"/exKotar/651518")</f>
        <v>https://tablet.otzar.org/#/exKotar/651518</v>
      </c>
    </row>
    <row r="1626" spans="1:8" x14ac:dyDescent="0.25">
      <c r="A1626">
        <v>655435</v>
      </c>
      <c r="B1626" t="s">
        <v>3404</v>
      </c>
      <c r="C1626" t="s">
        <v>3405</v>
      </c>
      <c r="D1626" t="s">
        <v>52</v>
      </c>
      <c r="E1626" t="s">
        <v>84</v>
      </c>
      <c r="G1626" t="str">
        <f>HYPERLINK(_xlfn.CONCAT("https://tablet.otzar.org/",CHAR(35),"/exKotar/655435"),"חכמה קדומה - 3 כרכים")</f>
        <v>חכמה קדומה - 3 כרכים</v>
      </c>
      <c r="H1626" t="str">
        <f>_xlfn.CONCAT("https://tablet.otzar.org/",CHAR(35),"/exKotar/655435")</f>
        <v>https://tablet.otzar.org/#/exKotar/655435</v>
      </c>
    </row>
    <row r="1627" spans="1:8" x14ac:dyDescent="0.25">
      <c r="A1627">
        <v>641637</v>
      </c>
      <c r="B1627" t="s">
        <v>3406</v>
      </c>
      <c r="C1627" t="s">
        <v>3407</v>
      </c>
      <c r="D1627" t="s">
        <v>3408</v>
      </c>
      <c r="E1627">
        <v>2004</v>
      </c>
      <c r="G1627" t="str">
        <f>HYPERLINK(_xlfn.CONCAT("https://tablet.otzar.org/",CHAR(35),"/book/641637/p/-1/t/1/fs/0/start/0/end/0/c"),"חכמי ישראל דטאראנטא")</f>
        <v>חכמי ישראל דטאראנטא</v>
      </c>
      <c r="H1627" t="str">
        <f>_xlfn.CONCAT("https://tablet.otzar.org/",CHAR(35),"/book/641637/p/-1/t/1/fs/0/start/0/end/0/c")</f>
        <v>https://tablet.otzar.org/#/book/641637/p/-1/t/1/fs/0/start/0/end/0/c</v>
      </c>
    </row>
    <row r="1628" spans="1:8" x14ac:dyDescent="0.25">
      <c r="A1628">
        <v>650528</v>
      </c>
      <c r="B1628" t="s">
        <v>3409</v>
      </c>
      <c r="C1628" t="s">
        <v>3410</v>
      </c>
      <c r="D1628" t="s">
        <v>10</v>
      </c>
      <c r="E1628" t="s">
        <v>73</v>
      </c>
      <c r="G1628" t="str">
        <f>HYPERLINK(_xlfn.CONCAT("https://tablet.otzar.org/",CHAR(35),"/book/650528/p/-1/t/1/fs/0/start/0/end/0/c"),"חכמי לוב")</f>
        <v>חכמי לוב</v>
      </c>
      <c r="H1628" t="str">
        <f>_xlfn.CONCAT("https://tablet.otzar.org/",CHAR(35),"/book/650528/p/-1/t/1/fs/0/start/0/end/0/c")</f>
        <v>https://tablet.otzar.org/#/book/650528/p/-1/t/1/fs/0/start/0/end/0/c</v>
      </c>
    </row>
    <row r="1629" spans="1:8" x14ac:dyDescent="0.25">
      <c r="A1629">
        <v>649442</v>
      </c>
      <c r="B1629" t="s">
        <v>3411</v>
      </c>
      <c r="C1629" t="s">
        <v>3412</v>
      </c>
      <c r="D1629" t="s">
        <v>58</v>
      </c>
      <c r="E1629" t="s">
        <v>802</v>
      </c>
      <c r="G1629" t="str">
        <f>HYPERLINK(_xlfn.CONCAT("https://tablet.otzar.org/",CHAR(35),"/book/649442/p/-1/t/1/fs/0/start/0/end/0/c"),"חכמת היד והפרצוף")</f>
        <v>חכמת היד והפרצוף</v>
      </c>
      <c r="H1629" t="str">
        <f>_xlfn.CONCAT("https://tablet.otzar.org/",CHAR(35),"/book/649442/p/-1/t/1/fs/0/start/0/end/0/c")</f>
        <v>https://tablet.otzar.org/#/book/649442/p/-1/t/1/fs/0/start/0/end/0/c</v>
      </c>
    </row>
    <row r="1630" spans="1:8" x14ac:dyDescent="0.25">
      <c r="A1630">
        <v>649810</v>
      </c>
      <c r="B1630" t="s">
        <v>3413</v>
      </c>
      <c r="C1630" t="s">
        <v>735</v>
      </c>
      <c r="D1630" t="s">
        <v>10</v>
      </c>
      <c r="E1630" t="s">
        <v>11</v>
      </c>
      <c r="G1630" t="str">
        <f>HYPERLINK(_xlfn.CONCAT("https://tablet.otzar.org/",CHAR(35),"/exKotar/649810"),"חכמת הלב ולב החכמה - 2 כרכים")</f>
        <v>חכמת הלב ולב החכמה - 2 כרכים</v>
      </c>
      <c r="H1630" t="str">
        <f>_xlfn.CONCAT("https://tablet.otzar.org/",CHAR(35),"/exKotar/649810")</f>
        <v>https://tablet.otzar.org/#/exKotar/649810</v>
      </c>
    </row>
    <row r="1631" spans="1:8" x14ac:dyDescent="0.25">
      <c r="A1631">
        <v>655436</v>
      </c>
      <c r="B1631" t="s">
        <v>3414</v>
      </c>
      <c r="C1631" t="s">
        <v>3415</v>
      </c>
      <c r="D1631" t="s">
        <v>52</v>
      </c>
      <c r="E1631" t="s">
        <v>84</v>
      </c>
      <c r="G1631" t="str">
        <f>HYPERLINK(_xlfn.CONCAT("https://tablet.otzar.org/",CHAR(35),"/book/655436/p/-1/t/1/fs/0/start/0/end/0/c"),"חכמת הנפש עם זכות משה")</f>
        <v>חכמת הנפש עם זכות משה</v>
      </c>
      <c r="H1631" t="str">
        <f>_xlfn.CONCAT("https://tablet.otzar.org/",CHAR(35),"/book/655436/p/-1/t/1/fs/0/start/0/end/0/c")</f>
        <v>https://tablet.otzar.org/#/book/655436/p/-1/t/1/fs/0/start/0/end/0/c</v>
      </c>
    </row>
    <row r="1632" spans="1:8" x14ac:dyDescent="0.25">
      <c r="A1632">
        <v>619490</v>
      </c>
      <c r="B1632" t="s">
        <v>3416</v>
      </c>
      <c r="C1632" t="s">
        <v>3417</v>
      </c>
      <c r="D1632" t="s">
        <v>10</v>
      </c>
      <c r="E1632" t="s">
        <v>126</v>
      </c>
      <c r="G1632" t="str">
        <f>HYPERLINK(_xlfn.CONCAT("https://tablet.otzar.org/",CHAR(35),"/book/619490/p/-1/t/1/fs/0/start/0/end/0/c"),"חכמת חיים")</f>
        <v>חכמת חיים</v>
      </c>
      <c r="H1632" t="str">
        <f>_xlfn.CONCAT("https://tablet.otzar.org/",CHAR(35),"/book/619490/p/-1/t/1/fs/0/start/0/end/0/c")</f>
        <v>https://tablet.otzar.org/#/book/619490/p/-1/t/1/fs/0/start/0/end/0/c</v>
      </c>
    </row>
    <row r="1633" spans="1:8" x14ac:dyDescent="0.25">
      <c r="A1633">
        <v>639891</v>
      </c>
      <c r="B1633" t="s">
        <v>3416</v>
      </c>
      <c r="C1633" t="s">
        <v>3418</v>
      </c>
      <c r="D1633" t="s">
        <v>287</v>
      </c>
      <c r="E1633" t="s">
        <v>35</v>
      </c>
      <c r="G1633" t="str">
        <f>HYPERLINK(_xlfn.CONCAT("https://tablet.otzar.org/",CHAR(35),"/book/639891/p/-1/t/1/fs/0/start/0/end/0/c"),"חכמת חיים")</f>
        <v>חכמת חיים</v>
      </c>
      <c r="H1633" t="str">
        <f>_xlfn.CONCAT("https://tablet.otzar.org/",CHAR(35),"/book/639891/p/-1/t/1/fs/0/start/0/end/0/c")</f>
        <v>https://tablet.otzar.org/#/book/639891/p/-1/t/1/fs/0/start/0/end/0/c</v>
      </c>
    </row>
    <row r="1634" spans="1:8" x14ac:dyDescent="0.25">
      <c r="A1634">
        <v>647752</v>
      </c>
      <c r="B1634" t="s">
        <v>3419</v>
      </c>
      <c r="C1634" t="s">
        <v>3420</v>
      </c>
      <c r="D1634" t="s">
        <v>10</v>
      </c>
      <c r="E1634" t="s">
        <v>35</v>
      </c>
      <c r="G1634" t="str">
        <f>HYPERLINK(_xlfn.CONCAT("https://tablet.otzar.org/",CHAR(35),"/book/647752/p/-1/t/1/fs/0/start/0/end/0/c"),"חכמת שלמה")</f>
        <v>חכמת שלמה</v>
      </c>
      <c r="H1634" t="str">
        <f>_xlfn.CONCAT("https://tablet.otzar.org/",CHAR(35),"/book/647752/p/-1/t/1/fs/0/start/0/end/0/c")</f>
        <v>https://tablet.otzar.org/#/book/647752/p/-1/t/1/fs/0/start/0/end/0/c</v>
      </c>
    </row>
    <row r="1635" spans="1:8" x14ac:dyDescent="0.25">
      <c r="A1635">
        <v>650603</v>
      </c>
      <c r="B1635" t="s">
        <v>3421</v>
      </c>
      <c r="C1635" t="s">
        <v>3422</v>
      </c>
      <c r="D1635" t="s">
        <v>10</v>
      </c>
      <c r="E1635" t="s">
        <v>3423</v>
      </c>
      <c r="G1635" t="str">
        <f>HYPERLINK(_xlfn.CONCAT("https://tablet.otzar.org/",CHAR(35),"/book/650603/p/-1/t/1/fs/0/start/0/end/0/c"),"חלב חטים &lt;מהדורה חדשה&gt; - ברכות, מועד")</f>
        <v>חלב חטים &lt;מהדורה חדשה&gt; - ברכות, מועד</v>
      </c>
      <c r="H1635" t="str">
        <f>_xlfn.CONCAT("https://tablet.otzar.org/",CHAR(35),"/book/650603/p/-1/t/1/fs/0/start/0/end/0/c")</f>
        <v>https://tablet.otzar.org/#/book/650603/p/-1/t/1/fs/0/start/0/end/0/c</v>
      </c>
    </row>
    <row r="1636" spans="1:8" x14ac:dyDescent="0.25">
      <c r="A1636">
        <v>655952</v>
      </c>
      <c r="B1636" t="s">
        <v>3424</v>
      </c>
      <c r="C1636" t="s">
        <v>3425</v>
      </c>
      <c r="D1636" t="s">
        <v>10</v>
      </c>
      <c r="E1636" t="s">
        <v>320</v>
      </c>
      <c r="G1636" t="str">
        <f>HYPERLINK(_xlfn.CONCAT("https://tablet.otzar.org/",CHAR(35),"/book/655952/p/-1/t/1/fs/0/start/0/end/0/c"),"חלון התבה - מועדים וזמנים")</f>
        <v>חלון התבה - מועדים וזמנים</v>
      </c>
      <c r="H1636" t="str">
        <f>_xlfn.CONCAT("https://tablet.otzar.org/",CHAR(35),"/book/655952/p/-1/t/1/fs/0/start/0/end/0/c")</f>
        <v>https://tablet.otzar.org/#/book/655952/p/-1/t/1/fs/0/start/0/end/0/c</v>
      </c>
    </row>
    <row r="1637" spans="1:8" x14ac:dyDescent="0.25">
      <c r="A1637">
        <v>651077</v>
      </c>
      <c r="B1637" t="s">
        <v>3426</v>
      </c>
      <c r="C1637" t="s">
        <v>3427</v>
      </c>
      <c r="D1637" t="s">
        <v>340</v>
      </c>
      <c r="E1637" t="s">
        <v>70</v>
      </c>
      <c r="G1637" t="str">
        <f>HYPERLINK(_xlfn.CONCAT("https://tablet.otzar.org/",CHAR(35),"/book/651077/p/-1/t/1/fs/0/start/0/end/0/c"),"חלוקת עלויות בניה")</f>
        <v>חלוקת עלויות בניה</v>
      </c>
      <c r="H1637" t="str">
        <f>_xlfn.CONCAT("https://tablet.otzar.org/",CHAR(35),"/book/651077/p/-1/t/1/fs/0/start/0/end/0/c")</f>
        <v>https://tablet.otzar.org/#/book/651077/p/-1/t/1/fs/0/start/0/end/0/c</v>
      </c>
    </row>
    <row r="1638" spans="1:8" x14ac:dyDescent="0.25">
      <c r="A1638">
        <v>656061</v>
      </c>
      <c r="B1638" t="s">
        <v>3428</v>
      </c>
      <c r="C1638" t="s">
        <v>1293</v>
      </c>
      <c r="D1638" t="s">
        <v>606</v>
      </c>
      <c r="E1638" t="s">
        <v>11</v>
      </c>
      <c r="G1638" t="str">
        <f>HYPERLINK(_xlfn.CONCAT("https://tablet.otzar.org/",CHAR(35),"/exKotar/656061"),"חלק יעקב - 2 כרכים")</f>
        <v>חלק יעקב - 2 כרכים</v>
      </c>
      <c r="H1638" t="str">
        <f>_xlfn.CONCAT("https://tablet.otzar.org/",CHAR(35),"/exKotar/656061")</f>
        <v>https://tablet.otzar.org/#/exKotar/656061</v>
      </c>
    </row>
    <row r="1639" spans="1:8" x14ac:dyDescent="0.25">
      <c r="A1639">
        <v>656070</v>
      </c>
      <c r="B1639" t="s">
        <v>3429</v>
      </c>
      <c r="C1639" t="s">
        <v>3430</v>
      </c>
      <c r="D1639" t="s">
        <v>52</v>
      </c>
      <c r="E1639" t="s">
        <v>35</v>
      </c>
      <c r="G1639" t="str">
        <f>HYPERLINK(_xlfn.CONCAT("https://tablet.otzar.org/",CHAR(35),"/exKotar/656070"),"חלקו של ידיד - 4 כרכים")</f>
        <v>חלקו של ידיד - 4 כרכים</v>
      </c>
      <c r="H1639" t="str">
        <f>_xlfn.CONCAT("https://tablet.otzar.org/",CHAR(35),"/exKotar/656070")</f>
        <v>https://tablet.otzar.org/#/exKotar/656070</v>
      </c>
    </row>
    <row r="1640" spans="1:8" x14ac:dyDescent="0.25">
      <c r="A1640">
        <v>656169</v>
      </c>
      <c r="B1640" t="s">
        <v>3431</v>
      </c>
      <c r="C1640" t="s">
        <v>3432</v>
      </c>
      <c r="D1640" t="s">
        <v>52</v>
      </c>
      <c r="E1640" t="s">
        <v>399</v>
      </c>
      <c r="G1640" t="str">
        <f>HYPERLINK(_xlfn.CONCAT("https://tablet.otzar.org/",CHAR(35),"/exKotar/656169"),"חלקנו בתורתך - 2 כרכים")</f>
        <v>חלקנו בתורתך - 2 כרכים</v>
      </c>
      <c r="H1640" t="str">
        <f>_xlfn.CONCAT("https://tablet.otzar.org/",CHAR(35),"/exKotar/656169")</f>
        <v>https://tablet.otzar.org/#/exKotar/656169</v>
      </c>
    </row>
    <row r="1641" spans="1:8" x14ac:dyDescent="0.25">
      <c r="A1641">
        <v>648551</v>
      </c>
      <c r="B1641" t="s">
        <v>3433</v>
      </c>
      <c r="C1641" t="s">
        <v>3434</v>
      </c>
      <c r="E1641" t="s">
        <v>383</v>
      </c>
      <c r="G1641" t="str">
        <f>HYPERLINK(_xlfn.CONCAT("https://tablet.otzar.org/",CHAR(35),"/book/648551/p/-1/t/1/fs/0/start/0/end/0/c"),"חלקת יהושע - מועדים")</f>
        <v>חלקת יהושע - מועדים</v>
      </c>
      <c r="H1641" t="str">
        <f>_xlfn.CONCAT("https://tablet.otzar.org/",CHAR(35),"/book/648551/p/-1/t/1/fs/0/start/0/end/0/c")</f>
        <v>https://tablet.otzar.org/#/book/648551/p/-1/t/1/fs/0/start/0/end/0/c</v>
      </c>
    </row>
    <row r="1642" spans="1:8" x14ac:dyDescent="0.25">
      <c r="A1642">
        <v>655767</v>
      </c>
      <c r="B1642" t="s">
        <v>3435</v>
      </c>
      <c r="C1642" t="s">
        <v>3436</v>
      </c>
      <c r="D1642" t="s">
        <v>52</v>
      </c>
      <c r="E1642" t="s">
        <v>77</v>
      </c>
      <c r="G1642" t="str">
        <f>HYPERLINK(_xlfn.CONCAT("https://tablet.otzar.org/",CHAR(35),"/book/655767/p/-1/t/1/fs/0/start/0/end/0/c"),"חלקת יואב")</f>
        <v>חלקת יואב</v>
      </c>
      <c r="H1642" t="str">
        <f>_xlfn.CONCAT("https://tablet.otzar.org/",CHAR(35),"/book/655767/p/-1/t/1/fs/0/start/0/end/0/c")</f>
        <v>https://tablet.otzar.org/#/book/655767/p/-1/t/1/fs/0/start/0/end/0/c</v>
      </c>
    </row>
    <row r="1643" spans="1:8" x14ac:dyDescent="0.25">
      <c r="A1643">
        <v>649837</v>
      </c>
      <c r="B1643" t="s">
        <v>3437</v>
      </c>
      <c r="C1643" t="s">
        <v>3438</v>
      </c>
      <c r="D1643" t="s">
        <v>340</v>
      </c>
      <c r="E1643" t="s">
        <v>574</v>
      </c>
      <c r="G1643" t="str">
        <f>HYPERLINK(_xlfn.CONCAT("https://tablet.otzar.org/",CHAR(35),"/book/649837/p/-1/t/1/fs/0/start/0/end/0/c"),"חלקת צבי - סוכה")</f>
        <v>חלקת צבי - סוכה</v>
      </c>
      <c r="H1643" t="str">
        <f>_xlfn.CONCAT("https://tablet.otzar.org/",CHAR(35),"/book/649837/p/-1/t/1/fs/0/start/0/end/0/c")</f>
        <v>https://tablet.otzar.org/#/book/649837/p/-1/t/1/fs/0/start/0/end/0/c</v>
      </c>
    </row>
    <row r="1644" spans="1:8" x14ac:dyDescent="0.25">
      <c r="A1644">
        <v>652456</v>
      </c>
      <c r="B1644" t="s">
        <v>3439</v>
      </c>
      <c r="C1644" t="s">
        <v>3440</v>
      </c>
      <c r="E1644" t="s">
        <v>35</v>
      </c>
      <c r="G1644" t="str">
        <f>HYPERLINK(_xlfn.CONCAT("https://tablet.otzar.org/",CHAR(35),"/book/652456/p/-1/t/1/fs/0/start/0/end/0/c"),"חלקת שמעון - שמואל")</f>
        <v>חלקת שמעון - שמואל</v>
      </c>
      <c r="H1644" t="str">
        <f>_xlfn.CONCAT("https://tablet.otzar.org/",CHAR(35),"/book/652456/p/-1/t/1/fs/0/start/0/end/0/c")</f>
        <v>https://tablet.otzar.org/#/book/652456/p/-1/t/1/fs/0/start/0/end/0/c</v>
      </c>
    </row>
    <row r="1645" spans="1:8" x14ac:dyDescent="0.25">
      <c r="A1645">
        <v>652566</v>
      </c>
      <c r="B1645" t="s">
        <v>3441</v>
      </c>
      <c r="C1645" t="s">
        <v>3442</v>
      </c>
      <c r="D1645" t="s">
        <v>52</v>
      </c>
      <c r="E1645" t="s">
        <v>11</v>
      </c>
      <c r="G1645" t="str">
        <f>HYPERLINK(_xlfn.CONCAT("https://tablet.otzar.org/",CHAR(35),"/book/652566/p/-1/t/1/fs/0/start/0/end/0/c"),"חלת אהרן")</f>
        <v>חלת אהרן</v>
      </c>
      <c r="H1645" t="str">
        <f>_xlfn.CONCAT("https://tablet.otzar.org/",CHAR(35),"/book/652566/p/-1/t/1/fs/0/start/0/end/0/c")</f>
        <v>https://tablet.otzar.org/#/book/652566/p/-1/t/1/fs/0/start/0/end/0/c</v>
      </c>
    </row>
    <row r="1646" spans="1:8" x14ac:dyDescent="0.25">
      <c r="A1646">
        <v>650216</v>
      </c>
      <c r="B1646" t="s">
        <v>3443</v>
      </c>
      <c r="C1646" t="s">
        <v>3444</v>
      </c>
      <c r="D1646" t="s">
        <v>34</v>
      </c>
      <c r="E1646" t="s">
        <v>11</v>
      </c>
      <c r="G1646" t="str">
        <f>HYPERLINK(_xlfn.CONCAT("https://tablet.otzar.org/",CHAR(35),"/book/650216/p/-1/t/1/fs/0/start/0/end/0/c"),"חלת דבש - שבת, עניינים")</f>
        <v>חלת דבש - שבת, עניינים</v>
      </c>
      <c r="H1646" t="str">
        <f>_xlfn.CONCAT("https://tablet.otzar.org/",CHAR(35),"/book/650216/p/-1/t/1/fs/0/start/0/end/0/c")</f>
        <v>https://tablet.otzar.org/#/book/650216/p/-1/t/1/fs/0/start/0/end/0/c</v>
      </c>
    </row>
    <row r="1647" spans="1:8" x14ac:dyDescent="0.25">
      <c r="A1647">
        <v>654497</v>
      </c>
      <c r="B1647" t="s">
        <v>3445</v>
      </c>
      <c r="C1647" t="s">
        <v>3446</v>
      </c>
      <c r="D1647" t="s">
        <v>10</v>
      </c>
      <c r="E1647" t="s">
        <v>11</v>
      </c>
      <c r="G1647" t="str">
        <f>HYPERLINK(_xlfn.CONCAT("https://tablet.otzar.org/",CHAR(35),"/book/654497/p/-1/t/1/fs/0/start/0/end/0/c"),"חלת דבש - אה""""ע (סימנים סו-פד, פו)")</f>
        <v>חלת דבש - אה""ע (סימנים סו-פד, פו)</v>
      </c>
      <c r="H1647" t="str">
        <f>_xlfn.CONCAT("https://tablet.otzar.org/",CHAR(35),"/book/654497/p/-1/t/1/fs/0/start/0/end/0/c")</f>
        <v>https://tablet.otzar.org/#/book/654497/p/-1/t/1/fs/0/start/0/end/0/c</v>
      </c>
    </row>
    <row r="1648" spans="1:8" x14ac:dyDescent="0.25">
      <c r="A1648">
        <v>652712</v>
      </c>
      <c r="B1648" t="s">
        <v>3447</v>
      </c>
      <c r="C1648" t="s">
        <v>3448</v>
      </c>
      <c r="D1648" t="s">
        <v>2666</v>
      </c>
      <c r="E1648" t="s">
        <v>59</v>
      </c>
      <c r="G1648" t="str">
        <f>HYPERLINK(_xlfn.CONCAT("https://tablet.otzar.org/",CHAR(35),"/book/652712/p/-1/t/1/fs/0/start/0/end/0/c"),"חמדת אפרים - יורה דעה")</f>
        <v>חמדת אפרים - יורה דעה</v>
      </c>
      <c r="H1648" t="str">
        <f>_xlfn.CONCAT("https://tablet.otzar.org/",CHAR(35),"/book/652712/p/-1/t/1/fs/0/start/0/end/0/c")</f>
        <v>https://tablet.otzar.org/#/book/652712/p/-1/t/1/fs/0/start/0/end/0/c</v>
      </c>
    </row>
    <row r="1649" spans="1:8" x14ac:dyDescent="0.25">
      <c r="A1649">
        <v>648824</v>
      </c>
      <c r="B1649" t="s">
        <v>3449</v>
      </c>
      <c r="C1649" t="s">
        <v>3450</v>
      </c>
      <c r="D1649" t="s">
        <v>10</v>
      </c>
      <c r="E1649" t="s">
        <v>11</v>
      </c>
      <c r="G1649" t="str">
        <f>HYPERLINK(_xlfn.CONCAT("https://tablet.otzar.org/",CHAR(35),"/book/648824/p/-1/t/1/fs/0/start/0/end/0/c"),"חמדת אריה - מצוות הנחת תפילין")</f>
        <v>חמדת אריה - מצוות הנחת תפילין</v>
      </c>
      <c r="H1649" t="str">
        <f>_xlfn.CONCAT("https://tablet.otzar.org/",CHAR(35),"/book/648824/p/-1/t/1/fs/0/start/0/end/0/c")</f>
        <v>https://tablet.otzar.org/#/book/648824/p/-1/t/1/fs/0/start/0/end/0/c</v>
      </c>
    </row>
    <row r="1650" spans="1:8" x14ac:dyDescent="0.25">
      <c r="A1650">
        <v>652837</v>
      </c>
      <c r="B1650" t="s">
        <v>3451</v>
      </c>
      <c r="C1650" t="s">
        <v>1207</v>
      </c>
      <c r="D1650" t="s">
        <v>10</v>
      </c>
      <c r="E1650" t="s">
        <v>84</v>
      </c>
      <c r="G1650" t="str">
        <f>HYPERLINK(_xlfn.CONCAT("https://tablet.otzar.org/",CHAR(35),"/book/652837/p/-1/t/1/fs/0/start/0/end/0/c"),"חמדת דניאל - פסח והגדה")</f>
        <v>חמדת דניאל - פסח והגדה</v>
      </c>
      <c r="H1650" t="str">
        <f>_xlfn.CONCAT("https://tablet.otzar.org/",CHAR(35),"/book/652837/p/-1/t/1/fs/0/start/0/end/0/c")</f>
        <v>https://tablet.otzar.org/#/book/652837/p/-1/t/1/fs/0/start/0/end/0/c</v>
      </c>
    </row>
    <row r="1651" spans="1:8" x14ac:dyDescent="0.25">
      <c r="A1651">
        <v>656829</v>
      </c>
      <c r="B1651" t="s">
        <v>3452</v>
      </c>
      <c r="C1651" t="s">
        <v>3453</v>
      </c>
      <c r="D1651" t="s">
        <v>340</v>
      </c>
      <c r="E1651" t="s">
        <v>35</v>
      </c>
      <c r="G1651" t="str">
        <f>HYPERLINK(_xlfn.CONCAT("https://tablet.otzar.org/",CHAR(35),"/book/656829/p/-1/t/1/fs/0/start/0/end/0/c"),"חמדת חיים")</f>
        <v>חמדת חיים</v>
      </c>
      <c r="H1651" t="str">
        <f>_xlfn.CONCAT("https://tablet.otzar.org/",CHAR(35),"/book/656829/p/-1/t/1/fs/0/start/0/end/0/c")</f>
        <v>https://tablet.otzar.org/#/book/656829/p/-1/t/1/fs/0/start/0/end/0/c</v>
      </c>
    </row>
    <row r="1652" spans="1:8" x14ac:dyDescent="0.25">
      <c r="A1652">
        <v>656238</v>
      </c>
      <c r="B1652" t="s">
        <v>3454</v>
      </c>
      <c r="C1652" t="s">
        <v>3192</v>
      </c>
      <c r="D1652" t="s">
        <v>10</v>
      </c>
      <c r="E1652" t="s">
        <v>11</v>
      </c>
      <c r="G1652" t="str">
        <f>HYPERLINK(_xlfn.CONCAT("https://tablet.otzar.org/",CHAR(35),"/book/656238/p/-1/t/1/fs/0/start/0/end/0/c"),"חמדת ימים")</f>
        <v>חמדת ימים</v>
      </c>
      <c r="H1652" t="str">
        <f>_xlfn.CONCAT("https://tablet.otzar.org/",CHAR(35),"/book/656238/p/-1/t/1/fs/0/start/0/end/0/c")</f>
        <v>https://tablet.otzar.org/#/book/656238/p/-1/t/1/fs/0/start/0/end/0/c</v>
      </c>
    </row>
    <row r="1653" spans="1:8" x14ac:dyDescent="0.25">
      <c r="A1653">
        <v>649273</v>
      </c>
      <c r="B1653" t="s">
        <v>3455</v>
      </c>
      <c r="C1653" t="s">
        <v>3456</v>
      </c>
      <c r="D1653" t="s">
        <v>3457</v>
      </c>
      <c r="E1653" t="s">
        <v>3458</v>
      </c>
      <c r="G1653" t="str">
        <f>HYPERLINK(_xlfn.CONCAT("https://tablet.otzar.org/",CHAR(35),"/book/649273/p/-1/t/1/fs/0/start/0/end/0/c"),"חמדת ישראל - ב")</f>
        <v>חמדת ישראל - ב</v>
      </c>
      <c r="H1653" t="str">
        <f>_xlfn.CONCAT("https://tablet.otzar.org/",CHAR(35),"/book/649273/p/-1/t/1/fs/0/start/0/end/0/c")</f>
        <v>https://tablet.otzar.org/#/book/649273/p/-1/t/1/fs/0/start/0/end/0/c</v>
      </c>
    </row>
    <row r="1654" spans="1:8" x14ac:dyDescent="0.25">
      <c r="A1654">
        <v>650476</v>
      </c>
      <c r="B1654" t="s">
        <v>3459</v>
      </c>
      <c r="C1654" t="s">
        <v>3460</v>
      </c>
      <c r="E1654" t="s">
        <v>507</v>
      </c>
      <c r="G1654" t="str">
        <f>HYPERLINK(_xlfn.CONCAT("https://tablet.otzar.org/",CHAR(35),"/book/650476/p/-1/t/1/fs/0/start/0/end/0/c"),"חמדת צבי &lt;מהדורה חדשה&gt;")</f>
        <v>חמדת צבי &lt;מהדורה חדשה&gt;</v>
      </c>
      <c r="H1654" t="str">
        <f>_xlfn.CONCAT("https://tablet.otzar.org/",CHAR(35),"/book/650476/p/-1/t/1/fs/0/start/0/end/0/c")</f>
        <v>https://tablet.otzar.org/#/book/650476/p/-1/t/1/fs/0/start/0/end/0/c</v>
      </c>
    </row>
    <row r="1655" spans="1:8" x14ac:dyDescent="0.25">
      <c r="A1655">
        <v>650416</v>
      </c>
      <c r="B1655" t="s">
        <v>3461</v>
      </c>
      <c r="C1655" t="s">
        <v>3462</v>
      </c>
      <c r="D1655" t="s">
        <v>1453</v>
      </c>
      <c r="E1655" t="s">
        <v>495</v>
      </c>
      <c r="G1655" t="str">
        <f>HYPERLINK(_xlfn.CONCAT("https://tablet.otzar.org/",CHAR(35),"/book/650416/p/-1/t/1/fs/0/start/0/end/0/c"),"חמשה דורות")</f>
        <v>חמשה דורות</v>
      </c>
      <c r="H1655" t="str">
        <f>_xlfn.CONCAT("https://tablet.otzar.org/",CHAR(35),"/book/650416/p/-1/t/1/fs/0/start/0/end/0/c")</f>
        <v>https://tablet.otzar.org/#/book/650416/p/-1/t/1/fs/0/start/0/end/0/c</v>
      </c>
    </row>
    <row r="1656" spans="1:8" x14ac:dyDescent="0.25">
      <c r="A1656">
        <v>638250</v>
      </c>
      <c r="B1656" t="s">
        <v>3463</v>
      </c>
      <c r="C1656" t="s">
        <v>3464</v>
      </c>
      <c r="D1656" t="s">
        <v>10</v>
      </c>
      <c r="E1656" t="s">
        <v>507</v>
      </c>
      <c r="G1656" t="str">
        <f>HYPERLINK(_xlfn.CONCAT("https://tablet.otzar.org/",CHAR(35),"/book/638250/p/-1/t/1/fs/0/start/0/end/0/c"),"חמשה חומשי תורה &lt;בינת מקרא&gt; - ב")</f>
        <v>חמשה חומשי תורה &lt;בינת מקרא&gt; - ב</v>
      </c>
      <c r="H1656" t="str">
        <f>_xlfn.CONCAT("https://tablet.otzar.org/",CHAR(35),"/book/638250/p/-1/t/1/fs/0/start/0/end/0/c")</f>
        <v>https://tablet.otzar.org/#/book/638250/p/-1/t/1/fs/0/start/0/end/0/c</v>
      </c>
    </row>
    <row r="1657" spans="1:8" x14ac:dyDescent="0.25">
      <c r="A1657">
        <v>650460</v>
      </c>
      <c r="B1657" t="s">
        <v>3465</v>
      </c>
      <c r="C1657" t="s">
        <v>3466</v>
      </c>
      <c r="D1657" t="s">
        <v>3467</v>
      </c>
      <c r="E1657" t="s">
        <v>3468</v>
      </c>
      <c r="G1657" t="str">
        <f>HYPERLINK(_xlfn.CONCAT("https://tablet.otzar.org/",CHAR(35),"/book/650460/p/-1/t/1/fs/0/start/0/end/0/c"),"חמשה סדרים")</f>
        <v>חמשה סדרים</v>
      </c>
      <c r="H1657" t="str">
        <f>_xlfn.CONCAT("https://tablet.otzar.org/",CHAR(35),"/book/650460/p/-1/t/1/fs/0/start/0/end/0/c")</f>
        <v>https://tablet.otzar.org/#/book/650460/p/-1/t/1/fs/0/start/0/end/0/c</v>
      </c>
    </row>
    <row r="1658" spans="1:8" x14ac:dyDescent="0.25">
      <c r="A1658">
        <v>652896</v>
      </c>
      <c r="B1658" t="s">
        <v>3469</v>
      </c>
      <c r="C1658" t="s">
        <v>3470</v>
      </c>
      <c r="D1658" t="s">
        <v>340</v>
      </c>
      <c r="E1658" t="s">
        <v>117</v>
      </c>
      <c r="G1658" t="str">
        <f>HYPERLINK(_xlfn.CONCAT("https://tablet.otzar.org/",CHAR(35),"/book/652896/p/-1/t/1/fs/0/start/0/end/0/c"),"חן המסכת - מכות")</f>
        <v>חן המסכת - מכות</v>
      </c>
      <c r="H1658" t="str">
        <f>_xlfn.CONCAT("https://tablet.otzar.org/",CHAR(35),"/book/652896/p/-1/t/1/fs/0/start/0/end/0/c")</f>
        <v>https://tablet.otzar.org/#/book/652896/p/-1/t/1/fs/0/start/0/end/0/c</v>
      </c>
    </row>
    <row r="1659" spans="1:8" x14ac:dyDescent="0.25">
      <c r="A1659">
        <v>651011</v>
      </c>
      <c r="B1659" t="s">
        <v>3471</v>
      </c>
      <c r="C1659" t="s">
        <v>3472</v>
      </c>
      <c r="D1659" t="s">
        <v>34</v>
      </c>
      <c r="E1659" t="s">
        <v>35</v>
      </c>
      <c r="G1659" t="str">
        <f>HYPERLINK(_xlfn.CONCAT("https://tablet.otzar.org/",CHAR(35),"/book/651011/p/-1/t/1/fs/0/start/0/end/0/c"),"חן יעקב - בבא בתרא")</f>
        <v>חן יעקב - בבא בתרא</v>
      </c>
      <c r="H1659" t="str">
        <f>_xlfn.CONCAT("https://tablet.otzar.org/",CHAR(35),"/book/651011/p/-1/t/1/fs/0/start/0/end/0/c")</f>
        <v>https://tablet.otzar.org/#/book/651011/p/-1/t/1/fs/0/start/0/end/0/c</v>
      </c>
    </row>
    <row r="1660" spans="1:8" x14ac:dyDescent="0.25">
      <c r="A1660">
        <v>649216</v>
      </c>
      <c r="B1660" t="s">
        <v>3473</v>
      </c>
      <c r="C1660" t="s">
        <v>2335</v>
      </c>
      <c r="D1660" t="s">
        <v>561</v>
      </c>
      <c r="E1660" t="s">
        <v>35</v>
      </c>
      <c r="G1660" t="str">
        <f>HYPERLINK(_xlfn.CONCAT("https://tablet.otzar.org/",CHAR(35),"/book/649216/p/-1/t/1/fs/0/start/0/end/0/c"),"חנוך לנער")</f>
        <v>חנוך לנער</v>
      </c>
      <c r="H1660" t="str">
        <f>_xlfn.CONCAT("https://tablet.otzar.org/",CHAR(35),"/book/649216/p/-1/t/1/fs/0/start/0/end/0/c")</f>
        <v>https://tablet.otzar.org/#/book/649216/p/-1/t/1/fs/0/start/0/end/0/c</v>
      </c>
    </row>
    <row r="1661" spans="1:8" x14ac:dyDescent="0.25">
      <c r="A1661">
        <v>653497</v>
      </c>
      <c r="B1661" t="s">
        <v>3474</v>
      </c>
      <c r="C1661" t="s">
        <v>3475</v>
      </c>
      <c r="D1661" t="s">
        <v>386</v>
      </c>
      <c r="E1661" t="s">
        <v>19</v>
      </c>
      <c r="G1661" t="str">
        <f>HYPERLINK(_xlfn.CONCAT("https://tablet.otzar.org/",CHAR(35),"/book/653497/p/-1/t/1/fs/0/start/0/end/0/c"),"חנוכת הבית - מדריך יהודי לכניסה לבית חדש")</f>
        <v>חנוכת הבית - מדריך יהודי לכניסה לבית חדש</v>
      </c>
      <c r="H1661" t="str">
        <f>_xlfn.CONCAT("https://tablet.otzar.org/",CHAR(35),"/book/653497/p/-1/t/1/fs/0/start/0/end/0/c")</f>
        <v>https://tablet.otzar.org/#/book/653497/p/-1/t/1/fs/0/start/0/end/0/c</v>
      </c>
    </row>
    <row r="1662" spans="1:8" x14ac:dyDescent="0.25">
      <c r="A1662">
        <v>655908</v>
      </c>
      <c r="B1662" t="s">
        <v>3476</v>
      </c>
      <c r="C1662" t="s">
        <v>1314</v>
      </c>
      <c r="D1662" t="s">
        <v>340</v>
      </c>
      <c r="E1662" t="s">
        <v>29</v>
      </c>
      <c r="G1662" t="str">
        <f>HYPERLINK(_xlfn.CONCAT("https://tablet.otzar.org/",CHAR(35),"/book/655908/p/-1/t/1/fs/0/start/0/end/0/c"),"חסד חפצתי")</f>
        <v>חסד חפצתי</v>
      </c>
      <c r="H1662" t="str">
        <f>_xlfn.CONCAT("https://tablet.otzar.org/",CHAR(35),"/book/655908/p/-1/t/1/fs/0/start/0/end/0/c")</f>
        <v>https://tablet.otzar.org/#/book/655908/p/-1/t/1/fs/0/start/0/end/0/c</v>
      </c>
    </row>
    <row r="1663" spans="1:8" x14ac:dyDescent="0.25">
      <c r="A1663">
        <v>654788</v>
      </c>
      <c r="B1663" t="s">
        <v>3477</v>
      </c>
      <c r="C1663" t="s">
        <v>3478</v>
      </c>
      <c r="D1663" t="s">
        <v>10</v>
      </c>
      <c r="E1663" t="s">
        <v>77</v>
      </c>
      <c r="G1663" t="str">
        <f>HYPERLINK(_xlfn.CONCAT("https://tablet.otzar.org/",CHAR(35),"/exKotar/654788"),"חסד יהושע &lt;מהדורה חדשה&gt; - 2 כרכים")</f>
        <v>חסד יהושע &lt;מהדורה חדשה&gt; - 2 כרכים</v>
      </c>
      <c r="H1663" t="str">
        <f>_xlfn.CONCAT("https://tablet.otzar.org/",CHAR(35),"/exKotar/654788")</f>
        <v>https://tablet.otzar.org/#/exKotar/654788</v>
      </c>
    </row>
    <row r="1664" spans="1:8" x14ac:dyDescent="0.25">
      <c r="A1664">
        <v>651902</v>
      </c>
      <c r="B1664" t="s">
        <v>3479</v>
      </c>
      <c r="C1664" t="s">
        <v>3480</v>
      </c>
      <c r="D1664" t="s">
        <v>600</v>
      </c>
      <c r="E1664" t="s">
        <v>2520</v>
      </c>
      <c r="G1664" t="str">
        <f>HYPERLINK(_xlfn.CONCAT("https://tablet.otzar.org/",CHAR(35),"/book/651902/p/-1/t/1/fs/0/start/0/end/0/c"),"חסד לאברהם")</f>
        <v>חסד לאברהם</v>
      </c>
      <c r="H1664" t="str">
        <f>_xlfn.CONCAT("https://tablet.otzar.org/",CHAR(35),"/book/651902/p/-1/t/1/fs/0/start/0/end/0/c")</f>
        <v>https://tablet.otzar.org/#/book/651902/p/-1/t/1/fs/0/start/0/end/0/c</v>
      </c>
    </row>
    <row r="1665" spans="1:8" x14ac:dyDescent="0.25">
      <c r="A1665">
        <v>652617</v>
      </c>
      <c r="B1665" t="s">
        <v>3481</v>
      </c>
      <c r="C1665" t="s">
        <v>3482</v>
      </c>
      <c r="D1665" t="s">
        <v>10</v>
      </c>
      <c r="E1665" t="s">
        <v>11</v>
      </c>
      <c r="G1665" t="str">
        <f>HYPERLINK(_xlfn.CONCAT("https://tablet.otzar.org/",CHAR(35),"/book/652617/p/-1/t/1/fs/0/start/0/end/0/c"),"חסד לאברהם &lt;מהדורה חדשה&gt;")</f>
        <v>חסד לאברהם &lt;מהדורה חדשה&gt;</v>
      </c>
      <c r="H1665" t="str">
        <f>_xlfn.CONCAT("https://tablet.otzar.org/",CHAR(35),"/book/652617/p/-1/t/1/fs/0/start/0/end/0/c")</f>
        <v>https://tablet.otzar.org/#/book/652617/p/-1/t/1/fs/0/start/0/end/0/c</v>
      </c>
    </row>
    <row r="1666" spans="1:8" x14ac:dyDescent="0.25">
      <c r="A1666">
        <v>651635</v>
      </c>
      <c r="B1666" t="s">
        <v>3483</v>
      </c>
      <c r="C1666" t="s">
        <v>3484</v>
      </c>
      <c r="D1666" t="s">
        <v>3485</v>
      </c>
      <c r="E1666" t="s">
        <v>35</v>
      </c>
      <c r="G1666" t="str">
        <f>HYPERLINK(_xlfn.CONCAT("https://tablet.otzar.org/",CHAR(35),"/book/651635/p/-1/t/1/fs/0/start/0/end/0/c"),"חסד לאברהם - ברכות")</f>
        <v>חסד לאברהם - ברכות</v>
      </c>
      <c r="H1666" t="str">
        <f>_xlfn.CONCAT("https://tablet.otzar.org/",CHAR(35),"/book/651635/p/-1/t/1/fs/0/start/0/end/0/c")</f>
        <v>https://tablet.otzar.org/#/book/651635/p/-1/t/1/fs/0/start/0/end/0/c</v>
      </c>
    </row>
    <row r="1667" spans="1:8" x14ac:dyDescent="0.25">
      <c r="A1667">
        <v>650157</v>
      </c>
      <c r="B1667" t="s">
        <v>3486</v>
      </c>
      <c r="C1667" t="s">
        <v>3487</v>
      </c>
      <c r="D1667" t="s">
        <v>10</v>
      </c>
      <c r="E1667" t="s">
        <v>126</v>
      </c>
      <c r="G1667" t="str">
        <f>HYPERLINK(_xlfn.CONCAT("https://tablet.otzar.org/",CHAR(35),"/book/650157/p/-1/t/1/fs/0/start/0/end/0/c"),"חסד רחמים")</f>
        <v>חסד רחמים</v>
      </c>
      <c r="H1667" t="str">
        <f>_xlfn.CONCAT("https://tablet.otzar.org/",CHAR(35),"/book/650157/p/-1/t/1/fs/0/start/0/end/0/c")</f>
        <v>https://tablet.otzar.org/#/book/650157/p/-1/t/1/fs/0/start/0/end/0/c</v>
      </c>
    </row>
    <row r="1668" spans="1:8" x14ac:dyDescent="0.25">
      <c r="A1668">
        <v>650077</v>
      </c>
      <c r="B1668" t="s">
        <v>3488</v>
      </c>
      <c r="C1668" t="s">
        <v>3489</v>
      </c>
      <c r="E1668" t="s">
        <v>35</v>
      </c>
      <c r="G1668" t="str">
        <f>HYPERLINK(_xlfn.CONCAT("https://tablet.otzar.org/",CHAR(35),"/book/650077/p/-1/t/1/fs/0/start/0/end/0/c"),"חסדי דוד")</f>
        <v>חסדי דוד</v>
      </c>
      <c r="H1668" t="str">
        <f>_xlfn.CONCAT("https://tablet.otzar.org/",CHAR(35),"/book/650077/p/-1/t/1/fs/0/start/0/end/0/c")</f>
        <v>https://tablet.otzar.org/#/book/650077/p/-1/t/1/fs/0/start/0/end/0/c</v>
      </c>
    </row>
    <row r="1669" spans="1:8" x14ac:dyDescent="0.25">
      <c r="A1669">
        <v>650600</v>
      </c>
      <c r="B1669" t="s">
        <v>3490</v>
      </c>
      <c r="C1669" t="s">
        <v>3491</v>
      </c>
      <c r="E1669">
        <v>2018</v>
      </c>
      <c r="G1669" t="str">
        <f>HYPERLINK(_xlfn.CONCAT("https://tablet.otzar.org/",CHAR(35),"/book/650600/p/-1/t/1/fs/0/start/0/end/0/c"),"חסדי השם דברי מרדכי - תורה")</f>
        <v>חסדי השם דברי מרדכי - תורה</v>
      </c>
      <c r="H1669" t="str">
        <f>_xlfn.CONCAT("https://tablet.otzar.org/",CHAR(35),"/book/650600/p/-1/t/1/fs/0/start/0/end/0/c")</f>
        <v>https://tablet.otzar.org/#/book/650600/p/-1/t/1/fs/0/start/0/end/0/c</v>
      </c>
    </row>
    <row r="1670" spans="1:8" x14ac:dyDescent="0.25">
      <c r="A1670">
        <v>647044</v>
      </c>
      <c r="B1670" t="s">
        <v>3492</v>
      </c>
      <c r="C1670" t="s">
        <v>3493</v>
      </c>
      <c r="E1670">
        <v>1958</v>
      </c>
      <c r="G1670" t="str">
        <f>HYPERLINK(_xlfn.CONCAT("https://tablet.otzar.org/",CHAR(35),"/book/647044/p/-1/t/1/fs/0/start/0/end/0/c"),"חסידות און יום טוב")</f>
        <v>חסידות און יום טוב</v>
      </c>
      <c r="H1670" t="str">
        <f>_xlfn.CONCAT("https://tablet.otzar.org/",CHAR(35),"/book/647044/p/-1/t/1/fs/0/start/0/end/0/c")</f>
        <v>https://tablet.otzar.org/#/book/647044/p/-1/t/1/fs/0/start/0/end/0/c</v>
      </c>
    </row>
    <row r="1671" spans="1:8" x14ac:dyDescent="0.25">
      <c r="A1671">
        <v>647049</v>
      </c>
      <c r="B1671" t="s">
        <v>3494</v>
      </c>
      <c r="C1671" t="s">
        <v>3495</v>
      </c>
      <c r="E1671" t="s">
        <v>1775</v>
      </c>
      <c r="G1671" t="str">
        <f>HYPERLINK(_xlfn.CONCAT("https://tablet.otzar.org/",CHAR(35),"/book/647049/p/-1/t/1/fs/0/start/0/end/0/c"),"חסידות און עטיק")</f>
        <v>חסידות און עטיק</v>
      </c>
      <c r="H1671" t="str">
        <f>_xlfn.CONCAT("https://tablet.otzar.org/",CHAR(35),"/book/647049/p/-1/t/1/fs/0/start/0/end/0/c")</f>
        <v>https://tablet.otzar.org/#/book/647049/p/-1/t/1/fs/0/start/0/end/0/c</v>
      </c>
    </row>
    <row r="1672" spans="1:8" x14ac:dyDescent="0.25">
      <c r="A1672">
        <v>650274</v>
      </c>
      <c r="B1672" t="s">
        <v>3496</v>
      </c>
      <c r="C1672" t="s">
        <v>3497</v>
      </c>
      <c r="E1672" t="s">
        <v>11</v>
      </c>
      <c r="G1672" t="str">
        <f>HYPERLINK(_xlfn.CONCAT("https://tablet.otzar.org/",CHAR(35),"/book/650274/p/-1/t/1/fs/0/start/0/end/0/c"),"חסידות על הדף - ברכות, מועד")</f>
        <v>חסידות על הדף - ברכות, מועד</v>
      </c>
      <c r="H1672" t="str">
        <f>_xlfn.CONCAT("https://tablet.otzar.org/",CHAR(35),"/book/650274/p/-1/t/1/fs/0/start/0/end/0/c")</f>
        <v>https://tablet.otzar.org/#/book/650274/p/-1/t/1/fs/0/start/0/end/0/c</v>
      </c>
    </row>
    <row r="1673" spans="1:8" x14ac:dyDescent="0.25">
      <c r="A1673">
        <v>649034</v>
      </c>
      <c r="B1673" t="s">
        <v>3498</v>
      </c>
      <c r="C1673" t="s">
        <v>226</v>
      </c>
      <c r="D1673" t="s">
        <v>28</v>
      </c>
      <c r="E1673" t="s">
        <v>84</v>
      </c>
      <c r="G1673" t="str">
        <f>HYPERLINK(_xlfn.CONCAT("https://tablet.otzar.org/",CHAR(35),"/book/649034/p/-1/t/1/fs/0/start/0/end/0/c"),"חפץ חיים &lt;ארחות חיים&gt;")</f>
        <v>חפץ חיים &lt;ארחות חיים&gt;</v>
      </c>
      <c r="H1673" t="str">
        <f>_xlfn.CONCAT("https://tablet.otzar.org/",CHAR(35),"/book/649034/p/-1/t/1/fs/0/start/0/end/0/c")</f>
        <v>https://tablet.otzar.org/#/book/649034/p/-1/t/1/fs/0/start/0/end/0/c</v>
      </c>
    </row>
    <row r="1674" spans="1:8" x14ac:dyDescent="0.25">
      <c r="A1674">
        <v>653238</v>
      </c>
      <c r="B1674" t="s">
        <v>3499</v>
      </c>
      <c r="C1674" t="s">
        <v>786</v>
      </c>
      <c r="D1674" t="s">
        <v>10</v>
      </c>
      <c r="E1674" t="s">
        <v>11</v>
      </c>
      <c r="G1674" t="str">
        <f>HYPERLINK(_xlfn.CONCAT("https://tablet.otzar.org/",CHAR(35),"/book/653238/p/-1/t/1/fs/0/start/0/end/0/c"),"חפץ חיים - אמרי יצחק, אמרי שיח")</f>
        <v>חפץ חיים - אמרי יצחק, אמרי שיח</v>
      </c>
      <c r="H1674" t="str">
        <f>_xlfn.CONCAT("https://tablet.otzar.org/",CHAR(35),"/book/653238/p/-1/t/1/fs/0/start/0/end/0/c")</f>
        <v>https://tablet.otzar.org/#/book/653238/p/-1/t/1/fs/0/start/0/end/0/c</v>
      </c>
    </row>
    <row r="1675" spans="1:8" x14ac:dyDescent="0.25">
      <c r="A1675">
        <v>647505</v>
      </c>
      <c r="B1675" t="s">
        <v>3500</v>
      </c>
      <c r="C1675" t="s">
        <v>226</v>
      </c>
      <c r="D1675" t="s">
        <v>10</v>
      </c>
      <c r="E1675" t="s">
        <v>646</v>
      </c>
      <c r="G1675" t="str">
        <f>HYPERLINK(_xlfn.CONCAT("https://tablet.otzar.org/",CHAR(35),"/book/647505/p/-1/t/1/fs/0/start/0/end/0/c"),"חפץ חיים על אגדות הש""""ס")</f>
        <v>חפץ חיים על אגדות הש""ס</v>
      </c>
      <c r="H1675" t="str">
        <f>_xlfn.CONCAT("https://tablet.otzar.org/",CHAR(35),"/book/647505/p/-1/t/1/fs/0/start/0/end/0/c")</f>
        <v>https://tablet.otzar.org/#/book/647505/p/-1/t/1/fs/0/start/0/end/0/c</v>
      </c>
    </row>
    <row r="1676" spans="1:8" x14ac:dyDescent="0.25">
      <c r="A1676">
        <v>655394</v>
      </c>
      <c r="B1676" t="s">
        <v>3501</v>
      </c>
      <c r="C1676" t="s">
        <v>3502</v>
      </c>
      <c r="D1676" t="s">
        <v>10</v>
      </c>
      <c r="E1676" t="s">
        <v>45</v>
      </c>
      <c r="G1676" t="str">
        <f>HYPERLINK(_xlfn.CONCAT("https://tablet.otzar.org/",CHAR(35),"/book/655394/p/-1/t/1/fs/0/start/0/end/0/c"),"חציצה בהלכה")</f>
        <v>חציצה בהלכה</v>
      </c>
      <c r="H1676" t="str">
        <f>_xlfn.CONCAT("https://tablet.otzar.org/",CHAR(35),"/book/655394/p/-1/t/1/fs/0/start/0/end/0/c")</f>
        <v>https://tablet.otzar.org/#/book/655394/p/-1/t/1/fs/0/start/0/end/0/c</v>
      </c>
    </row>
    <row r="1677" spans="1:8" x14ac:dyDescent="0.25">
      <c r="A1677">
        <v>648589</v>
      </c>
      <c r="B1677" t="s">
        <v>3503</v>
      </c>
      <c r="C1677" t="s">
        <v>3504</v>
      </c>
      <c r="D1677" t="s">
        <v>10</v>
      </c>
      <c r="E1677" t="s">
        <v>690</v>
      </c>
      <c r="G1677" t="str">
        <f>HYPERLINK(_xlfn.CONCAT("https://tablet.otzar.org/",CHAR(35),"/exKotar/648589"),"חצר הקודש ערלוי - 52 כרכים")</f>
        <v>חצר הקודש ערלוי - 52 כרכים</v>
      </c>
      <c r="H1677" t="str">
        <f>_xlfn.CONCAT("https://tablet.otzar.org/",CHAR(35),"/exKotar/648589")</f>
        <v>https://tablet.otzar.org/#/exKotar/648589</v>
      </c>
    </row>
    <row r="1678" spans="1:8" x14ac:dyDescent="0.25">
      <c r="A1678">
        <v>650432</v>
      </c>
      <c r="B1678" t="s">
        <v>3505</v>
      </c>
      <c r="C1678" t="s">
        <v>3506</v>
      </c>
      <c r="D1678" t="s">
        <v>52</v>
      </c>
      <c r="E1678" t="s">
        <v>35</v>
      </c>
      <c r="G1678" t="str">
        <f>HYPERLINK(_xlfn.CONCAT("https://tablet.otzar.org/",CHAR(35),"/book/650432/p/-1/t/1/fs/0/start/0/end/0/c"),"חק לאלול")</f>
        <v>חק לאלול</v>
      </c>
      <c r="H1678" t="str">
        <f>_xlfn.CONCAT("https://tablet.otzar.org/",CHAR(35),"/book/650432/p/-1/t/1/fs/0/start/0/end/0/c")</f>
        <v>https://tablet.otzar.org/#/book/650432/p/-1/t/1/fs/0/start/0/end/0/c</v>
      </c>
    </row>
    <row r="1679" spans="1:8" x14ac:dyDescent="0.25">
      <c r="A1679">
        <v>650431</v>
      </c>
      <c r="B1679" t="s">
        <v>3507</v>
      </c>
      <c r="C1679" t="s">
        <v>3506</v>
      </c>
      <c r="D1679" t="s">
        <v>52</v>
      </c>
      <c r="E1679" t="s">
        <v>11</v>
      </c>
      <c r="G1679" t="str">
        <f>HYPERLINK(_xlfn.CONCAT("https://tablet.otzar.org/",CHAR(35),"/book/650431/p/-1/t/1/fs/0/start/0/end/0/c"),"חק לניסן")</f>
        <v>חק לניסן</v>
      </c>
      <c r="H1679" t="str">
        <f>_xlfn.CONCAT("https://tablet.otzar.org/",CHAR(35),"/book/650431/p/-1/t/1/fs/0/start/0/end/0/c")</f>
        <v>https://tablet.otzar.org/#/book/650431/p/-1/t/1/fs/0/start/0/end/0/c</v>
      </c>
    </row>
    <row r="1680" spans="1:8" x14ac:dyDescent="0.25">
      <c r="A1680">
        <v>649270</v>
      </c>
      <c r="B1680" t="s">
        <v>3508</v>
      </c>
      <c r="C1680" t="s">
        <v>3509</v>
      </c>
      <c r="D1680" t="s">
        <v>58</v>
      </c>
      <c r="E1680" t="s">
        <v>3510</v>
      </c>
      <c r="G1680" t="str">
        <f>HYPERLINK(_xlfn.CONCAT("https://tablet.otzar.org/",CHAR(35),"/book/649270/p/-1/t/1/fs/0/start/0/end/0/c"),"חק תרומת צבא החדש")</f>
        <v>חק תרומת צבא החדש</v>
      </c>
      <c r="H1680" t="str">
        <f>_xlfn.CONCAT("https://tablet.otzar.org/",CHAR(35),"/book/649270/p/-1/t/1/fs/0/start/0/end/0/c")</f>
        <v>https://tablet.otzar.org/#/book/649270/p/-1/t/1/fs/0/start/0/end/0/c</v>
      </c>
    </row>
    <row r="1681" spans="1:8" x14ac:dyDescent="0.25">
      <c r="A1681">
        <v>654444</v>
      </c>
      <c r="B1681" t="s">
        <v>3511</v>
      </c>
      <c r="C1681" t="s">
        <v>1674</v>
      </c>
      <c r="D1681" t="s">
        <v>88</v>
      </c>
      <c r="E1681" t="s">
        <v>11</v>
      </c>
      <c r="G1681" t="str">
        <f>HYPERLINK(_xlfn.CONCAT("https://tablet.otzar.org/",CHAR(35),"/book/654444/p/-1/t/1/fs/0/start/0/end/0/c"),"חקים ומשפטים - הלכות הלואה ופרוזבול")</f>
        <v>חקים ומשפטים - הלכות הלואה ופרוזבול</v>
      </c>
      <c r="H1681" t="str">
        <f>_xlfn.CONCAT("https://tablet.otzar.org/",CHAR(35),"/book/654444/p/-1/t/1/fs/0/start/0/end/0/c")</f>
        <v>https://tablet.otzar.org/#/book/654444/p/-1/t/1/fs/0/start/0/end/0/c</v>
      </c>
    </row>
    <row r="1682" spans="1:8" x14ac:dyDescent="0.25">
      <c r="A1682">
        <v>650097</v>
      </c>
      <c r="B1682" t="s">
        <v>3512</v>
      </c>
      <c r="C1682" t="s">
        <v>3513</v>
      </c>
      <c r="D1682" t="s">
        <v>34</v>
      </c>
      <c r="E1682" t="s">
        <v>11</v>
      </c>
      <c r="G1682" t="str">
        <f>HYPERLINK(_xlfn.CONCAT("https://tablet.otzar.org/",CHAR(35),"/book/650097/p/-1/t/1/fs/0/start/0/end/0/c"),"חקר ועיון - עניני פורים (תשפ""""ב)")</f>
        <v>חקר ועיון - עניני פורים (תשפ""ב)</v>
      </c>
      <c r="H1682" t="str">
        <f>_xlfn.CONCAT("https://tablet.otzar.org/",CHAR(35),"/book/650097/p/-1/t/1/fs/0/start/0/end/0/c")</f>
        <v>https://tablet.otzar.org/#/book/650097/p/-1/t/1/fs/0/start/0/end/0/c</v>
      </c>
    </row>
    <row r="1683" spans="1:8" x14ac:dyDescent="0.25">
      <c r="A1683">
        <v>651739</v>
      </c>
      <c r="B1683" t="s">
        <v>3514</v>
      </c>
      <c r="C1683" t="s">
        <v>3515</v>
      </c>
      <c r="D1683" t="s">
        <v>10</v>
      </c>
      <c r="E1683" t="s">
        <v>35</v>
      </c>
      <c r="G1683" t="str">
        <f>HYPERLINK(_xlfn.CONCAT("https://tablet.otzar.org/",CHAR(35),"/exKotar/651739"),"חקר משפט - 2 כרכים")</f>
        <v>חקר משפט - 2 כרכים</v>
      </c>
      <c r="H1683" t="str">
        <f>_xlfn.CONCAT("https://tablet.otzar.org/",CHAR(35),"/exKotar/651739")</f>
        <v>https://tablet.otzar.org/#/exKotar/651739</v>
      </c>
    </row>
    <row r="1684" spans="1:8" x14ac:dyDescent="0.25">
      <c r="A1684">
        <v>651737</v>
      </c>
      <c r="B1684" t="s">
        <v>3516</v>
      </c>
      <c r="C1684" t="s">
        <v>3517</v>
      </c>
      <c r="D1684" t="s">
        <v>52</v>
      </c>
      <c r="E1684" t="s">
        <v>817</v>
      </c>
      <c r="G1684" t="str">
        <f>HYPERLINK(_xlfn.CONCAT("https://tablet.otzar.org/",CHAR(35),"/book/651737/p/-1/t/1/fs/0/start/0/end/0/c"),"חש""""ש ללא חשש")</f>
        <v>חש""ש ללא חשש</v>
      </c>
      <c r="H1684" t="str">
        <f>_xlfn.CONCAT("https://tablet.otzar.org/",CHAR(35),"/book/651737/p/-1/t/1/fs/0/start/0/end/0/c")</f>
        <v>https://tablet.otzar.org/#/book/651737/p/-1/t/1/fs/0/start/0/end/0/c</v>
      </c>
    </row>
    <row r="1685" spans="1:8" x14ac:dyDescent="0.25">
      <c r="A1685">
        <v>653808</v>
      </c>
      <c r="B1685" t="s">
        <v>3518</v>
      </c>
      <c r="C1685" t="s">
        <v>3519</v>
      </c>
      <c r="D1685" t="s">
        <v>3160</v>
      </c>
      <c r="E1685" t="s">
        <v>11</v>
      </c>
      <c r="G1685" t="str">
        <f>HYPERLINK(_xlfn.CONCAT("https://tablet.otzar.org/",CHAR(35),"/exKotar/653808"),"חשב האפד - 3 כרכים")</f>
        <v>חשב האפד - 3 כרכים</v>
      </c>
      <c r="H1685" t="str">
        <f>_xlfn.CONCAT("https://tablet.otzar.org/",CHAR(35),"/exKotar/653808")</f>
        <v>https://tablet.otzar.org/#/exKotar/653808</v>
      </c>
    </row>
    <row r="1686" spans="1:8" x14ac:dyDescent="0.25">
      <c r="A1686">
        <v>649302</v>
      </c>
      <c r="B1686" t="s">
        <v>3520</v>
      </c>
      <c r="C1686" t="s">
        <v>3521</v>
      </c>
      <c r="D1686" t="s">
        <v>10</v>
      </c>
      <c r="E1686" t="s">
        <v>719</v>
      </c>
      <c r="G1686" t="str">
        <f>HYPERLINK(_xlfn.CONCAT("https://tablet.otzar.org/",CHAR(35),"/book/649302/p/-1/t/1/fs/0/start/0/end/0/c"),"חשבון בית תלמוד תורה וישיבת תפארת ירושלים לעדת הספרדים")</f>
        <v>חשבון בית תלמוד תורה וישיבת תפארת ירושלים לעדת הספרדים</v>
      </c>
      <c r="H1686" t="str">
        <f>_xlfn.CONCAT("https://tablet.otzar.org/",CHAR(35),"/book/649302/p/-1/t/1/fs/0/start/0/end/0/c")</f>
        <v>https://tablet.otzar.org/#/book/649302/p/-1/t/1/fs/0/start/0/end/0/c</v>
      </c>
    </row>
    <row r="1687" spans="1:8" x14ac:dyDescent="0.25">
      <c r="A1687">
        <v>649275</v>
      </c>
      <c r="B1687" t="s">
        <v>3522</v>
      </c>
      <c r="C1687" t="s">
        <v>2267</v>
      </c>
      <c r="D1687" t="s">
        <v>10</v>
      </c>
      <c r="E1687" t="s">
        <v>3523</v>
      </c>
      <c r="G1687" t="str">
        <f>HYPERLINK(_xlfn.CONCAT("https://tablet.otzar.org/",CHAR(35),"/exKotar/649275"),"חשבון הכנסה והוצאה מחברת משגב לדך - 3 כרכים")</f>
        <v>חשבון הכנסה והוצאה מחברת משגב לדך - 3 כרכים</v>
      </c>
      <c r="H1687" t="str">
        <f>_xlfn.CONCAT("https://tablet.otzar.org/",CHAR(35),"/exKotar/649275")</f>
        <v>https://tablet.otzar.org/#/exKotar/649275</v>
      </c>
    </row>
    <row r="1688" spans="1:8" x14ac:dyDescent="0.25">
      <c r="A1688">
        <v>657052</v>
      </c>
      <c r="B1688" t="s">
        <v>3524</v>
      </c>
      <c r="C1688" t="s">
        <v>3525</v>
      </c>
      <c r="D1688" t="s">
        <v>10</v>
      </c>
      <c r="E1688" t="s">
        <v>213</v>
      </c>
      <c r="G1688" t="str">
        <f>HYPERLINK(_xlfn.CONCAT("https://tablet.otzar.org/",CHAR(35),"/book/657052/p/-1/t/1/fs/0/start/0/end/0/c"),"חשבון הנפש &lt;מהדורת מוסד הרב קוק&gt;")</f>
        <v>חשבון הנפש &lt;מהדורת מוסד הרב קוק&gt;</v>
      </c>
      <c r="H1688" t="str">
        <f>_xlfn.CONCAT("https://tablet.otzar.org/",CHAR(35),"/book/657052/p/-1/t/1/fs/0/start/0/end/0/c")</f>
        <v>https://tablet.otzar.org/#/book/657052/p/-1/t/1/fs/0/start/0/end/0/c</v>
      </c>
    </row>
    <row r="1689" spans="1:8" x14ac:dyDescent="0.25">
      <c r="A1689">
        <v>654902</v>
      </c>
      <c r="B1689" t="s">
        <v>3526</v>
      </c>
      <c r="C1689" t="s">
        <v>3527</v>
      </c>
      <c r="D1689" t="s">
        <v>10</v>
      </c>
      <c r="E1689" t="s">
        <v>11</v>
      </c>
      <c r="G1689" t="str">
        <f>HYPERLINK(_xlfn.CONCAT("https://tablet.otzar.org/",CHAR(35),"/exKotar/654902"),"חשוקי חמד - 11 כרכים")</f>
        <v>חשוקי חמד - 11 כרכים</v>
      </c>
      <c r="H1689" t="str">
        <f>_xlfn.CONCAT("https://tablet.otzar.org/",CHAR(35),"/exKotar/654902")</f>
        <v>https://tablet.otzar.org/#/exKotar/654902</v>
      </c>
    </row>
    <row r="1690" spans="1:8" x14ac:dyDescent="0.25">
      <c r="A1690">
        <v>654646</v>
      </c>
      <c r="B1690" t="s">
        <v>3528</v>
      </c>
      <c r="C1690" t="s">
        <v>928</v>
      </c>
      <c r="D1690" t="s">
        <v>10</v>
      </c>
      <c r="E1690" t="s">
        <v>3529</v>
      </c>
      <c r="G1690" t="str">
        <f>HYPERLINK(_xlfn.CONCAT("https://tablet.otzar.org/",CHAR(35),"/book/654646/p/-1/t/1/fs/0/start/0/end/0/c"),"חתם סופר - סוגיות")</f>
        <v>חתם סופר - סוגיות</v>
      </c>
      <c r="H1690" t="str">
        <f>_xlfn.CONCAT("https://tablet.otzar.org/",CHAR(35),"/book/654646/p/-1/t/1/fs/0/start/0/end/0/c")</f>
        <v>https://tablet.otzar.org/#/book/654646/p/-1/t/1/fs/0/start/0/end/0/c</v>
      </c>
    </row>
    <row r="1691" spans="1:8" x14ac:dyDescent="0.25">
      <c r="A1691">
        <v>650977</v>
      </c>
      <c r="B1691" t="s">
        <v>3530</v>
      </c>
      <c r="C1691" t="s">
        <v>3531</v>
      </c>
      <c r="D1691" t="s">
        <v>347</v>
      </c>
      <c r="E1691" t="s">
        <v>574</v>
      </c>
      <c r="G1691" t="str">
        <f>HYPERLINK(_xlfn.CONCAT("https://tablet.otzar.org/",CHAR(35),"/exKotar/650977"),"ט""""ז וש""""ך - 2 כרכים")</f>
        <v>ט""ז וש""ך - 2 כרכים</v>
      </c>
      <c r="H1691" t="str">
        <f>_xlfn.CONCAT("https://tablet.otzar.org/",CHAR(35),"/exKotar/650977")</f>
        <v>https://tablet.otzar.org/#/exKotar/650977</v>
      </c>
    </row>
    <row r="1692" spans="1:8" x14ac:dyDescent="0.25">
      <c r="A1692">
        <v>650532</v>
      </c>
      <c r="B1692" t="s">
        <v>3532</v>
      </c>
      <c r="C1692" t="s">
        <v>3533</v>
      </c>
      <c r="D1692" t="s">
        <v>1884</v>
      </c>
      <c r="E1692" t="s">
        <v>3101</v>
      </c>
      <c r="G1692" t="str">
        <f>HYPERLINK(_xlfn.CONCAT("https://tablet.otzar.org/",CHAR(35),"/book/650532/p/-1/t/1/fs/0/start/0/end/0/c"),"טהור רעיונים - על התורה")</f>
        <v>טהור רעיונים - על התורה</v>
      </c>
      <c r="H1692" t="str">
        <f>_xlfn.CONCAT("https://tablet.otzar.org/",CHAR(35),"/book/650532/p/-1/t/1/fs/0/start/0/end/0/c")</f>
        <v>https://tablet.otzar.org/#/book/650532/p/-1/t/1/fs/0/start/0/end/0/c</v>
      </c>
    </row>
    <row r="1693" spans="1:8" x14ac:dyDescent="0.25">
      <c r="A1693">
        <v>649419</v>
      </c>
      <c r="B1693" t="s">
        <v>3534</v>
      </c>
      <c r="C1693" t="s">
        <v>3535</v>
      </c>
      <c r="D1693" t="s">
        <v>3536</v>
      </c>
      <c r="E1693" t="s">
        <v>70</v>
      </c>
      <c r="G1693" t="str">
        <f>HYPERLINK(_xlfn.CONCAT("https://tablet.otzar.org/",CHAR(35),"/book/649419/p/-1/t/1/fs/0/start/0/end/0/c"),"טהרת אהרן")</f>
        <v>טהרת אהרן</v>
      </c>
      <c r="H1693" t="str">
        <f>_xlfn.CONCAT("https://tablet.otzar.org/",CHAR(35),"/book/649419/p/-1/t/1/fs/0/start/0/end/0/c")</f>
        <v>https://tablet.otzar.org/#/book/649419/p/-1/t/1/fs/0/start/0/end/0/c</v>
      </c>
    </row>
    <row r="1694" spans="1:8" x14ac:dyDescent="0.25">
      <c r="A1694">
        <v>655081</v>
      </c>
      <c r="B1694" t="s">
        <v>3537</v>
      </c>
      <c r="C1694" t="s">
        <v>3538</v>
      </c>
      <c r="D1694" t="s">
        <v>10</v>
      </c>
      <c r="E1694" t="s">
        <v>11</v>
      </c>
      <c r="G1694" t="str">
        <f>HYPERLINK(_xlfn.CONCAT("https://tablet.otzar.org/",CHAR(35),"/book/655081/p/-1/t/1/fs/0/start/0/end/0/c"),"טהרת אליהו - נגעים")</f>
        <v>טהרת אליהו - נגעים</v>
      </c>
      <c r="H1694" t="str">
        <f>_xlfn.CONCAT("https://tablet.otzar.org/",CHAR(35),"/book/655081/p/-1/t/1/fs/0/start/0/end/0/c")</f>
        <v>https://tablet.otzar.org/#/book/655081/p/-1/t/1/fs/0/start/0/end/0/c</v>
      </c>
    </row>
    <row r="1695" spans="1:8" x14ac:dyDescent="0.25">
      <c r="A1695">
        <v>655320</v>
      </c>
      <c r="B1695" t="s">
        <v>3539</v>
      </c>
      <c r="C1695" t="s">
        <v>2145</v>
      </c>
      <c r="D1695" t="s">
        <v>10</v>
      </c>
      <c r="E1695" t="s">
        <v>84</v>
      </c>
      <c r="G1695" t="str">
        <f>HYPERLINK(_xlfn.CONCAT("https://tablet.otzar.org/",CHAR(35),"/exKotar/655320"),"טהרת הבית - 3 כרכים")</f>
        <v>טהרת הבית - 3 כרכים</v>
      </c>
      <c r="H1695" t="str">
        <f>_xlfn.CONCAT("https://tablet.otzar.org/",CHAR(35),"/exKotar/655320")</f>
        <v>https://tablet.otzar.org/#/exKotar/655320</v>
      </c>
    </row>
    <row r="1696" spans="1:8" x14ac:dyDescent="0.25">
      <c r="A1696">
        <v>650441</v>
      </c>
      <c r="B1696" t="s">
        <v>3540</v>
      </c>
      <c r="C1696" t="s">
        <v>3541</v>
      </c>
      <c r="D1696" t="s">
        <v>3542</v>
      </c>
      <c r="E1696" t="s">
        <v>3543</v>
      </c>
      <c r="G1696" t="str">
        <f>HYPERLINK(_xlfn.CONCAT("https://tablet.otzar.org/",CHAR(35),"/book/650441/p/-1/t/1/fs/0/start/0/end/0/c"),"טהרת הקודש")</f>
        <v>טהרת הקודש</v>
      </c>
      <c r="H1696" t="str">
        <f>_xlfn.CONCAT("https://tablet.otzar.org/",CHAR(35),"/book/650441/p/-1/t/1/fs/0/start/0/end/0/c")</f>
        <v>https://tablet.otzar.org/#/book/650441/p/-1/t/1/fs/0/start/0/end/0/c</v>
      </c>
    </row>
    <row r="1697" spans="1:8" x14ac:dyDescent="0.25">
      <c r="A1697">
        <v>654420</v>
      </c>
      <c r="B1697" t="s">
        <v>3544</v>
      </c>
      <c r="C1697" t="s">
        <v>153</v>
      </c>
      <c r="D1697" t="s">
        <v>319</v>
      </c>
      <c r="E1697" t="s">
        <v>45</v>
      </c>
      <c r="G1697" t="str">
        <f>HYPERLINK(_xlfn.CONCAT("https://tablet.otzar.org/",CHAR(35),"/exKotar/654420"),"טהרת הקודש א &lt;ונשמרתם&gt; - 2 כרכים")</f>
        <v>טהרת הקודש א &lt;ונשמרתם&gt; - 2 כרכים</v>
      </c>
      <c r="H1697" t="str">
        <f>_xlfn.CONCAT("https://tablet.otzar.org/",CHAR(35),"/exKotar/654420")</f>
        <v>https://tablet.otzar.org/#/exKotar/654420</v>
      </c>
    </row>
    <row r="1698" spans="1:8" x14ac:dyDescent="0.25">
      <c r="A1698">
        <v>647466</v>
      </c>
      <c r="B1698" t="s">
        <v>3545</v>
      </c>
      <c r="C1698" t="s">
        <v>3546</v>
      </c>
      <c r="E1698" t="s">
        <v>106</v>
      </c>
      <c r="G1698" t="str">
        <f>HYPERLINK(_xlfn.CONCAT("https://tablet.otzar.org/",CHAR(35),"/book/647466/p/-1/t/1/fs/0/start/0/end/0/c"),"טהרת משפחה")</f>
        <v>טהרת משפחה</v>
      </c>
      <c r="H1698" t="str">
        <f>_xlfn.CONCAT("https://tablet.otzar.org/",CHAR(35),"/book/647466/p/-1/t/1/fs/0/start/0/end/0/c")</f>
        <v>https://tablet.otzar.org/#/book/647466/p/-1/t/1/fs/0/start/0/end/0/c</v>
      </c>
    </row>
    <row r="1699" spans="1:8" x14ac:dyDescent="0.25">
      <c r="A1699">
        <v>649711</v>
      </c>
      <c r="B1699" t="s">
        <v>3547</v>
      </c>
      <c r="C1699" t="s">
        <v>3548</v>
      </c>
      <c r="D1699" t="s">
        <v>52</v>
      </c>
      <c r="E1699" t="s">
        <v>126</v>
      </c>
      <c r="G1699" t="str">
        <f>HYPERLINK(_xlfn.CONCAT("https://tablet.otzar.org/",CHAR(35),"/book/649711/p/-1/t/1/fs/0/start/0/end/0/c"),"טוב הארץ")</f>
        <v>טוב הארץ</v>
      </c>
      <c r="H1699" t="str">
        <f>_xlfn.CONCAT("https://tablet.otzar.org/",CHAR(35),"/book/649711/p/-1/t/1/fs/0/start/0/end/0/c")</f>
        <v>https://tablet.otzar.org/#/book/649711/p/-1/t/1/fs/0/start/0/end/0/c</v>
      </c>
    </row>
    <row r="1700" spans="1:8" x14ac:dyDescent="0.25">
      <c r="A1700">
        <v>650430</v>
      </c>
      <c r="B1700" t="s">
        <v>3549</v>
      </c>
      <c r="C1700" t="s">
        <v>3550</v>
      </c>
      <c r="D1700" t="s">
        <v>193</v>
      </c>
      <c r="E1700" t="s">
        <v>35</v>
      </c>
      <c r="G1700" t="str">
        <f>HYPERLINK(_xlfn.CONCAT("https://tablet.otzar.org/",CHAR(35),"/book/650430/p/-1/t/1/fs/0/start/0/end/0/c"),"טוב העץ")</f>
        <v>טוב העץ</v>
      </c>
      <c r="H1700" t="str">
        <f>_xlfn.CONCAT("https://tablet.otzar.org/",CHAR(35),"/book/650430/p/-1/t/1/fs/0/start/0/end/0/c")</f>
        <v>https://tablet.otzar.org/#/book/650430/p/-1/t/1/fs/0/start/0/end/0/c</v>
      </c>
    </row>
    <row r="1701" spans="1:8" x14ac:dyDescent="0.25">
      <c r="A1701">
        <v>649191</v>
      </c>
      <c r="B1701" t="s">
        <v>3551</v>
      </c>
      <c r="C1701" t="s">
        <v>69</v>
      </c>
      <c r="D1701" t="s">
        <v>34</v>
      </c>
      <c r="E1701" t="s">
        <v>70</v>
      </c>
      <c r="G1701" t="str">
        <f>HYPERLINK(_xlfn.CONCAT("https://tablet.otzar.org/",CHAR(35),"/book/649191/p/-1/t/1/fs/0/start/0/end/0/c"),"טוב סחרה - שמעתתא דקרפף")</f>
        <v>טוב סחרה - שמעתתא דקרפף</v>
      </c>
      <c r="H1701" t="str">
        <f>_xlfn.CONCAT("https://tablet.otzar.org/",CHAR(35),"/book/649191/p/-1/t/1/fs/0/start/0/end/0/c")</f>
        <v>https://tablet.otzar.org/#/book/649191/p/-1/t/1/fs/0/start/0/end/0/c</v>
      </c>
    </row>
    <row r="1702" spans="1:8" x14ac:dyDescent="0.25">
      <c r="A1702">
        <v>650174</v>
      </c>
      <c r="B1702" t="s">
        <v>3552</v>
      </c>
      <c r="C1702" t="s">
        <v>3553</v>
      </c>
      <c r="D1702" t="s">
        <v>10</v>
      </c>
      <c r="E1702" t="s">
        <v>670</v>
      </c>
      <c r="G1702" t="str">
        <f>HYPERLINK(_xlfn.CONCAT("https://tablet.otzar.org/",CHAR(35),"/book/650174/p/-1/t/1/fs/0/start/0/end/0/c"),"טוב עין הוא יבורך")</f>
        <v>טוב עין הוא יבורך</v>
      </c>
      <c r="H1702" t="str">
        <f>_xlfn.CONCAT("https://tablet.otzar.org/",CHAR(35),"/book/650174/p/-1/t/1/fs/0/start/0/end/0/c")</f>
        <v>https://tablet.otzar.org/#/book/650174/p/-1/t/1/fs/0/start/0/end/0/c</v>
      </c>
    </row>
    <row r="1703" spans="1:8" x14ac:dyDescent="0.25">
      <c r="A1703">
        <v>649161</v>
      </c>
      <c r="B1703" t="s">
        <v>3554</v>
      </c>
      <c r="C1703" t="s">
        <v>448</v>
      </c>
      <c r="D1703" t="s">
        <v>10</v>
      </c>
      <c r="E1703" t="s">
        <v>405</v>
      </c>
      <c r="G1703" t="str">
        <f>HYPERLINK(_xlfn.CONCAT("https://tablet.otzar.org/",CHAR(35),"/exKotar/649161"),"טובות זכרונות - 3 כרכים")</f>
        <v>טובות זכרונות - 3 כרכים</v>
      </c>
      <c r="H1703" t="str">
        <f>_xlfn.CONCAT("https://tablet.otzar.org/",CHAR(35),"/exKotar/649161")</f>
        <v>https://tablet.otzar.org/#/exKotar/649161</v>
      </c>
    </row>
    <row r="1704" spans="1:8" x14ac:dyDescent="0.25">
      <c r="A1704">
        <v>655768</v>
      </c>
      <c r="B1704" t="s">
        <v>3555</v>
      </c>
      <c r="C1704" t="s">
        <v>382</v>
      </c>
      <c r="D1704" t="s">
        <v>34</v>
      </c>
      <c r="E1704" t="s">
        <v>11</v>
      </c>
      <c r="G1704" t="str">
        <f>HYPERLINK(_xlfn.CONCAT("https://tablet.otzar.org/",CHAR(35),"/book/655768/p/-1/t/1/fs/0/start/0/end/0/c"),"טובים השנים - ט")</f>
        <v>טובים השנים - ט</v>
      </c>
      <c r="H1704" t="str">
        <f>_xlfn.CONCAT("https://tablet.otzar.org/",CHAR(35),"/book/655768/p/-1/t/1/fs/0/start/0/end/0/c")</f>
        <v>https://tablet.otzar.org/#/book/655768/p/-1/t/1/fs/0/start/0/end/0/c</v>
      </c>
    </row>
    <row r="1705" spans="1:8" x14ac:dyDescent="0.25">
      <c r="A1705">
        <v>650208</v>
      </c>
      <c r="B1705" t="s">
        <v>3556</v>
      </c>
      <c r="C1705" t="s">
        <v>1620</v>
      </c>
      <c r="D1705" t="s">
        <v>28</v>
      </c>
      <c r="E1705" t="s">
        <v>690</v>
      </c>
      <c r="G1705" t="str">
        <f>HYPERLINK(_xlfn.CONCAT("https://tablet.otzar.org/",CHAR(35),"/exKotar/650208"),"טור שולחן ערוך המקוצר - 3 כרכים")</f>
        <v>טור שולחן ערוך המקוצר - 3 כרכים</v>
      </c>
      <c r="H1705" t="str">
        <f>_xlfn.CONCAT("https://tablet.otzar.org/",CHAR(35),"/exKotar/650208")</f>
        <v>https://tablet.otzar.org/#/exKotar/650208</v>
      </c>
    </row>
    <row r="1706" spans="1:8" x14ac:dyDescent="0.25">
      <c r="A1706">
        <v>653999</v>
      </c>
      <c r="B1706" t="s">
        <v>3557</v>
      </c>
      <c r="C1706" t="s">
        <v>1666</v>
      </c>
      <c r="E1706" t="s">
        <v>11</v>
      </c>
      <c r="G1706" t="str">
        <f>HYPERLINK(_xlfn.CONCAT("https://tablet.otzar.org/",CHAR(35),"/book/653999/p/-1/t/1/fs/0/start/0/end/0/c"),"טורי אבן &lt;ברכת צבי&gt; - מגילה")</f>
        <v>טורי אבן &lt;ברכת צבי&gt; - מגילה</v>
      </c>
      <c r="H1706" t="str">
        <f>_xlfn.CONCAT("https://tablet.otzar.org/",CHAR(35),"/book/653999/p/-1/t/1/fs/0/start/0/end/0/c")</f>
        <v>https://tablet.otzar.org/#/book/653999/p/-1/t/1/fs/0/start/0/end/0/c</v>
      </c>
    </row>
    <row r="1707" spans="1:8" x14ac:dyDescent="0.25">
      <c r="A1707">
        <v>652910</v>
      </c>
      <c r="B1707" t="s">
        <v>3558</v>
      </c>
      <c r="C1707" t="s">
        <v>3559</v>
      </c>
      <c r="E1707" t="s">
        <v>804</v>
      </c>
      <c r="G1707" t="str">
        <f>HYPERLINK(_xlfn.CONCAT("https://tablet.otzar.org/",CHAR(35),"/book/652910/p/-1/t/1/fs/0/start/0/end/0/c"),"טורי ישרון - לד")</f>
        <v>טורי ישרון - לד</v>
      </c>
      <c r="H1707" t="str">
        <f>_xlfn.CONCAT("https://tablet.otzar.org/",CHAR(35),"/book/652910/p/-1/t/1/fs/0/start/0/end/0/c")</f>
        <v>https://tablet.otzar.org/#/book/652910/p/-1/t/1/fs/0/start/0/end/0/c</v>
      </c>
    </row>
    <row r="1708" spans="1:8" x14ac:dyDescent="0.25">
      <c r="A1708">
        <v>649144</v>
      </c>
      <c r="B1708" t="s">
        <v>3560</v>
      </c>
      <c r="C1708" t="s">
        <v>3561</v>
      </c>
      <c r="E1708" t="s">
        <v>405</v>
      </c>
      <c r="G1708" t="str">
        <f>HYPERLINK(_xlfn.CONCAT("https://tablet.otzar.org/",CHAR(35),"/book/649144/p/-1/t/1/fs/0/start/0/end/0/c"),"טיב גיטין &lt;מאזני צדק&gt;")</f>
        <v>טיב גיטין &lt;מאזני צדק&gt;</v>
      </c>
      <c r="H1708" t="str">
        <f>_xlfn.CONCAT("https://tablet.otzar.org/",CHAR(35),"/book/649144/p/-1/t/1/fs/0/start/0/end/0/c")</f>
        <v>https://tablet.otzar.org/#/book/649144/p/-1/t/1/fs/0/start/0/end/0/c</v>
      </c>
    </row>
    <row r="1709" spans="1:8" x14ac:dyDescent="0.25">
      <c r="A1709">
        <v>653543</v>
      </c>
      <c r="B1709" t="s">
        <v>3562</v>
      </c>
      <c r="C1709" t="s">
        <v>3563</v>
      </c>
      <c r="D1709" t="s">
        <v>340</v>
      </c>
      <c r="E1709" t="s">
        <v>11</v>
      </c>
      <c r="G1709" t="str">
        <f>HYPERLINK(_xlfn.CONCAT("https://tablet.otzar.org/",CHAR(35),"/book/653543/p/-1/t/1/fs/0/start/0/end/0/c"),"טיפה מן הדבש - חולין בכורות")</f>
        <v>טיפה מן הדבש - חולין בכורות</v>
      </c>
      <c r="H1709" t="str">
        <f>_xlfn.CONCAT("https://tablet.otzar.org/",CHAR(35),"/book/653543/p/-1/t/1/fs/0/start/0/end/0/c")</f>
        <v>https://tablet.otzar.org/#/book/653543/p/-1/t/1/fs/0/start/0/end/0/c</v>
      </c>
    </row>
    <row r="1710" spans="1:8" x14ac:dyDescent="0.25">
      <c r="A1710">
        <v>651001</v>
      </c>
      <c r="B1710" t="s">
        <v>3564</v>
      </c>
      <c r="C1710" t="s">
        <v>3565</v>
      </c>
      <c r="E1710" t="s">
        <v>11</v>
      </c>
      <c r="G1710" t="str">
        <f>HYPERLINK(_xlfn.CONCAT("https://tablet.otzar.org/",CHAR(35),"/book/651001/p/-1/t/1/fs/0/start/0/end/0/c"),"טירת הכסף - חנוכה")</f>
        <v>טירת הכסף - חנוכה</v>
      </c>
      <c r="H1710" t="str">
        <f>_xlfn.CONCAT("https://tablet.otzar.org/",CHAR(35),"/book/651001/p/-1/t/1/fs/0/start/0/end/0/c")</f>
        <v>https://tablet.otzar.org/#/book/651001/p/-1/t/1/fs/0/start/0/end/0/c</v>
      </c>
    </row>
    <row r="1711" spans="1:8" x14ac:dyDescent="0.25">
      <c r="A1711">
        <v>655253</v>
      </c>
      <c r="B1711" t="s">
        <v>3566</v>
      </c>
      <c r="C1711" t="s">
        <v>3567</v>
      </c>
      <c r="D1711" t="s">
        <v>3568</v>
      </c>
      <c r="E1711" t="s">
        <v>11</v>
      </c>
      <c r="G1711" t="str">
        <f>HYPERLINK(_xlfn.CONCAT("https://tablet.otzar.org/",CHAR(35),"/book/655253/p/-1/t/1/fs/0/start/0/end/0/c"),"טירת כסף - על התורה")</f>
        <v>טירת כסף - על התורה</v>
      </c>
      <c r="H1711" t="str">
        <f>_xlfn.CONCAT("https://tablet.otzar.org/",CHAR(35),"/book/655253/p/-1/t/1/fs/0/start/0/end/0/c")</f>
        <v>https://tablet.otzar.org/#/book/655253/p/-1/t/1/fs/0/start/0/end/0/c</v>
      </c>
    </row>
    <row r="1712" spans="1:8" x14ac:dyDescent="0.25">
      <c r="A1712">
        <v>654816</v>
      </c>
      <c r="B1712" t="s">
        <v>3569</v>
      </c>
      <c r="C1712" t="s">
        <v>521</v>
      </c>
      <c r="D1712" t="s">
        <v>10</v>
      </c>
      <c r="E1712" t="s">
        <v>11</v>
      </c>
      <c r="G1712" t="str">
        <f>HYPERLINK(_xlfn.CONCAT("https://tablet.otzar.org/",CHAR(35),"/book/654816/p/-1/t/1/fs/0/start/0/end/0/c"),"טל אורות")</f>
        <v>טל אורות</v>
      </c>
      <c r="H1712" t="str">
        <f>_xlfn.CONCAT("https://tablet.otzar.org/",CHAR(35),"/book/654816/p/-1/t/1/fs/0/start/0/end/0/c")</f>
        <v>https://tablet.otzar.org/#/book/654816/p/-1/t/1/fs/0/start/0/end/0/c</v>
      </c>
    </row>
    <row r="1713" spans="1:8" x14ac:dyDescent="0.25">
      <c r="A1713">
        <v>651619</v>
      </c>
      <c r="B1713" t="s">
        <v>3570</v>
      </c>
      <c r="C1713" t="s">
        <v>3571</v>
      </c>
      <c r="D1713" t="s">
        <v>10</v>
      </c>
      <c r="E1713" t="s">
        <v>70</v>
      </c>
      <c r="G1713" t="str">
        <f>HYPERLINK(_xlfn.CONCAT("https://tablet.otzar.org/",CHAR(35),"/book/651619/p/-1/t/1/fs/0/start/0/end/0/c"),"טל השמים")</f>
        <v>טל השמים</v>
      </c>
      <c r="H1713" t="str">
        <f>_xlfn.CONCAT("https://tablet.otzar.org/",CHAR(35),"/book/651619/p/-1/t/1/fs/0/start/0/end/0/c")</f>
        <v>https://tablet.otzar.org/#/book/651619/p/-1/t/1/fs/0/start/0/end/0/c</v>
      </c>
    </row>
    <row r="1714" spans="1:8" x14ac:dyDescent="0.25">
      <c r="A1714">
        <v>655441</v>
      </c>
      <c r="B1714" t="s">
        <v>3572</v>
      </c>
      <c r="C1714" t="s">
        <v>3573</v>
      </c>
      <c r="D1714" t="s">
        <v>3574</v>
      </c>
      <c r="E1714" t="s">
        <v>45</v>
      </c>
      <c r="G1714" t="str">
        <f>HYPERLINK(_xlfn.CONCAT("https://tablet.otzar.org/",CHAR(35),"/exKotar/655441"),"טל חיים - 2 כרכים")</f>
        <v>טל חיים - 2 כרכים</v>
      </c>
      <c r="H1714" t="str">
        <f>_xlfn.CONCAT("https://tablet.otzar.org/",CHAR(35),"/exKotar/655441")</f>
        <v>https://tablet.otzar.org/#/exKotar/655441</v>
      </c>
    </row>
    <row r="1715" spans="1:8" x14ac:dyDescent="0.25">
      <c r="A1715">
        <v>641664</v>
      </c>
      <c r="B1715" t="s">
        <v>3575</v>
      </c>
      <c r="C1715" t="s">
        <v>3576</v>
      </c>
      <c r="D1715" t="s">
        <v>3577</v>
      </c>
      <c r="E1715" t="s">
        <v>3578</v>
      </c>
      <c r="G1715" t="str">
        <f>HYPERLINK(_xlfn.CONCAT("https://tablet.otzar.org/",CHAR(35),"/book/641664/p/-1/t/1/fs/0/start/0/end/0/c"),"טל ילדות")</f>
        <v>טל ילדות</v>
      </c>
      <c r="H1715" t="str">
        <f>_xlfn.CONCAT("https://tablet.otzar.org/",CHAR(35),"/book/641664/p/-1/t/1/fs/0/start/0/end/0/c")</f>
        <v>https://tablet.otzar.org/#/book/641664/p/-1/t/1/fs/0/start/0/end/0/c</v>
      </c>
    </row>
    <row r="1716" spans="1:8" x14ac:dyDescent="0.25">
      <c r="A1716">
        <v>649532</v>
      </c>
      <c r="B1716" t="s">
        <v>3579</v>
      </c>
      <c r="C1716" t="s">
        <v>3580</v>
      </c>
      <c r="D1716" t="s">
        <v>52</v>
      </c>
      <c r="E1716" t="s">
        <v>35</v>
      </c>
      <c r="G1716" t="str">
        <f>HYPERLINK(_xlfn.CONCAT("https://tablet.otzar.org/",CHAR(35),"/book/649532/p/-1/t/1/fs/0/start/0/end/0/c"),"טל לישראל - שבת")</f>
        <v>טל לישראל - שבת</v>
      </c>
      <c r="H1716" t="str">
        <f>_xlfn.CONCAT("https://tablet.otzar.org/",CHAR(35),"/book/649532/p/-1/t/1/fs/0/start/0/end/0/c")</f>
        <v>https://tablet.otzar.org/#/book/649532/p/-1/t/1/fs/0/start/0/end/0/c</v>
      </c>
    </row>
    <row r="1717" spans="1:8" x14ac:dyDescent="0.25">
      <c r="A1717">
        <v>653214</v>
      </c>
      <c r="B1717" t="s">
        <v>3581</v>
      </c>
      <c r="C1717" t="s">
        <v>3582</v>
      </c>
      <c r="D1717" t="s">
        <v>52</v>
      </c>
      <c r="E1717" t="s">
        <v>84</v>
      </c>
      <c r="G1717" t="str">
        <f>HYPERLINK(_xlfn.CONCAT("https://tablet.otzar.org/",CHAR(35),"/book/653214/p/-1/t/1/fs/0/start/0/end/0/c"),"טעם ודעת - ב (שאר אבות הטומאות )")</f>
        <v>טעם ודעת - ב (שאר אבות הטומאות )</v>
      </c>
      <c r="H1717" t="str">
        <f>_xlfn.CONCAT("https://tablet.otzar.org/",CHAR(35),"/book/653214/p/-1/t/1/fs/0/start/0/end/0/c")</f>
        <v>https://tablet.otzar.org/#/book/653214/p/-1/t/1/fs/0/start/0/end/0/c</v>
      </c>
    </row>
    <row r="1718" spans="1:8" x14ac:dyDescent="0.25">
      <c r="A1718">
        <v>655790</v>
      </c>
      <c r="B1718" t="s">
        <v>3583</v>
      </c>
      <c r="C1718" t="s">
        <v>3584</v>
      </c>
      <c r="D1718" t="s">
        <v>193</v>
      </c>
      <c r="E1718" t="s">
        <v>29</v>
      </c>
      <c r="G1718" t="str">
        <f>HYPERLINK(_xlfn.CONCAT("https://tablet.otzar.org/",CHAR(35),"/exKotar/655790"),"טעם ודעת - 6 כרכים")</f>
        <v>טעם ודעת - 6 כרכים</v>
      </c>
      <c r="H1718" t="str">
        <f>_xlfn.CONCAT("https://tablet.otzar.org/",CHAR(35),"/exKotar/655790")</f>
        <v>https://tablet.otzar.org/#/exKotar/655790</v>
      </c>
    </row>
    <row r="1719" spans="1:8" x14ac:dyDescent="0.25">
      <c r="A1719">
        <v>656084</v>
      </c>
      <c r="B1719" t="s">
        <v>3585</v>
      </c>
      <c r="C1719" t="s">
        <v>654</v>
      </c>
      <c r="D1719" t="s">
        <v>340</v>
      </c>
      <c r="E1719" t="s">
        <v>29</v>
      </c>
      <c r="G1719" t="str">
        <f>HYPERLINK(_xlfn.CONCAT("https://tablet.otzar.org/",CHAR(35),"/book/656084/p/-1/t/1/fs/0/start/0/end/0/c"),"טעמו וממשו")</f>
        <v>טעמו וממשו</v>
      </c>
      <c r="H1719" t="str">
        <f>_xlfn.CONCAT("https://tablet.otzar.org/",CHAR(35),"/book/656084/p/-1/t/1/fs/0/start/0/end/0/c")</f>
        <v>https://tablet.otzar.org/#/book/656084/p/-1/t/1/fs/0/start/0/end/0/c</v>
      </c>
    </row>
    <row r="1720" spans="1:8" x14ac:dyDescent="0.25">
      <c r="A1720">
        <v>650526</v>
      </c>
      <c r="B1720" t="s">
        <v>3586</v>
      </c>
      <c r="C1720" t="s">
        <v>3587</v>
      </c>
      <c r="D1720" t="s">
        <v>1380</v>
      </c>
      <c r="E1720" t="s">
        <v>2713</v>
      </c>
      <c r="G1720" t="str">
        <f>HYPERLINK(_xlfn.CONCAT("https://tablet.otzar.org/",CHAR(35),"/book/650526/p/-1/t/1/fs/0/start/0/end/0/c"),"טעמי המנהגים")</f>
        <v>טעמי המנהגים</v>
      </c>
      <c r="H1720" t="str">
        <f>_xlfn.CONCAT("https://tablet.otzar.org/",CHAR(35),"/book/650526/p/-1/t/1/fs/0/start/0/end/0/c")</f>
        <v>https://tablet.otzar.org/#/book/650526/p/-1/t/1/fs/0/start/0/end/0/c</v>
      </c>
    </row>
    <row r="1721" spans="1:8" x14ac:dyDescent="0.25">
      <c r="A1721">
        <v>652620</v>
      </c>
      <c r="B1721" t="s">
        <v>3588</v>
      </c>
      <c r="C1721" t="s">
        <v>3589</v>
      </c>
      <c r="D1721" t="s">
        <v>34</v>
      </c>
      <c r="E1721" t="s">
        <v>35</v>
      </c>
      <c r="G1721" t="str">
        <f>HYPERLINK(_xlfn.CONCAT("https://tablet.otzar.org/",CHAR(35),"/book/652620/p/-1/t/1/fs/0/start/0/end/0/c"),"טעמי המקרא ותורה שבעל פה - תש""""פ -תשפ""""א")</f>
        <v>טעמי המקרא ותורה שבעל פה - תש""פ -תשפ""א</v>
      </c>
      <c r="H1721" t="str">
        <f>_xlfn.CONCAT("https://tablet.otzar.org/",CHAR(35),"/book/652620/p/-1/t/1/fs/0/start/0/end/0/c")</f>
        <v>https://tablet.otzar.org/#/book/652620/p/-1/t/1/fs/0/start/0/end/0/c</v>
      </c>
    </row>
    <row r="1722" spans="1:8" x14ac:dyDescent="0.25">
      <c r="A1722">
        <v>647863</v>
      </c>
      <c r="B1722" t="s">
        <v>3590</v>
      </c>
      <c r="C1722" t="s">
        <v>3591</v>
      </c>
      <c r="E1722" t="s">
        <v>11</v>
      </c>
      <c r="G1722" t="str">
        <f>HYPERLINK(_xlfn.CONCAT("https://tablet.otzar.org/",CHAR(35),"/book/647863/p/-1/t/1/fs/0/start/0/end/0/c"),"י""""א ניסן - מאה ועשרים שנה")</f>
        <v>י""א ניסן - מאה ועשרים שנה</v>
      </c>
      <c r="H1722" t="str">
        <f>_xlfn.CONCAT("https://tablet.otzar.org/",CHAR(35),"/book/647863/p/-1/t/1/fs/0/start/0/end/0/c")</f>
        <v>https://tablet.otzar.org/#/book/647863/p/-1/t/1/fs/0/start/0/end/0/c</v>
      </c>
    </row>
    <row r="1723" spans="1:8" x14ac:dyDescent="0.25">
      <c r="A1723">
        <v>655839</v>
      </c>
      <c r="B1723" t="s">
        <v>3592</v>
      </c>
      <c r="C1723" t="s">
        <v>3593</v>
      </c>
      <c r="D1723" t="s">
        <v>10</v>
      </c>
      <c r="E1723" t="s">
        <v>399</v>
      </c>
      <c r="G1723" t="str">
        <f>HYPERLINK(_xlfn.CONCAT("https://tablet.otzar.org/",CHAR(35),"/exKotar/655839"),"יאיר דעת - 6 כרכים")</f>
        <v>יאיר דעת - 6 כרכים</v>
      </c>
      <c r="H1723" t="str">
        <f>_xlfn.CONCAT("https://tablet.otzar.org/",CHAR(35),"/exKotar/655839")</f>
        <v>https://tablet.otzar.org/#/exKotar/655839</v>
      </c>
    </row>
    <row r="1724" spans="1:8" x14ac:dyDescent="0.25">
      <c r="A1724">
        <v>651245</v>
      </c>
      <c r="B1724" t="s">
        <v>3594</v>
      </c>
      <c r="C1724" t="s">
        <v>3595</v>
      </c>
      <c r="D1724" t="s">
        <v>34</v>
      </c>
      <c r="E1724" t="s">
        <v>70</v>
      </c>
      <c r="G1724" t="str">
        <f>HYPERLINK(_xlfn.CONCAT("https://tablet.otzar.org/",CHAR(35),"/book/651245/p/-1/t/1/fs/0/start/0/end/0/c"),"יאיר נתיב")</f>
        <v>יאיר נתיב</v>
      </c>
      <c r="H1724" t="str">
        <f>_xlfn.CONCAT("https://tablet.otzar.org/",CHAR(35),"/book/651245/p/-1/t/1/fs/0/start/0/end/0/c")</f>
        <v>https://tablet.otzar.org/#/book/651245/p/-1/t/1/fs/0/start/0/end/0/c</v>
      </c>
    </row>
    <row r="1725" spans="1:8" x14ac:dyDescent="0.25">
      <c r="A1725">
        <v>650042</v>
      </c>
      <c r="B1725" t="s">
        <v>3596</v>
      </c>
      <c r="C1725" t="s">
        <v>1634</v>
      </c>
      <c r="D1725" t="s">
        <v>340</v>
      </c>
      <c r="E1725" t="s">
        <v>191</v>
      </c>
      <c r="G1725" t="str">
        <f>HYPERLINK(_xlfn.CONCAT("https://tablet.otzar.org/",CHAR(35),"/exKotar/650042"),"יאר ה' - 2 כרכים")</f>
        <v>יאר ה' - 2 כרכים</v>
      </c>
      <c r="H1725" t="str">
        <f>_xlfn.CONCAT("https://tablet.otzar.org/",CHAR(35),"/exKotar/650042")</f>
        <v>https://tablet.otzar.org/#/exKotar/650042</v>
      </c>
    </row>
    <row r="1726" spans="1:8" x14ac:dyDescent="0.25">
      <c r="A1726">
        <v>647043</v>
      </c>
      <c r="B1726" t="s">
        <v>3597</v>
      </c>
      <c r="C1726" t="s">
        <v>3598</v>
      </c>
      <c r="E1726" t="s">
        <v>114</v>
      </c>
      <c r="G1726" t="str">
        <f>HYPERLINK(_xlfn.CONCAT("https://tablet.otzar.org/",CHAR(35),"/book/647043/p/-1/t/1/fs/0/start/0/end/0/c"),"יארבוך - א")</f>
        <v>יארבוך - א</v>
      </c>
      <c r="H1726" t="str">
        <f>_xlfn.CONCAT("https://tablet.otzar.org/",CHAR(35),"/book/647043/p/-1/t/1/fs/0/start/0/end/0/c")</f>
        <v>https://tablet.otzar.org/#/book/647043/p/-1/t/1/fs/0/start/0/end/0/c</v>
      </c>
    </row>
    <row r="1727" spans="1:8" x14ac:dyDescent="0.25">
      <c r="A1727">
        <v>656135</v>
      </c>
      <c r="B1727" t="s">
        <v>3599</v>
      </c>
      <c r="C1727" t="s">
        <v>3600</v>
      </c>
      <c r="D1727" t="s">
        <v>52</v>
      </c>
      <c r="E1727" t="s">
        <v>312</v>
      </c>
      <c r="G1727" t="str">
        <f>HYPERLINK(_xlfn.CONCAT("https://tablet.otzar.org/",CHAR(35),"/book/656135/p/-1/t/1/fs/0/start/0/end/0/c"),"יבול הארץ")</f>
        <v>יבול הארץ</v>
      </c>
      <c r="H1727" t="str">
        <f>_xlfn.CONCAT("https://tablet.otzar.org/",CHAR(35),"/book/656135/p/-1/t/1/fs/0/start/0/end/0/c")</f>
        <v>https://tablet.otzar.org/#/book/656135/p/-1/t/1/fs/0/start/0/end/0/c</v>
      </c>
    </row>
    <row r="1728" spans="1:8" x14ac:dyDescent="0.25">
      <c r="A1728">
        <v>652563</v>
      </c>
      <c r="B1728" t="s">
        <v>3601</v>
      </c>
      <c r="C1728" t="s">
        <v>1515</v>
      </c>
      <c r="D1728" t="s">
        <v>3602</v>
      </c>
      <c r="E1728" t="s">
        <v>70</v>
      </c>
      <c r="G1728" t="str">
        <f>HYPERLINK(_xlfn.CONCAT("https://tablet.otzar.org/",CHAR(35),"/book/652563/p/-1/t/1/fs/0/start/0/end/0/c"),"יבום או חליצה")</f>
        <v>יבום או חליצה</v>
      </c>
      <c r="H1728" t="str">
        <f>_xlfn.CONCAT("https://tablet.otzar.org/",CHAR(35),"/book/652563/p/-1/t/1/fs/0/start/0/end/0/c")</f>
        <v>https://tablet.otzar.org/#/book/652563/p/-1/t/1/fs/0/start/0/end/0/c</v>
      </c>
    </row>
    <row r="1729" spans="1:8" x14ac:dyDescent="0.25">
      <c r="A1729">
        <v>652966</v>
      </c>
      <c r="B1729" t="s">
        <v>3603</v>
      </c>
      <c r="C1729" t="s">
        <v>3604</v>
      </c>
      <c r="D1729" t="s">
        <v>10</v>
      </c>
      <c r="E1729" t="s">
        <v>11</v>
      </c>
      <c r="G1729" t="str">
        <f>HYPERLINK(_xlfn.CONCAT("https://tablet.otzar.org/",CHAR(35),"/book/652966/p/-1/t/1/fs/0/start/0/end/0/c"),"יבין שמועה - חלה")</f>
        <v>יבין שמועה - חלה</v>
      </c>
      <c r="H1729" t="str">
        <f>_xlfn.CONCAT("https://tablet.otzar.org/",CHAR(35),"/book/652966/p/-1/t/1/fs/0/start/0/end/0/c")</f>
        <v>https://tablet.otzar.org/#/book/652966/p/-1/t/1/fs/0/start/0/end/0/c</v>
      </c>
    </row>
    <row r="1730" spans="1:8" x14ac:dyDescent="0.25">
      <c r="A1730">
        <v>653352</v>
      </c>
      <c r="B1730" t="s">
        <v>3605</v>
      </c>
      <c r="C1730" t="s">
        <v>3606</v>
      </c>
      <c r="D1730" t="s">
        <v>10</v>
      </c>
      <c r="E1730" t="s">
        <v>670</v>
      </c>
      <c r="G1730" t="str">
        <f>HYPERLINK(_xlfn.CONCAT("https://tablet.otzar.org/",CHAR(35),"/book/653352/p/-1/t/1/fs/0/start/0/end/0/c"),"יגדיל תורה &lt;לונדון&gt; - נג")</f>
        <v>יגדיל תורה &lt;לונדון&gt; - נג</v>
      </c>
      <c r="H1730" t="str">
        <f>_xlfn.CONCAT("https://tablet.otzar.org/",CHAR(35),"/book/653352/p/-1/t/1/fs/0/start/0/end/0/c")</f>
        <v>https://tablet.otzar.org/#/book/653352/p/-1/t/1/fs/0/start/0/end/0/c</v>
      </c>
    </row>
    <row r="1731" spans="1:8" x14ac:dyDescent="0.25">
      <c r="A1731">
        <v>657679</v>
      </c>
      <c r="B1731" t="s">
        <v>3607</v>
      </c>
      <c r="C1731" t="s">
        <v>3608</v>
      </c>
      <c r="D1731" t="s">
        <v>10</v>
      </c>
      <c r="E1731" t="s">
        <v>1456</v>
      </c>
      <c r="G1731" t="str">
        <f>HYPERLINK(_xlfn.CONCAT("https://tablet.otzar.org/",CHAR(35),"/exKotar/657679"),"יגדיל תורה - 5 כרכים")</f>
        <v>יגדיל תורה - 5 כרכים</v>
      </c>
      <c r="H1731" t="str">
        <f>_xlfn.CONCAT("https://tablet.otzar.org/",CHAR(35),"/exKotar/657679")</f>
        <v>https://tablet.otzar.org/#/exKotar/657679</v>
      </c>
    </row>
    <row r="1732" spans="1:8" x14ac:dyDescent="0.25">
      <c r="A1732">
        <v>654234</v>
      </c>
      <c r="B1732" t="s">
        <v>3609</v>
      </c>
      <c r="C1732" t="s">
        <v>3610</v>
      </c>
      <c r="D1732" t="s">
        <v>10</v>
      </c>
      <c r="E1732" t="s">
        <v>35</v>
      </c>
      <c r="G1732" t="str">
        <f>HYPERLINK(_xlfn.CONCAT("https://tablet.otzar.org/",CHAR(35),"/exKotar/654234"),"יד אברהם - 2 כרכים")</f>
        <v>יד אברהם - 2 כרכים</v>
      </c>
      <c r="H1732" t="str">
        <f>_xlfn.CONCAT("https://tablet.otzar.org/",CHAR(35),"/exKotar/654234")</f>
        <v>https://tablet.otzar.org/#/exKotar/654234</v>
      </c>
    </row>
    <row r="1733" spans="1:8" x14ac:dyDescent="0.25">
      <c r="A1733">
        <v>649580</v>
      </c>
      <c r="B1733" t="s">
        <v>3611</v>
      </c>
      <c r="C1733" t="s">
        <v>3612</v>
      </c>
      <c r="D1733" t="s">
        <v>3613</v>
      </c>
      <c r="E1733" t="s">
        <v>2193</v>
      </c>
      <c r="G1733" t="str">
        <f>HYPERLINK(_xlfn.CONCAT("https://tablet.otzar.org/",CHAR(35),"/book/649580/p/-1/t/1/fs/0/start/0/end/0/c"),"יד אהרן &lt;תיקוני המחבר בכת""""י&gt;")</f>
        <v>יד אהרן &lt;תיקוני המחבר בכת""י&gt;</v>
      </c>
      <c r="H1733" t="str">
        <f>_xlfn.CONCAT("https://tablet.otzar.org/",CHAR(35),"/book/649580/p/-1/t/1/fs/0/start/0/end/0/c")</f>
        <v>https://tablet.otzar.org/#/book/649580/p/-1/t/1/fs/0/start/0/end/0/c</v>
      </c>
    </row>
    <row r="1734" spans="1:8" x14ac:dyDescent="0.25">
      <c r="A1734">
        <v>652092</v>
      </c>
      <c r="B1734" t="s">
        <v>3614</v>
      </c>
      <c r="C1734" t="s">
        <v>3615</v>
      </c>
      <c r="D1734" t="s">
        <v>10</v>
      </c>
      <c r="E1734" t="s">
        <v>84</v>
      </c>
      <c r="G1734" t="str">
        <f>HYPERLINK(_xlfn.CONCAT("https://tablet.otzar.org/",CHAR(35),"/book/652092/p/-1/t/1/fs/0/start/0/end/0/c"),"יד בניהו")</f>
        <v>יד בניהו</v>
      </c>
      <c r="H1734" t="str">
        <f>_xlfn.CONCAT("https://tablet.otzar.org/",CHAR(35),"/book/652092/p/-1/t/1/fs/0/start/0/end/0/c")</f>
        <v>https://tablet.otzar.org/#/book/652092/p/-1/t/1/fs/0/start/0/end/0/c</v>
      </c>
    </row>
    <row r="1735" spans="1:8" x14ac:dyDescent="0.25">
      <c r="A1735">
        <v>655610</v>
      </c>
      <c r="B1735" t="s">
        <v>3616</v>
      </c>
      <c r="C1735" t="s">
        <v>3617</v>
      </c>
      <c r="D1735" t="s">
        <v>10</v>
      </c>
      <c r="E1735" t="s">
        <v>224</v>
      </c>
      <c r="G1735" t="str">
        <f>HYPERLINK(_xlfn.CONCAT("https://tablet.otzar.org/",CHAR(35),"/book/655610/p/-1/t/1/fs/0/start/0/end/0/c"),"יד ברוך")</f>
        <v>יד ברוך</v>
      </c>
      <c r="H1735" t="str">
        <f>_xlfn.CONCAT("https://tablet.otzar.org/",CHAR(35),"/book/655610/p/-1/t/1/fs/0/start/0/end/0/c")</f>
        <v>https://tablet.otzar.org/#/book/655610/p/-1/t/1/fs/0/start/0/end/0/c</v>
      </c>
    </row>
    <row r="1736" spans="1:8" x14ac:dyDescent="0.25">
      <c r="A1736">
        <v>641555</v>
      </c>
      <c r="B1736" t="s">
        <v>3618</v>
      </c>
      <c r="C1736" t="s">
        <v>3619</v>
      </c>
      <c r="D1736" t="s">
        <v>10</v>
      </c>
      <c r="E1736" t="s">
        <v>84</v>
      </c>
      <c r="G1736" t="str">
        <f>HYPERLINK(_xlfn.CONCAT("https://tablet.otzar.org/",CHAR(35),"/exKotar/641555"),"יד גד - 3 כרכים")</f>
        <v>יד גד - 3 כרכים</v>
      </c>
      <c r="H1736" t="str">
        <f>_xlfn.CONCAT("https://tablet.otzar.org/",CHAR(35),"/exKotar/641555")</f>
        <v>https://tablet.otzar.org/#/exKotar/641555</v>
      </c>
    </row>
    <row r="1737" spans="1:8" x14ac:dyDescent="0.25">
      <c r="A1737">
        <v>649098</v>
      </c>
      <c r="B1737" t="s">
        <v>3620</v>
      </c>
      <c r="C1737" t="s">
        <v>3621</v>
      </c>
      <c r="D1737" t="s">
        <v>573</v>
      </c>
      <c r="E1737" t="s">
        <v>35</v>
      </c>
      <c r="G1737" t="str">
        <f>HYPERLINK(_xlfn.CONCAT("https://tablet.otzar.org/",CHAR(35),"/book/649098/p/-1/t/1/fs/0/start/0/end/0/c"),"יד המעין")</f>
        <v>יד המעין</v>
      </c>
      <c r="H1737" t="str">
        <f>_xlfn.CONCAT("https://tablet.otzar.org/",CHAR(35),"/book/649098/p/-1/t/1/fs/0/start/0/end/0/c")</f>
        <v>https://tablet.otzar.org/#/book/649098/p/-1/t/1/fs/0/start/0/end/0/c</v>
      </c>
    </row>
    <row r="1738" spans="1:8" x14ac:dyDescent="0.25">
      <c r="A1738">
        <v>650882</v>
      </c>
      <c r="B1738" t="s">
        <v>3622</v>
      </c>
      <c r="C1738" t="s">
        <v>3623</v>
      </c>
      <c r="D1738" t="s">
        <v>52</v>
      </c>
      <c r="E1738" t="s">
        <v>780</v>
      </c>
      <c r="G1738" t="str">
        <f>HYPERLINK(_xlfn.CONCAT("https://tablet.otzar.org/",CHAR(35),"/exKotar/650882"),"יד העירוב - 2 כרכים")</f>
        <v>יד העירוב - 2 כרכים</v>
      </c>
      <c r="H1738" t="str">
        <f>_xlfn.CONCAT("https://tablet.otzar.org/",CHAR(35),"/exKotar/650882")</f>
        <v>https://tablet.otzar.org/#/exKotar/650882</v>
      </c>
    </row>
    <row r="1739" spans="1:8" x14ac:dyDescent="0.25">
      <c r="A1739">
        <v>652963</v>
      </c>
      <c r="B1739" t="s">
        <v>3624</v>
      </c>
      <c r="C1739" t="s">
        <v>3625</v>
      </c>
      <c r="D1739" t="s">
        <v>10</v>
      </c>
      <c r="E1739" t="s">
        <v>11</v>
      </c>
      <c r="G1739" t="str">
        <f>HYPERLINK(_xlfn.CONCAT("https://tablet.otzar.org/",CHAR(35),"/book/652963/p/-1/t/1/fs/0/start/0/end/0/c"),"יד ושם - תמיד נשחט")</f>
        <v>יד ושם - תמיד נשחט</v>
      </c>
      <c r="H1739" t="str">
        <f>_xlfn.CONCAT("https://tablet.otzar.org/",CHAR(35),"/book/652963/p/-1/t/1/fs/0/start/0/end/0/c")</f>
        <v>https://tablet.otzar.org/#/book/652963/p/-1/t/1/fs/0/start/0/end/0/c</v>
      </c>
    </row>
    <row r="1740" spans="1:8" x14ac:dyDescent="0.25">
      <c r="A1740">
        <v>647895</v>
      </c>
      <c r="B1740" t="s">
        <v>3626</v>
      </c>
      <c r="C1740" t="s">
        <v>3627</v>
      </c>
      <c r="D1740" t="s">
        <v>3628</v>
      </c>
      <c r="E1740" t="s">
        <v>3629</v>
      </c>
      <c r="G1740" t="str">
        <f>HYPERLINK(_xlfn.CONCAT("https://tablet.otzar.org/",CHAR(35),"/book/647895/p/-1/t/1/fs/0/start/0/end/0/c"),"יד ושם טוב")</f>
        <v>יד ושם טוב</v>
      </c>
      <c r="H1740" t="str">
        <f>_xlfn.CONCAT("https://tablet.otzar.org/",CHAR(35),"/book/647895/p/-1/t/1/fs/0/start/0/end/0/c")</f>
        <v>https://tablet.otzar.org/#/book/647895/p/-1/t/1/fs/0/start/0/end/0/c</v>
      </c>
    </row>
    <row r="1741" spans="1:8" x14ac:dyDescent="0.25">
      <c r="A1741">
        <v>650046</v>
      </c>
      <c r="B1741" t="s">
        <v>3630</v>
      </c>
      <c r="C1741" t="s">
        <v>2796</v>
      </c>
      <c r="D1741" t="s">
        <v>840</v>
      </c>
      <c r="E1741" t="s">
        <v>352</v>
      </c>
      <c r="G1741" t="str">
        <f>HYPERLINK(_xlfn.CONCAT("https://tablet.otzar.org/",CHAR(35),"/book/650046/p/-1/t/1/fs/0/start/0/end/0/c"),"יד יהודה - אבן העזר סט-פח")</f>
        <v>יד יהודה - אבן העזר סט-פח</v>
      </c>
      <c r="H1741" t="str">
        <f>_xlfn.CONCAT("https://tablet.otzar.org/",CHAR(35),"/book/650046/p/-1/t/1/fs/0/start/0/end/0/c")</f>
        <v>https://tablet.otzar.org/#/book/650046/p/-1/t/1/fs/0/start/0/end/0/c</v>
      </c>
    </row>
    <row r="1742" spans="1:8" x14ac:dyDescent="0.25">
      <c r="A1742">
        <v>652000</v>
      </c>
      <c r="B1742" t="s">
        <v>3631</v>
      </c>
      <c r="C1742" t="s">
        <v>3632</v>
      </c>
      <c r="E1742" t="s">
        <v>558</v>
      </c>
      <c r="G1742" t="str">
        <f>HYPERLINK(_xlfn.CONCAT("https://tablet.otzar.org/",CHAR(35),"/book/652000/p/-1/t/1/fs/0/start/0/end/0/c"),"יד יקותיאל")</f>
        <v>יד יקותיאל</v>
      </c>
      <c r="H1742" t="str">
        <f>_xlfn.CONCAT("https://tablet.otzar.org/",CHAR(35),"/book/652000/p/-1/t/1/fs/0/start/0/end/0/c")</f>
        <v>https://tablet.otzar.org/#/book/652000/p/-1/t/1/fs/0/start/0/end/0/c</v>
      </c>
    </row>
    <row r="1743" spans="1:8" x14ac:dyDescent="0.25">
      <c r="A1743">
        <v>643133</v>
      </c>
      <c r="B1743" t="s">
        <v>3633</v>
      </c>
      <c r="C1743" t="s">
        <v>3634</v>
      </c>
      <c r="D1743" t="s">
        <v>424</v>
      </c>
      <c r="E1743" t="s">
        <v>2436</v>
      </c>
      <c r="G1743" t="str">
        <f>HYPERLINK(_xlfn.CONCAT("https://tablet.otzar.org/",CHAR(35),"/exKotar/643133"),"יד לאחים - 3 כרכים")</f>
        <v>יד לאחים - 3 כרכים</v>
      </c>
      <c r="H1743" t="str">
        <f>_xlfn.CONCAT("https://tablet.otzar.org/",CHAR(35),"/exKotar/643133")</f>
        <v>https://tablet.otzar.org/#/exKotar/643133</v>
      </c>
    </row>
    <row r="1744" spans="1:8" x14ac:dyDescent="0.25">
      <c r="A1744">
        <v>654370</v>
      </c>
      <c r="B1744" t="s">
        <v>3635</v>
      </c>
      <c r="C1744" t="s">
        <v>3636</v>
      </c>
      <c r="D1744" t="s">
        <v>10</v>
      </c>
      <c r="E1744" t="s">
        <v>117</v>
      </c>
      <c r="G1744" t="str">
        <f>HYPERLINK(_xlfn.CONCAT("https://tablet.otzar.org/",CHAR(35),"/book/654370/p/-1/t/1/fs/0/start/0/end/0/c"),"יד לשבועה - שבועות")</f>
        <v>יד לשבועה - שבועות</v>
      </c>
      <c r="H1744" t="str">
        <f>_xlfn.CONCAT("https://tablet.otzar.org/",CHAR(35),"/book/654370/p/-1/t/1/fs/0/start/0/end/0/c")</f>
        <v>https://tablet.otzar.org/#/book/654370/p/-1/t/1/fs/0/start/0/end/0/c</v>
      </c>
    </row>
    <row r="1745" spans="1:8" x14ac:dyDescent="0.25">
      <c r="A1745">
        <v>648855</v>
      </c>
      <c r="B1745" t="s">
        <v>3637</v>
      </c>
      <c r="C1745" t="s">
        <v>3638</v>
      </c>
      <c r="E1745" t="s">
        <v>19</v>
      </c>
      <c r="G1745" t="str">
        <f>HYPERLINK(_xlfn.CONCAT("https://tablet.otzar.org/",CHAR(35),"/exKotar/648855"),"יד מהרש""""א - 22 כרכים")</f>
        <v>יד מהרש""א - 22 כרכים</v>
      </c>
      <c r="H1745" t="str">
        <f>_xlfn.CONCAT("https://tablet.otzar.org/",CHAR(35),"/exKotar/648855")</f>
        <v>https://tablet.otzar.org/#/exKotar/648855</v>
      </c>
    </row>
    <row r="1746" spans="1:8" x14ac:dyDescent="0.25">
      <c r="A1746">
        <v>648513</v>
      </c>
      <c r="B1746" t="s">
        <v>3639</v>
      </c>
      <c r="C1746" t="s">
        <v>3640</v>
      </c>
      <c r="D1746" t="s">
        <v>34</v>
      </c>
      <c r="E1746" t="s">
        <v>763</v>
      </c>
      <c r="G1746" t="str">
        <f>HYPERLINK(_xlfn.CONCAT("https://tablet.otzar.org/",CHAR(35),"/book/648513/p/-1/t/1/fs/0/start/0/end/0/c"),"יד משה - פסחים")</f>
        <v>יד משה - פסחים</v>
      </c>
      <c r="H1746" t="str">
        <f>_xlfn.CONCAT("https://tablet.otzar.org/",CHAR(35),"/book/648513/p/-1/t/1/fs/0/start/0/end/0/c")</f>
        <v>https://tablet.otzar.org/#/book/648513/p/-1/t/1/fs/0/start/0/end/0/c</v>
      </c>
    </row>
    <row r="1747" spans="1:8" x14ac:dyDescent="0.25">
      <c r="A1747">
        <v>652473</v>
      </c>
      <c r="B1747" t="s">
        <v>3641</v>
      </c>
      <c r="C1747" t="s">
        <v>3642</v>
      </c>
      <c r="D1747" t="s">
        <v>52</v>
      </c>
      <c r="E1747" t="s">
        <v>3643</v>
      </c>
      <c r="G1747" t="str">
        <f>HYPERLINK(_xlfn.CONCAT("https://tablet.otzar.org/",CHAR(35),"/exKotar/652473"),"ידות הבית - 3 כרכים")</f>
        <v>ידות הבית - 3 כרכים</v>
      </c>
      <c r="H1747" t="str">
        <f>_xlfn.CONCAT("https://tablet.otzar.org/",CHAR(35),"/exKotar/652473")</f>
        <v>https://tablet.otzar.org/#/exKotar/652473</v>
      </c>
    </row>
    <row r="1748" spans="1:8" x14ac:dyDescent="0.25">
      <c r="A1748">
        <v>652470</v>
      </c>
      <c r="B1748" t="s">
        <v>3644</v>
      </c>
      <c r="C1748" t="s">
        <v>3642</v>
      </c>
      <c r="D1748" t="s">
        <v>287</v>
      </c>
      <c r="E1748" t="s">
        <v>213</v>
      </c>
      <c r="G1748" t="str">
        <f>HYPERLINK(_xlfn.CONCAT("https://tablet.otzar.org/",CHAR(35),"/exKotar/652470"),"ידות הלוי - 3 כרכים")</f>
        <v>ידות הלוי - 3 כרכים</v>
      </c>
      <c r="H1748" t="str">
        <f>_xlfn.CONCAT("https://tablet.otzar.org/",CHAR(35),"/exKotar/652470")</f>
        <v>https://tablet.otzar.org/#/exKotar/652470</v>
      </c>
    </row>
    <row r="1749" spans="1:8" x14ac:dyDescent="0.25">
      <c r="A1749">
        <v>650238</v>
      </c>
      <c r="B1749" t="s">
        <v>3645</v>
      </c>
      <c r="C1749" t="s">
        <v>327</v>
      </c>
      <c r="D1749" t="s">
        <v>328</v>
      </c>
      <c r="E1749" t="s">
        <v>11</v>
      </c>
      <c r="G1749" t="str">
        <f>HYPERLINK(_xlfn.CONCAT("https://tablet.otzar.org/",CHAR(35),"/exKotar/650238"),"ידי כהן - 5 כרכים")</f>
        <v>ידי כהן - 5 כרכים</v>
      </c>
      <c r="H1749" t="str">
        <f>_xlfn.CONCAT("https://tablet.otzar.org/",CHAR(35),"/exKotar/650238")</f>
        <v>https://tablet.otzar.org/#/exKotar/650238</v>
      </c>
    </row>
    <row r="1750" spans="1:8" x14ac:dyDescent="0.25">
      <c r="A1750">
        <v>653358</v>
      </c>
      <c r="B1750" t="s">
        <v>3646</v>
      </c>
      <c r="C1750" t="s">
        <v>3646</v>
      </c>
      <c r="D1750" t="s">
        <v>10</v>
      </c>
      <c r="E1750" t="s">
        <v>3647</v>
      </c>
      <c r="G1750" t="str">
        <f>HYPERLINK(_xlfn.CONCAT("https://tablet.otzar.org/",CHAR(35),"/book/653358/p/-1/t/1/fs/0/start/0/end/0/c"),"ידי משה - שערי הר הבית")</f>
        <v>ידי משה - שערי הר הבית</v>
      </c>
      <c r="H1750" t="str">
        <f>_xlfn.CONCAT("https://tablet.otzar.org/",CHAR(35),"/book/653358/p/-1/t/1/fs/0/start/0/end/0/c")</f>
        <v>https://tablet.otzar.org/#/book/653358/p/-1/t/1/fs/0/start/0/end/0/c</v>
      </c>
    </row>
    <row r="1751" spans="1:8" x14ac:dyDescent="0.25">
      <c r="A1751">
        <v>647738</v>
      </c>
      <c r="B1751" t="s">
        <v>3648</v>
      </c>
      <c r="C1751" t="s">
        <v>1264</v>
      </c>
      <c r="D1751" t="s">
        <v>52</v>
      </c>
      <c r="E1751" t="s">
        <v>35</v>
      </c>
      <c r="G1751" t="str">
        <f>HYPERLINK(_xlfn.CONCAT("https://tablet.otzar.org/",CHAR(35),"/exKotar/647738"),"ידיעת שבת - 2 כרכים")</f>
        <v>ידיעת שבת - 2 כרכים</v>
      </c>
      <c r="H1751" t="str">
        <f>_xlfn.CONCAT("https://tablet.otzar.org/",CHAR(35),"/exKotar/647738")</f>
        <v>https://tablet.otzar.org/#/exKotar/647738</v>
      </c>
    </row>
    <row r="1752" spans="1:8" x14ac:dyDescent="0.25">
      <c r="A1752">
        <v>650231</v>
      </c>
      <c r="B1752" t="s">
        <v>3649</v>
      </c>
      <c r="C1752" t="s">
        <v>3650</v>
      </c>
      <c r="D1752" t="s">
        <v>10</v>
      </c>
      <c r="E1752" t="s">
        <v>1364</v>
      </c>
      <c r="G1752" t="str">
        <f>HYPERLINK(_xlfn.CONCAT("https://tablet.otzar.org/",CHAR(35),"/book/650231/p/-1/t/1/fs/0/start/0/end/0/c"),"יהודי אתיופיה")</f>
        <v>יהודי אתיופיה</v>
      </c>
      <c r="H1752" t="str">
        <f>_xlfn.CONCAT("https://tablet.otzar.org/",CHAR(35),"/book/650231/p/-1/t/1/fs/0/start/0/end/0/c")</f>
        <v>https://tablet.otzar.org/#/book/650231/p/-1/t/1/fs/0/start/0/end/0/c</v>
      </c>
    </row>
    <row r="1753" spans="1:8" x14ac:dyDescent="0.25">
      <c r="A1753">
        <v>655111</v>
      </c>
      <c r="B1753" t="s">
        <v>3651</v>
      </c>
      <c r="C1753" t="s">
        <v>3652</v>
      </c>
      <c r="D1753" t="s">
        <v>10</v>
      </c>
      <c r="E1753" t="s">
        <v>11</v>
      </c>
      <c r="G1753" t="str">
        <f>HYPERLINK(_xlfn.CONCAT("https://tablet.otzar.org/",CHAR(35),"/book/655111/p/-1/t/1/fs/0/start/0/end/0/c"),"יהיה לששון ולשמחה")</f>
        <v>יהיה לששון ולשמחה</v>
      </c>
      <c r="H1753" t="str">
        <f>_xlfn.CONCAT("https://tablet.otzar.org/",CHAR(35),"/book/655111/p/-1/t/1/fs/0/start/0/end/0/c")</f>
        <v>https://tablet.otzar.org/#/book/655111/p/-1/t/1/fs/0/start/0/end/0/c</v>
      </c>
    </row>
    <row r="1754" spans="1:8" x14ac:dyDescent="0.25">
      <c r="A1754">
        <v>650140</v>
      </c>
      <c r="B1754" t="s">
        <v>3653</v>
      </c>
      <c r="C1754" t="s">
        <v>3654</v>
      </c>
      <c r="D1754" t="s">
        <v>3408</v>
      </c>
      <c r="E1754" t="s">
        <v>130</v>
      </c>
      <c r="G1754" t="str">
        <f>HYPERLINK(_xlfn.CONCAT("https://tablet.otzar.org/",CHAR(35),"/book/650140/p/-1/t/1/fs/0/start/0/end/0/c"),"יובל העשרים לתנועת תורה ועבודה")</f>
        <v>יובל העשרים לתנועת תורה ועבודה</v>
      </c>
      <c r="H1754" t="str">
        <f>_xlfn.CONCAT("https://tablet.otzar.org/",CHAR(35),"/book/650140/p/-1/t/1/fs/0/start/0/end/0/c")</f>
        <v>https://tablet.otzar.org/#/book/650140/p/-1/t/1/fs/0/start/0/end/0/c</v>
      </c>
    </row>
    <row r="1755" spans="1:8" x14ac:dyDescent="0.25">
      <c r="A1755">
        <v>648976</v>
      </c>
      <c r="B1755" t="s">
        <v>3655</v>
      </c>
      <c r="C1755" t="s">
        <v>3656</v>
      </c>
      <c r="D1755" t="s">
        <v>10</v>
      </c>
      <c r="E1755" t="s">
        <v>70</v>
      </c>
      <c r="G1755" t="str">
        <f>HYPERLINK(_xlfn.CONCAT("https://tablet.otzar.org/",CHAR(35),"/book/648976/p/-1/t/1/fs/0/start/0/end/0/c"),"יודאיקה ירושלים - קהלת 5")</f>
        <v>יודאיקה ירושלים - קהלת 5</v>
      </c>
      <c r="H1755" t="str">
        <f>_xlfn.CONCAT("https://tablet.otzar.org/",CHAR(35),"/book/648976/p/-1/t/1/fs/0/start/0/end/0/c")</f>
        <v>https://tablet.otzar.org/#/book/648976/p/-1/t/1/fs/0/start/0/end/0/c</v>
      </c>
    </row>
    <row r="1756" spans="1:8" x14ac:dyDescent="0.25">
      <c r="A1756">
        <v>649404</v>
      </c>
      <c r="B1756" t="s">
        <v>3657</v>
      </c>
      <c r="C1756" t="s">
        <v>3658</v>
      </c>
      <c r="D1756" t="s">
        <v>340</v>
      </c>
      <c r="E1756" t="s">
        <v>35</v>
      </c>
      <c r="G1756" t="str">
        <f>HYPERLINK(_xlfn.CONCAT("https://tablet.otzar.org/",CHAR(35),"/book/649404/p/-1/t/1/fs/0/start/0/end/0/c"),"יודוך אחיך - ריבית")</f>
        <v>יודוך אחיך - ריבית</v>
      </c>
      <c r="H1756" t="str">
        <f>_xlfn.CONCAT("https://tablet.otzar.org/",CHAR(35),"/book/649404/p/-1/t/1/fs/0/start/0/end/0/c")</f>
        <v>https://tablet.otzar.org/#/book/649404/p/-1/t/1/fs/0/start/0/end/0/c</v>
      </c>
    </row>
    <row r="1757" spans="1:8" x14ac:dyDescent="0.25">
      <c r="A1757">
        <v>649579</v>
      </c>
      <c r="B1757" t="s">
        <v>3659</v>
      </c>
      <c r="C1757" t="s">
        <v>1370</v>
      </c>
      <c r="D1757" t="s">
        <v>10</v>
      </c>
      <c r="E1757" t="s">
        <v>35</v>
      </c>
      <c r="G1757" t="str">
        <f>HYPERLINK(_xlfn.CONCAT("https://tablet.otzar.org/",CHAR(35),"/book/649579/p/-1/t/1/fs/0/start/0/end/0/c"),"יודוך רעיוני")</f>
        <v>יודוך רעיוני</v>
      </c>
      <c r="H1757" t="str">
        <f>_xlfn.CONCAT("https://tablet.otzar.org/",CHAR(35),"/book/649579/p/-1/t/1/fs/0/start/0/end/0/c")</f>
        <v>https://tablet.otzar.org/#/book/649579/p/-1/t/1/fs/0/start/0/end/0/c</v>
      </c>
    </row>
    <row r="1758" spans="1:8" x14ac:dyDescent="0.25">
      <c r="A1758">
        <v>641938</v>
      </c>
      <c r="B1758" t="s">
        <v>3660</v>
      </c>
      <c r="C1758" t="s">
        <v>3661</v>
      </c>
      <c r="E1758" t="s">
        <v>2402</v>
      </c>
      <c r="G1758" t="str">
        <f>HYPERLINK(_xlfn.CONCAT("https://tablet.otzar.org/",CHAR(35),"/book/641938/p/-1/t/1/fs/0/start/0/end/0/c"),"יודישע געשיכטע")</f>
        <v>יודישע געשיכטע</v>
      </c>
      <c r="H1758" t="str">
        <f>_xlfn.CONCAT("https://tablet.otzar.org/",CHAR(35),"/book/641938/p/-1/t/1/fs/0/start/0/end/0/c")</f>
        <v>https://tablet.otzar.org/#/book/641938/p/-1/t/1/fs/0/start/0/end/0/c</v>
      </c>
    </row>
    <row r="1759" spans="1:8" x14ac:dyDescent="0.25">
      <c r="A1759">
        <v>648301</v>
      </c>
      <c r="B1759" t="s">
        <v>3662</v>
      </c>
      <c r="C1759" t="s">
        <v>382</v>
      </c>
      <c r="D1759" t="s">
        <v>3663</v>
      </c>
      <c r="E1759" t="s">
        <v>366</v>
      </c>
      <c r="G1759" t="str">
        <f>HYPERLINK(_xlfn.CONCAT("https://tablet.otzar.org/",CHAR(35),"/exKotar/648301"),"יודעי העתים - 10 כרכים")</f>
        <v>יודעי העתים - 10 כרכים</v>
      </c>
      <c r="H1759" t="str">
        <f>_xlfn.CONCAT("https://tablet.otzar.org/",CHAR(35),"/exKotar/648301")</f>
        <v>https://tablet.otzar.org/#/exKotar/648301</v>
      </c>
    </row>
    <row r="1760" spans="1:8" x14ac:dyDescent="0.25">
      <c r="A1760">
        <v>656184</v>
      </c>
      <c r="B1760" t="s">
        <v>3664</v>
      </c>
      <c r="C1760" t="s">
        <v>3665</v>
      </c>
      <c r="D1760" t="s">
        <v>52</v>
      </c>
      <c r="E1760" t="s">
        <v>35</v>
      </c>
      <c r="G1760" t="str">
        <f>HYPERLINK(_xlfn.CONCAT("https://tablet.otzar.org/",CHAR(35),"/book/656184/p/-1/t/1/fs/0/start/0/end/0/c"),"יודעי תרועה")</f>
        <v>יודעי תרועה</v>
      </c>
      <c r="H1760" t="str">
        <f>_xlfn.CONCAT("https://tablet.otzar.org/",CHAR(35),"/book/656184/p/-1/t/1/fs/0/start/0/end/0/c")</f>
        <v>https://tablet.otzar.org/#/book/656184/p/-1/t/1/fs/0/start/0/end/0/c</v>
      </c>
    </row>
    <row r="1761" spans="1:8" x14ac:dyDescent="0.25">
      <c r="A1761">
        <v>653251</v>
      </c>
      <c r="B1761" t="s">
        <v>3666</v>
      </c>
      <c r="C1761" t="s">
        <v>2859</v>
      </c>
      <c r="D1761" t="s">
        <v>2860</v>
      </c>
      <c r="E1761" t="s">
        <v>70</v>
      </c>
      <c r="G1761" t="str">
        <f>HYPERLINK(_xlfn.CONCAT("https://tablet.otzar.org/",CHAR(35),"/book/653251/p/-1/t/1/fs/0/start/0/end/0/c"),"יום הדין")</f>
        <v>יום הדין</v>
      </c>
      <c r="H1761" t="str">
        <f>_xlfn.CONCAT("https://tablet.otzar.org/",CHAR(35),"/book/653251/p/-1/t/1/fs/0/start/0/end/0/c")</f>
        <v>https://tablet.otzar.org/#/book/653251/p/-1/t/1/fs/0/start/0/end/0/c</v>
      </c>
    </row>
    <row r="1762" spans="1:8" x14ac:dyDescent="0.25">
      <c r="A1762">
        <v>647265</v>
      </c>
      <c r="B1762" t="s">
        <v>3667</v>
      </c>
      <c r="C1762" t="s">
        <v>186</v>
      </c>
      <c r="D1762" t="s">
        <v>693</v>
      </c>
      <c r="E1762" t="s">
        <v>70</v>
      </c>
      <c r="G1762" t="str">
        <f>HYPERLINK(_xlfn.CONCAT("https://tablet.otzar.org/",CHAR(35),"/book/647265/p/-1/t/1/fs/0/start/0/end/0/c"),"יום הכיפורים")</f>
        <v>יום הכיפורים</v>
      </c>
      <c r="H1762" t="str">
        <f>_xlfn.CONCAT("https://tablet.otzar.org/",CHAR(35),"/book/647265/p/-1/t/1/fs/0/start/0/end/0/c")</f>
        <v>https://tablet.otzar.org/#/book/647265/p/-1/t/1/fs/0/start/0/end/0/c</v>
      </c>
    </row>
    <row r="1763" spans="1:8" x14ac:dyDescent="0.25">
      <c r="A1763">
        <v>651044</v>
      </c>
      <c r="B1763" t="s">
        <v>3668</v>
      </c>
      <c r="C1763" t="s">
        <v>1923</v>
      </c>
      <c r="D1763" t="s">
        <v>52</v>
      </c>
      <c r="E1763" t="s">
        <v>35</v>
      </c>
      <c r="G1763" t="str">
        <f>HYPERLINK(_xlfn.CONCAT("https://tablet.otzar.org/",CHAR(35),"/book/651044/p/-1/t/1/fs/0/start/0/end/0/c"),"יום השישי")</f>
        <v>יום השישי</v>
      </c>
      <c r="H1763" t="str">
        <f>_xlfn.CONCAT("https://tablet.otzar.org/",CHAR(35),"/book/651044/p/-1/t/1/fs/0/start/0/end/0/c")</f>
        <v>https://tablet.otzar.org/#/book/651044/p/-1/t/1/fs/0/start/0/end/0/c</v>
      </c>
    </row>
    <row r="1764" spans="1:8" x14ac:dyDescent="0.25">
      <c r="A1764">
        <v>651002</v>
      </c>
      <c r="B1764" t="s">
        <v>3669</v>
      </c>
      <c r="C1764" t="s">
        <v>3670</v>
      </c>
      <c r="D1764" t="s">
        <v>139</v>
      </c>
      <c r="E1764" t="s">
        <v>45</v>
      </c>
      <c r="G1764" t="str">
        <f>HYPERLINK(_xlfn.CONCAT("https://tablet.otzar.org/",CHAR(35),"/book/651002/p/-1/t/1/fs/0/start/0/end/0/c"),"יום זה לישראל")</f>
        <v>יום זה לישראל</v>
      </c>
      <c r="H1764" t="str">
        <f>_xlfn.CONCAT("https://tablet.otzar.org/",CHAR(35),"/book/651002/p/-1/t/1/fs/0/start/0/end/0/c")</f>
        <v>https://tablet.otzar.org/#/book/651002/p/-1/t/1/fs/0/start/0/end/0/c</v>
      </c>
    </row>
    <row r="1765" spans="1:8" x14ac:dyDescent="0.25">
      <c r="A1765">
        <v>653103</v>
      </c>
      <c r="B1765" t="s">
        <v>3669</v>
      </c>
      <c r="C1765" t="s">
        <v>3671</v>
      </c>
      <c r="D1765" t="s">
        <v>52</v>
      </c>
      <c r="E1765" t="s">
        <v>11</v>
      </c>
      <c r="G1765" t="str">
        <f>HYPERLINK(_xlfn.CONCAT("https://tablet.otzar.org/",CHAR(35),"/book/653103/p/-1/t/1/fs/0/start/0/end/0/c"),"יום זה לישראל")</f>
        <v>יום זה לישראל</v>
      </c>
      <c r="H1765" t="str">
        <f>_xlfn.CONCAT("https://tablet.otzar.org/",CHAR(35),"/book/653103/p/-1/t/1/fs/0/start/0/end/0/c")</f>
        <v>https://tablet.otzar.org/#/book/653103/p/-1/t/1/fs/0/start/0/end/0/c</v>
      </c>
    </row>
    <row r="1766" spans="1:8" x14ac:dyDescent="0.25">
      <c r="A1766">
        <v>651716</v>
      </c>
      <c r="B1766" t="s">
        <v>3672</v>
      </c>
      <c r="C1766" t="s">
        <v>3673</v>
      </c>
      <c r="D1766" t="s">
        <v>34</v>
      </c>
      <c r="E1766" t="s">
        <v>35</v>
      </c>
      <c r="G1766" t="str">
        <f>HYPERLINK(_xlfn.CONCAT("https://tablet.otzar.org/",CHAR(35),"/book/651716/p/-1/t/1/fs/0/start/0/end/0/c"),"יום טוב כהלכתו")</f>
        <v>יום טוב כהלכתו</v>
      </c>
      <c r="H1766" t="str">
        <f>_xlfn.CONCAT("https://tablet.otzar.org/",CHAR(35),"/book/651716/p/-1/t/1/fs/0/start/0/end/0/c")</f>
        <v>https://tablet.otzar.org/#/book/651716/p/-1/t/1/fs/0/start/0/end/0/c</v>
      </c>
    </row>
    <row r="1767" spans="1:8" x14ac:dyDescent="0.25">
      <c r="A1767">
        <v>647495</v>
      </c>
      <c r="B1767" t="s">
        <v>3674</v>
      </c>
      <c r="C1767" t="s">
        <v>3675</v>
      </c>
      <c r="D1767" t="s">
        <v>10</v>
      </c>
      <c r="E1767" t="s">
        <v>337</v>
      </c>
      <c r="G1767" t="str">
        <f>HYPERLINK(_xlfn.CONCAT("https://tablet.otzar.org/",CHAR(35),"/book/647495/p/-1/t/1/fs/0/start/0/end/0/c"),"יום טוב ערצעהלונגען - ראש השנה")</f>
        <v>יום טוב ערצעהלונגען - ראש השנה</v>
      </c>
      <c r="H1767" t="str">
        <f>_xlfn.CONCAT("https://tablet.otzar.org/",CHAR(35),"/book/647495/p/-1/t/1/fs/0/start/0/end/0/c")</f>
        <v>https://tablet.otzar.org/#/book/647495/p/-1/t/1/fs/0/start/0/end/0/c</v>
      </c>
    </row>
    <row r="1768" spans="1:8" x14ac:dyDescent="0.25">
      <c r="A1768">
        <v>654918</v>
      </c>
      <c r="B1768" t="s">
        <v>3676</v>
      </c>
      <c r="C1768" t="s">
        <v>305</v>
      </c>
      <c r="D1768" t="s">
        <v>10</v>
      </c>
      <c r="E1768" t="s">
        <v>11</v>
      </c>
      <c r="G1768" t="str">
        <f>HYPERLINK(_xlfn.CONCAT("https://tablet.otzar.org/",CHAR(35),"/book/654918/p/-1/t/1/fs/0/start/0/end/0/c"),"יום מחמדים")</f>
        <v>יום מחמדים</v>
      </c>
      <c r="H1768" t="str">
        <f>_xlfn.CONCAT("https://tablet.otzar.org/",CHAR(35),"/book/654918/p/-1/t/1/fs/0/start/0/end/0/c")</f>
        <v>https://tablet.otzar.org/#/book/654918/p/-1/t/1/fs/0/start/0/end/0/c</v>
      </c>
    </row>
    <row r="1769" spans="1:8" x14ac:dyDescent="0.25">
      <c r="A1769">
        <v>652760</v>
      </c>
      <c r="B1769" t="s">
        <v>3677</v>
      </c>
      <c r="C1769" t="s">
        <v>3678</v>
      </c>
      <c r="D1769" t="s">
        <v>10</v>
      </c>
      <c r="E1769" t="s">
        <v>11</v>
      </c>
      <c r="G1769" t="str">
        <f>HYPERLINK(_xlfn.CONCAT("https://tablet.otzar.org/",CHAR(35),"/exKotar/652760"),"יום שבתון - 2 כרכים")</f>
        <v>יום שבתון - 2 כרכים</v>
      </c>
      <c r="H1769" t="str">
        <f>_xlfn.CONCAT("https://tablet.otzar.org/",CHAR(35),"/exKotar/652760")</f>
        <v>https://tablet.otzar.org/#/exKotar/652760</v>
      </c>
    </row>
    <row r="1770" spans="1:8" x14ac:dyDescent="0.25">
      <c r="A1770">
        <v>650581</v>
      </c>
      <c r="B1770" t="s">
        <v>3679</v>
      </c>
      <c r="C1770" t="s">
        <v>3680</v>
      </c>
      <c r="D1770" t="s">
        <v>52</v>
      </c>
      <c r="E1770" t="s">
        <v>84</v>
      </c>
      <c r="G1770" t="str">
        <f>HYPERLINK(_xlfn.CONCAT("https://tablet.otzar.org/",CHAR(35),"/book/650581/p/-1/t/1/fs/0/start/0/end/0/c"),"יוסף טוהר")</f>
        <v>יוסף טוהר</v>
      </c>
      <c r="H1770" t="str">
        <f>_xlfn.CONCAT("https://tablet.otzar.org/",CHAR(35),"/book/650581/p/-1/t/1/fs/0/start/0/end/0/c")</f>
        <v>https://tablet.otzar.org/#/book/650581/p/-1/t/1/fs/0/start/0/end/0/c</v>
      </c>
    </row>
    <row r="1771" spans="1:8" x14ac:dyDescent="0.25">
      <c r="A1771">
        <v>655958</v>
      </c>
      <c r="B1771" t="s">
        <v>3681</v>
      </c>
      <c r="C1771" t="s">
        <v>614</v>
      </c>
      <c r="D1771" t="s">
        <v>193</v>
      </c>
      <c r="E1771" t="s">
        <v>29</v>
      </c>
      <c r="G1771" t="str">
        <f>HYPERLINK(_xlfn.CONCAT("https://tablet.otzar.org/",CHAR(35),"/book/655958/p/-1/t/1/fs/0/start/0/end/0/c"),"יוסף לקח - ברכות")</f>
        <v>יוסף לקח - ברכות</v>
      </c>
      <c r="H1771" t="str">
        <f>_xlfn.CONCAT("https://tablet.otzar.org/",CHAR(35),"/book/655958/p/-1/t/1/fs/0/start/0/end/0/c")</f>
        <v>https://tablet.otzar.org/#/book/655958/p/-1/t/1/fs/0/start/0/end/0/c</v>
      </c>
    </row>
    <row r="1772" spans="1:8" x14ac:dyDescent="0.25">
      <c r="A1772">
        <v>635510</v>
      </c>
      <c r="B1772" t="s">
        <v>3682</v>
      </c>
      <c r="C1772" t="s">
        <v>3683</v>
      </c>
      <c r="D1772" t="s">
        <v>10</v>
      </c>
      <c r="E1772" t="s">
        <v>146</v>
      </c>
      <c r="G1772" t="str">
        <f>HYPERLINK(_xlfn.CONCAT("https://tablet.otzar.org/",CHAR(35),"/book/635510/p/-1/t/1/fs/0/start/0/end/0/c"),"יופי של צניעות")</f>
        <v>יופי של צניעות</v>
      </c>
      <c r="H1772" t="str">
        <f>_xlfn.CONCAT("https://tablet.otzar.org/",CHAR(35),"/book/635510/p/-1/t/1/fs/0/start/0/end/0/c")</f>
        <v>https://tablet.otzar.org/#/book/635510/p/-1/t/1/fs/0/start/0/end/0/c</v>
      </c>
    </row>
    <row r="1773" spans="1:8" x14ac:dyDescent="0.25">
      <c r="A1773">
        <v>648437</v>
      </c>
      <c r="B1773" t="s">
        <v>3684</v>
      </c>
      <c r="C1773" t="s">
        <v>3685</v>
      </c>
      <c r="D1773" t="s">
        <v>52</v>
      </c>
      <c r="E1773" t="s">
        <v>495</v>
      </c>
      <c r="G1773" t="str">
        <f>HYPERLINK(_xlfn.CONCAT("https://tablet.otzar.org/",CHAR(35),"/book/648437/p/-1/t/1/fs/0/start/0/end/0/c"),"יזל מים מדליו")</f>
        <v>יזל מים מדליו</v>
      </c>
      <c r="H1773" t="str">
        <f>_xlfn.CONCAT("https://tablet.otzar.org/",CHAR(35),"/book/648437/p/-1/t/1/fs/0/start/0/end/0/c")</f>
        <v>https://tablet.otzar.org/#/book/648437/p/-1/t/1/fs/0/start/0/end/0/c</v>
      </c>
    </row>
    <row r="1774" spans="1:8" x14ac:dyDescent="0.25">
      <c r="A1774">
        <v>654978</v>
      </c>
      <c r="B1774" t="s">
        <v>3686</v>
      </c>
      <c r="C1774" t="s">
        <v>3687</v>
      </c>
      <c r="D1774" t="s">
        <v>440</v>
      </c>
      <c r="E1774" t="s">
        <v>62</v>
      </c>
      <c r="G1774" t="str">
        <f>HYPERLINK(_xlfn.CONCAT("https://tablet.otzar.org/",CHAR(35),"/book/654978/p/-1/t/1/fs/0/start/0/end/0/c"),"יזרח אור")</f>
        <v>יזרח אור</v>
      </c>
      <c r="H1774" t="str">
        <f>_xlfn.CONCAT("https://tablet.otzar.org/",CHAR(35),"/book/654978/p/-1/t/1/fs/0/start/0/end/0/c")</f>
        <v>https://tablet.otzar.org/#/book/654978/p/-1/t/1/fs/0/start/0/end/0/c</v>
      </c>
    </row>
    <row r="1775" spans="1:8" x14ac:dyDescent="0.25">
      <c r="A1775">
        <v>647370</v>
      </c>
      <c r="B1775" t="s">
        <v>3688</v>
      </c>
      <c r="C1775" t="s">
        <v>3687</v>
      </c>
      <c r="D1775" t="s">
        <v>440</v>
      </c>
      <c r="E1775" t="s">
        <v>62</v>
      </c>
      <c r="G1775" t="str">
        <f>HYPERLINK(_xlfn.CONCAT("https://tablet.otzar.org/",CHAR(35),"/book/647370/p/-1/t/1/fs/0/start/0/end/0/c"),"יזרח אור &lt;מהדורה חדשה&gt;")</f>
        <v>יזרח אור &lt;מהדורה חדשה&gt;</v>
      </c>
      <c r="H1775" t="str">
        <f>_xlfn.CONCAT("https://tablet.otzar.org/",CHAR(35),"/book/647370/p/-1/t/1/fs/0/start/0/end/0/c")</f>
        <v>https://tablet.otzar.org/#/book/647370/p/-1/t/1/fs/0/start/0/end/0/c</v>
      </c>
    </row>
    <row r="1776" spans="1:8" x14ac:dyDescent="0.25">
      <c r="A1776">
        <v>654007</v>
      </c>
      <c r="B1776" t="s">
        <v>3689</v>
      </c>
      <c r="C1776" t="s">
        <v>3690</v>
      </c>
      <c r="D1776" t="s">
        <v>10</v>
      </c>
      <c r="E1776" t="s">
        <v>35</v>
      </c>
      <c r="G1776" t="str">
        <f>HYPERLINK(_xlfn.CONCAT("https://tablet.otzar.org/",CHAR(35),"/book/654007/p/-1/t/1/fs/0/start/0/end/0/c"),"יחוד היראה ויחוד הגן &lt;ערוך ומבואר&gt;")</f>
        <v>יחוד היראה ויחוד הגן &lt;ערוך ומבואר&gt;</v>
      </c>
      <c r="H1776" t="str">
        <f>_xlfn.CONCAT("https://tablet.otzar.org/",CHAR(35),"/book/654007/p/-1/t/1/fs/0/start/0/end/0/c")</f>
        <v>https://tablet.otzar.org/#/book/654007/p/-1/t/1/fs/0/start/0/end/0/c</v>
      </c>
    </row>
    <row r="1777" spans="1:8" x14ac:dyDescent="0.25">
      <c r="A1777">
        <v>657143</v>
      </c>
      <c r="B1777" t="s">
        <v>3691</v>
      </c>
      <c r="C1777" t="s">
        <v>3269</v>
      </c>
      <c r="E1777" t="s">
        <v>11</v>
      </c>
      <c r="G1777" t="str">
        <f>HYPERLINK(_xlfn.CONCAT("https://tablet.otzar.org/",CHAR(35),"/book/657143/p/-1/t/1/fs/0/start/0/end/0/c"),"יחוה דעת - חוות דעת הלכות נדה עם ראשית דעת וטעם ודעת")</f>
        <v>יחוה דעת - חוות דעת הלכות נדה עם ראשית דעת וטעם ודעת</v>
      </c>
      <c r="H1777" t="str">
        <f>_xlfn.CONCAT("https://tablet.otzar.org/",CHAR(35),"/book/657143/p/-1/t/1/fs/0/start/0/end/0/c")</f>
        <v>https://tablet.otzar.org/#/book/657143/p/-1/t/1/fs/0/start/0/end/0/c</v>
      </c>
    </row>
    <row r="1778" spans="1:8" x14ac:dyDescent="0.25">
      <c r="A1778">
        <v>650188</v>
      </c>
      <c r="B1778" t="s">
        <v>3692</v>
      </c>
      <c r="C1778" t="s">
        <v>3693</v>
      </c>
      <c r="D1778" t="s">
        <v>139</v>
      </c>
      <c r="E1778" t="s">
        <v>89</v>
      </c>
      <c r="G1778" t="str">
        <f>HYPERLINK(_xlfn.CONCAT("https://tablet.otzar.org/",CHAR(35),"/book/650188/p/-1/t/1/fs/0/start/0/end/0/c"),"יחוס אבות - קאזמיר -מודז'יץ")</f>
        <v>יחוס אבות - קאזמיר -מודז'יץ</v>
      </c>
      <c r="H1778" t="str">
        <f>_xlfn.CONCAT("https://tablet.otzar.org/",CHAR(35),"/book/650188/p/-1/t/1/fs/0/start/0/end/0/c")</f>
        <v>https://tablet.otzar.org/#/book/650188/p/-1/t/1/fs/0/start/0/end/0/c</v>
      </c>
    </row>
    <row r="1779" spans="1:8" x14ac:dyDescent="0.25">
      <c r="A1779">
        <v>650012</v>
      </c>
      <c r="B1779" t="s">
        <v>3694</v>
      </c>
      <c r="C1779" t="s">
        <v>3695</v>
      </c>
      <c r="D1779" t="s">
        <v>58</v>
      </c>
      <c r="E1779" t="s">
        <v>2191</v>
      </c>
      <c r="G1779" t="str">
        <f>HYPERLINK(_xlfn.CONCAT("https://tablet.otzar.org/",CHAR(35),"/book/650012/p/-1/t/1/fs/0/start/0/end/0/c"),"יחוס הצדיקים")</f>
        <v>יחוס הצדיקים</v>
      </c>
      <c r="H1779" t="str">
        <f>_xlfn.CONCAT("https://tablet.otzar.org/",CHAR(35),"/book/650012/p/-1/t/1/fs/0/start/0/end/0/c")</f>
        <v>https://tablet.otzar.org/#/book/650012/p/-1/t/1/fs/0/start/0/end/0/c</v>
      </c>
    </row>
    <row r="1780" spans="1:8" x14ac:dyDescent="0.25">
      <c r="A1780">
        <v>649883</v>
      </c>
      <c r="B1780" t="s">
        <v>3696</v>
      </c>
      <c r="C1780" t="s">
        <v>3697</v>
      </c>
      <c r="D1780" t="s">
        <v>347</v>
      </c>
      <c r="E1780" t="s">
        <v>45</v>
      </c>
      <c r="G1780" t="str">
        <f>HYPERLINK(_xlfn.CONCAT("https://tablet.otzar.org/",CHAR(35),"/book/649883/p/-1/t/1/fs/0/start/0/end/0/c"),"יחלק שלל - פורים, מגילת אסתר")</f>
        <v>יחלק שלל - פורים, מגילת אסתר</v>
      </c>
      <c r="H1780" t="str">
        <f>_xlfn.CONCAT("https://tablet.otzar.org/",CHAR(35),"/book/649883/p/-1/t/1/fs/0/start/0/end/0/c")</f>
        <v>https://tablet.otzar.org/#/book/649883/p/-1/t/1/fs/0/start/0/end/0/c</v>
      </c>
    </row>
    <row r="1781" spans="1:8" x14ac:dyDescent="0.25">
      <c r="A1781">
        <v>647877</v>
      </c>
      <c r="B1781" t="s">
        <v>3698</v>
      </c>
      <c r="C1781" t="s">
        <v>1927</v>
      </c>
      <c r="D1781" t="s">
        <v>10</v>
      </c>
      <c r="E1781" t="s">
        <v>84</v>
      </c>
      <c r="G1781" t="str">
        <f>HYPERLINK(_xlfn.CONCAT("https://tablet.otzar.org/",CHAR(35),"/book/647877/p/-1/t/1/fs/0/start/0/end/0/c"),"ייחוד ברכה וקדושה")</f>
        <v>ייחוד ברכה וקדושה</v>
      </c>
      <c r="H1781" t="str">
        <f>_xlfn.CONCAT("https://tablet.otzar.org/",CHAR(35),"/book/647877/p/-1/t/1/fs/0/start/0/end/0/c")</f>
        <v>https://tablet.otzar.org/#/book/647877/p/-1/t/1/fs/0/start/0/end/0/c</v>
      </c>
    </row>
    <row r="1782" spans="1:8" x14ac:dyDescent="0.25">
      <c r="A1782">
        <v>655961</v>
      </c>
      <c r="B1782" t="s">
        <v>3699</v>
      </c>
      <c r="C1782" t="s">
        <v>614</v>
      </c>
      <c r="D1782" t="s">
        <v>10</v>
      </c>
      <c r="E1782" t="s">
        <v>29</v>
      </c>
      <c r="G1782" t="str">
        <f>HYPERLINK(_xlfn.CONCAT("https://tablet.otzar.org/",CHAR(35),"/exKotar/655961"),"יין המשומר - 3 כרכים")</f>
        <v>יין המשומר - 3 כרכים</v>
      </c>
      <c r="H1782" t="str">
        <f>_xlfn.CONCAT("https://tablet.otzar.org/",CHAR(35),"/exKotar/655961")</f>
        <v>https://tablet.otzar.org/#/exKotar/655961</v>
      </c>
    </row>
    <row r="1783" spans="1:8" x14ac:dyDescent="0.25">
      <c r="A1783">
        <v>650770</v>
      </c>
      <c r="B1783" t="s">
        <v>3700</v>
      </c>
      <c r="C1783" t="s">
        <v>3701</v>
      </c>
      <c r="D1783" t="s">
        <v>34</v>
      </c>
      <c r="E1783" t="s">
        <v>35</v>
      </c>
      <c r="G1783" t="str">
        <f>HYPERLINK(_xlfn.CONCAT("https://tablet.otzar.org/",CHAR(35),"/exKotar/650770"),"יין ישמח - 3 כרכים")</f>
        <v>יין ישמח - 3 כרכים</v>
      </c>
      <c r="H1783" t="str">
        <f>_xlfn.CONCAT("https://tablet.otzar.org/",CHAR(35),"/exKotar/650770")</f>
        <v>https://tablet.otzar.org/#/exKotar/650770</v>
      </c>
    </row>
    <row r="1784" spans="1:8" x14ac:dyDescent="0.25">
      <c r="A1784">
        <v>654384</v>
      </c>
      <c r="B1784" t="s">
        <v>3702</v>
      </c>
      <c r="C1784" t="s">
        <v>3703</v>
      </c>
      <c r="E1784" t="s">
        <v>11</v>
      </c>
      <c r="G1784" t="str">
        <f>HYPERLINK(_xlfn.CONCAT("https://tablet.otzar.org/",CHAR(35),"/book/654384/p/-1/t/1/fs/0/start/0/end/0/c"),"יין ישן - מבקש דעת")</f>
        <v>יין ישן - מבקש דעת</v>
      </c>
      <c r="H1784" t="str">
        <f>_xlfn.CONCAT("https://tablet.otzar.org/",CHAR(35),"/book/654384/p/-1/t/1/fs/0/start/0/end/0/c")</f>
        <v>https://tablet.otzar.org/#/book/654384/p/-1/t/1/fs/0/start/0/end/0/c</v>
      </c>
    </row>
    <row r="1785" spans="1:8" x14ac:dyDescent="0.25">
      <c r="A1785">
        <v>655863</v>
      </c>
      <c r="B1785" t="s">
        <v>3704</v>
      </c>
      <c r="C1785" t="s">
        <v>3705</v>
      </c>
      <c r="D1785" t="s">
        <v>34</v>
      </c>
      <c r="E1785" t="s">
        <v>312</v>
      </c>
      <c r="G1785" t="str">
        <f>HYPERLINK(_xlfn.CONCAT("https://tablet.otzar.org/",CHAR(35),"/book/655863/p/-1/t/1/fs/0/start/0/end/0/c"),"יין ישן - שנה ד")</f>
        <v>יין ישן - שנה ד</v>
      </c>
      <c r="H1785" t="str">
        <f>_xlfn.CONCAT("https://tablet.otzar.org/",CHAR(35),"/book/655863/p/-1/t/1/fs/0/start/0/end/0/c")</f>
        <v>https://tablet.otzar.org/#/book/655863/p/-1/t/1/fs/0/start/0/end/0/c</v>
      </c>
    </row>
    <row r="1786" spans="1:8" x14ac:dyDescent="0.25">
      <c r="A1786">
        <v>656186</v>
      </c>
      <c r="B1786" t="s">
        <v>3706</v>
      </c>
      <c r="C1786" t="s">
        <v>3707</v>
      </c>
      <c r="D1786" t="s">
        <v>52</v>
      </c>
      <c r="E1786" t="s">
        <v>35</v>
      </c>
      <c r="G1786" t="str">
        <f>HYPERLINK(_xlfn.CONCAT("https://tablet.otzar.org/",CHAR(35),"/book/656186/p/-1/t/1/fs/0/start/0/end/0/c"),"יכולה שבת שתרפא")</f>
        <v>יכולה שבת שתרפא</v>
      </c>
      <c r="H1786" t="str">
        <f>_xlfn.CONCAT("https://tablet.otzar.org/",CHAR(35),"/book/656186/p/-1/t/1/fs/0/start/0/end/0/c")</f>
        <v>https://tablet.otzar.org/#/book/656186/p/-1/t/1/fs/0/start/0/end/0/c</v>
      </c>
    </row>
    <row r="1787" spans="1:8" x14ac:dyDescent="0.25">
      <c r="A1787">
        <v>647045</v>
      </c>
      <c r="B1787" t="s">
        <v>3708</v>
      </c>
      <c r="C1787" t="s">
        <v>3709</v>
      </c>
      <c r="D1787" t="s">
        <v>39</v>
      </c>
      <c r="E1787" t="s">
        <v>3710</v>
      </c>
      <c r="G1787" t="str">
        <f>HYPERLINK(_xlfn.CONCAT("https://tablet.otzar.org/",CHAR(35),"/exKotar/647045"),"ילדותנו - 2 כרכים")</f>
        <v>ילדותנו - 2 כרכים</v>
      </c>
      <c r="H1787" t="str">
        <f>_xlfn.CONCAT("https://tablet.otzar.org/",CHAR(35),"/exKotar/647045")</f>
        <v>https://tablet.otzar.org/#/exKotar/647045</v>
      </c>
    </row>
    <row r="1788" spans="1:8" x14ac:dyDescent="0.25">
      <c r="A1788">
        <v>655195</v>
      </c>
      <c r="B1788" t="s">
        <v>3711</v>
      </c>
      <c r="C1788" t="s">
        <v>928</v>
      </c>
      <c r="D1788" t="s">
        <v>3712</v>
      </c>
      <c r="E1788" t="s">
        <v>84</v>
      </c>
      <c r="G1788" t="str">
        <f>HYPERLINK(_xlfn.CONCAT("https://tablet.otzar.org/",CHAR(35),"/book/655195/p/-1/t/1/fs/0/start/0/end/0/c"),"ילקוט אדרת הסופר - אדר ראשון ושני")</f>
        <v>ילקוט אדרת הסופר - אדר ראשון ושני</v>
      </c>
      <c r="H1788" t="str">
        <f>_xlfn.CONCAT("https://tablet.otzar.org/",CHAR(35),"/book/655195/p/-1/t/1/fs/0/start/0/end/0/c")</f>
        <v>https://tablet.otzar.org/#/book/655195/p/-1/t/1/fs/0/start/0/end/0/c</v>
      </c>
    </row>
    <row r="1789" spans="1:8" x14ac:dyDescent="0.25">
      <c r="A1789">
        <v>650193</v>
      </c>
      <c r="B1789" t="s">
        <v>3713</v>
      </c>
      <c r="C1789" t="s">
        <v>3175</v>
      </c>
      <c r="D1789" t="s">
        <v>10</v>
      </c>
      <c r="E1789" t="s">
        <v>558</v>
      </c>
      <c r="G1789" t="str">
        <f>HYPERLINK(_xlfn.CONCAT("https://tablet.otzar.org/",CHAR(35),"/book/650193/p/-1/t/1/fs/0/start/0/end/0/c"),"ילקוט אורה ושמחה")</f>
        <v>ילקוט אורה ושמחה</v>
      </c>
      <c r="H1789" t="str">
        <f>_xlfn.CONCAT("https://tablet.otzar.org/",CHAR(35),"/book/650193/p/-1/t/1/fs/0/start/0/end/0/c")</f>
        <v>https://tablet.otzar.org/#/book/650193/p/-1/t/1/fs/0/start/0/end/0/c</v>
      </c>
    </row>
    <row r="1790" spans="1:8" x14ac:dyDescent="0.25">
      <c r="A1790">
        <v>651822</v>
      </c>
      <c r="B1790" t="s">
        <v>3714</v>
      </c>
      <c r="C1790" t="s">
        <v>125</v>
      </c>
      <c r="D1790" t="s">
        <v>10</v>
      </c>
      <c r="E1790" t="s">
        <v>146</v>
      </c>
      <c r="G1790" t="str">
        <f>HYPERLINK(_xlfn.CONCAT("https://tablet.otzar.org/",CHAR(35),"/book/651822/p/-1/t/1/fs/0/start/0/end/0/c"),"ילקוט בר מצוה ותפילין")</f>
        <v>ילקוט בר מצוה ותפילין</v>
      </c>
      <c r="H1790" t="str">
        <f>_xlfn.CONCAT("https://tablet.otzar.org/",CHAR(35),"/book/651822/p/-1/t/1/fs/0/start/0/end/0/c")</f>
        <v>https://tablet.otzar.org/#/book/651822/p/-1/t/1/fs/0/start/0/end/0/c</v>
      </c>
    </row>
    <row r="1791" spans="1:8" x14ac:dyDescent="0.25">
      <c r="A1791">
        <v>653304</v>
      </c>
      <c r="B1791" t="s">
        <v>3715</v>
      </c>
      <c r="C1791" t="s">
        <v>548</v>
      </c>
      <c r="D1791" t="s">
        <v>10</v>
      </c>
      <c r="E1791" t="s">
        <v>1775</v>
      </c>
      <c r="G1791" t="str">
        <f>HYPERLINK(_xlfn.CONCAT("https://tablet.otzar.org/",CHAR(35),"/book/653304/p/-1/t/1/fs/0/start/0/end/0/c"),"ילקוט הרואה")</f>
        <v>ילקוט הרואה</v>
      </c>
      <c r="H1791" t="str">
        <f>_xlfn.CONCAT("https://tablet.otzar.org/",CHAR(35),"/book/653304/p/-1/t/1/fs/0/start/0/end/0/c")</f>
        <v>https://tablet.otzar.org/#/book/653304/p/-1/t/1/fs/0/start/0/end/0/c</v>
      </c>
    </row>
    <row r="1792" spans="1:8" x14ac:dyDescent="0.25">
      <c r="A1792">
        <v>654681</v>
      </c>
      <c r="B1792" t="s">
        <v>3716</v>
      </c>
      <c r="C1792" t="s">
        <v>3717</v>
      </c>
      <c r="D1792" t="s">
        <v>2069</v>
      </c>
      <c r="E1792" t="s">
        <v>312</v>
      </c>
      <c r="G1792" t="str">
        <f>HYPERLINK(_xlfn.CONCAT("https://tablet.otzar.org/",CHAR(35),"/book/654681/p/-1/t/1/fs/0/start/0/end/0/c"),"ילקוט הרועים הגדול")</f>
        <v>ילקוט הרועים הגדול</v>
      </c>
      <c r="H1792" t="str">
        <f>_xlfn.CONCAT("https://tablet.otzar.org/",CHAR(35),"/book/654681/p/-1/t/1/fs/0/start/0/end/0/c")</f>
        <v>https://tablet.otzar.org/#/book/654681/p/-1/t/1/fs/0/start/0/end/0/c</v>
      </c>
    </row>
    <row r="1793" spans="1:8" x14ac:dyDescent="0.25">
      <c r="A1793">
        <v>655606</v>
      </c>
      <c r="B1793" t="s">
        <v>3718</v>
      </c>
      <c r="C1793" t="s">
        <v>3719</v>
      </c>
      <c r="D1793" t="s">
        <v>347</v>
      </c>
      <c r="E1793" t="s">
        <v>84</v>
      </c>
      <c r="G1793" t="str">
        <f>HYPERLINK(_xlfn.CONCAT("https://tablet.otzar.org/",CHAR(35),"/book/655606/p/-1/t/1/fs/0/start/0/end/0/c"),"ילקוט טוב הארץ")</f>
        <v>ילקוט טוב הארץ</v>
      </c>
      <c r="H1793" t="str">
        <f>_xlfn.CONCAT("https://tablet.otzar.org/",CHAR(35),"/book/655606/p/-1/t/1/fs/0/start/0/end/0/c")</f>
        <v>https://tablet.otzar.org/#/book/655606/p/-1/t/1/fs/0/start/0/end/0/c</v>
      </c>
    </row>
    <row r="1794" spans="1:8" x14ac:dyDescent="0.25">
      <c r="A1794">
        <v>653444</v>
      </c>
      <c r="B1794" t="s">
        <v>3720</v>
      </c>
      <c r="C1794" t="s">
        <v>3721</v>
      </c>
      <c r="D1794" t="s">
        <v>10</v>
      </c>
      <c r="E1794" t="s">
        <v>213</v>
      </c>
      <c r="G1794" t="str">
        <f>HYPERLINK(_xlfn.CONCAT("https://tablet.otzar.org/",CHAR(35),"/exKotar/653444"),"ילקוט יוסף - 4 כרכים")</f>
        <v>ילקוט יוסף - 4 כרכים</v>
      </c>
      <c r="H1794" t="str">
        <f>_xlfn.CONCAT("https://tablet.otzar.org/",CHAR(35),"/exKotar/653444")</f>
        <v>https://tablet.otzar.org/#/exKotar/653444</v>
      </c>
    </row>
    <row r="1795" spans="1:8" x14ac:dyDescent="0.25">
      <c r="A1795">
        <v>645421</v>
      </c>
      <c r="B1795" t="s">
        <v>3722</v>
      </c>
      <c r="C1795" t="s">
        <v>3721</v>
      </c>
      <c r="D1795" t="s">
        <v>10</v>
      </c>
      <c r="E1795" t="s">
        <v>45</v>
      </c>
      <c r="G1795" t="str">
        <f>HYPERLINK(_xlfn.CONCAT("https://tablet.otzar.org/",CHAR(35),"/book/645421/p/-1/t/1/fs/0/start/0/end/0/c"),"ילקוט יוסף &lt;מהדורה חדשה&gt; - או""""ח ב (תפילה א)")</f>
        <v>ילקוט יוסף &lt;מהדורה חדשה&gt; - או""ח ב (תפילה א)</v>
      </c>
      <c r="H1795" t="str">
        <f>_xlfn.CONCAT("https://tablet.otzar.org/",CHAR(35),"/book/645421/p/-1/t/1/fs/0/start/0/end/0/c")</f>
        <v>https://tablet.otzar.org/#/book/645421/p/-1/t/1/fs/0/start/0/end/0/c</v>
      </c>
    </row>
    <row r="1796" spans="1:8" x14ac:dyDescent="0.25">
      <c r="A1796">
        <v>84840</v>
      </c>
      <c r="B1796" t="s">
        <v>3723</v>
      </c>
      <c r="C1796" t="s">
        <v>3724</v>
      </c>
      <c r="D1796" t="s">
        <v>10</v>
      </c>
      <c r="E1796" t="s">
        <v>337</v>
      </c>
      <c r="G1796" t="str">
        <f>HYPERLINK(_xlfn.CONCAT("https://tablet.otzar.org/",CHAR(35),"/exKotar/84840"),"ילקוט מאמרים על הפרשיות והמועדים - 2 כרכים")</f>
        <v>ילקוט מאמרים על הפרשיות והמועדים - 2 כרכים</v>
      </c>
      <c r="H1796" t="str">
        <f>_xlfn.CONCAT("https://tablet.otzar.org/",CHAR(35),"/exKotar/84840")</f>
        <v>https://tablet.otzar.org/#/exKotar/84840</v>
      </c>
    </row>
    <row r="1797" spans="1:8" x14ac:dyDescent="0.25">
      <c r="A1797">
        <v>651368</v>
      </c>
      <c r="B1797" t="s">
        <v>3725</v>
      </c>
      <c r="C1797" t="s">
        <v>3726</v>
      </c>
      <c r="D1797" t="s">
        <v>319</v>
      </c>
      <c r="E1797" t="s">
        <v>45</v>
      </c>
      <c r="G1797" t="str">
        <f>HYPERLINK(_xlfn.CONCAT("https://tablet.otzar.org/",CHAR(35),"/book/651368/p/-1/t/1/fs/0/start/0/end/0/c"),"ילקוט מדרשים - ט")</f>
        <v>ילקוט מדרשים - ט</v>
      </c>
      <c r="H1797" t="str">
        <f>_xlfn.CONCAT("https://tablet.otzar.org/",CHAR(35),"/book/651368/p/-1/t/1/fs/0/start/0/end/0/c")</f>
        <v>https://tablet.otzar.org/#/book/651368/p/-1/t/1/fs/0/start/0/end/0/c</v>
      </c>
    </row>
    <row r="1798" spans="1:8" x14ac:dyDescent="0.25">
      <c r="A1798">
        <v>655511</v>
      </c>
      <c r="B1798" t="s">
        <v>3727</v>
      </c>
      <c r="C1798" t="s">
        <v>3728</v>
      </c>
      <c r="D1798" t="s">
        <v>10</v>
      </c>
      <c r="E1798" t="s">
        <v>11</v>
      </c>
      <c r="G1798" t="str">
        <f>HYPERLINK(_xlfn.CONCAT("https://tablet.otzar.org/",CHAR(35),"/book/655511/p/-1/t/1/fs/0/start/0/end/0/c"),"ילקוט מפרשים על מסכת יבמות &lt;מכון כנסת&gt; - הפלאה ובית פנחס")</f>
        <v>ילקוט מפרשים על מסכת יבמות &lt;מכון כנסת&gt; - הפלאה ובית פנחס</v>
      </c>
      <c r="H1798" t="str">
        <f>_xlfn.CONCAT("https://tablet.otzar.org/",CHAR(35),"/book/655511/p/-1/t/1/fs/0/start/0/end/0/c")</f>
        <v>https://tablet.otzar.org/#/book/655511/p/-1/t/1/fs/0/start/0/end/0/c</v>
      </c>
    </row>
    <row r="1799" spans="1:8" x14ac:dyDescent="0.25">
      <c r="A1799">
        <v>655512</v>
      </c>
      <c r="B1799" t="s">
        <v>3729</v>
      </c>
      <c r="C1799" t="s">
        <v>3730</v>
      </c>
      <c r="D1799" t="s">
        <v>10</v>
      </c>
      <c r="E1799" t="s">
        <v>11</v>
      </c>
      <c r="G1799" t="str">
        <f>HYPERLINK(_xlfn.CONCAT("https://tablet.otzar.org/",CHAR(35),"/book/655512/p/-1/t/1/fs/0/start/0/end/0/c"),"ילקוט מפרשים על מסכת יבמות &lt;מכון כנסת&gt; - נהור שרגא")</f>
        <v>ילקוט מפרשים על מסכת יבמות &lt;מכון כנסת&gt; - נהור שרגא</v>
      </c>
      <c r="H1799" t="str">
        <f>_xlfn.CONCAT("https://tablet.otzar.org/",CHAR(35),"/book/655512/p/-1/t/1/fs/0/start/0/end/0/c")</f>
        <v>https://tablet.otzar.org/#/book/655512/p/-1/t/1/fs/0/start/0/end/0/c</v>
      </c>
    </row>
    <row r="1800" spans="1:8" x14ac:dyDescent="0.25">
      <c r="A1800">
        <v>655513</v>
      </c>
      <c r="B1800" t="s">
        <v>3731</v>
      </c>
      <c r="C1800" t="s">
        <v>3732</v>
      </c>
      <c r="D1800" t="s">
        <v>10</v>
      </c>
      <c r="E1800" t="s">
        <v>11</v>
      </c>
      <c r="G1800" t="str">
        <f>HYPERLINK(_xlfn.CONCAT("https://tablet.otzar.org/",CHAR(35),"/book/655513/p/-1/t/1/fs/0/start/0/end/0/c"),"ילקוט מפרשים על מסכת יבמות &lt;מכון כנסת&gt; - קובץ הערות")</f>
        <v>ילקוט מפרשים על מסכת יבמות &lt;מכון כנסת&gt; - קובץ הערות</v>
      </c>
      <c r="H1800" t="str">
        <f>_xlfn.CONCAT("https://tablet.otzar.org/",CHAR(35),"/book/655513/p/-1/t/1/fs/0/start/0/end/0/c")</f>
        <v>https://tablet.otzar.org/#/book/655513/p/-1/t/1/fs/0/start/0/end/0/c</v>
      </c>
    </row>
    <row r="1801" spans="1:8" x14ac:dyDescent="0.25">
      <c r="A1801">
        <v>655514</v>
      </c>
      <c r="B1801" t="s">
        <v>3733</v>
      </c>
      <c r="C1801" t="s">
        <v>3734</v>
      </c>
      <c r="D1801" t="s">
        <v>10</v>
      </c>
      <c r="E1801" t="s">
        <v>11</v>
      </c>
      <c r="G1801" t="str">
        <f>HYPERLINK(_xlfn.CONCAT("https://tablet.otzar.org/",CHAR(35),"/book/655514/p/-1/t/1/fs/0/start/0/end/0/c"),"ילקוט מפרשים על מסכת יבמות &lt;מכון כנסת&gt; - מי נפתוח")</f>
        <v>ילקוט מפרשים על מסכת יבמות &lt;מכון כנסת&gt; - מי נפתוח</v>
      </c>
      <c r="H1801" t="str">
        <f>_xlfn.CONCAT("https://tablet.otzar.org/",CHAR(35),"/book/655514/p/-1/t/1/fs/0/start/0/end/0/c")</f>
        <v>https://tablet.otzar.org/#/book/655514/p/-1/t/1/fs/0/start/0/end/0/c</v>
      </c>
    </row>
    <row r="1802" spans="1:8" x14ac:dyDescent="0.25">
      <c r="A1802">
        <v>655515</v>
      </c>
      <c r="B1802" t="s">
        <v>3735</v>
      </c>
      <c r="C1802" t="s">
        <v>3736</v>
      </c>
      <c r="D1802" t="s">
        <v>10</v>
      </c>
      <c r="E1802" t="s">
        <v>11</v>
      </c>
      <c r="G1802" t="str">
        <f>HYPERLINK(_xlfn.CONCAT("https://tablet.otzar.org/",CHAR(35),"/book/655515/p/-1/t/1/fs/0/start/0/end/0/c"),"ילקוט מפרשים על מסכת יבמות &lt;מכון כנסת&gt; - מנחת יעקב")</f>
        <v>ילקוט מפרשים על מסכת יבמות &lt;מכון כנסת&gt; - מנחת יעקב</v>
      </c>
      <c r="H1802" t="str">
        <f>_xlfn.CONCAT("https://tablet.otzar.org/",CHAR(35),"/book/655515/p/-1/t/1/fs/0/start/0/end/0/c")</f>
        <v>https://tablet.otzar.org/#/book/655515/p/-1/t/1/fs/0/start/0/end/0/c</v>
      </c>
    </row>
    <row r="1803" spans="1:8" x14ac:dyDescent="0.25">
      <c r="A1803">
        <v>655525</v>
      </c>
      <c r="B1803" t="s">
        <v>3737</v>
      </c>
      <c r="C1803" t="s">
        <v>3738</v>
      </c>
      <c r="D1803" t="s">
        <v>10</v>
      </c>
      <c r="E1803" t="s">
        <v>11</v>
      </c>
      <c r="G1803" t="str">
        <f>HYPERLINK(_xlfn.CONCAT("https://tablet.otzar.org/",CHAR(35),"/book/655525/p/-1/t/1/fs/0/start/0/end/0/c"),"ילקוט מפרשים על מסכת יבמות &lt;מכון כנסת&gt;")</f>
        <v>ילקוט מפרשים על מסכת יבמות &lt;מכון כנסת&gt;</v>
      </c>
      <c r="H1803" t="str">
        <f>_xlfn.CONCAT("https://tablet.otzar.org/",CHAR(35),"/book/655525/p/-1/t/1/fs/0/start/0/end/0/c")</f>
        <v>https://tablet.otzar.org/#/book/655525/p/-1/t/1/fs/0/start/0/end/0/c</v>
      </c>
    </row>
    <row r="1804" spans="1:8" x14ac:dyDescent="0.25">
      <c r="A1804">
        <v>656216</v>
      </c>
      <c r="B1804" t="s">
        <v>3739</v>
      </c>
      <c r="C1804" t="s">
        <v>3740</v>
      </c>
      <c r="D1804" t="s">
        <v>10</v>
      </c>
      <c r="E1804" t="s">
        <v>507</v>
      </c>
      <c r="G1804" t="str">
        <f>HYPERLINK(_xlfn.CONCAT("https://tablet.otzar.org/",CHAR(35),"/book/656216/p/-1/t/1/fs/0/start/0/end/0/c"),"ילקוט מפרשים על מסכת מכות &lt;מכון כנסת&gt;")</f>
        <v>ילקוט מפרשים על מסכת מכות &lt;מכון כנסת&gt;</v>
      </c>
      <c r="H1804" t="str">
        <f>_xlfn.CONCAT("https://tablet.otzar.org/",CHAR(35),"/book/656216/p/-1/t/1/fs/0/start/0/end/0/c")</f>
        <v>https://tablet.otzar.org/#/book/656216/p/-1/t/1/fs/0/start/0/end/0/c</v>
      </c>
    </row>
    <row r="1805" spans="1:8" x14ac:dyDescent="0.25">
      <c r="A1805">
        <v>650609</v>
      </c>
      <c r="B1805" t="s">
        <v>3741</v>
      </c>
      <c r="C1805" t="s">
        <v>3742</v>
      </c>
      <c r="D1805" t="s">
        <v>1707</v>
      </c>
      <c r="E1805" t="s">
        <v>574</v>
      </c>
      <c r="G1805" t="str">
        <f>HYPERLINK(_xlfn.CONCAT("https://tablet.otzar.org/",CHAR(35),"/exKotar/650609"),"ילקוט מרדכי - 5 כרכים")</f>
        <v>ילקוט מרדכי - 5 כרכים</v>
      </c>
      <c r="H1805" t="str">
        <f>_xlfn.CONCAT("https://tablet.otzar.org/",CHAR(35),"/exKotar/650609")</f>
        <v>https://tablet.otzar.org/#/exKotar/650609</v>
      </c>
    </row>
    <row r="1806" spans="1:8" x14ac:dyDescent="0.25">
      <c r="A1806">
        <v>654252</v>
      </c>
      <c r="B1806" t="s">
        <v>3743</v>
      </c>
      <c r="C1806" t="s">
        <v>3744</v>
      </c>
      <c r="D1806" t="s">
        <v>3745</v>
      </c>
      <c r="E1806" t="s">
        <v>11</v>
      </c>
      <c r="G1806" t="str">
        <f>HYPERLINK(_xlfn.CONCAT("https://tablet.otzar.org/",CHAR(35),"/book/654252/p/-1/t/1/fs/0/start/0/end/0/c"),"ילקוט משה - שבת")</f>
        <v>ילקוט משה - שבת</v>
      </c>
      <c r="H1806" t="str">
        <f>_xlfn.CONCAT("https://tablet.otzar.org/",CHAR(35),"/book/654252/p/-1/t/1/fs/0/start/0/end/0/c")</f>
        <v>https://tablet.otzar.org/#/book/654252/p/-1/t/1/fs/0/start/0/end/0/c</v>
      </c>
    </row>
    <row r="1807" spans="1:8" x14ac:dyDescent="0.25">
      <c r="A1807">
        <v>656217</v>
      </c>
      <c r="B1807" t="s">
        <v>3746</v>
      </c>
      <c r="C1807" t="s">
        <v>3740</v>
      </c>
      <c r="D1807" t="s">
        <v>10</v>
      </c>
      <c r="E1807" t="s">
        <v>507</v>
      </c>
      <c r="G1807" t="str">
        <f>HYPERLINK(_xlfn.CONCAT("https://tablet.otzar.org/",CHAR(35),"/book/656217/p/-1/t/1/fs/0/start/0/end/0/c"),"ילקוט קדמונים על מסכת מכות &lt;מכון כנסת&gt;")</f>
        <v>ילקוט קדמונים על מסכת מכות &lt;מכון כנסת&gt;</v>
      </c>
      <c r="H1807" t="str">
        <f>_xlfn.CONCAT("https://tablet.otzar.org/",CHAR(35),"/book/656217/p/-1/t/1/fs/0/start/0/end/0/c")</f>
        <v>https://tablet.otzar.org/#/book/656217/p/-1/t/1/fs/0/start/0/end/0/c</v>
      </c>
    </row>
    <row r="1808" spans="1:8" x14ac:dyDescent="0.25">
      <c r="A1808">
        <v>648992</v>
      </c>
      <c r="B1808" t="s">
        <v>3747</v>
      </c>
      <c r="C1808" t="s">
        <v>3748</v>
      </c>
      <c r="D1808" t="s">
        <v>52</v>
      </c>
      <c r="E1808" t="s">
        <v>710</v>
      </c>
      <c r="G1808" t="str">
        <f>HYPERLINK(_xlfn.CONCAT("https://tablet.otzar.org/",CHAR(35),"/book/648992/p/-1/t/1/fs/0/start/0/end/0/c"),"ילקוט שיעורים - מרובה")</f>
        <v>ילקוט שיעורים - מרובה</v>
      </c>
      <c r="H1808" t="str">
        <f>_xlfn.CONCAT("https://tablet.otzar.org/",CHAR(35),"/book/648992/p/-1/t/1/fs/0/start/0/end/0/c")</f>
        <v>https://tablet.otzar.org/#/book/648992/p/-1/t/1/fs/0/start/0/end/0/c</v>
      </c>
    </row>
    <row r="1809" spans="1:8" x14ac:dyDescent="0.25">
      <c r="A1809">
        <v>654687</v>
      </c>
      <c r="B1809" t="s">
        <v>3749</v>
      </c>
      <c r="C1809" t="s">
        <v>3750</v>
      </c>
      <c r="D1809" t="s">
        <v>10</v>
      </c>
      <c r="E1809" t="s">
        <v>2538</v>
      </c>
      <c r="G1809" t="str">
        <f>HYPERLINK(_xlfn.CONCAT("https://tablet.otzar.org/",CHAR(35),"/exKotar/654687"),"ילקוט שמעוני השלם &lt;תושיה - מכון ירושלים&gt; - 6 כרכים")</f>
        <v>ילקוט שמעוני השלם &lt;תושיה - מכון ירושלים&gt; - 6 כרכים</v>
      </c>
      <c r="H1809" t="str">
        <f>_xlfn.CONCAT("https://tablet.otzar.org/",CHAR(35),"/exKotar/654687")</f>
        <v>https://tablet.otzar.org/#/exKotar/654687</v>
      </c>
    </row>
    <row r="1810" spans="1:8" x14ac:dyDescent="0.25">
      <c r="A1810">
        <v>653794</v>
      </c>
      <c r="B1810" t="s">
        <v>3751</v>
      </c>
      <c r="C1810" t="s">
        <v>3752</v>
      </c>
      <c r="D1810" t="s">
        <v>347</v>
      </c>
      <c r="E1810" t="s">
        <v>11</v>
      </c>
      <c r="G1810" t="str">
        <f>HYPERLINK(_xlfn.CONCAT("https://tablet.otzar.org/",CHAR(35),"/book/653794/p/-1/t/1/fs/0/start/0/end/0/c"),"ילקוט תיקוני טעויות ושינויי נוסחאות מכתבי יד וראשונים - בבא בתרא (השותפין)")</f>
        <v>ילקוט תיקוני טעויות ושינויי נוסחאות מכתבי יד וראשונים - בבא בתרא (השותפין)</v>
      </c>
      <c r="H1810" t="str">
        <f>_xlfn.CONCAT("https://tablet.otzar.org/",CHAR(35),"/book/653794/p/-1/t/1/fs/0/start/0/end/0/c")</f>
        <v>https://tablet.otzar.org/#/book/653794/p/-1/t/1/fs/0/start/0/end/0/c</v>
      </c>
    </row>
    <row r="1811" spans="1:8" x14ac:dyDescent="0.25">
      <c r="A1811">
        <v>653986</v>
      </c>
      <c r="B1811" t="s">
        <v>3753</v>
      </c>
      <c r="C1811" t="s">
        <v>3754</v>
      </c>
      <c r="D1811" t="s">
        <v>10</v>
      </c>
      <c r="E1811" t="s">
        <v>11</v>
      </c>
      <c r="G1811" t="str">
        <f>HYPERLINK(_xlfn.CONCAT("https://tablet.otzar.org/",CHAR(35),"/book/653986/p/-1/t/1/fs/0/start/0/end/0/c"),"ים החכמה")</f>
        <v>ים החכמה</v>
      </c>
      <c r="H1811" t="str">
        <f>_xlfn.CONCAT("https://tablet.otzar.org/",CHAR(35),"/book/653986/p/-1/t/1/fs/0/start/0/end/0/c")</f>
        <v>https://tablet.otzar.org/#/book/653986/p/-1/t/1/fs/0/start/0/end/0/c</v>
      </c>
    </row>
    <row r="1812" spans="1:8" x14ac:dyDescent="0.25">
      <c r="A1812">
        <v>654194</v>
      </c>
      <c r="B1812" t="s">
        <v>3755</v>
      </c>
      <c r="C1812" t="s">
        <v>2043</v>
      </c>
      <c r="D1812" t="s">
        <v>10</v>
      </c>
      <c r="E1812" t="s">
        <v>495</v>
      </c>
      <c r="G1812" t="str">
        <f>HYPERLINK(_xlfn.CONCAT("https://tablet.otzar.org/",CHAR(35),"/exKotar/654194"),"ים החכמה - 12 כרכים")</f>
        <v>ים החכמה - 12 כרכים</v>
      </c>
      <c r="H1812" t="str">
        <f>_xlfn.CONCAT("https://tablet.otzar.org/",CHAR(35),"/exKotar/654194")</f>
        <v>https://tablet.otzar.org/#/exKotar/654194</v>
      </c>
    </row>
    <row r="1813" spans="1:8" x14ac:dyDescent="0.25">
      <c r="A1813">
        <v>651842</v>
      </c>
      <c r="B1813" t="s">
        <v>3756</v>
      </c>
      <c r="C1813" t="s">
        <v>3757</v>
      </c>
      <c r="D1813" t="s">
        <v>347</v>
      </c>
      <c r="E1813" t="s">
        <v>11</v>
      </c>
      <c r="G1813" t="str">
        <f>HYPERLINK(_xlfn.CONCAT("https://tablet.otzar.org/",CHAR(35),"/book/651842/p/-1/t/1/fs/0/start/0/end/0/c"),"ים הטהרה - נגעים")</f>
        <v>ים הטהרה - נגעים</v>
      </c>
      <c r="H1813" t="str">
        <f>_xlfn.CONCAT("https://tablet.otzar.org/",CHAR(35),"/book/651842/p/-1/t/1/fs/0/start/0/end/0/c")</f>
        <v>https://tablet.otzar.org/#/book/651842/p/-1/t/1/fs/0/start/0/end/0/c</v>
      </c>
    </row>
    <row r="1814" spans="1:8" x14ac:dyDescent="0.25">
      <c r="A1814">
        <v>656924</v>
      </c>
      <c r="B1814" t="s">
        <v>3758</v>
      </c>
      <c r="C1814" t="s">
        <v>3759</v>
      </c>
      <c r="D1814" t="s">
        <v>347</v>
      </c>
      <c r="E1814" t="s">
        <v>11</v>
      </c>
      <c r="G1814" t="str">
        <f>HYPERLINK(_xlfn.CONCAT("https://tablet.otzar.org/",CHAR(35),"/exKotar/656924"),"ים של שלמה &lt;מכון משנת רבי אהרן&gt; - 3 כרכים")</f>
        <v>ים של שלמה &lt;מכון משנת רבי אהרן&gt; - 3 כרכים</v>
      </c>
      <c r="H1814" t="str">
        <f>_xlfn.CONCAT("https://tablet.otzar.org/",CHAR(35),"/exKotar/656924")</f>
        <v>https://tablet.otzar.org/#/exKotar/656924</v>
      </c>
    </row>
    <row r="1815" spans="1:8" x14ac:dyDescent="0.25">
      <c r="A1815">
        <v>653431</v>
      </c>
      <c r="B1815" t="s">
        <v>3760</v>
      </c>
      <c r="C1815" t="s">
        <v>3761</v>
      </c>
      <c r="E1815" t="s">
        <v>11</v>
      </c>
      <c r="G1815" t="str">
        <f>HYPERLINK(_xlfn.CONCAT("https://tablet.otzar.org/",CHAR(35),"/book/653431/p/-1/t/1/fs/0/start/0/end/0/c"),"ימי האור - חג החנוכה")</f>
        <v>ימי האור - חג החנוכה</v>
      </c>
      <c r="H1815" t="str">
        <f>_xlfn.CONCAT("https://tablet.otzar.org/",CHAR(35),"/book/653431/p/-1/t/1/fs/0/start/0/end/0/c")</f>
        <v>https://tablet.otzar.org/#/book/653431/p/-1/t/1/fs/0/start/0/end/0/c</v>
      </c>
    </row>
    <row r="1816" spans="1:8" x14ac:dyDescent="0.25">
      <c r="A1816">
        <v>653433</v>
      </c>
      <c r="B1816" t="s">
        <v>3762</v>
      </c>
      <c r="C1816" t="s">
        <v>3761</v>
      </c>
      <c r="E1816" t="s">
        <v>11</v>
      </c>
      <c r="G1816" t="str">
        <f>HYPERLINK(_xlfn.CONCAT("https://tablet.otzar.org/",CHAR(35),"/book/653433/p/-1/t/1/fs/0/start/0/end/0/c"),"ימי האיתנים - ימים נוראים")</f>
        <v>ימי האיתנים - ימים נוראים</v>
      </c>
      <c r="H1816" t="str">
        <f>_xlfn.CONCAT("https://tablet.otzar.org/",CHAR(35),"/book/653433/p/-1/t/1/fs/0/start/0/end/0/c")</f>
        <v>https://tablet.otzar.org/#/book/653433/p/-1/t/1/fs/0/start/0/end/0/c</v>
      </c>
    </row>
    <row r="1817" spans="1:8" x14ac:dyDescent="0.25">
      <c r="A1817">
        <v>655229</v>
      </c>
      <c r="B1817" t="s">
        <v>3763</v>
      </c>
      <c r="C1817" t="s">
        <v>911</v>
      </c>
      <c r="D1817" t="s">
        <v>10</v>
      </c>
      <c r="E1817" t="s">
        <v>35</v>
      </c>
      <c r="G1817" t="str">
        <f>HYPERLINK(_xlfn.CONCAT("https://tablet.otzar.org/",CHAR(35),"/book/655229/p/-1/t/1/fs/0/start/0/end/0/c"),"ימי העומר בהלכה ובאגדה")</f>
        <v>ימי העומר בהלכה ובאגדה</v>
      </c>
      <c r="H1817" t="str">
        <f>_xlfn.CONCAT("https://tablet.otzar.org/",CHAR(35),"/book/655229/p/-1/t/1/fs/0/start/0/end/0/c")</f>
        <v>https://tablet.otzar.org/#/book/655229/p/-1/t/1/fs/0/start/0/end/0/c</v>
      </c>
    </row>
    <row r="1818" spans="1:8" x14ac:dyDescent="0.25">
      <c r="A1818">
        <v>651514</v>
      </c>
      <c r="B1818" t="s">
        <v>3764</v>
      </c>
      <c r="C1818" t="s">
        <v>3765</v>
      </c>
      <c r="D1818" t="s">
        <v>10</v>
      </c>
      <c r="E1818" t="s">
        <v>11</v>
      </c>
      <c r="G1818" t="str">
        <f>HYPERLINK(_xlfn.CONCAT("https://tablet.otzar.org/",CHAR(35),"/book/651514/p/-1/t/1/fs/0/start/0/end/0/c"),"ימי הפורים")</f>
        <v>ימי הפורים</v>
      </c>
      <c r="H1818" t="str">
        <f>_xlfn.CONCAT("https://tablet.otzar.org/",CHAR(35),"/book/651514/p/-1/t/1/fs/0/start/0/end/0/c")</f>
        <v>https://tablet.otzar.org/#/book/651514/p/-1/t/1/fs/0/start/0/end/0/c</v>
      </c>
    </row>
    <row r="1819" spans="1:8" x14ac:dyDescent="0.25">
      <c r="A1819">
        <v>652645</v>
      </c>
      <c r="B1819" t="s">
        <v>3766</v>
      </c>
      <c r="C1819" t="s">
        <v>3767</v>
      </c>
      <c r="D1819" t="s">
        <v>731</v>
      </c>
      <c r="E1819" t="s">
        <v>114</v>
      </c>
      <c r="G1819" t="str">
        <f>HYPERLINK(_xlfn.CONCAT("https://tablet.otzar.org/",CHAR(35),"/book/652645/p/-1/t/1/fs/0/start/0/end/0/c"),"ימי הפרים")</f>
        <v>ימי הפרים</v>
      </c>
      <c r="H1819" t="str">
        <f>_xlfn.CONCAT("https://tablet.otzar.org/",CHAR(35),"/book/652645/p/-1/t/1/fs/0/start/0/end/0/c")</f>
        <v>https://tablet.otzar.org/#/book/652645/p/-1/t/1/fs/0/start/0/end/0/c</v>
      </c>
    </row>
    <row r="1820" spans="1:8" x14ac:dyDescent="0.25">
      <c r="A1820">
        <v>653432</v>
      </c>
      <c r="B1820" t="s">
        <v>3768</v>
      </c>
      <c r="C1820" t="s">
        <v>3761</v>
      </c>
      <c r="E1820" t="s">
        <v>11</v>
      </c>
      <c r="G1820" t="str">
        <f>HYPERLINK(_xlfn.CONCAT("https://tablet.otzar.org/",CHAR(35),"/book/653432/p/-1/t/1/fs/0/start/0/end/0/c"),"ימי השמחה - חג הפורים")</f>
        <v>ימי השמחה - חג הפורים</v>
      </c>
      <c r="H1820" t="str">
        <f>_xlfn.CONCAT("https://tablet.otzar.org/",CHAR(35),"/book/653432/p/-1/t/1/fs/0/start/0/end/0/c")</f>
        <v>https://tablet.otzar.org/#/book/653432/p/-1/t/1/fs/0/start/0/end/0/c</v>
      </c>
    </row>
    <row r="1821" spans="1:8" x14ac:dyDescent="0.25">
      <c r="A1821">
        <v>653353</v>
      </c>
      <c r="B1821" t="s">
        <v>3769</v>
      </c>
      <c r="C1821" t="s">
        <v>3770</v>
      </c>
      <c r="D1821" t="s">
        <v>39</v>
      </c>
      <c r="E1821" t="s">
        <v>111</v>
      </c>
      <c r="G1821" t="str">
        <f>HYPERLINK(_xlfn.CONCAT("https://tablet.otzar.org/",CHAR(35),"/book/653353/p/-1/t/1/fs/0/start/0/end/0/c"),"ימי התלאות")</f>
        <v>ימי התלאות</v>
      </c>
      <c r="H1821" t="str">
        <f>_xlfn.CONCAT("https://tablet.otzar.org/",CHAR(35),"/book/653353/p/-1/t/1/fs/0/start/0/end/0/c")</f>
        <v>https://tablet.otzar.org/#/book/653353/p/-1/t/1/fs/0/start/0/end/0/c</v>
      </c>
    </row>
    <row r="1822" spans="1:8" x14ac:dyDescent="0.25">
      <c r="A1822">
        <v>654551</v>
      </c>
      <c r="B1822" t="s">
        <v>3771</v>
      </c>
      <c r="C1822" t="s">
        <v>3772</v>
      </c>
      <c r="D1822" t="s">
        <v>52</v>
      </c>
      <c r="E1822" t="s">
        <v>11</v>
      </c>
      <c r="G1822" t="str">
        <f>HYPERLINK(_xlfn.CONCAT("https://tablet.otzar.org/",CHAR(35),"/book/654551/p/-1/t/1/fs/0/start/0/end/0/c"),"ימי שבת ומועד")</f>
        <v>ימי שבת ומועד</v>
      </c>
      <c r="H1822" t="str">
        <f>_xlfn.CONCAT("https://tablet.otzar.org/",CHAR(35),"/book/654551/p/-1/t/1/fs/0/start/0/end/0/c")</f>
        <v>https://tablet.otzar.org/#/book/654551/p/-1/t/1/fs/0/start/0/end/0/c</v>
      </c>
    </row>
    <row r="1823" spans="1:8" x14ac:dyDescent="0.25">
      <c r="A1823">
        <v>653430</v>
      </c>
      <c r="B1823" t="s">
        <v>3773</v>
      </c>
      <c r="C1823" t="s">
        <v>3761</v>
      </c>
      <c r="E1823" t="s">
        <v>11</v>
      </c>
      <c r="G1823" t="str">
        <f>HYPERLINK(_xlfn.CONCAT("https://tablet.otzar.org/",CHAR(35),"/book/653430/p/-1/t/1/fs/0/start/0/end/0/c"),"ימי שמחתינו - חג הסוכות")</f>
        <v>ימי שמחתינו - חג הסוכות</v>
      </c>
      <c r="H1823" t="str">
        <f>_xlfn.CONCAT("https://tablet.otzar.org/",CHAR(35),"/book/653430/p/-1/t/1/fs/0/start/0/end/0/c")</f>
        <v>https://tablet.otzar.org/#/book/653430/p/-1/t/1/fs/0/start/0/end/0/c</v>
      </c>
    </row>
    <row r="1824" spans="1:8" x14ac:dyDescent="0.25">
      <c r="A1824">
        <v>654230</v>
      </c>
      <c r="B1824" t="s">
        <v>3774</v>
      </c>
      <c r="C1824" t="s">
        <v>614</v>
      </c>
      <c r="E1824" t="s">
        <v>45</v>
      </c>
      <c r="G1824" t="str">
        <f>HYPERLINK(_xlfn.CONCAT("https://tablet.otzar.org/",CHAR(35),"/book/654230/p/-1/t/1/fs/0/start/0/end/0/c"),"ימים ידברו")</f>
        <v>ימים ידברו</v>
      </c>
      <c r="H1824" t="str">
        <f>_xlfn.CONCAT("https://tablet.otzar.org/",CHAR(35),"/book/654230/p/-1/t/1/fs/0/start/0/end/0/c")</f>
        <v>https://tablet.otzar.org/#/book/654230/p/-1/t/1/fs/0/start/0/end/0/c</v>
      </c>
    </row>
    <row r="1825" spans="1:8" x14ac:dyDescent="0.25">
      <c r="A1825">
        <v>655431</v>
      </c>
      <c r="B1825" t="s">
        <v>3775</v>
      </c>
      <c r="C1825" t="s">
        <v>3776</v>
      </c>
      <c r="E1825" t="s">
        <v>657</v>
      </c>
      <c r="G1825" t="str">
        <f>HYPERLINK(_xlfn.CONCAT("https://tablet.otzar.org/",CHAR(35),"/exKotar/655431"),"ימים מקדם - 12 כרכים")</f>
        <v>ימים מקדם - 12 כרכים</v>
      </c>
      <c r="H1825" t="str">
        <f>_xlfn.CONCAT("https://tablet.otzar.org/",CHAR(35),"/exKotar/655431")</f>
        <v>https://tablet.otzar.org/#/exKotar/655431</v>
      </c>
    </row>
    <row r="1826" spans="1:8" x14ac:dyDescent="0.25">
      <c r="A1826">
        <v>648050</v>
      </c>
      <c r="B1826" t="s">
        <v>3777</v>
      </c>
      <c r="C1826" t="s">
        <v>3778</v>
      </c>
      <c r="D1826" t="s">
        <v>3779</v>
      </c>
      <c r="E1826" t="s">
        <v>3780</v>
      </c>
      <c r="G1826" t="str">
        <f>HYPERLINK(_xlfn.CONCAT("https://tablet.otzar.org/",CHAR(35),"/book/648050/p/-1/t/1/fs/0/start/0/end/0/c"),"יסד המעלה")</f>
        <v>יסד המעלה</v>
      </c>
      <c r="H1826" t="str">
        <f>_xlfn.CONCAT("https://tablet.otzar.org/",CHAR(35),"/book/648050/p/-1/t/1/fs/0/start/0/end/0/c")</f>
        <v>https://tablet.otzar.org/#/book/648050/p/-1/t/1/fs/0/start/0/end/0/c</v>
      </c>
    </row>
    <row r="1827" spans="1:8" x14ac:dyDescent="0.25">
      <c r="A1827">
        <v>655006</v>
      </c>
      <c r="B1827" t="s">
        <v>3781</v>
      </c>
      <c r="C1827" t="s">
        <v>3782</v>
      </c>
      <c r="D1827" t="s">
        <v>52</v>
      </c>
      <c r="E1827" t="s">
        <v>399</v>
      </c>
      <c r="G1827" t="str">
        <f>HYPERLINK(_xlfn.CONCAT("https://tablet.otzar.org/",CHAR(35),"/book/655006/p/-1/t/1/fs/0/start/0/end/0/c"),"יסוד צדיק")</f>
        <v>יסוד צדיק</v>
      </c>
      <c r="H1827" t="str">
        <f>_xlfn.CONCAT("https://tablet.otzar.org/",CHAR(35),"/book/655006/p/-1/t/1/fs/0/start/0/end/0/c")</f>
        <v>https://tablet.otzar.org/#/book/655006/p/-1/t/1/fs/0/start/0/end/0/c</v>
      </c>
    </row>
    <row r="1828" spans="1:8" x14ac:dyDescent="0.25">
      <c r="A1828">
        <v>651824</v>
      </c>
      <c r="B1828" t="s">
        <v>3783</v>
      </c>
      <c r="C1828" t="s">
        <v>3784</v>
      </c>
      <c r="D1828" t="s">
        <v>34</v>
      </c>
      <c r="E1828" t="s">
        <v>70</v>
      </c>
      <c r="G1828" t="str">
        <f>HYPERLINK(_xlfn.CONCAT("https://tablet.otzar.org/",CHAR(35),"/book/651824/p/-1/t/1/fs/0/start/0/end/0/c"),"יסודות העבודה וליקוטי מוסר")</f>
        <v>יסודות העבודה וליקוטי מוסר</v>
      </c>
      <c r="H1828" t="str">
        <f>_xlfn.CONCAT("https://tablet.otzar.org/",CHAR(35),"/book/651824/p/-1/t/1/fs/0/start/0/end/0/c")</f>
        <v>https://tablet.otzar.org/#/book/651824/p/-1/t/1/fs/0/start/0/end/0/c</v>
      </c>
    </row>
    <row r="1829" spans="1:8" x14ac:dyDescent="0.25">
      <c r="A1829">
        <v>650994</v>
      </c>
      <c r="B1829" t="s">
        <v>3785</v>
      </c>
      <c r="C1829" t="s">
        <v>3786</v>
      </c>
      <c r="D1829" t="s">
        <v>28</v>
      </c>
      <c r="E1829" t="s">
        <v>70</v>
      </c>
      <c r="G1829" t="str">
        <f>HYPERLINK(_xlfn.CONCAT("https://tablet.otzar.org/",CHAR(35),"/book/650994/p/-1/t/1/fs/0/start/0/end/0/c"),"יסודות קודש - בפרדס הבית היהודי")</f>
        <v>יסודות קודש - בפרדס הבית היהודי</v>
      </c>
      <c r="H1829" t="str">
        <f>_xlfn.CONCAT("https://tablet.otzar.org/",CHAR(35),"/book/650994/p/-1/t/1/fs/0/start/0/end/0/c")</f>
        <v>https://tablet.otzar.org/#/book/650994/p/-1/t/1/fs/0/start/0/end/0/c</v>
      </c>
    </row>
    <row r="1830" spans="1:8" x14ac:dyDescent="0.25">
      <c r="A1830">
        <v>647724</v>
      </c>
      <c r="B1830" t="s">
        <v>3787</v>
      </c>
      <c r="D1830" t="s">
        <v>328</v>
      </c>
      <c r="E1830" t="s">
        <v>817</v>
      </c>
      <c r="G1830" t="str">
        <f>HYPERLINK(_xlfn.CONCAT("https://tablet.otzar.org/",CHAR(35),"/book/647724/p/-1/t/1/fs/0/start/0/end/0/c"),"יסודי הלכות שבת")</f>
        <v>יסודי הלכות שבת</v>
      </c>
      <c r="H1830" t="str">
        <f>_xlfn.CONCAT("https://tablet.otzar.org/",CHAR(35),"/book/647724/p/-1/t/1/fs/0/start/0/end/0/c")</f>
        <v>https://tablet.otzar.org/#/book/647724/p/-1/t/1/fs/0/start/0/end/0/c</v>
      </c>
    </row>
    <row r="1831" spans="1:8" x14ac:dyDescent="0.25">
      <c r="A1831">
        <v>646939</v>
      </c>
      <c r="B1831" t="s">
        <v>3788</v>
      </c>
      <c r="C1831" t="s">
        <v>3789</v>
      </c>
      <c r="E1831" t="s">
        <v>1101</v>
      </c>
      <c r="G1831" t="str">
        <f>HYPERLINK(_xlfn.CONCAT("https://tablet.otzar.org/",CHAR(35),"/book/646939/p/-1/t/1/fs/0/start/0/end/0/c"),"יסודי שמחות")</f>
        <v>יסודי שמחות</v>
      </c>
      <c r="H1831" t="str">
        <f>_xlfn.CONCAT("https://tablet.otzar.org/",CHAR(35),"/book/646939/p/-1/t/1/fs/0/start/0/end/0/c")</f>
        <v>https://tablet.otzar.org/#/book/646939/p/-1/t/1/fs/0/start/0/end/0/c</v>
      </c>
    </row>
    <row r="1832" spans="1:8" x14ac:dyDescent="0.25">
      <c r="A1832">
        <v>650158</v>
      </c>
      <c r="B1832" t="s">
        <v>3790</v>
      </c>
      <c r="C1832" t="s">
        <v>3487</v>
      </c>
      <c r="D1832" t="s">
        <v>10</v>
      </c>
      <c r="E1832" t="s">
        <v>405</v>
      </c>
      <c r="G1832" t="str">
        <f>HYPERLINK(_xlfn.CONCAT("https://tablet.otzar.org/",CHAR(35),"/book/650158/p/-1/t/1/fs/0/start/0/end/0/c"),"יעבדוך עמים")</f>
        <v>יעבדוך עמים</v>
      </c>
      <c r="H1832" t="str">
        <f>_xlfn.CONCAT("https://tablet.otzar.org/",CHAR(35),"/book/650158/p/-1/t/1/fs/0/start/0/end/0/c")</f>
        <v>https://tablet.otzar.org/#/book/650158/p/-1/t/1/fs/0/start/0/end/0/c</v>
      </c>
    </row>
    <row r="1833" spans="1:8" x14ac:dyDescent="0.25">
      <c r="A1833">
        <v>654998</v>
      </c>
      <c r="B1833" t="s">
        <v>3791</v>
      </c>
      <c r="C1833" t="s">
        <v>3792</v>
      </c>
      <c r="D1833" t="s">
        <v>10</v>
      </c>
      <c r="E1833" t="s">
        <v>3793</v>
      </c>
      <c r="G1833" t="str">
        <f>HYPERLINK(_xlfn.CONCAT("https://tablet.otzar.org/",CHAR(35),"/book/654998/p/-1/t/1/fs/0/start/0/end/0/c"),"יעיר אזן &lt;לשון לימודים&gt;")</f>
        <v>יעיר אזן &lt;לשון לימודים&gt;</v>
      </c>
      <c r="H1833" t="str">
        <f>_xlfn.CONCAT("https://tablet.otzar.org/",CHAR(35),"/book/654998/p/-1/t/1/fs/0/start/0/end/0/c")</f>
        <v>https://tablet.otzar.org/#/book/654998/p/-1/t/1/fs/0/start/0/end/0/c</v>
      </c>
    </row>
    <row r="1834" spans="1:8" x14ac:dyDescent="0.25">
      <c r="A1834">
        <v>647787</v>
      </c>
      <c r="B1834" t="s">
        <v>3794</v>
      </c>
      <c r="C1834" t="s">
        <v>382</v>
      </c>
      <c r="D1834" t="s">
        <v>34</v>
      </c>
      <c r="E1834" t="s">
        <v>70</v>
      </c>
      <c r="G1834" t="str">
        <f>HYPERLINK(_xlfn.CONCAT("https://tablet.otzar.org/",CHAR(35),"/book/647787/p/-1/t/1/fs/0/start/0/end/0/c"),"יעלה הדס - ד")</f>
        <v>יעלה הדס - ד</v>
      </c>
      <c r="H1834" t="str">
        <f>_xlfn.CONCAT("https://tablet.otzar.org/",CHAR(35),"/book/647787/p/-1/t/1/fs/0/start/0/end/0/c")</f>
        <v>https://tablet.otzar.org/#/book/647787/p/-1/t/1/fs/0/start/0/end/0/c</v>
      </c>
    </row>
    <row r="1835" spans="1:8" x14ac:dyDescent="0.25">
      <c r="A1835">
        <v>655395</v>
      </c>
      <c r="B1835" t="s">
        <v>3795</v>
      </c>
      <c r="C1835" t="s">
        <v>3796</v>
      </c>
      <c r="D1835" t="s">
        <v>10</v>
      </c>
      <c r="E1835" t="s">
        <v>11</v>
      </c>
      <c r="G1835" t="str">
        <f>HYPERLINK(_xlfn.CONCAT("https://tablet.otzar.org/",CHAR(35),"/book/655395/p/-1/t/1/fs/0/start/0/end/0/c"),"יעלו אבר - עיוני תפילה")</f>
        <v>יעלו אבר - עיוני תפילה</v>
      </c>
      <c r="H1835" t="str">
        <f>_xlfn.CONCAT("https://tablet.otzar.org/",CHAR(35),"/book/655395/p/-1/t/1/fs/0/start/0/end/0/c")</f>
        <v>https://tablet.otzar.org/#/book/655395/p/-1/t/1/fs/0/start/0/end/0/c</v>
      </c>
    </row>
    <row r="1836" spans="1:8" x14ac:dyDescent="0.25">
      <c r="A1836">
        <v>649540</v>
      </c>
      <c r="B1836" t="s">
        <v>3797</v>
      </c>
      <c r="C1836" t="s">
        <v>976</v>
      </c>
      <c r="D1836" t="s">
        <v>58</v>
      </c>
      <c r="E1836" t="s">
        <v>719</v>
      </c>
      <c r="G1836" t="str">
        <f>HYPERLINK(_xlfn.CONCAT("https://tablet.otzar.org/",CHAR(35),"/book/649540/p/-1/t/1/fs/0/start/0/end/0/c"),"יעלזו חסידים")</f>
        <v>יעלזו חסידים</v>
      </c>
      <c r="H1836" t="str">
        <f>_xlfn.CONCAT("https://tablet.otzar.org/",CHAR(35),"/book/649540/p/-1/t/1/fs/0/start/0/end/0/c")</f>
        <v>https://tablet.otzar.org/#/book/649540/p/-1/t/1/fs/0/start/0/end/0/c</v>
      </c>
    </row>
    <row r="1837" spans="1:8" x14ac:dyDescent="0.25">
      <c r="A1837">
        <v>654690</v>
      </c>
      <c r="B1837" t="s">
        <v>3798</v>
      </c>
      <c r="C1837" t="s">
        <v>543</v>
      </c>
      <c r="D1837" t="s">
        <v>10</v>
      </c>
      <c r="E1837" t="s">
        <v>3799</v>
      </c>
      <c r="G1837" t="str">
        <f>HYPERLINK(_xlfn.CONCAT("https://tablet.otzar.org/",CHAR(35),"/book/654690/p/-1/t/1/fs/0/start/0/end/0/c"),"יעלזו חסידים &lt;הוצאת תושיה&gt;")</f>
        <v>יעלזו חסידים &lt;הוצאת תושיה&gt;</v>
      </c>
      <c r="H1837" t="str">
        <f>_xlfn.CONCAT("https://tablet.otzar.org/",CHAR(35),"/book/654690/p/-1/t/1/fs/0/start/0/end/0/c")</f>
        <v>https://tablet.otzar.org/#/book/654690/p/-1/t/1/fs/0/start/0/end/0/c</v>
      </c>
    </row>
    <row r="1838" spans="1:8" x14ac:dyDescent="0.25">
      <c r="A1838">
        <v>650393</v>
      </c>
      <c r="B1838" t="s">
        <v>3800</v>
      </c>
      <c r="C1838" t="s">
        <v>3801</v>
      </c>
      <c r="D1838" t="s">
        <v>52</v>
      </c>
      <c r="E1838" t="s">
        <v>657</v>
      </c>
      <c r="G1838" t="str">
        <f>HYPERLINK(_xlfn.CONCAT("https://tablet.otzar.org/",CHAR(35),"/book/650393/p/-1/t/1/fs/0/start/0/end/0/c"),"יפה מראה - בבא קמא")</f>
        <v>יפה מראה - בבא קמא</v>
      </c>
      <c r="H1838" t="str">
        <f>_xlfn.CONCAT("https://tablet.otzar.org/",CHAR(35),"/book/650393/p/-1/t/1/fs/0/start/0/end/0/c")</f>
        <v>https://tablet.otzar.org/#/book/650393/p/-1/t/1/fs/0/start/0/end/0/c</v>
      </c>
    </row>
    <row r="1839" spans="1:8" x14ac:dyDescent="0.25">
      <c r="A1839">
        <v>646634</v>
      </c>
      <c r="B1839" t="s">
        <v>3802</v>
      </c>
      <c r="C1839" t="s">
        <v>3803</v>
      </c>
      <c r="D1839" t="s">
        <v>52</v>
      </c>
      <c r="E1839" t="s">
        <v>35</v>
      </c>
      <c r="G1839" t="str">
        <f>HYPERLINK(_xlfn.CONCAT("https://tablet.otzar.org/",CHAR(35),"/exKotar/646634"),"יפה מראה - 10 כרכים")</f>
        <v>יפה מראה - 10 כרכים</v>
      </c>
      <c r="H1839" t="str">
        <f>_xlfn.CONCAT("https://tablet.otzar.org/",CHAR(35),"/exKotar/646634")</f>
        <v>https://tablet.otzar.org/#/exKotar/646634</v>
      </c>
    </row>
    <row r="1840" spans="1:8" x14ac:dyDescent="0.25">
      <c r="A1840">
        <v>650414</v>
      </c>
      <c r="B1840" t="s">
        <v>3804</v>
      </c>
      <c r="C1840" t="s">
        <v>614</v>
      </c>
      <c r="D1840" t="s">
        <v>52</v>
      </c>
      <c r="E1840" t="s">
        <v>45</v>
      </c>
      <c r="G1840" t="str">
        <f>HYPERLINK(_xlfn.CONCAT("https://tablet.otzar.org/",CHAR(35),"/exKotar/650414"),"יפה מראה - 2 כרכים")</f>
        <v>יפה מראה - 2 כרכים</v>
      </c>
      <c r="H1840" t="str">
        <f>_xlfn.CONCAT("https://tablet.otzar.org/",CHAR(35),"/exKotar/650414")</f>
        <v>https://tablet.otzar.org/#/exKotar/650414</v>
      </c>
    </row>
    <row r="1841" spans="1:8" x14ac:dyDescent="0.25">
      <c r="A1841">
        <v>651576</v>
      </c>
      <c r="B1841" t="s">
        <v>3805</v>
      </c>
      <c r="C1841" t="s">
        <v>3806</v>
      </c>
      <c r="E1841" t="s">
        <v>690</v>
      </c>
      <c r="G1841" t="str">
        <f>HYPERLINK(_xlfn.CONCAT("https://tablet.otzar.org/",CHAR(35),"/exKotar/651576"),"יפה נדרשת - 2 כרכים")</f>
        <v>יפה נדרשת - 2 כרכים</v>
      </c>
      <c r="H1841" t="str">
        <f>_xlfn.CONCAT("https://tablet.otzar.org/",CHAR(35),"/exKotar/651576")</f>
        <v>https://tablet.otzar.org/#/exKotar/651576</v>
      </c>
    </row>
    <row r="1842" spans="1:8" x14ac:dyDescent="0.25">
      <c r="A1842">
        <v>654982</v>
      </c>
      <c r="B1842" t="s">
        <v>3807</v>
      </c>
      <c r="C1842" t="s">
        <v>3808</v>
      </c>
      <c r="D1842" t="s">
        <v>510</v>
      </c>
      <c r="E1842" t="s">
        <v>224</v>
      </c>
      <c r="G1842" t="str">
        <f>HYPERLINK(_xlfn.CONCAT("https://tablet.otzar.org/",CHAR(35),"/book/654982/p/-1/t/1/fs/0/start/0/end/0/c"),"יפה פרי תואר")</f>
        <v>יפה פרי תואר</v>
      </c>
      <c r="H1842" t="str">
        <f>_xlfn.CONCAT("https://tablet.otzar.org/",CHAR(35),"/book/654982/p/-1/t/1/fs/0/start/0/end/0/c")</f>
        <v>https://tablet.otzar.org/#/book/654982/p/-1/t/1/fs/0/start/0/end/0/c</v>
      </c>
    </row>
    <row r="1843" spans="1:8" x14ac:dyDescent="0.25">
      <c r="A1843">
        <v>655445</v>
      </c>
      <c r="B1843" t="s">
        <v>3809</v>
      </c>
      <c r="C1843" t="s">
        <v>3810</v>
      </c>
      <c r="E1843" t="s">
        <v>320</v>
      </c>
      <c r="G1843" t="str">
        <f>HYPERLINK(_xlfn.CONCAT("https://tablet.otzar.org/",CHAR(35),"/book/655445/p/-1/t/1/fs/0/start/0/end/0/c"),"יפה שיחתן - ג")</f>
        <v>יפה שיחתן - ג</v>
      </c>
      <c r="H1843" t="str">
        <f>_xlfn.CONCAT("https://tablet.otzar.org/",CHAR(35),"/book/655445/p/-1/t/1/fs/0/start/0/end/0/c")</f>
        <v>https://tablet.otzar.org/#/book/655445/p/-1/t/1/fs/0/start/0/end/0/c</v>
      </c>
    </row>
    <row r="1844" spans="1:8" x14ac:dyDescent="0.25">
      <c r="A1844">
        <v>650041</v>
      </c>
      <c r="B1844" t="s">
        <v>3811</v>
      </c>
      <c r="C1844" t="s">
        <v>3812</v>
      </c>
      <c r="E1844" t="s">
        <v>197</v>
      </c>
      <c r="G1844" t="str">
        <f>HYPERLINK(_xlfn.CONCAT("https://tablet.otzar.org/",CHAR(35),"/book/650041/p/-1/t/1/fs/0/start/0/end/0/c"),"יצחק ירנן - שומרים")</f>
        <v>יצחק ירנן - שומרים</v>
      </c>
      <c r="H1844" t="str">
        <f>_xlfn.CONCAT("https://tablet.otzar.org/",CHAR(35),"/book/650041/p/-1/t/1/fs/0/start/0/end/0/c")</f>
        <v>https://tablet.otzar.org/#/book/650041/p/-1/t/1/fs/0/start/0/end/0/c</v>
      </c>
    </row>
    <row r="1845" spans="1:8" x14ac:dyDescent="0.25">
      <c r="A1845">
        <v>649944</v>
      </c>
      <c r="B1845" t="s">
        <v>3813</v>
      </c>
      <c r="C1845" t="s">
        <v>3814</v>
      </c>
      <c r="D1845" t="s">
        <v>58</v>
      </c>
      <c r="E1845" t="s">
        <v>3815</v>
      </c>
      <c r="G1845" t="str">
        <f>HYPERLINK(_xlfn.CONCAT("https://tablet.otzar.org/",CHAR(35),"/book/649944/p/-1/t/1/fs/0/start/0/end/0/c"),"יצחק לשוח")</f>
        <v>יצחק לשוח</v>
      </c>
      <c r="H1845" t="str">
        <f>_xlfn.CONCAT("https://tablet.otzar.org/",CHAR(35),"/book/649944/p/-1/t/1/fs/0/start/0/end/0/c")</f>
        <v>https://tablet.otzar.org/#/book/649944/p/-1/t/1/fs/0/start/0/end/0/c</v>
      </c>
    </row>
    <row r="1846" spans="1:8" x14ac:dyDescent="0.25">
      <c r="A1846">
        <v>653527</v>
      </c>
      <c r="B1846" t="s">
        <v>3816</v>
      </c>
      <c r="C1846" t="s">
        <v>3817</v>
      </c>
      <c r="D1846" t="s">
        <v>2314</v>
      </c>
      <c r="E1846" t="s">
        <v>357</v>
      </c>
      <c r="G1846" t="str">
        <f>HYPERLINK(_xlfn.CONCAT("https://tablet.otzar.org/",CHAR(35),"/book/653527/p/-1/t/1/fs/0/start/0/end/0/c"),"יציב פתגם - דברים")</f>
        <v>יציב פתגם - דברים</v>
      </c>
      <c r="H1846" t="str">
        <f>_xlfn.CONCAT("https://tablet.otzar.org/",CHAR(35),"/book/653527/p/-1/t/1/fs/0/start/0/end/0/c")</f>
        <v>https://tablet.otzar.org/#/book/653527/p/-1/t/1/fs/0/start/0/end/0/c</v>
      </c>
    </row>
    <row r="1847" spans="1:8" x14ac:dyDescent="0.25">
      <c r="A1847">
        <v>651003</v>
      </c>
      <c r="B1847" t="s">
        <v>3818</v>
      </c>
      <c r="C1847" t="s">
        <v>3786</v>
      </c>
      <c r="D1847" t="s">
        <v>28</v>
      </c>
      <c r="E1847" t="s">
        <v>70</v>
      </c>
      <c r="G1847" t="str">
        <f>HYPERLINK(_xlfn.CONCAT("https://tablet.otzar.org/",CHAR(35),"/book/651003/p/-1/t/1/fs/0/start/0/end/0/c"),"יצירת קדש")</f>
        <v>יצירת קדש</v>
      </c>
      <c r="H1847" t="str">
        <f>_xlfn.CONCAT("https://tablet.otzar.org/",CHAR(35),"/book/651003/p/-1/t/1/fs/0/start/0/end/0/c")</f>
        <v>https://tablet.otzar.org/#/book/651003/p/-1/t/1/fs/0/start/0/end/0/c</v>
      </c>
    </row>
    <row r="1848" spans="1:8" x14ac:dyDescent="0.25">
      <c r="A1848">
        <v>648788</v>
      </c>
      <c r="B1848" t="s">
        <v>3819</v>
      </c>
      <c r="C1848" t="s">
        <v>3820</v>
      </c>
      <c r="D1848" t="s">
        <v>52</v>
      </c>
      <c r="E1848" t="s">
        <v>11</v>
      </c>
      <c r="G1848" t="str">
        <f>HYPERLINK(_xlfn.CONCAT("https://tablet.otzar.org/",CHAR(35),"/book/648788/p/-1/t/1/fs/0/start/0/end/0/c"),"יצק שמן - בראשית")</f>
        <v>יצק שמן - בראשית</v>
      </c>
      <c r="H1848" t="str">
        <f>_xlfn.CONCAT("https://tablet.otzar.org/",CHAR(35),"/book/648788/p/-1/t/1/fs/0/start/0/end/0/c")</f>
        <v>https://tablet.otzar.org/#/book/648788/p/-1/t/1/fs/0/start/0/end/0/c</v>
      </c>
    </row>
    <row r="1849" spans="1:8" x14ac:dyDescent="0.25">
      <c r="A1849">
        <v>647723</v>
      </c>
      <c r="B1849" t="s">
        <v>3821</v>
      </c>
      <c r="C1849" t="s">
        <v>3822</v>
      </c>
      <c r="D1849" t="s">
        <v>52</v>
      </c>
      <c r="E1849" t="s">
        <v>84</v>
      </c>
      <c r="G1849" t="str">
        <f>HYPERLINK(_xlfn.CONCAT("https://tablet.otzar.org/",CHAR(35),"/exKotar/647723"),"יקח מצוות - 2 כרכים")</f>
        <v>יקח מצוות - 2 כרכים</v>
      </c>
      <c r="H1849" t="str">
        <f>_xlfn.CONCAT("https://tablet.otzar.org/",CHAR(35),"/exKotar/647723")</f>
        <v>https://tablet.otzar.org/#/exKotar/647723</v>
      </c>
    </row>
    <row r="1850" spans="1:8" x14ac:dyDescent="0.25">
      <c r="A1850">
        <v>655300</v>
      </c>
      <c r="B1850" t="s">
        <v>3823</v>
      </c>
      <c r="C1850" t="s">
        <v>3824</v>
      </c>
      <c r="D1850" t="s">
        <v>463</v>
      </c>
      <c r="E1850" t="s">
        <v>62</v>
      </c>
      <c r="G1850" t="str">
        <f>HYPERLINK(_xlfn.CONCAT("https://tablet.otzar.org/",CHAR(35),"/book/655300/p/-1/t/1/fs/0/start/0/end/0/c"),"יקיר לי אפרים")</f>
        <v>יקיר לי אפרים</v>
      </c>
      <c r="H1850" t="str">
        <f>_xlfn.CONCAT("https://tablet.otzar.org/",CHAR(35),"/book/655300/p/-1/t/1/fs/0/start/0/end/0/c")</f>
        <v>https://tablet.otzar.org/#/book/655300/p/-1/t/1/fs/0/start/0/end/0/c</v>
      </c>
    </row>
    <row r="1851" spans="1:8" x14ac:dyDescent="0.25">
      <c r="A1851">
        <v>655593</v>
      </c>
      <c r="B1851" t="s">
        <v>3825</v>
      </c>
      <c r="C1851" t="s">
        <v>3826</v>
      </c>
      <c r="D1851" t="s">
        <v>10</v>
      </c>
      <c r="E1851" t="s">
        <v>1476</v>
      </c>
      <c r="G1851" t="str">
        <f>HYPERLINK(_xlfn.CONCAT("https://tablet.otzar.org/",CHAR(35),"/book/655593/p/-1/t/1/fs/0/start/0/end/0/c"),"יקר אורייתא - שבת")</f>
        <v>יקר אורייתא - שבת</v>
      </c>
      <c r="H1851" t="str">
        <f>_xlfn.CONCAT("https://tablet.otzar.org/",CHAR(35),"/book/655593/p/-1/t/1/fs/0/start/0/end/0/c")</f>
        <v>https://tablet.otzar.org/#/book/655593/p/-1/t/1/fs/0/start/0/end/0/c</v>
      </c>
    </row>
    <row r="1852" spans="1:8" x14ac:dyDescent="0.25">
      <c r="A1852">
        <v>653232</v>
      </c>
      <c r="B1852" t="s">
        <v>3827</v>
      </c>
      <c r="C1852" t="s">
        <v>534</v>
      </c>
      <c r="D1852" t="s">
        <v>10</v>
      </c>
      <c r="E1852" t="s">
        <v>35</v>
      </c>
      <c r="G1852" t="str">
        <f>HYPERLINK(_xlfn.CONCAT("https://tablet.otzar.org/",CHAR(35),"/book/653232/p/-1/t/1/fs/0/start/0/end/0/c"),"יקר תפארת - ברכת כהנים באהבה")</f>
        <v>יקר תפארת - ברכת כהנים באהבה</v>
      </c>
      <c r="H1852" t="str">
        <f>_xlfn.CONCAT("https://tablet.otzar.org/",CHAR(35),"/book/653232/p/-1/t/1/fs/0/start/0/end/0/c")</f>
        <v>https://tablet.otzar.org/#/book/653232/p/-1/t/1/fs/0/start/0/end/0/c</v>
      </c>
    </row>
    <row r="1853" spans="1:8" x14ac:dyDescent="0.25">
      <c r="A1853">
        <v>656360</v>
      </c>
      <c r="B1853" t="s">
        <v>3828</v>
      </c>
      <c r="C1853" t="s">
        <v>3829</v>
      </c>
      <c r="D1853" t="s">
        <v>10</v>
      </c>
      <c r="E1853" t="s">
        <v>11</v>
      </c>
      <c r="G1853" t="str">
        <f>HYPERLINK(_xlfn.CONCAT("https://tablet.otzar.org/",CHAR(35),"/book/656360/p/-1/t/1/fs/0/start/0/end/0/c"),"יקר תפארת - ויקרא במדבר דברים")</f>
        <v>יקר תפארת - ויקרא במדבר דברים</v>
      </c>
      <c r="H1853" t="str">
        <f>_xlfn.CONCAT("https://tablet.otzar.org/",CHAR(35),"/book/656360/p/-1/t/1/fs/0/start/0/end/0/c")</f>
        <v>https://tablet.otzar.org/#/book/656360/p/-1/t/1/fs/0/start/0/end/0/c</v>
      </c>
    </row>
    <row r="1854" spans="1:8" x14ac:dyDescent="0.25">
      <c r="A1854">
        <v>655009</v>
      </c>
      <c r="B1854" t="s">
        <v>3830</v>
      </c>
      <c r="C1854" t="s">
        <v>409</v>
      </c>
      <c r="D1854" t="s">
        <v>52</v>
      </c>
      <c r="E1854" t="s">
        <v>507</v>
      </c>
      <c r="G1854" t="str">
        <f>HYPERLINK(_xlfn.CONCAT("https://tablet.otzar.org/",CHAR(35),"/book/655009/p/-1/t/1/fs/0/start/0/end/0/c"),"יקרא דחיי ויקרא דשכבי")</f>
        <v>יקרא דחיי ויקרא דשכבי</v>
      </c>
      <c r="H1854" t="str">
        <f>_xlfn.CONCAT("https://tablet.otzar.org/",CHAR(35),"/book/655009/p/-1/t/1/fs/0/start/0/end/0/c")</f>
        <v>https://tablet.otzar.org/#/book/655009/p/-1/t/1/fs/0/start/0/end/0/c</v>
      </c>
    </row>
    <row r="1855" spans="1:8" x14ac:dyDescent="0.25">
      <c r="A1855">
        <v>651913</v>
      </c>
      <c r="B1855" t="s">
        <v>3831</v>
      </c>
      <c r="C1855" t="s">
        <v>3832</v>
      </c>
      <c r="D1855" t="s">
        <v>3833</v>
      </c>
      <c r="E1855" t="s">
        <v>3834</v>
      </c>
      <c r="G1855" t="str">
        <f>HYPERLINK(_xlfn.CONCAT("https://tablet.otzar.org/",CHAR(35),"/book/651913/p/-1/t/1/fs/0/start/0/end/0/c"),"יקרא דחיי""""ם")</f>
        <v>יקרא דחיי""ם</v>
      </c>
      <c r="H1855" t="str">
        <f>_xlfn.CONCAT("https://tablet.otzar.org/",CHAR(35),"/book/651913/p/-1/t/1/fs/0/start/0/end/0/c")</f>
        <v>https://tablet.otzar.org/#/book/651913/p/-1/t/1/fs/0/start/0/end/0/c</v>
      </c>
    </row>
    <row r="1856" spans="1:8" x14ac:dyDescent="0.25">
      <c r="A1856">
        <v>648941</v>
      </c>
      <c r="B1856" t="s">
        <v>3835</v>
      </c>
      <c r="C1856" t="s">
        <v>3836</v>
      </c>
      <c r="D1856" t="s">
        <v>606</v>
      </c>
      <c r="E1856" t="s">
        <v>670</v>
      </c>
      <c r="G1856" t="str">
        <f>HYPERLINK(_xlfn.CONCAT("https://tablet.otzar.org/",CHAR(35),"/book/648941/p/-1/t/1/fs/0/start/0/end/0/c"),"יקרה היא מפנינים")</f>
        <v>יקרה היא מפנינים</v>
      </c>
      <c r="H1856" t="str">
        <f>_xlfn.CONCAT("https://tablet.otzar.org/",CHAR(35),"/book/648941/p/-1/t/1/fs/0/start/0/end/0/c")</f>
        <v>https://tablet.otzar.org/#/book/648941/p/-1/t/1/fs/0/start/0/end/0/c</v>
      </c>
    </row>
    <row r="1857" spans="1:8" x14ac:dyDescent="0.25">
      <c r="A1857">
        <v>654921</v>
      </c>
      <c r="B1857" t="s">
        <v>3837</v>
      </c>
      <c r="C1857" t="s">
        <v>3838</v>
      </c>
      <c r="D1857" t="s">
        <v>10</v>
      </c>
      <c r="E1857" t="s">
        <v>3123</v>
      </c>
      <c r="G1857" t="str">
        <f>HYPERLINK(_xlfn.CONCAT("https://tablet.otzar.org/",CHAR(35),"/exKotar/654921"),"יקרות כתב סופר - 2 כרכים")</f>
        <v>יקרות כתב סופר - 2 כרכים</v>
      </c>
      <c r="H1857" t="str">
        <f>_xlfn.CONCAT("https://tablet.otzar.org/",CHAR(35),"/exKotar/654921")</f>
        <v>https://tablet.otzar.org/#/exKotar/654921</v>
      </c>
    </row>
    <row r="1858" spans="1:8" x14ac:dyDescent="0.25">
      <c r="A1858">
        <v>651097</v>
      </c>
      <c r="B1858" t="s">
        <v>3839</v>
      </c>
      <c r="C1858" t="s">
        <v>3840</v>
      </c>
      <c r="D1858" t="s">
        <v>510</v>
      </c>
      <c r="E1858" t="s">
        <v>710</v>
      </c>
      <c r="G1858" t="str">
        <f>HYPERLINK(_xlfn.CONCAT("https://tablet.otzar.org/",CHAR(35),"/exKotar/651097"),"ירבה תורה - 2 כרכים")</f>
        <v>ירבה תורה - 2 כרכים</v>
      </c>
      <c r="H1858" t="str">
        <f>_xlfn.CONCAT("https://tablet.otzar.org/",CHAR(35),"/exKotar/651097")</f>
        <v>https://tablet.otzar.org/#/exKotar/651097</v>
      </c>
    </row>
    <row r="1859" spans="1:8" x14ac:dyDescent="0.25">
      <c r="A1859">
        <v>649029</v>
      </c>
      <c r="B1859" t="s">
        <v>3841</v>
      </c>
      <c r="C1859" t="s">
        <v>3842</v>
      </c>
      <c r="D1859" t="s">
        <v>951</v>
      </c>
      <c r="E1859" t="s">
        <v>11</v>
      </c>
      <c r="G1859" t="str">
        <f>HYPERLINK(_xlfn.CONCAT("https://tablet.otzar.org/",CHAR(35),"/book/649029/p/-1/t/1/fs/0/start/0/end/0/c"),"ירוץ דברו - ב")</f>
        <v>ירוץ דברו - ב</v>
      </c>
      <c r="H1859" t="str">
        <f>_xlfn.CONCAT("https://tablet.otzar.org/",CHAR(35),"/book/649029/p/-1/t/1/fs/0/start/0/end/0/c")</f>
        <v>https://tablet.otzar.org/#/book/649029/p/-1/t/1/fs/0/start/0/end/0/c</v>
      </c>
    </row>
    <row r="1860" spans="1:8" x14ac:dyDescent="0.25">
      <c r="A1860">
        <v>13574</v>
      </c>
      <c r="B1860" t="s">
        <v>3843</v>
      </c>
      <c r="C1860" t="s">
        <v>3844</v>
      </c>
      <c r="E1860" t="s">
        <v>1189</v>
      </c>
      <c r="G1860" t="str">
        <f>HYPERLINK(_xlfn.CONCAT("https://tablet.otzar.org/",CHAR(35),"/book/13574/p/-1/t/1/fs/0/start/0/end/0/c"),"ירושלים והמקדש")</f>
        <v>ירושלים והמקדש</v>
      </c>
      <c r="H1860" t="str">
        <f>_xlfn.CONCAT("https://tablet.otzar.org/",CHAR(35),"/book/13574/p/-1/t/1/fs/0/start/0/end/0/c")</f>
        <v>https://tablet.otzar.org/#/book/13574/p/-1/t/1/fs/0/start/0/end/0/c</v>
      </c>
    </row>
    <row r="1861" spans="1:8" x14ac:dyDescent="0.25">
      <c r="A1861">
        <v>656120</v>
      </c>
      <c r="B1861" t="s">
        <v>3845</v>
      </c>
      <c r="C1861" t="s">
        <v>2438</v>
      </c>
      <c r="D1861" t="s">
        <v>52</v>
      </c>
      <c r="E1861" t="s">
        <v>657</v>
      </c>
      <c r="G1861" t="str">
        <f>HYPERLINK(_xlfn.CONCAT("https://tablet.otzar.org/",CHAR(35),"/book/656120/p/-1/t/1/fs/0/start/0/end/0/c"),"ירח האיתנים")</f>
        <v>ירח האיתנים</v>
      </c>
      <c r="H1861" t="str">
        <f>_xlfn.CONCAT("https://tablet.otzar.org/",CHAR(35),"/book/656120/p/-1/t/1/fs/0/start/0/end/0/c")</f>
        <v>https://tablet.otzar.org/#/book/656120/p/-1/t/1/fs/0/start/0/end/0/c</v>
      </c>
    </row>
    <row r="1862" spans="1:8" x14ac:dyDescent="0.25">
      <c r="A1862">
        <v>653525</v>
      </c>
      <c r="B1862" t="s">
        <v>3846</v>
      </c>
      <c r="C1862" t="s">
        <v>3847</v>
      </c>
      <c r="D1862" t="s">
        <v>34</v>
      </c>
      <c r="E1862" t="s">
        <v>11</v>
      </c>
      <c r="G1862" t="str">
        <f>HYPERLINK(_xlfn.CONCAT("https://tablet.otzar.org/",CHAR(35),"/book/653525/p/-1/t/1/fs/0/start/0/end/0/c"),"ירחון בית רוז'ין - כה")</f>
        <v>ירחון בית רוז'ין - כה</v>
      </c>
      <c r="H1862" t="str">
        <f>_xlfn.CONCAT("https://tablet.otzar.org/",CHAR(35),"/book/653525/p/-1/t/1/fs/0/start/0/end/0/c")</f>
        <v>https://tablet.otzar.org/#/book/653525/p/-1/t/1/fs/0/start/0/end/0/c</v>
      </c>
    </row>
    <row r="1863" spans="1:8" x14ac:dyDescent="0.25">
      <c r="A1863">
        <v>652888</v>
      </c>
      <c r="B1863" t="s">
        <v>3848</v>
      </c>
      <c r="C1863" t="s">
        <v>3244</v>
      </c>
      <c r="D1863" t="s">
        <v>34</v>
      </c>
      <c r="E1863" t="s">
        <v>35</v>
      </c>
      <c r="G1863" t="str">
        <f>HYPERLINK(_xlfn.CONCAT("https://tablet.otzar.org/",CHAR(35),"/exKotar/652888"),"ירחון האוצר - 12 כרכים")</f>
        <v>ירחון האוצר - 12 כרכים</v>
      </c>
      <c r="H1863" t="str">
        <f>_xlfn.CONCAT("https://tablet.otzar.org/",CHAR(35),"/exKotar/652888")</f>
        <v>https://tablet.otzar.org/#/exKotar/652888</v>
      </c>
    </row>
    <row r="1864" spans="1:8" x14ac:dyDescent="0.25">
      <c r="A1864">
        <v>649207</v>
      </c>
      <c r="B1864" t="s">
        <v>3849</v>
      </c>
      <c r="C1864" t="s">
        <v>3850</v>
      </c>
      <c r="E1864" t="s">
        <v>35</v>
      </c>
      <c r="G1864" t="str">
        <f>HYPERLINK(_xlfn.CONCAT("https://tablet.otzar.org/",CHAR(35),"/book/649207/p/-1/t/1/fs/0/start/0/end/0/c"),"ירחים מבורכים")</f>
        <v>ירחים מבורכים</v>
      </c>
      <c r="H1864" t="str">
        <f>_xlfn.CONCAT("https://tablet.otzar.org/",CHAR(35),"/book/649207/p/-1/t/1/fs/0/start/0/end/0/c")</f>
        <v>https://tablet.otzar.org/#/book/649207/p/-1/t/1/fs/0/start/0/end/0/c</v>
      </c>
    </row>
    <row r="1865" spans="1:8" x14ac:dyDescent="0.25">
      <c r="A1865">
        <v>652003</v>
      </c>
      <c r="B1865" t="s">
        <v>3851</v>
      </c>
      <c r="C1865" t="s">
        <v>3690</v>
      </c>
      <c r="D1865" t="s">
        <v>10</v>
      </c>
      <c r="E1865" t="s">
        <v>111</v>
      </c>
      <c r="G1865" t="str">
        <f>HYPERLINK(_xlfn.CONCAT("https://tablet.otzar.org/",CHAR(35),"/book/652003/p/-1/t/1/fs/0/start/0/end/0/c"),"ירים משה")</f>
        <v>ירים משה</v>
      </c>
      <c r="H1865" t="str">
        <f>_xlfn.CONCAT("https://tablet.otzar.org/",CHAR(35),"/book/652003/p/-1/t/1/fs/0/start/0/end/0/c")</f>
        <v>https://tablet.otzar.org/#/book/652003/p/-1/t/1/fs/0/start/0/end/0/c</v>
      </c>
    </row>
    <row r="1866" spans="1:8" x14ac:dyDescent="0.25">
      <c r="A1866">
        <v>646758</v>
      </c>
      <c r="B1866" t="s">
        <v>3852</v>
      </c>
      <c r="C1866" t="s">
        <v>3853</v>
      </c>
      <c r="D1866" t="s">
        <v>10</v>
      </c>
      <c r="E1866" t="s">
        <v>237</v>
      </c>
      <c r="G1866" t="str">
        <f>HYPERLINK(_xlfn.CONCAT("https://tablet.otzar.org/",CHAR(35),"/book/646758/p/-1/t/1/fs/0/start/0/end/0/c"),"יריעות אהרן")</f>
        <v>יריעות אהרן</v>
      </c>
      <c r="H1866" t="str">
        <f>_xlfn.CONCAT("https://tablet.otzar.org/",CHAR(35),"/book/646758/p/-1/t/1/fs/0/start/0/end/0/c")</f>
        <v>https://tablet.otzar.org/#/book/646758/p/-1/t/1/fs/0/start/0/end/0/c</v>
      </c>
    </row>
    <row r="1867" spans="1:8" x14ac:dyDescent="0.25">
      <c r="A1867">
        <v>651224</v>
      </c>
      <c r="B1867" t="s">
        <v>3854</v>
      </c>
      <c r="C1867" t="s">
        <v>614</v>
      </c>
      <c r="D1867" t="s">
        <v>139</v>
      </c>
      <c r="E1867" t="s">
        <v>11</v>
      </c>
      <c r="G1867" t="str">
        <f>HYPERLINK(_xlfn.CONCAT("https://tablet.otzar.org/",CHAR(35),"/book/651224/p/-1/t/1/fs/0/start/0/end/0/c"),"יריעות שלמה &lt;על ביאור הגר""""א&gt; - הלכות תערובות")</f>
        <v>יריעות שלמה &lt;על ביאור הגר""א&gt; - הלכות תערובות</v>
      </c>
      <c r="H1867" t="str">
        <f>_xlfn.CONCAT("https://tablet.otzar.org/",CHAR(35),"/book/651224/p/-1/t/1/fs/0/start/0/end/0/c")</f>
        <v>https://tablet.otzar.org/#/book/651224/p/-1/t/1/fs/0/start/0/end/0/c</v>
      </c>
    </row>
    <row r="1868" spans="1:8" x14ac:dyDescent="0.25">
      <c r="A1868">
        <v>655073</v>
      </c>
      <c r="B1868" t="s">
        <v>3855</v>
      </c>
      <c r="C1868" t="s">
        <v>614</v>
      </c>
      <c r="D1868" t="s">
        <v>10</v>
      </c>
      <c r="E1868" t="s">
        <v>35</v>
      </c>
      <c r="G1868" t="str">
        <f>HYPERLINK(_xlfn.CONCAT("https://tablet.otzar.org/",CHAR(35),"/book/655073/p/-1/t/1/fs/0/start/0/end/0/c"),"יש מנהיג לעולם")</f>
        <v>יש מנהיג לעולם</v>
      </c>
      <c r="H1868" t="str">
        <f>_xlfn.CONCAT("https://tablet.otzar.org/",CHAR(35),"/book/655073/p/-1/t/1/fs/0/start/0/end/0/c")</f>
        <v>https://tablet.otzar.org/#/book/655073/p/-1/t/1/fs/0/start/0/end/0/c</v>
      </c>
    </row>
    <row r="1869" spans="1:8" x14ac:dyDescent="0.25">
      <c r="A1869">
        <v>649015</v>
      </c>
      <c r="B1869" t="s">
        <v>3856</v>
      </c>
      <c r="C1869" t="s">
        <v>3857</v>
      </c>
      <c r="D1869" t="s">
        <v>10</v>
      </c>
      <c r="E1869" t="s">
        <v>35</v>
      </c>
      <c r="G1869" t="str">
        <f>HYPERLINK(_xlfn.CONCAT("https://tablet.otzar.org/",CHAR(35),"/book/649015/p/-1/t/1/fs/0/start/0/end/0/c"),"ישא יוסף - או""""ח ד")</f>
        <v>ישא יוסף - או""ח ד</v>
      </c>
      <c r="H1869" t="str">
        <f>_xlfn.CONCAT("https://tablet.otzar.org/",CHAR(35),"/book/649015/p/-1/t/1/fs/0/start/0/end/0/c")</f>
        <v>https://tablet.otzar.org/#/book/649015/p/-1/t/1/fs/0/start/0/end/0/c</v>
      </c>
    </row>
    <row r="1870" spans="1:8" x14ac:dyDescent="0.25">
      <c r="A1870">
        <v>649138</v>
      </c>
      <c r="B1870" t="s">
        <v>3858</v>
      </c>
      <c r="C1870" t="s">
        <v>3859</v>
      </c>
      <c r="D1870" t="s">
        <v>3860</v>
      </c>
      <c r="E1870" t="s">
        <v>3861</v>
      </c>
      <c r="G1870" t="str">
        <f>HYPERLINK(_xlfn.CONCAT("https://tablet.otzar.org/",CHAR(35),"/book/649138/p/-1/t/1/fs/0/start/0/end/0/c"),"ישועות יעקב - תורה")</f>
        <v>ישועות יעקב - תורה</v>
      </c>
      <c r="H1870" t="str">
        <f>_xlfn.CONCAT("https://tablet.otzar.org/",CHAR(35),"/book/649138/p/-1/t/1/fs/0/start/0/end/0/c")</f>
        <v>https://tablet.otzar.org/#/book/649138/p/-1/t/1/fs/0/start/0/end/0/c</v>
      </c>
    </row>
    <row r="1871" spans="1:8" x14ac:dyDescent="0.25">
      <c r="A1871">
        <v>654357</v>
      </c>
      <c r="B1871" t="s">
        <v>3862</v>
      </c>
      <c r="C1871" t="s">
        <v>3863</v>
      </c>
      <c r="D1871" t="s">
        <v>52</v>
      </c>
      <c r="E1871" t="s">
        <v>11</v>
      </c>
      <c r="G1871" t="str">
        <f>HYPERLINK(_xlfn.CONCAT("https://tablet.otzar.org/",CHAR(35),"/exKotar/654357"),"ישועות כהן - 3 כרכים")</f>
        <v>ישועות כהן - 3 כרכים</v>
      </c>
      <c r="H1871" t="str">
        <f>_xlfn.CONCAT("https://tablet.otzar.org/",CHAR(35),"/exKotar/654357")</f>
        <v>https://tablet.otzar.org/#/exKotar/654357</v>
      </c>
    </row>
    <row r="1872" spans="1:8" x14ac:dyDescent="0.25">
      <c r="A1872">
        <v>655519</v>
      </c>
      <c r="B1872" t="s">
        <v>3864</v>
      </c>
      <c r="C1872" t="s">
        <v>2953</v>
      </c>
      <c r="D1872" t="s">
        <v>52</v>
      </c>
      <c r="E1872" t="s">
        <v>84</v>
      </c>
      <c r="G1872" t="str">
        <f>HYPERLINK(_xlfn.CONCAT("https://tablet.otzar.org/",CHAR(35),"/exKotar/655519"),"ישועות משה - 5 כרכים")</f>
        <v>ישועות משה - 5 כרכים</v>
      </c>
      <c r="H1872" t="str">
        <f>_xlfn.CONCAT("https://tablet.otzar.org/",CHAR(35),"/exKotar/655519")</f>
        <v>https://tablet.otzar.org/#/exKotar/655519</v>
      </c>
    </row>
    <row r="1873" spans="1:8" x14ac:dyDescent="0.25">
      <c r="A1873">
        <v>643175</v>
      </c>
      <c r="B1873" t="s">
        <v>3865</v>
      </c>
      <c r="C1873" t="s">
        <v>3866</v>
      </c>
      <c r="D1873" t="s">
        <v>52</v>
      </c>
      <c r="E1873" t="s">
        <v>337</v>
      </c>
      <c r="G1873" t="str">
        <f>HYPERLINK(_xlfn.CONCAT("https://tablet.otzar.org/",CHAR(35),"/book/643175/p/-1/t/1/fs/0/start/0/end/0/c"),"ישורון - לא")</f>
        <v>ישורון - לא</v>
      </c>
      <c r="H1873" t="str">
        <f>_xlfn.CONCAT("https://tablet.otzar.org/",CHAR(35),"/book/643175/p/-1/t/1/fs/0/start/0/end/0/c")</f>
        <v>https://tablet.otzar.org/#/book/643175/p/-1/t/1/fs/0/start/0/end/0/c</v>
      </c>
    </row>
    <row r="1874" spans="1:8" x14ac:dyDescent="0.25">
      <c r="A1874">
        <v>656825</v>
      </c>
      <c r="B1874" t="s">
        <v>3867</v>
      </c>
      <c r="C1874" t="s">
        <v>1116</v>
      </c>
      <c r="D1874" t="s">
        <v>10</v>
      </c>
      <c r="E1874" t="s">
        <v>35</v>
      </c>
      <c r="G1874" t="str">
        <f>HYPERLINK(_xlfn.CONCAT("https://tablet.otzar.org/",CHAR(35),"/exKotar/656825"),"ישורון - 2 כרכים")</f>
        <v>ישורון - 2 כרכים</v>
      </c>
      <c r="H1874" t="str">
        <f>_xlfn.CONCAT("https://tablet.otzar.org/",CHAR(35),"/exKotar/656825")</f>
        <v>https://tablet.otzar.org/#/exKotar/656825</v>
      </c>
    </row>
    <row r="1875" spans="1:8" x14ac:dyDescent="0.25">
      <c r="A1875">
        <v>647425</v>
      </c>
      <c r="B1875" t="s">
        <v>3868</v>
      </c>
      <c r="C1875" t="s">
        <v>3869</v>
      </c>
      <c r="D1875" t="s">
        <v>52</v>
      </c>
      <c r="E1875" t="s">
        <v>2368</v>
      </c>
      <c r="G1875" t="str">
        <f>HYPERLINK(_xlfn.CONCAT("https://tablet.otzar.org/",CHAR(35),"/exKotar/647425"),"ישורון - 11 כרכים")</f>
        <v>ישורון - 11 כרכים</v>
      </c>
      <c r="H1875" t="str">
        <f>_xlfn.CONCAT("https://tablet.otzar.org/",CHAR(35),"/exKotar/647425")</f>
        <v>https://tablet.otzar.org/#/exKotar/647425</v>
      </c>
    </row>
    <row r="1876" spans="1:8" x14ac:dyDescent="0.25">
      <c r="A1876">
        <v>649184</v>
      </c>
      <c r="B1876" t="s">
        <v>3870</v>
      </c>
      <c r="C1876" t="s">
        <v>3871</v>
      </c>
      <c r="D1876" t="s">
        <v>88</v>
      </c>
      <c r="E1876" t="s">
        <v>89</v>
      </c>
      <c r="G1876" t="str">
        <f>HYPERLINK(_xlfn.CONCAT("https://tablet.otzar.org/",CHAR(35),"/book/649184/p/-1/t/1/fs/0/start/0/end/0/c"),"ישיבת הארץ")</f>
        <v>ישיבת הארץ</v>
      </c>
      <c r="H1876" t="str">
        <f>_xlfn.CONCAT("https://tablet.otzar.org/",CHAR(35),"/book/649184/p/-1/t/1/fs/0/start/0/end/0/c")</f>
        <v>https://tablet.otzar.org/#/book/649184/p/-1/t/1/fs/0/start/0/end/0/c</v>
      </c>
    </row>
    <row r="1877" spans="1:8" x14ac:dyDescent="0.25">
      <c r="A1877">
        <v>649228</v>
      </c>
      <c r="B1877" t="s">
        <v>3872</v>
      </c>
      <c r="C1877" t="s">
        <v>3873</v>
      </c>
      <c r="E1877" t="s">
        <v>117</v>
      </c>
      <c r="G1877" t="str">
        <f>HYPERLINK(_xlfn.CONCAT("https://tablet.otzar.org/",CHAR(35),"/book/649228/p/-1/t/1/fs/0/start/0/end/0/c"),"ישכילו זאת")</f>
        <v>ישכילו זאת</v>
      </c>
      <c r="H1877" t="str">
        <f>_xlfn.CONCAT("https://tablet.otzar.org/",CHAR(35),"/book/649228/p/-1/t/1/fs/0/start/0/end/0/c")</f>
        <v>https://tablet.otzar.org/#/book/649228/p/-1/t/1/fs/0/start/0/end/0/c</v>
      </c>
    </row>
    <row r="1878" spans="1:8" x14ac:dyDescent="0.25">
      <c r="A1878">
        <v>647546</v>
      </c>
      <c r="B1878" t="s">
        <v>3874</v>
      </c>
      <c r="C1878" t="s">
        <v>3875</v>
      </c>
      <c r="D1878" t="s">
        <v>34</v>
      </c>
      <c r="E1878" t="s">
        <v>84</v>
      </c>
      <c r="G1878" t="str">
        <f>HYPERLINK(_xlfn.CONCAT("https://tablet.otzar.org/",CHAR(35),"/book/647546/p/-1/t/1/fs/0/start/0/end/0/c"),"ישכר באהליך")</f>
        <v>ישכר באהליך</v>
      </c>
      <c r="H1878" t="str">
        <f>_xlfn.CONCAT("https://tablet.otzar.org/",CHAR(35),"/book/647546/p/-1/t/1/fs/0/start/0/end/0/c")</f>
        <v>https://tablet.otzar.org/#/book/647546/p/-1/t/1/fs/0/start/0/end/0/c</v>
      </c>
    </row>
    <row r="1879" spans="1:8" x14ac:dyDescent="0.25">
      <c r="A1879">
        <v>652962</v>
      </c>
      <c r="B1879" t="s">
        <v>3876</v>
      </c>
      <c r="C1879" t="s">
        <v>3877</v>
      </c>
      <c r="E1879" t="s">
        <v>11</v>
      </c>
      <c r="G1879" t="str">
        <f>HYPERLINK(_xlfn.CONCAT("https://tablet.otzar.org/",CHAR(35),"/exKotar/652962"),"ישמח אב - 3 כרכים")</f>
        <v>ישמח אב - 3 כרכים</v>
      </c>
      <c r="H1879" t="str">
        <f>_xlfn.CONCAT("https://tablet.otzar.org/",CHAR(35),"/exKotar/652962")</f>
        <v>https://tablet.otzar.org/#/exKotar/652962</v>
      </c>
    </row>
    <row r="1880" spans="1:8" x14ac:dyDescent="0.25">
      <c r="A1880">
        <v>649849</v>
      </c>
      <c r="B1880" t="s">
        <v>3878</v>
      </c>
      <c r="C1880" t="s">
        <v>3879</v>
      </c>
      <c r="E1880" t="s">
        <v>11</v>
      </c>
      <c r="G1880" t="str">
        <f>HYPERLINK(_xlfn.CONCAT("https://tablet.otzar.org/",CHAR(35),"/book/649849/p/-1/t/1/fs/0/start/0/end/0/c"),"ישמח לבי - עירובין")</f>
        <v>ישמח לבי - עירובין</v>
      </c>
      <c r="H1880" t="str">
        <f>_xlfn.CONCAT("https://tablet.otzar.org/",CHAR(35),"/book/649849/p/-1/t/1/fs/0/start/0/end/0/c")</f>
        <v>https://tablet.otzar.org/#/book/649849/p/-1/t/1/fs/0/start/0/end/0/c</v>
      </c>
    </row>
    <row r="1881" spans="1:8" x14ac:dyDescent="0.25">
      <c r="A1881">
        <v>652509</v>
      </c>
      <c r="B1881" t="s">
        <v>3880</v>
      </c>
      <c r="C1881" t="s">
        <v>3881</v>
      </c>
      <c r="D1881" t="s">
        <v>10</v>
      </c>
      <c r="E1881" t="s">
        <v>11</v>
      </c>
      <c r="G1881" t="str">
        <f>HYPERLINK(_xlfn.CONCAT("https://tablet.otzar.org/",CHAR(35),"/exKotar/652509"),"ישמרו דעת - 2 כרכים")</f>
        <v>ישמרו דעת - 2 כרכים</v>
      </c>
      <c r="H1881" t="str">
        <f>_xlfn.CONCAT("https://tablet.otzar.org/",CHAR(35),"/exKotar/652509")</f>
        <v>https://tablet.otzar.org/#/exKotar/652509</v>
      </c>
    </row>
    <row r="1882" spans="1:8" x14ac:dyDescent="0.25">
      <c r="A1882">
        <v>653324</v>
      </c>
      <c r="B1882" t="s">
        <v>3882</v>
      </c>
      <c r="C1882" t="s">
        <v>1643</v>
      </c>
      <c r="E1882" t="s">
        <v>161</v>
      </c>
      <c r="G1882" t="str">
        <f>HYPERLINK(_xlfn.CONCAT("https://tablet.otzar.org/",CHAR(35),"/exKotar/653324"),"ישע ימינו - 2 כרכים")</f>
        <v>ישע ימינו - 2 כרכים</v>
      </c>
      <c r="H1882" t="str">
        <f>_xlfn.CONCAT("https://tablet.otzar.org/",CHAR(35),"/exKotar/653324")</f>
        <v>https://tablet.otzar.org/#/exKotar/653324</v>
      </c>
    </row>
    <row r="1883" spans="1:8" x14ac:dyDescent="0.25">
      <c r="A1883">
        <v>650296</v>
      </c>
      <c r="B1883" t="s">
        <v>3883</v>
      </c>
      <c r="C1883" t="s">
        <v>3884</v>
      </c>
      <c r="E1883" t="s">
        <v>11</v>
      </c>
      <c r="G1883" t="str">
        <f>HYPERLINK(_xlfn.CONCAT("https://tablet.otzar.org/",CHAR(35),"/exKotar/650296"),"ישר יחזו פנימו - 2 כרכים")</f>
        <v>ישר יחזו פנימו - 2 כרכים</v>
      </c>
      <c r="H1883" t="str">
        <f>_xlfn.CONCAT("https://tablet.otzar.org/",CHAR(35),"/exKotar/650296")</f>
        <v>https://tablet.otzar.org/#/exKotar/650296</v>
      </c>
    </row>
    <row r="1884" spans="1:8" x14ac:dyDescent="0.25">
      <c r="A1884">
        <v>648804</v>
      </c>
      <c r="B1884" t="s">
        <v>3885</v>
      </c>
      <c r="C1884" t="s">
        <v>3886</v>
      </c>
      <c r="E1884" t="s">
        <v>191</v>
      </c>
      <c r="G1884" t="str">
        <f>HYPERLINK(_xlfn.CONCAT("https://tablet.otzar.org/",CHAR(35),"/book/648804/p/-1/t/1/fs/0/start/0/end/0/c"),"ישראל 70")</f>
        <v>ישראל 70</v>
      </c>
      <c r="H1884" t="str">
        <f>_xlfn.CONCAT("https://tablet.otzar.org/",CHAR(35),"/book/648804/p/-1/t/1/fs/0/start/0/end/0/c")</f>
        <v>https://tablet.otzar.org/#/book/648804/p/-1/t/1/fs/0/start/0/end/0/c</v>
      </c>
    </row>
    <row r="1885" spans="1:8" x14ac:dyDescent="0.25">
      <c r="A1885">
        <v>651029</v>
      </c>
      <c r="B1885" t="s">
        <v>3887</v>
      </c>
      <c r="C1885" t="s">
        <v>2939</v>
      </c>
      <c r="E1885" t="s">
        <v>352</v>
      </c>
      <c r="G1885" t="str">
        <f>HYPERLINK(_xlfn.CONCAT("https://tablet.otzar.org/",CHAR(35),"/book/651029/p/-1/t/1/fs/0/start/0/end/0/c"),"ישראל ערבים")</f>
        <v>ישראל ערבים</v>
      </c>
      <c r="H1885" t="str">
        <f>_xlfn.CONCAT("https://tablet.otzar.org/",CHAR(35),"/book/651029/p/-1/t/1/fs/0/start/0/end/0/c")</f>
        <v>https://tablet.otzar.org/#/book/651029/p/-1/t/1/fs/0/start/0/end/0/c</v>
      </c>
    </row>
    <row r="1886" spans="1:8" x14ac:dyDescent="0.25">
      <c r="A1886">
        <v>654565</v>
      </c>
      <c r="B1886" t="s">
        <v>3888</v>
      </c>
      <c r="C1886" t="s">
        <v>3889</v>
      </c>
      <c r="E1886" t="s">
        <v>35</v>
      </c>
      <c r="G1886" t="str">
        <f>HYPERLINK(_xlfn.CONCAT("https://tablet.otzar.org/",CHAR(35),"/book/654565/p/-1/t/1/fs/0/start/0/end/0/c"),"ישרי לב - ג")</f>
        <v>ישרי לב - ג</v>
      </c>
      <c r="H1886" t="str">
        <f>_xlfn.CONCAT("https://tablet.otzar.org/",CHAR(35),"/book/654565/p/-1/t/1/fs/0/start/0/end/0/c")</f>
        <v>https://tablet.otzar.org/#/book/654565/p/-1/t/1/fs/0/start/0/end/0/c</v>
      </c>
    </row>
    <row r="1887" spans="1:8" x14ac:dyDescent="0.25">
      <c r="A1887">
        <v>653745</v>
      </c>
      <c r="B1887" t="s">
        <v>3890</v>
      </c>
      <c r="C1887" t="s">
        <v>2131</v>
      </c>
      <c r="D1887" t="s">
        <v>2132</v>
      </c>
      <c r="E1887" t="s">
        <v>11</v>
      </c>
      <c r="G1887" t="str">
        <f>HYPERLINK(_xlfn.CONCAT("https://tablet.otzar.org/",CHAR(35),"/book/653745/p/-1/t/1/fs/0/start/0/end/0/c"),"ישרים דרכי ה'")</f>
        <v>ישרים דרכי ה'</v>
      </c>
      <c r="H1887" t="str">
        <f>_xlfn.CONCAT("https://tablet.otzar.org/",CHAR(35),"/book/653745/p/-1/t/1/fs/0/start/0/end/0/c")</f>
        <v>https://tablet.otzar.org/#/book/653745/p/-1/t/1/fs/0/start/0/end/0/c</v>
      </c>
    </row>
    <row r="1888" spans="1:8" x14ac:dyDescent="0.25">
      <c r="A1888">
        <v>648783</v>
      </c>
      <c r="B1888" t="s">
        <v>3891</v>
      </c>
      <c r="C1888" t="s">
        <v>3892</v>
      </c>
      <c r="D1888" t="s">
        <v>10</v>
      </c>
      <c r="E1888" t="s">
        <v>11</v>
      </c>
      <c r="G1888" t="str">
        <f>HYPERLINK(_xlfn.CONCAT("https://tablet.otzar.org/",CHAR(35),"/book/648783/p/-1/t/1/fs/0/start/0/end/0/c"),"ישרש יעקב - תורה וסוגיות הש""""ס")</f>
        <v>ישרש יעקב - תורה וסוגיות הש""ס</v>
      </c>
      <c r="H1888" t="str">
        <f>_xlfn.CONCAT("https://tablet.otzar.org/",CHAR(35),"/book/648783/p/-1/t/1/fs/0/start/0/end/0/c")</f>
        <v>https://tablet.otzar.org/#/book/648783/p/-1/t/1/fs/0/start/0/end/0/c</v>
      </c>
    </row>
    <row r="1889" spans="1:8" x14ac:dyDescent="0.25">
      <c r="A1889">
        <v>652745</v>
      </c>
      <c r="B1889" t="s">
        <v>3893</v>
      </c>
      <c r="C1889" t="s">
        <v>3894</v>
      </c>
      <c r="D1889" t="s">
        <v>319</v>
      </c>
      <c r="E1889" t="s">
        <v>213</v>
      </c>
      <c r="G1889" t="str">
        <f>HYPERLINK(_xlfn.CONCAT("https://tablet.otzar.org/",CHAR(35),"/book/652745/p/-1/t/1/fs/0/start/0/end/0/c"),"יתד המאיר - 172")</f>
        <v>יתד המאיר - 172</v>
      </c>
      <c r="H1889" t="str">
        <f>_xlfn.CONCAT("https://tablet.otzar.org/",CHAR(35),"/book/652745/p/-1/t/1/fs/0/start/0/end/0/c")</f>
        <v>https://tablet.otzar.org/#/book/652745/p/-1/t/1/fs/0/start/0/end/0/c</v>
      </c>
    </row>
    <row r="1890" spans="1:8" x14ac:dyDescent="0.25">
      <c r="A1890">
        <v>647878</v>
      </c>
      <c r="B1890" t="s">
        <v>3895</v>
      </c>
      <c r="C1890" t="s">
        <v>1927</v>
      </c>
      <c r="D1890" t="s">
        <v>34</v>
      </c>
      <c r="E1890" t="s">
        <v>70</v>
      </c>
      <c r="G1890" t="str">
        <f>HYPERLINK(_xlfn.CONCAT("https://tablet.otzar.org/",CHAR(35),"/book/647878/p/-1/t/1/fs/0/start/0/end/0/c"),"יתרון האור")</f>
        <v>יתרון האור</v>
      </c>
      <c r="H1890" t="str">
        <f>_xlfn.CONCAT("https://tablet.otzar.org/",CHAR(35),"/book/647878/p/-1/t/1/fs/0/start/0/end/0/c")</f>
        <v>https://tablet.otzar.org/#/book/647878/p/-1/t/1/fs/0/start/0/end/0/c</v>
      </c>
    </row>
    <row r="1891" spans="1:8" x14ac:dyDescent="0.25">
      <c r="A1891">
        <v>654162</v>
      </c>
      <c r="B1891" t="s">
        <v>3896</v>
      </c>
      <c r="C1891" t="s">
        <v>215</v>
      </c>
      <c r="D1891" t="s">
        <v>52</v>
      </c>
      <c r="E1891" t="s">
        <v>11</v>
      </c>
      <c r="G1891" t="str">
        <f>HYPERLINK(_xlfn.CONCAT("https://tablet.otzar.org/",CHAR(35),"/book/654162/p/-1/t/1/fs/0/start/0/end/0/c"),"יתרון החכם")</f>
        <v>יתרון החכם</v>
      </c>
      <c r="H1891" t="str">
        <f>_xlfn.CONCAT("https://tablet.otzar.org/",CHAR(35),"/book/654162/p/-1/t/1/fs/0/start/0/end/0/c")</f>
        <v>https://tablet.otzar.org/#/book/654162/p/-1/t/1/fs/0/start/0/end/0/c</v>
      </c>
    </row>
    <row r="1892" spans="1:8" x14ac:dyDescent="0.25">
      <c r="A1892">
        <v>654021</v>
      </c>
      <c r="B1892" t="s">
        <v>3897</v>
      </c>
      <c r="C1892" t="s">
        <v>1748</v>
      </c>
      <c r="D1892" t="s">
        <v>34</v>
      </c>
      <c r="E1892" t="s">
        <v>11</v>
      </c>
      <c r="G1892" t="str">
        <f>HYPERLINK(_xlfn.CONCAT("https://tablet.otzar.org/",CHAR(35),"/book/654021/p/-1/t/1/fs/0/start/0/end/0/c"),"כ""""ג נידונים בענייני שתי הלחם")</f>
        <v>כ""ג נידונים בענייני שתי הלחם</v>
      </c>
      <c r="H1892" t="str">
        <f>_xlfn.CONCAT("https://tablet.otzar.org/",CHAR(35),"/book/654021/p/-1/t/1/fs/0/start/0/end/0/c")</f>
        <v>https://tablet.otzar.org/#/book/654021/p/-1/t/1/fs/0/start/0/end/0/c</v>
      </c>
    </row>
    <row r="1893" spans="1:8" x14ac:dyDescent="0.25">
      <c r="A1893">
        <v>652768</v>
      </c>
      <c r="B1893" t="s">
        <v>3898</v>
      </c>
      <c r="C1893" t="s">
        <v>3899</v>
      </c>
      <c r="D1893" t="s">
        <v>347</v>
      </c>
      <c r="E1893" t="s">
        <v>11</v>
      </c>
      <c r="G1893" t="str">
        <f>HYPERLINK(_xlfn.CONCAT("https://tablet.otzar.org/",CHAR(35),"/exKotar/652768"),"כדונג נמסו - 6 כרכים")</f>
        <v>כדונג נמסו - 6 כרכים</v>
      </c>
      <c r="H1893" t="str">
        <f>_xlfn.CONCAT("https://tablet.otzar.org/",CHAR(35),"/exKotar/652768")</f>
        <v>https://tablet.otzar.org/#/exKotar/652768</v>
      </c>
    </row>
    <row r="1894" spans="1:8" x14ac:dyDescent="0.25">
      <c r="A1894">
        <v>651906</v>
      </c>
      <c r="B1894" t="s">
        <v>3900</v>
      </c>
      <c r="C1894" t="s">
        <v>3901</v>
      </c>
      <c r="D1894" t="s">
        <v>3902</v>
      </c>
      <c r="E1894" t="s">
        <v>70</v>
      </c>
      <c r="G1894" t="str">
        <f>HYPERLINK(_xlfn.CONCAT("https://tablet.otzar.org/",CHAR(35),"/book/651906/p/-1/t/1/fs/0/start/0/end/0/c"),"כדור קטן")</f>
        <v>כדור קטן</v>
      </c>
      <c r="H1894" t="str">
        <f>_xlfn.CONCAT("https://tablet.otzar.org/",CHAR(35),"/book/651906/p/-1/t/1/fs/0/start/0/end/0/c")</f>
        <v>https://tablet.otzar.org/#/book/651906/p/-1/t/1/fs/0/start/0/end/0/c</v>
      </c>
    </row>
    <row r="1895" spans="1:8" x14ac:dyDescent="0.25">
      <c r="A1895">
        <v>656174</v>
      </c>
      <c r="B1895" t="s">
        <v>3903</v>
      </c>
      <c r="C1895" t="s">
        <v>614</v>
      </c>
      <c r="D1895" t="s">
        <v>52</v>
      </c>
      <c r="E1895" t="s">
        <v>11</v>
      </c>
      <c r="G1895" t="str">
        <f>HYPERLINK(_xlfn.CONCAT("https://tablet.otzar.org/",CHAR(35),"/book/656174/p/-1/t/1/fs/0/start/0/end/0/c"),"כהונת ישראל")</f>
        <v>כהונת ישראל</v>
      </c>
      <c r="H1895" t="str">
        <f>_xlfn.CONCAT("https://tablet.otzar.org/",CHAR(35),"/book/656174/p/-1/t/1/fs/0/start/0/end/0/c")</f>
        <v>https://tablet.otzar.org/#/book/656174/p/-1/t/1/fs/0/start/0/end/0/c</v>
      </c>
    </row>
    <row r="1896" spans="1:8" x14ac:dyDescent="0.25">
      <c r="A1896">
        <v>654158</v>
      </c>
      <c r="B1896" t="s">
        <v>3904</v>
      </c>
      <c r="C1896" t="s">
        <v>3905</v>
      </c>
      <c r="D1896" t="s">
        <v>52</v>
      </c>
      <c r="E1896" t="s">
        <v>11</v>
      </c>
      <c r="G1896" t="str">
        <f>HYPERLINK(_xlfn.CONCAT("https://tablet.otzar.org/",CHAR(35),"/exKotar/654158"),"כוונת איש - 2 כרכים")</f>
        <v>כוונת איש - 2 כרכים</v>
      </c>
      <c r="H1896" t="str">
        <f>_xlfn.CONCAT("https://tablet.otzar.org/",CHAR(35),"/exKotar/654158")</f>
        <v>https://tablet.otzar.org/#/exKotar/654158</v>
      </c>
    </row>
    <row r="1897" spans="1:8" x14ac:dyDescent="0.25">
      <c r="A1897">
        <v>655484</v>
      </c>
      <c r="B1897" t="s">
        <v>3906</v>
      </c>
      <c r="C1897" t="s">
        <v>3907</v>
      </c>
      <c r="E1897" t="s">
        <v>35</v>
      </c>
      <c r="G1897" t="str">
        <f>HYPERLINK(_xlfn.CONCAT("https://tablet.otzar.org/",CHAR(35),"/book/655484/p/-1/t/1/fs/0/start/0/end/0/c"),"כוינים פתיחין")</f>
        <v>כוינים פתיחין</v>
      </c>
      <c r="H1897" t="str">
        <f>_xlfn.CONCAT("https://tablet.otzar.org/",CHAR(35),"/book/655484/p/-1/t/1/fs/0/start/0/end/0/c")</f>
        <v>https://tablet.otzar.org/#/book/655484/p/-1/t/1/fs/0/start/0/end/0/c</v>
      </c>
    </row>
    <row r="1898" spans="1:8" x14ac:dyDescent="0.25">
      <c r="A1898">
        <v>651244</v>
      </c>
      <c r="B1898" t="s">
        <v>3908</v>
      </c>
      <c r="C1898" t="s">
        <v>3909</v>
      </c>
      <c r="D1898" t="s">
        <v>10</v>
      </c>
      <c r="E1898" t="s">
        <v>473</v>
      </c>
      <c r="G1898" t="str">
        <f>HYPERLINK(_xlfn.CONCAT("https://tablet.otzar.org/",CHAR(35),"/book/651244/p/-1/t/1/fs/0/start/0/end/0/c"),"כוכב בעלטה")</f>
        <v>כוכב בעלטה</v>
      </c>
      <c r="H1898" t="str">
        <f>_xlfn.CONCAT("https://tablet.otzar.org/",CHAR(35),"/book/651244/p/-1/t/1/fs/0/start/0/end/0/c")</f>
        <v>https://tablet.otzar.org/#/book/651244/p/-1/t/1/fs/0/start/0/end/0/c</v>
      </c>
    </row>
    <row r="1899" spans="1:8" x14ac:dyDescent="0.25">
      <c r="A1899">
        <v>615781</v>
      </c>
      <c r="B1899" t="s">
        <v>3910</v>
      </c>
      <c r="C1899" t="s">
        <v>3911</v>
      </c>
      <c r="D1899" t="s">
        <v>34</v>
      </c>
      <c r="E1899" t="s">
        <v>70</v>
      </c>
      <c r="G1899" t="str">
        <f>HYPERLINK(_xlfn.CONCAT("https://tablet.otzar.org/",CHAR(35),"/book/615781/p/-1/t/1/fs/0/start/0/end/0/c"),"כוכבי בוקר")</f>
        <v>כוכבי בוקר</v>
      </c>
      <c r="H1899" t="str">
        <f>_xlfn.CONCAT("https://tablet.otzar.org/",CHAR(35),"/book/615781/p/-1/t/1/fs/0/start/0/end/0/c")</f>
        <v>https://tablet.otzar.org/#/book/615781/p/-1/t/1/fs/0/start/0/end/0/c</v>
      </c>
    </row>
    <row r="1900" spans="1:8" x14ac:dyDescent="0.25">
      <c r="A1900">
        <v>651768</v>
      </c>
      <c r="B1900" t="s">
        <v>3912</v>
      </c>
      <c r="C1900" t="s">
        <v>3913</v>
      </c>
      <c r="E1900" t="s">
        <v>817</v>
      </c>
      <c r="G1900" t="str">
        <f>HYPERLINK(_xlfn.CONCAT("https://tablet.otzar.org/",CHAR(35),"/book/651768/p/-1/t/1/fs/0/start/0/end/0/c"),"כולו אורה")</f>
        <v>כולו אורה</v>
      </c>
      <c r="H1900" t="str">
        <f>_xlfn.CONCAT("https://tablet.otzar.org/",CHAR(35),"/book/651768/p/-1/t/1/fs/0/start/0/end/0/c")</f>
        <v>https://tablet.otzar.org/#/book/651768/p/-1/t/1/fs/0/start/0/end/0/c</v>
      </c>
    </row>
    <row r="1901" spans="1:8" x14ac:dyDescent="0.25">
      <c r="A1901">
        <v>650946</v>
      </c>
      <c r="B1901" t="s">
        <v>3914</v>
      </c>
      <c r="C1901" t="s">
        <v>3915</v>
      </c>
      <c r="D1901" t="s">
        <v>52</v>
      </c>
      <c r="E1901" t="s">
        <v>77</v>
      </c>
      <c r="G1901" t="str">
        <f>HYPERLINK(_xlfn.CONCAT("https://tablet.otzar.org/",CHAR(35),"/book/650946/p/-1/t/1/fs/0/start/0/end/0/c"),"כולו לב - תולדות רבי ישראל זאב דבורץ")</f>
        <v>כולו לב - תולדות רבי ישראל זאב דבורץ</v>
      </c>
      <c r="H1901" t="str">
        <f>_xlfn.CONCAT("https://tablet.otzar.org/",CHAR(35),"/book/650946/p/-1/t/1/fs/0/start/0/end/0/c")</f>
        <v>https://tablet.otzar.org/#/book/650946/p/-1/t/1/fs/0/start/0/end/0/c</v>
      </c>
    </row>
    <row r="1902" spans="1:8" x14ac:dyDescent="0.25">
      <c r="A1902">
        <v>649360</v>
      </c>
      <c r="B1902" t="s">
        <v>3916</v>
      </c>
      <c r="C1902" t="s">
        <v>3917</v>
      </c>
      <c r="E1902" t="s">
        <v>3918</v>
      </c>
      <c r="G1902" t="str">
        <f>HYPERLINK(_xlfn.CONCAT("https://tablet.otzar.org/",CHAR(35),"/book/649360/p/-1/t/1/fs/0/start/0/end/0/c"),"כולל לעיוני הלכה")</f>
        <v>כולל לעיוני הלכה</v>
      </c>
      <c r="H1902" t="str">
        <f>_xlfn.CONCAT("https://tablet.otzar.org/",CHAR(35),"/book/649360/p/-1/t/1/fs/0/start/0/end/0/c")</f>
        <v>https://tablet.otzar.org/#/book/649360/p/-1/t/1/fs/0/start/0/end/0/c</v>
      </c>
    </row>
    <row r="1903" spans="1:8" x14ac:dyDescent="0.25">
      <c r="A1903">
        <v>651666</v>
      </c>
      <c r="B1903" t="s">
        <v>3919</v>
      </c>
      <c r="C1903" t="s">
        <v>1038</v>
      </c>
      <c r="D1903" t="s">
        <v>951</v>
      </c>
      <c r="E1903" t="s">
        <v>77</v>
      </c>
      <c r="G1903" t="str">
        <f>HYPERLINK(_xlfn.CONCAT("https://tablet.otzar.org/",CHAR(35),"/exKotar/651666"),"כוננת מאז - 8 כרכים")</f>
        <v>כוננת מאז - 8 כרכים</v>
      </c>
      <c r="H1903" t="str">
        <f>_xlfn.CONCAT("https://tablet.otzar.org/",CHAR(35),"/exKotar/651666")</f>
        <v>https://tablet.otzar.org/#/exKotar/651666</v>
      </c>
    </row>
    <row r="1904" spans="1:8" x14ac:dyDescent="0.25">
      <c r="A1904">
        <v>650466</v>
      </c>
      <c r="B1904" t="s">
        <v>3920</v>
      </c>
      <c r="C1904" t="s">
        <v>1038</v>
      </c>
      <c r="D1904" t="s">
        <v>951</v>
      </c>
      <c r="E1904" t="s">
        <v>77</v>
      </c>
      <c r="G1904" t="str">
        <f>HYPERLINK(_xlfn.CONCAT("https://tablet.otzar.org/",CHAR(35),"/book/650466/p/-1/t/1/fs/0/start/0/end/0/c"),"כוננת מאז תשע""""ב - תשע""""ג")</f>
        <v>כוננת מאז תשע""ב - תשע""ג</v>
      </c>
      <c r="H1904" t="str">
        <f>_xlfn.CONCAT("https://tablet.otzar.org/",CHAR(35),"/book/650466/p/-1/t/1/fs/0/start/0/end/0/c")</f>
        <v>https://tablet.otzar.org/#/book/650466/p/-1/t/1/fs/0/start/0/end/0/c</v>
      </c>
    </row>
    <row r="1905" spans="1:8" x14ac:dyDescent="0.25">
      <c r="A1905">
        <v>654626</v>
      </c>
      <c r="B1905" t="s">
        <v>3921</v>
      </c>
      <c r="C1905" t="s">
        <v>1509</v>
      </c>
      <c r="D1905" t="s">
        <v>10</v>
      </c>
      <c r="E1905" t="s">
        <v>35</v>
      </c>
      <c r="G1905" t="str">
        <f>HYPERLINK(_xlfn.CONCAT("https://tablet.otzar.org/",CHAR(35),"/book/654626/p/-1/t/1/fs/0/start/0/end/0/c"),"כוס ישועות - ביאור ספר ישעיהו תניינא")</f>
        <v>כוס ישועות - ביאור ספר ישעיהו תניינא</v>
      </c>
      <c r="H1905" t="str">
        <f>_xlfn.CONCAT("https://tablet.otzar.org/",CHAR(35),"/book/654626/p/-1/t/1/fs/0/start/0/end/0/c")</f>
        <v>https://tablet.otzar.org/#/book/654626/p/-1/t/1/fs/0/start/0/end/0/c</v>
      </c>
    </row>
    <row r="1906" spans="1:8" x14ac:dyDescent="0.25">
      <c r="A1906">
        <v>647468</v>
      </c>
      <c r="B1906" t="s">
        <v>3922</v>
      </c>
      <c r="C1906" t="s">
        <v>3923</v>
      </c>
      <c r="D1906" t="s">
        <v>3924</v>
      </c>
      <c r="E1906" t="s">
        <v>3925</v>
      </c>
      <c r="G1906" t="str">
        <f>HYPERLINK(_xlfn.CONCAT("https://tablet.otzar.org/",CHAR(35),"/book/647468/p/-1/t/1/fs/0/start/0/end/0/c"),"כור המבחן - בשר בחלב")</f>
        <v>כור המבחן - בשר בחלב</v>
      </c>
      <c r="H1906" t="str">
        <f>_xlfn.CONCAT("https://tablet.otzar.org/",CHAR(35),"/book/647468/p/-1/t/1/fs/0/start/0/end/0/c")</f>
        <v>https://tablet.otzar.org/#/book/647468/p/-1/t/1/fs/0/start/0/end/0/c</v>
      </c>
    </row>
    <row r="1907" spans="1:8" x14ac:dyDescent="0.25">
      <c r="A1907">
        <v>651941</v>
      </c>
      <c r="B1907" t="s">
        <v>3926</v>
      </c>
      <c r="C1907" t="s">
        <v>314</v>
      </c>
      <c r="E1907" t="s">
        <v>84</v>
      </c>
      <c r="G1907" t="str">
        <f>HYPERLINK(_xlfn.CONCAT("https://tablet.otzar.org/",CHAR(35),"/exKotar/651941"),"כותרות שבעה פרשנים לחומש - 5 כרכים")</f>
        <v>כותרות שבעה פרשנים לחומש - 5 כרכים</v>
      </c>
      <c r="H1907" t="str">
        <f>_xlfn.CONCAT("https://tablet.otzar.org/",CHAR(35),"/exKotar/651941")</f>
        <v>https://tablet.otzar.org/#/exKotar/651941</v>
      </c>
    </row>
    <row r="1908" spans="1:8" x14ac:dyDescent="0.25">
      <c r="A1908">
        <v>650151</v>
      </c>
      <c r="B1908" t="s">
        <v>3927</v>
      </c>
      <c r="C1908" t="s">
        <v>3928</v>
      </c>
      <c r="D1908" t="s">
        <v>52</v>
      </c>
      <c r="E1908" t="s">
        <v>246</v>
      </c>
      <c r="G1908" t="str">
        <f>HYPERLINK(_xlfn.CONCAT("https://tablet.otzar.org/",CHAR(35),"/book/650151/p/-1/t/1/fs/0/start/0/end/0/c"),"כזאת היתה בורשה")</f>
        <v>כזאת היתה בורשה</v>
      </c>
      <c r="H1908" t="str">
        <f>_xlfn.CONCAT("https://tablet.otzar.org/",CHAR(35),"/book/650151/p/-1/t/1/fs/0/start/0/end/0/c")</f>
        <v>https://tablet.otzar.org/#/book/650151/p/-1/t/1/fs/0/start/0/end/0/c</v>
      </c>
    </row>
    <row r="1909" spans="1:8" x14ac:dyDescent="0.25">
      <c r="A1909">
        <v>651809</v>
      </c>
      <c r="B1909" t="s">
        <v>3929</v>
      </c>
      <c r="C1909" t="s">
        <v>3930</v>
      </c>
      <c r="D1909" t="s">
        <v>88</v>
      </c>
      <c r="E1909" t="s">
        <v>213</v>
      </c>
      <c r="G1909" t="str">
        <f>HYPERLINK(_xlfn.CONCAT("https://tablet.otzar.org/",CHAR(35),"/exKotar/651809"),"כח הדיבור השלם בפרשה - 2 כרכים")</f>
        <v>כח הדיבור השלם בפרשה - 2 כרכים</v>
      </c>
      <c r="H1909" t="str">
        <f>_xlfn.CONCAT("https://tablet.otzar.org/",CHAR(35),"/exKotar/651809")</f>
        <v>https://tablet.otzar.org/#/exKotar/651809</v>
      </c>
    </row>
    <row r="1910" spans="1:8" x14ac:dyDescent="0.25">
      <c r="A1910">
        <v>653508</v>
      </c>
      <c r="B1910" t="s">
        <v>3931</v>
      </c>
      <c r="C1910" t="s">
        <v>3932</v>
      </c>
      <c r="D1910" t="s">
        <v>129</v>
      </c>
      <c r="E1910" t="s">
        <v>2713</v>
      </c>
      <c r="G1910" t="str">
        <f>HYPERLINK(_xlfn.CONCAT("https://tablet.otzar.org/",CHAR(35),"/exKotar/653508"),"כחה של צדקה - 2 כרכים")</f>
        <v>כחה של צדקה - 2 כרכים</v>
      </c>
      <c r="H1910" t="str">
        <f>_xlfn.CONCAT("https://tablet.otzar.org/",CHAR(35),"/exKotar/653508")</f>
        <v>https://tablet.otzar.org/#/exKotar/653508</v>
      </c>
    </row>
    <row r="1911" spans="1:8" x14ac:dyDescent="0.25">
      <c r="A1911">
        <v>652097</v>
      </c>
      <c r="B1911" t="s">
        <v>3933</v>
      </c>
      <c r="C1911" t="s">
        <v>1439</v>
      </c>
      <c r="D1911" t="s">
        <v>52</v>
      </c>
      <c r="E1911" t="s">
        <v>763</v>
      </c>
      <c r="G1911" t="str">
        <f>HYPERLINK(_xlfn.CONCAT("https://tablet.otzar.org/",CHAR(35),"/book/652097/p/-1/t/1/fs/0/start/0/end/0/c"),"כטל אמרתי - א")</f>
        <v>כטל אמרתי - א</v>
      </c>
      <c r="H1911" t="str">
        <f>_xlfn.CONCAT("https://tablet.otzar.org/",CHAR(35),"/book/652097/p/-1/t/1/fs/0/start/0/end/0/c")</f>
        <v>https://tablet.otzar.org/#/book/652097/p/-1/t/1/fs/0/start/0/end/0/c</v>
      </c>
    </row>
    <row r="1912" spans="1:8" x14ac:dyDescent="0.25">
      <c r="A1912">
        <v>654226</v>
      </c>
      <c r="B1912" t="s">
        <v>3934</v>
      </c>
      <c r="C1912" t="s">
        <v>614</v>
      </c>
      <c r="D1912" t="s">
        <v>34</v>
      </c>
      <c r="E1912" t="s">
        <v>45</v>
      </c>
      <c r="G1912" t="str">
        <f>HYPERLINK(_xlfn.CONCAT("https://tablet.otzar.org/",CHAR(35),"/book/654226/p/-1/t/1/fs/0/start/0/end/0/c"),"כי ברוב הימים")</f>
        <v>כי ברוב הימים</v>
      </c>
      <c r="H1912" t="str">
        <f>_xlfn.CONCAT("https://tablet.otzar.org/",CHAR(35),"/book/654226/p/-1/t/1/fs/0/start/0/end/0/c")</f>
        <v>https://tablet.otzar.org/#/book/654226/p/-1/t/1/fs/0/start/0/end/0/c</v>
      </c>
    </row>
    <row r="1913" spans="1:8" x14ac:dyDescent="0.25">
      <c r="A1913">
        <v>656167</v>
      </c>
      <c r="B1913" t="s">
        <v>3935</v>
      </c>
      <c r="C1913" t="s">
        <v>3936</v>
      </c>
      <c r="D1913" t="s">
        <v>52</v>
      </c>
      <c r="E1913" t="s">
        <v>29</v>
      </c>
      <c r="G1913" t="str">
        <f>HYPERLINK(_xlfn.CONCAT("https://tablet.otzar.org/",CHAR(35),"/book/656167/p/-1/t/1/fs/0/start/0/end/0/c"),"כי זה משה האיש לא ידענו")</f>
        <v>כי זה משה האיש לא ידענו</v>
      </c>
      <c r="H1913" t="str">
        <f>_xlfn.CONCAT("https://tablet.otzar.org/",CHAR(35),"/book/656167/p/-1/t/1/fs/0/start/0/end/0/c")</f>
        <v>https://tablet.otzar.org/#/book/656167/p/-1/t/1/fs/0/start/0/end/0/c</v>
      </c>
    </row>
    <row r="1914" spans="1:8" x14ac:dyDescent="0.25">
      <c r="A1914">
        <v>654218</v>
      </c>
      <c r="B1914" t="s">
        <v>3937</v>
      </c>
      <c r="C1914" t="s">
        <v>3938</v>
      </c>
      <c r="D1914" t="s">
        <v>34</v>
      </c>
      <c r="E1914" t="s">
        <v>11</v>
      </c>
      <c r="G1914" t="str">
        <f>HYPERLINK(_xlfn.CONCAT("https://tablet.otzar.org/",CHAR(35),"/book/654218/p/-1/t/1/fs/0/start/0/end/0/c"),"כי טובה חכמה מפנינים")</f>
        <v>כי טובה חכמה מפנינים</v>
      </c>
      <c r="H1914" t="str">
        <f>_xlfn.CONCAT("https://tablet.otzar.org/",CHAR(35),"/book/654218/p/-1/t/1/fs/0/start/0/end/0/c")</f>
        <v>https://tablet.otzar.org/#/book/654218/p/-1/t/1/fs/0/start/0/end/0/c</v>
      </c>
    </row>
    <row r="1915" spans="1:8" x14ac:dyDescent="0.25">
      <c r="A1915">
        <v>652890</v>
      </c>
      <c r="B1915" t="s">
        <v>3939</v>
      </c>
      <c r="C1915" t="s">
        <v>2851</v>
      </c>
      <c r="D1915" t="s">
        <v>2852</v>
      </c>
      <c r="E1915" t="s">
        <v>73</v>
      </c>
      <c r="G1915" t="str">
        <f>HYPERLINK(_xlfn.CONCAT("https://tablet.otzar.org/",CHAR(35),"/book/652890/p/-1/t/1/fs/0/start/0/end/0/c"),"כיבוד אב ואם במקורות היהדות")</f>
        <v>כיבוד אב ואם במקורות היהדות</v>
      </c>
      <c r="H1915" t="str">
        <f>_xlfn.CONCAT("https://tablet.otzar.org/",CHAR(35),"/book/652890/p/-1/t/1/fs/0/start/0/end/0/c")</f>
        <v>https://tablet.otzar.org/#/book/652890/p/-1/t/1/fs/0/start/0/end/0/c</v>
      </c>
    </row>
    <row r="1916" spans="1:8" x14ac:dyDescent="0.25">
      <c r="A1916">
        <v>655949</v>
      </c>
      <c r="B1916" t="s">
        <v>3940</v>
      </c>
      <c r="C1916" t="s">
        <v>3941</v>
      </c>
      <c r="D1916" t="s">
        <v>52</v>
      </c>
      <c r="E1916" t="s">
        <v>312</v>
      </c>
      <c r="G1916" t="str">
        <f>HYPERLINK(_xlfn.CONCAT("https://tablet.otzar.org/",CHAR(35),"/book/655949/p/-1/t/1/fs/0/start/0/end/0/c"),"כינויי נדרים")</f>
        <v>כינויי נדרים</v>
      </c>
      <c r="H1916" t="str">
        <f>_xlfn.CONCAT("https://tablet.otzar.org/",CHAR(35),"/book/655949/p/-1/t/1/fs/0/start/0/end/0/c")</f>
        <v>https://tablet.otzar.org/#/book/655949/p/-1/t/1/fs/0/start/0/end/0/c</v>
      </c>
    </row>
    <row r="1917" spans="1:8" x14ac:dyDescent="0.25">
      <c r="A1917">
        <v>648985</v>
      </c>
      <c r="B1917" t="s">
        <v>3942</v>
      </c>
      <c r="C1917" t="s">
        <v>3943</v>
      </c>
      <c r="D1917" t="s">
        <v>58</v>
      </c>
      <c r="E1917" t="s">
        <v>1608</v>
      </c>
      <c r="G1917" t="str">
        <f>HYPERLINK(_xlfn.CONCAT("https://tablet.otzar.org/",CHAR(35),"/book/648985/p/-1/t/1/fs/0/start/0/end/0/c"),"כיצד אטפל בילדי בשבת ובחג")</f>
        <v>כיצד אטפל בילדי בשבת ובחג</v>
      </c>
      <c r="H1917" t="str">
        <f>_xlfn.CONCAT("https://tablet.otzar.org/",CHAR(35),"/book/648985/p/-1/t/1/fs/0/start/0/end/0/c")</f>
        <v>https://tablet.otzar.org/#/book/648985/p/-1/t/1/fs/0/start/0/end/0/c</v>
      </c>
    </row>
    <row r="1918" spans="1:8" x14ac:dyDescent="0.25">
      <c r="A1918">
        <v>647145</v>
      </c>
      <c r="B1918" t="s">
        <v>3944</v>
      </c>
      <c r="C1918" t="s">
        <v>3945</v>
      </c>
      <c r="D1918" t="s">
        <v>3946</v>
      </c>
      <c r="E1918" t="s">
        <v>11</v>
      </c>
      <c r="G1918" t="str">
        <f>HYPERLINK(_xlfn.CONCAT("https://tablet.otzar.org/",CHAR(35),"/book/647145/p/-1/t/1/fs/0/start/0/end/0/c"),"כיצד מרקדין לפני החתן")</f>
        <v>כיצד מרקדין לפני החתן</v>
      </c>
      <c r="H1918" t="str">
        <f>_xlfn.CONCAT("https://tablet.otzar.org/",CHAR(35),"/book/647145/p/-1/t/1/fs/0/start/0/end/0/c")</f>
        <v>https://tablet.otzar.org/#/book/647145/p/-1/t/1/fs/0/start/0/end/0/c</v>
      </c>
    </row>
    <row r="1919" spans="1:8" x14ac:dyDescent="0.25">
      <c r="A1919">
        <v>653786</v>
      </c>
      <c r="B1919" t="s">
        <v>3947</v>
      </c>
      <c r="C1919" t="s">
        <v>3948</v>
      </c>
      <c r="E1919" t="s">
        <v>1101</v>
      </c>
      <c r="G1919" t="str">
        <f>HYPERLINK(_xlfn.CONCAT("https://tablet.otzar.org/",CHAR(35),"/book/653786/p/-1/t/1/fs/0/start/0/end/0/c"),"כך הם ניספו")</f>
        <v>כך הם ניספו</v>
      </c>
      <c r="H1919" t="str">
        <f>_xlfn.CONCAT("https://tablet.otzar.org/",CHAR(35),"/book/653786/p/-1/t/1/fs/0/start/0/end/0/c")</f>
        <v>https://tablet.otzar.org/#/book/653786/p/-1/t/1/fs/0/start/0/end/0/c</v>
      </c>
    </row>
    <row r="1920" spans="1:8" x14ac:dyDescent="0.25">
      <c r="A1920">
        <v>652753</v>
      </c>
      <c r="B1920" t="s">
        <v>3949</v>
      </c>
      <c r="C1920" t="s">
        <v>3950</v>
      </c>
      <c r="D1920" t="s">
        <v>2308</v>
      </c>
      <c r="E1920" t="s">
        <v>3951</v>
      </c>
      <c r="G1920" t="str">
        <f>HYPERLINK(_xlfn.CONCAT("https://tablet.otzar.org/",CHAR(35),"/book/652753/p/-1/t/1/fs/0/start/0/end/0/c"),"כל בו לפורים")</f>
        <v>כל בו לפורים</v>
      </c>
      <c r="H1920" t="str">
        <f>_xlfn.CONCAT("https://tablet.otzar.org/",CHAR(35),"/book/652753/p/-1/t/1/fs/0/start/0/end/0/c")</f>
        <v>https://tablet.otzar.org/#/book/652753/p/-1/t/1/fs/0/start/0/end/0/c</v>
      </c>
    </row>
    <row r="1921" spans="1:8" x14ac:dyDescent="0.25">
      <c r="A1921">
        <v>649183</v>
      </c>
      <c r="B1921" t="s">
        <v>3952</v>
      </c>
      <c r="C1921" t="s">
        <v>3953</v>
      </c>
      <c r="D1921" t="s">
        <v>52</v>
      </c>
      <c r="E1921" t="s">
        <v>84</v>
      </c>
      <c r="G1921" t="str">
        <f>HYPERLINK(_xlfn.CONCAT("https://tablet.otzar.org/",CHAR(35),"/exKotar/649183"),"כל הכתוב לחיים - 2 כרכים")</f>
        <v>כל הכתוב לחיים - 2 כרכים</v>
      </c>
      <c r="H1921" t="str">
        <f>_xlfn.CONCAT("https://tablet.otzar.org/",CHAR(35),"/exKotar/649183")</f>
        <v>https://tablet.otzar.org/#/exKotar/649183</v>
      </c>
    </row>
    <row r="1922" spans="1:8" x14ac:dyDescent="0.25">
      <c r="A1922">
        <v>655608</v>
      </c>
      <c r="B1922" t="s">
        <v>3954</v>
      </c>
      <c r="C1922" t="s">
        <v>3955</v>
      </c>
      <c r="D1922" t="s">
        <v>347</v>
      </c>
      <c r="E1922" t="s">
        <v>11</v>
      </c>
      <c r="G1922" t="str">
        <f>HYPERLINK(_xlfn.CONCAT("https://tablet.otzar.org/",CHAR(35),"/book/655608/p/-1/t/1/fs/0/start/0/end/0/c"),"כל כתבי המשכנות יעקב והבית אפרים בענין אתו רבים ומבטלי מחיצות")</f>
        <v>כל כתבי המשכנות יעקב והבית אפרים בענין אתו רבים ומבטלי מחיצות</v>
      </c>
      <c r="H1922" t="str">
        <f>_xlfn.CONCAT("https://tablet.otzar.org/",CHAR(35),"/book/655608/p/-1/t/1/fs/0/start/0/end/0/c")</f>
        <v>https://tablet.otzar.org/#/book/655608/p/-1/t/1/fs/0/start/0/end/0/c</v>
      </c>
    </row>
    <row r="1923" spans="1:8" x14ac:dyDescent="0.25">
      <c r="A1923">
        <v>656842</v>
      </c>
      <c r="B1923" t="s">
        <v>3956</v>
      </c>
      <c r="C1923" t="s">
        <v>3957</v>
      </c>
      <c r="D1923" t="s">
        <v>10</v>
      </c>
      <c r="E1923" t="s">
        <v>11</v>
      </c>
      <c r="G1923" t="str">
        <f>HYPERLINK(_xlfn.CONCAT("https://tablet.otzar.org/",CHAR(35),"/book/656842/p/-1/t/1/fs/0/start/0/end/0/c"),"כל כתבי וחידושי רבינו הברוך טעם ברוך טעם &lt;עם הגהות דברי חיים&gt;")</f>
        <v>כל כתבי וחידושי רבינו הברוך טעם ברוך טעם &lt;עם הגהות דברי חיים&gt;</v>
      </c>
      <c r="H1923" t="str">
        <f>_xlfn.CONCAT("https://tablet.otzar.org/",CHAR(35),"/book/656842/p/-1/t/1/fs/0/start/0/end/0/c")</f>
        <v>https://tablet.otzar.org/#/book/656842/p/-1/t/1/fs/0/start/0/end/0/c</v>
      </c>
    </row>
    <row r="1924" spans="1:8" x14ac:dyDescent="0.25">
      <c r="A1924">
        <v>656843</v>
      </c>
      <c r="B1924" t="s">
        <v>3958</v>
      </c>
      <c r="C1924" t="s">
        <v>3957</v>
      </c>
      <c r="D1924" t="s">
        <v>10</v>
      </c>
      <c r="E1924" t="s">
        <v>11</v>
      </c>
      <c r="G1924" t="str">
        <f>HYPERLINK(_xlfn.CONCAT("https://tablet.otzar.org/",CHAR(35),"/exKotar/656843"),"כל כתבי וחידושי רבינו הברוך טעם - 3 כרכים")</f>
        <v>כל כתבי וחידושי רבינו הברוך טעם - 3 כרכים</v>
      </c>
      <c r="H1924" t="str">
        <f>_xlfn.CONCAT("https://tablet.otzar.org/",CHAR(35),"/exKotar/656843")</f>
        <v>https://tablet.otzar.org/#/exKotar/656843</v>
      </c>
    </row>
    <row r="1925" spans="1:8" x14ac:dyDescent="0.25">
      <c r="A1925">
        <v>648163</v>
      </c>
      <c r="B1925" t="s">
        <v>3959</v>
      </c>
      <c r="C1925" t="s">
        <v>3960</v>
      </c>
      <c r="D1925" t="s">
        <v>52</v>
      </c>
      <c r="E1925" t="s">
        <v>1189</v>
      </c>
      <c r="G1925" t="str">
        <f>HYPERLINK(_xlfn.CONCAT("https://tablet.otzar.org/",CHAR(35),"/book/648163/p/-1/t/1/fs/0/start/0/end/0/c"),"כל סיפורי בעל שם טוב - ב")</f>
        <v>כל סיפורי בעל שם טוב - ב</v>
      </c>
      <c r="H1925" t="str">
        <f>_xlfn.CONCAT("https://tablet.otzar.org/",CHAR(35),"/book/648163/p/-1/t/1/fs/0/start/0/end/0/c")</f>
        <v>https://tablet.otzar.org/#/book/648163/p/-1/t/1/fs/0/start/0/end/0/c</v>
      </c>
    </row>
    <row r="1926" spans="1:8" x14ac:dyDescent="0.25">
      <c r="A1926">
        <v>651783</v>
      </c>
      <c r="B1926" t="s">
        <v>3961</v>
      </c>
      <c r="C1926" t="s">
        <v>3962</v>
      </c>
      <c r="D1926" t="s">
        <v>139</v>
      </c>
      <c r="E1926" t="s">
        <v>11</v>
      </c>
      <c r="G1926" t="str">
        <f>HYPERLINK(_xlfn.CONCAT("https://tablet.otzar.org/",CHAR(35),"/book/651783/p/-1/t/1/fs/0/start/0/end/0/c"),"כל עוף למינהו")</f>
        <v>כל עוף למינהו</v>
      </c>
      <c r="H1926" t="str">
        <f>_xlfn.CONCAT("https://tablet.otzar.org/",CHAR(35),"/book/651783/p/-1/t/1/fs/0/start/0/end/0/c")</f>
        <v>https://tablet.otzar.org/#/book/651783/p/-1/t/1/fs/0/start/0/end/0/c</v>
      </c>
    </row>
    <row r="1927" spans="1:8" x14ac:dyDescent="0.25">
      <c r="A1927">
        <v>648196</v>
      </c>
      <c r="B1927" t="s">
        <v>3963</v>
      </c>
      <c r="C1927" t="s">
        <v>3964</v>
      </c>
      <c r="D1927" t="s">
        <v>328</v>
      </c>
      <c r="E1927" t="s">
        <v>70</v>
      </c>
      <c r="G1927" t="str">
        <f>HYPERLINK(_xlfn.CONCAT("https://tablet.otzar.org/",CHAR(35),"/book/648196/p/-1/t/1/fs/0/start/0/end/0/c"),"כלי האהל")</f>
        <v>כלי האהל</v>
      </c>
      <c r="H1927" t="str">
        <f>_xlfn.CONCAT("https://tablet.otzar.org/",CHAR(35),"/book/648196/p/-1/t/1/fs/0/start/0/end/0/c")</f>
        <v>https://tablet.otzar.org/#/book/648196/p/-1/t/1/fs/0/start/0/end/0/c</v>
      </c>
    </row>
    <row r="1928" spans="1:8" x14ac:dyDescent="0.25">
      <c r="A1928">
        <v>649385</v>
      </c>
      <c r="B1928" t="s">
        <v>3965</v>
      </c>
      <c r="C1928" t="s">
        <v>3966</v>
      </c>
      <c r="D1928" t="s">
        <v>10</v>
      </c>
      <c r="E1928" t="s">
        <v>690</v>
      </c>
      <c r="G1928" t="str">
        <f>HYPERLINK(_xlfn.CONCAT("https://tablet.otzar.org/",CHAR(35),"/book/649385/p/-1/t/1/fs/0/start/0/end/0/c"),"כלי מחזיק ברכה &lt;מהד""""ח&gt;")</f>
        <v>כלי מחזיק ברכה &lt;מהד""ח&gt;</v>
      </c>
      <c r="H1928" t="str">
        <f>_xlfn.CONCAT("https://tablet.otzar.org/",CHAR(35),"/book/649385/p/-1/t/1/fs/0/start/0/end/0/c")</f>
        <v>https://tablet.otzar.org/#/book/649385/p/-1/t/1/fs/0/start/0/end/0/c</v>
      </c>
    </row>
    <row r="1929" spans="1:8" x14ac:dyDescent="0.25">
      <c r="A1929">
        <v>656044</v>
      </c>
      <c r="B1929" t="s">
        <v>3967</v>
      </c>
      <c r="C1929" t="s">
        <v>614</v>
      </c>
      <c r="D1929" t="s">
        <v>193</v>
      </c>
      <c r="E1929" t="s">
        <v>45</v>
      </c>
      <c r="G1929" t="str">
        <f>HYPERLINK(_xlfn.CONCAT("https://tablet.otzar.org/",CHAR(35),"/book/656044/p/-1/t/1/fs/0/start/0/end/0/c"),"כליות יזמרו לשמך")</f>
        <v>כליות יזמרו לשמך</v>
      </c>
      <c r="H1929" t="str">
        <f>_xlfn.CONCAT("https://tablet.otzar.org/",CHAR(35),"/book/656044/p/-1/t/1/fs/0/start/0/end/0/c")</f>
        <v>https://tablet.otzar.org/#/book/656044/p/-1/t/1/fs/0/start/0/end/0/c</v>
      </c>
    </row>
    <row r="1930" spans="1:8" x14ac:dyDescent="0.25">
      <c r="A1930">
        <v>651088</v>
      </c>
      <c r="B1930" t="s">
        <v>3968</v>
      </c>
      <c r="C1930" t="s">
        <v>3969</v>
      </c>
      <c r="D1930" t="s">
        <v>10</v>
      </c>
      <c r="E1930" t="s">
        <v>11</v>
      </c>
      <c r="G1930" t="str">
        <f>HYPERLINK(_xlfn.CONCAT("https://tablet.otzar.org/",CHAR(35),"/book/651088/p/-1/t/1/fs/0/start/0/end/0/c"),"כליל תפארת - יב (שנה ב גליון ו)")</f>
        <v>כליל תפארת - יב (שנה ב גליון ו)</v>
      </c>
      <c r="H1930" t="str">
        <f>_xlfn.CONCAT("https://tablet.otzar.org/",CHAR(35),"/book/651088/p/-1/t/1/fs/0/start/0/end/0/c")</f>
        <v>https://tablet.otzar.org/#/book/651088/p/-1/t/1/fs/0/start/0/end/0/c</v>
      </c>
    </row>
    <row r="1931" spans="1:8" x14ac:dyDescent="0.25">
      <c r="A1931">
        <v>652448</v>
      </c>
      <c r="B1931" t="s">
        <v>3970</v>
      </c>
      <c r="C1931" t="s">
        <v>3971</v>
      </c>
      <c r="D1931" t="s">
        <v>10</v>
      </c>
      <c r="E1931" t="s">
        <v>11</v>
      </c>
      <c r="G1931" t="str">
        <f>HYPERLINK(_xlfn.CONCAT("https://tablet.otzar.org/",CHAR(35),"/book/652448/p/-1/t/1/fs/0/start/0/end/0/c"),"כלל הפסד מרובה")</f>
        <v>כלל הפסד מרובה</v>
      </c>
      <c r="H1931" t="str">
        <f>_xlfn.CONCAT("https://tablet.otzar.org/",CHAR(35),"/book/652448/p/-1/t/1/fs/0/start/0/end/0/c")</f>
        <v>https://tablet.otzar.org/#/book/652448/p/-1/t/1/fs/0/start/0/end/0/c</v>
      </c>
    </row>
    <row r="1932" spans="1:8" x14ac:dyDescent="0.25">
      <c r="A1932">
        <v>649393</v>
      </c>
      <c r="B1932" t="s">
        <v>3972</v>
      </c>
      <c r="C1932" t="s">
        <v>614</v>
      </c>
      <c r="D1932" t="s">
        <v>10</v>
      </c>
      <c r="E1932" t="s">
        <v>1364</v>
      </c>
      <c r="G1932" t="str">
        <f>HYPERLINK(_xlfn.CONCAT("https://tablet.otzar.org/",CHAR(35),"/book/649393/p/-1/t/1/fs/0/start/0/end/0/c"),"כלל ופרט - ישראל והעמים")</f>
        <v>כלל ופרט - ישראל והעמים</v>
      </c>
      <c r="H1932" t="str">
        <f>_xlfn.CONCAT("https://tablet.otzar.org/",CHAR(35),"/book/649393/p/-1/t/1/fs/0/start/0/end/0/c")</f>
        <v>https://tablet.otzar.org/#/book/649393/p/-1/t/1/fs/0/start/0/end/0/c</v>
      </c>
    </row>
    <row r="1933" spans="1:8" x14ac:dyDescent="0.25">
      <c r="A1933">
        <v>647600</v>
      </c>
      <c r="B1933" t="s">
        <v>3973</v>
      </c>
      <c r="C1933" t="s">
        <v>199</v>
      </c>
      <c r="E1933" t="s">
        <v>507</v>
      </c>
      <c r="G1933" t="str">
        <f>HYPERLINK(_xlfn.CONCAT("https://tablet.otzar.org/",CHAR(35),"/book/647600/p/-1/t/1/fs/0/start/0/end/0/c"),"כללי הדקדוק מהגר""""א")</f>
        <v>כללי הדקדוק מהגר""א</v>
      </c>
      <c r="H1933" t="str">
        <f>_xlfn.CONCAT("https://tablet.otzar.org/",CHAR(35),"/book/647600/p/-1/t/1/fs/0/start/0/end/0/c")</f>
        <v>https://tablet.otzar.org/#/book/647600/p/-1/t/1/fs/0/start/0/end/0/c</v>
      </c>
    </row>
    <row r="1934" spans="1:8" x14ac:dyDescent="0.25">
      <c r="A1934">
        <v>649933</v>
      </c>
      <c r="B1934" t="s">
        <v>3974</v>
      </c>
      <c r="C1934" t="s">
        <v>3974</v>
      </c>
      <c r="D1934" t="s">
        <v>58</v>
      </c>
      <c r="E1934" t="s">
        <v>3975</v>
      </c>
      <c r="G1934" t="str">
        <f>HYPERLINK(_xlfn.CONCAT("https://tablet.otzar.org/",CHAR(35),"/book/649933/p/-1/t/1/fs/0/start/0/end/0/c"),"כללים להזהר מפני החלירה")</f>
        <v>כללים להזהר מפני החלירה</v>
      </c>
      <c r="H1934" t="str">
        <f>_xlfn.CONCAT("https://tablet.otzar.org/",CHAR(35),"/book/649933/p/-1/t/1/fs/0/start/0/end/0/c")</f>
        <v>https://tablet.otzar.org/#/book/649933/p/-1/t/1/fs/0/start/0/end/0/c</v>
      </c>
    </row>
    <row r="1935" spans="1:8" x14ac:dyDescent="0.25">
      <c r="A1935">
        <v>656188</v>
      </c>
      <c r="B1935" t="s">
        <v>3976</v>
      </c>
      <c r="C1935" t="s">
        <v>3977</v>
      </c>
      <c r="D1935" t="s">
        <v>34</v>
      </c>
      <c r="E1935" t="s">
        <v>399</v>
      </c>
      <c r="G1935" t="str">
        <f>HYPERLINK(_xlfn.CONCAT("https://tablet.otzar.org/",CHAR(35),"/book/656188/p/-1/t/1/fs/0/start/0/end/0/c"),"כמוס עמדי")</f>
        <v>כמוס עמדי</v>
      </c>
      <c r="H1935" t="str">
        <f>_xlfn.CONCAT("https://tablet.otzar.org/",CHAR(35),"/book/656188/p/-1/t/1/fs/0/start/0/end/0/c")</f>
        <v>https://tablet.otzar.org/#/book/656188/p/-1/t/1/fs/0/start/0/end/0/c</v>
      </c>
    </row>
    <row r="1936" spans="1:8" x14ac:dyDescent="0.25">
      <c r="A1936">
        <v>651627</v>
      </c>
      <c r="B1936" t="s">
        <v>3978</v>
      </c>
      <c r="C1936" t="s">
        <v>69</v>
      </c>
      <c r="D1936" t="s">
        <v>34</v>
      </c>
      <c r="E1936" t="s">
        <v>70</v>
      </c>
      <c r="G1936" t="str">
        <f>HYPERLINK(_xlfn.CONCAT("https://tablet.otzar.org/",CHAR(35),"/exKotar/651627"),"כמנח בכיסיה - 6 כרכים")</f>
        <v>כמנח בכיסיה - 6 כרכים</v>
      </c>
      <c r="H1936" t="str">
        <f>_xlfn.CONCAT("https://tablet.otzar.org/",CHAR(35),"/exKotar/651627")</f>
        <v>https://tablet.otzar.org/#/exKotar/651627</v>
      </c>
    </row>
    <row r="1937" spans="1:8" x14ac:dyDescent="0.25">
      <c r="A1937">
        <v>650957</v>
      </c>
      <c r="B1937" t="s">
        <v>3979</v>
      </c>
      <c r="C1937" t="s">
        <v>3980</v>
      </c>
      <c r="D1937" t="s">
        <v>10</v>
      </c>
      <c r="E1937" t="s">
        <v>558</v>
      </c>
      <c r="G1937" t="str">
        <f>HYPERLINK(_xlfn.CONCAT("https://tablet.otzar.org/",CHAR(35),"/book/650957/p/-1/t/1/fs/0/start/0/end/0/c"),"כנס פוע""""ה - לידה והנקה")</f>
        <v>כנס פוע""ה - לידה והנקה</v>
      </c>
      <c r="H1937" t="str">
        <f>_xlfn.CONCAT("https://tablet.otzar.org/",CHAR(35),"/book/650957/p/-1/t/1/fs/0/start/0/end/0/c")</f>
        <v>https://tablet.otzar.org/#/book/650957/p/-1/t/1/fs/0/start/0/end/0/c</v>
      </c>
    </row>
    <row r="1938" spans="1:8" x14ac:dyDescent="0.25">
      <c r="A1938">
        <v>649227</v>
      </c>
      <c r="B1938" t="s">
        <v>3981</v>
      </c>
      <c r="C1938" t="s">
        <v>3982</v>
      </c>
      <c r="D1938" t="s">
        <v>328</v>
      </c>
      <c r="E1938" t="s">
        <v>45</v>
      </c>
      <c r="G1938" t="str">
        <f>HYPERLINK(_xlfn.CONCAT("https://tablet.otzar.org/",CHAR(35),"/exKotar/649227"),"כנסת הסופר - 2 כרכים")</f>
        <v>כנסת הסופר - 2 כרכים</v>
      </c>
      <c r="H1938" t="str">
        <f>_xlfn.CONCAT("https://tablet.otzar.org/",CHAR(35),"/exKotar/649227")</f>
        <v>https://tablet.otzar.org/#/exKotar/649227</v>
      </c>
    </row>
    <row r="1939" spans="1:8" x14ac:dyDescent="0.25">
      <c r="A1939">
        <v>655396</v>
      </c>
      <c r="B1939" t="s">
        <v>3983</v>
      </c>
      <c r="C1939" t="s">
        <v>3984</v>
      </c>
      <c r="D1939" t="s">
        <v>10</v>
      </c>
      <c r="E1939" t="s">
        <v>763</v>
      </c>
      <c r="G1939" t="str">
        <f>HYPERLINK(_xlfn.CONCAT("https://tablet.otzar.org/",CHAR(35),"/book/655396/p/-1/t/1/fs/0/start/0/end/0/c"),"כנסת יחזקאל")</f>
        <v>כנסת יחזקאל</v>
      </c>
      <c r="H1939" t="str">
        <f>_xlfn.CONCAT("https://tablet.otzar.org/",CHAR(35),"/book/655396/p/-1/t/1/fs/0/start/0/end/0/c")</f>
        <v>https://tablet.otzar.org/#/book/655396/p/-1/t/1/fs/0/start/0/end/0/c</v>
      </c>
    </row>
    <row r="1940" spans="1:8" x14ac:dyDescent="0.25">
      <c r="A1940">
        <v>652498</v>
      </c>
      <c r="B1940" t="s">
        <v>3985</v>
      </c>
      <c r="C1940" t="s">
        <v>2471</v>
      </c>
      <c r="E1940" t="s">
        <v>11</v>
      </c>
      <c r="G1940" t="str">
        <f>HYPERLINK(_xlfn.CONCAT("https://tablet.otzar.org/",CHAR(35),"/book/652498/p/-1/t/1/fs/0/start/0/end/0/c"),"כנסת ישראל")</f>
        <v>כנסת ישראל</v>
      </c>
      <c r="H1940" t="str">
        <f>_xlfn.CONCAT("https://tablet.otzar.org/",CHAR(35),"/book/652498/p/-1/t/1/fs/0/start/0/end/0/c")</f>
        <v>https://tablet.otzar.org/#/book/652498/p/-1/t/1/fs/0/start/0/end/0/c</v>
      </c>
    </row>
    <row r="1941" spans="1:8" x14ac:dyDescent="0.25">
      <c r="A1941">
        <v>651227</v>
      </c>
      <c r="B1941" t="s">
        <v>3986</v>
      </c>
      <c r="C1941" t="s">
        <v>3987</v>
      </c>
      <c r="D1941" t="s">
        <v>10</v>
      </c>
      <c r="E1941" t="s">
        <v>11</v>
      </c>
      <c r="G1941" t="str">
        <f>HYPERLINK(_xlfn.CONCAT("https://tablet.otzar.org/",CHAR(35),"/book/651227/p/-1/t/1/fs/0/start/0/end/0/c"),"כנסת מנחם - הלכות תוכחה וחנופה")</f>
        <v>כנסת מנחם - הלכות תוכחה וחנופה</v>
      </c>
      <c r="H1941" t="str">
        <f>_xlfn.CONCAT("https://tablet.otzar.org/",CHAR(35),"/book/651227/p/-1/t/1/fs/0/start/0/end/0/c")</f>
        <v>https://tablet.otzar.org/#/book/651227/p/-1/t/1/fs/0/start/0/end/0/c</v>
      </c>
    </row>
    <row r="1942" spans="1:8" x14ac:dyDescent="0.25">
      <c r="A1942">
        <v>642127</v>
      </c>
      <c r="B1942" t="s">
        <v>3988</v>
      </c>
      <c r="C1942" t="s">
        <v>3988</v>
      </c>
      <c r="D1942" t="s">
        <v>3989</v>
      </c>
      <c r="E1942" t="s">
        <v>1280</v>
      </c>
      <c r="G1942" t="str">
        <f>HYPERLINK(_xlfn.CONCAT("https://tablet.otzar.org/",CHAR(35),"/book/642127/p/-1/t/1/fs/0/start/0/end/0/c"),"כנסת מרדכי")</f>
        <v>כנסת מרדכי</v>
      </c>
      <c r="H1942" t="str">
        <f>_xlfn.CONCAT("https://tablet.otzar.org/",CHAR(35),"/book/642127/p/-1/t/1/fs/0/start/0/end/0/c")</f>
        <v>https://tablet.otzar.org/#/book/642127/p/-1/t/1/fs/0/start/0/end/0/c</v>
      </c>
    </row>
    <row r="1943" spans="1:8" x14ac:dyDescent="0.25">
      <c r="A1943">
        <v>649371</v>
      </c>
      <c r="B1943" t="s">
        <v>3990</v>
      </c>
      <c r="C1943" t="s">
        <v>3991</v>
      </c>
      <c r="E1943">
        <v>1996</v>
      </c>
      <c r="G1943" t="str">
        <f>HYPERLINK(_xlfn.CONCAT("https://tablet.otzar.org/",CHAR(35),"/exKotar/649371"),"כנקין והקהילה היהודית - 3 כרכים")</f>
        <v>כנקין והקהילה היהודית - 3 כרכים</v>
      </c>
      <c r="H1943" t="str">
        <f>_xlfn.CONCAT("https://tablet.otzar.org/",CHAR(35),"/exKotar/649371")</f>
        <v>https://tablet.otzar.org/#/exKotar/649371</v>
      </c>
    </row>
    <row r="1944" spans="1:8" x14ac:dyDescent="0.25">
      <c r="A1944">
        <v>650712</v>
      </c>
      <c r="B1944" t="s">
        <v>3992</v>
      </c>
      <c r="C1944" t="s">
        <v>3993</v>
      </c>
      <c r="D1944" t="s">
        <v>948</v>
      </c>
      <c r="E1944" t="s">
        <v>45</v>
      </c>
      <c r="G1944" t="str">
        <f>HYPERLINK(_xlfn.CONCAT("https://tablet.otzar.org/",CHAR(35),"/book/650712/p/-1/t/1/fs/0/start/0/end/0/c"),"כסא אליהו")</f>
        <v>כסא אליהו</v>
      </c>
      <c r="H1944" t="str">
        <f>_xlfn.CONCAT("https://tablet.otzar.org/",CHAR(35),"/book/650712/p/-1/t/1/fs/0/start/0/end/0/c")</f>
        <v>https://tablet.otzar.org/#/book/650712/p/-1/t/1/fs/0/start/0/end/0/c</v>
      </c>
    </row>
    <row r="1945" spans="1:8" x14ac:dyDescent="0.25">
      <c r="A1945">
        <v>650549</v>
      </c>
      <c r="B1945" t="s">
        <v>3994</v>
      </c>
      <c r="C1945" t="s">
        <v>3995</v>
      </c>
      <c r="D1945" t="s">
        <v>10</v>
      </c>
      <c r="E1945" t="s">
        <v>11</v>
      </c>
      <c r="G1945" t="str">
        <f>HYPERLINK(_xlfn.CONCAT("https://tablet.otzar.org/",CHAR(35),"/book/650549/p/-1/t/1/fs/0/start/0/end/0/c"),"כסף לרצות ורוצה לכסוף")</f>
        <v>כסף לרצות ורוצה לכסוף</v>
      </c>
      <c r="H1945" t="str">
        <f>_xlfn.CONCAT("https://tablet.otzar.org/",CHAR(35),"/book/650549/p/-1/t/1/fs/0/start/0/end/0/c")</f>
        <v>https://tablet.otzar.org/#/book/650549/p/-1/t/1/fs/0/start/0/end/0/c</v>
      </c>
    </row>
    <row r="1946" spans="1:8" x14ac:dyDescent="0.25">
      <c r="A1946">
        <v>656073</v>
      </c>
      <c r="B1946" t="s">
        <v>3996</v>
      </c>
      <c r="C1946" t="s">
        <v>3430</v>
      </c>
      <c r="D1946" t="s">
        <v>52</v>
      </c>
      <c r="E1946" t="s">
        <v>45</v>
      </c>
      <c r="G1946" t="str">
        <f>HYPERLINK(_xlfn.CONCAT("https://tablet.otzar.org/",CHAR(35),"/exKotar/656073"),"כסף נבחר - 7 כרכים")</f>
        <v>כסף נבחר - 7 כרכים</v>
      </c>
      <c r="H1946" t="str">
        <f>_xlfn.CONCAT("https://tablet.otzar.org/",CHAR(35),"/exKotar/656073")</f>
        <v>https://tablet.otzar.org/#/exKotar/656073</v>
      </c>
    </row>
    <row r="1947" spans="1:8" x14ac:dyDescent="0.25">
      <c r="A1947">
        <v>654439</v>
      </c>
      <c r="B1947" t="s">
        <v>3997</v>
      </c>
      <c r="C1947" t="s">
        <v>3266</v>
      </c>
      <c r="D1947" t="s">
        <v>3267</v>
      </c>
      <c r="E1947" t="s">
        <v>11</v>
      </c>
      <c r="G1947" t="str">
        <f>HYPERLINK(_xlfn.CONCAT("https://tablet.otzar.org/",CHAR(35),"/book/654439/p/-1/t/1/fs/0/start/0/end/0/c"),"כעס וסבלנות")</f>
        <v>כעס וסבלנות</v>
      </c>
      <c r="H1947" t="str">
        <f>_xlfn.CONCAT("https://tablet.otzar.org/",CHAR(35),"/book/654439/p/-1/t/1/fs/0/start/0/end/0/c")</f>
        <v>https://tablet.otzar.org/#/book/654439/p/-1/t/1/fs/0/start/0/end/0/c</v>
      </c>
    </row>
    <row r="1948" spans="1:8" x14ac:dyDescent="0.25">
      <c r="A1948">
        <v>648388</v>
      </c>
      <c r="B1948" t="s">
        <v>3998</v>
      </c>
      <c r="C1948" t="s">
        <v>3999</v>
      </c>
      <c r="D1948" t="s">
        <v>10</v>
      </c>
      <c r="E1948" t="s">
        <v>690</v>
      </c>
      <c r="G1948" t="str">
        <f>HYPERLINK(_xlfn.CONCAT("https://tablet.otzar.org/",CHAR(35),"/exKotar/648388"),"כף החיים &lt;מהדורה חדשה&gt;  - 10 כרכים")</f>
        <v>כף החיים &lt;מהדורה חדשה&gt;  - 10 כרכים</v>
      </c>
      <c r="H1948" t="str">
        <f>_xlfn.CONCAT("https://tablet.otzar.org/",CHAR(35),"/exKotar/648388")</f>
        <v>https://tablet.otzar.org/#/exKotar/648388</v>
      </c>
    </row>
    <row r="1949" spans="1:8" x14ac:dyDescent="0.25">
      <c r="A1949">
        <v>649728</v>
      </c>
      <c r="B1949" t="s">
        <v>4000</v>
      </c>
      <c r="C1949" t="s">
        <v>4001</v>
      </c>
      <c r="D1949" t="s">
        <v>10</v>
      </c>
      <c r="E1949" t="s">
        <v>45</v>
      </c>
      <c r="G1949" t="str">
        <f>HYPERLINK(_xlfn.CONCAT("https://tablet.otzar.org/",CHAR(35),"/book/649728/p/-1/t/1/fs/0/start/0/end/0/c"),"כפי תהיה")</f>
        <v>כפי תהיה</v>
      </c>
      <c r="H1949" t="str">
        <f>_xlfn.CONCAT("https://tablet.otzar.org/",CHAR(35),"/book/649728/p/-1/t/1/fs/0/start/0/end/0/c")</f>
        <v>https://tablet.otzar.org/#/book/649728/p/-1/t/1/fs/0/start/0/end/0/c</v>
      </c>
    </row>
    <row r="1950" spans="1:8" x14ac:dyDescent="0.25">
      <c r="A1950">
        <v>649430</v>
      </c>
      <c r="B1950" t="s">
        <v>4002</v>
      </c>
      <c r="C1950" t="s">
        <v>123</v>
      </c>
      <c r="D1950" t="s">
        <v>129</v>
      </c>
      <c r="E1950" t="s">
        <v>2402</v>
      </c>
      <c r="G1950" t="str">
        <f>HYPERLINK(_xlfn.CONCAT("https://tablet.otzar.org/",CHAR(35),"/book/649430/p/-1/t/1/fs/0/start/0/end/0/c"),"כפר החשמונאים")</f>
        <v>כפר החשמונאים</v>
      </c>
      <c r="H1950" t="str">
        <f>_xlfn.CONCAT("https://tablet.otzar.org/",CHAR(35),"/book/649430/p/-1/t/1/fs/0/start/0/end/0/c")</f>
        <v>https://tablet.otzar.org/#/book/649430/p/-1/t/1/fs/0/start/0/end/0/c</v>
      </c>
    </row>
    <row r="1951" spans="1:8" x14ac:dyDescent="0.25">
      <c r="A1951">
        <v>650585</v>
      </c>
      <c r="B1951" t="s">
        <v>4003</v>
      </c>
      <c r="C1951" t="s">
        <v>4004</v>
      </c>
      <c r="D1951" t="s">
        <v>4005</v>
      </c>
      <c r="E1951" t="s">
        <v>4006</v>
      </c>
      <c r="G1951" t="str">
        <f>HYPERLINK(_xlfn.CONCAT("https://tablet.otzar.org/",CHAR(35),"/book/650585/p/-1/t/1/fs/0/start/0/end/0/c"),"כפר ליצחק")</f>
        <v>כפר ליצחק</v>
      </c>
      <c r="H1951" t="str">
        <f>_xlfn.CONCAT("https://tablet.otzar.org/",CHAR(35),"/book/650585/p/-1/t/1/fs/0/start/0/end/0/c")</f>
        <v>https://tablet.otzar.org/#/book/650585/p/-1/t/1/fs/0/start/0/end/0/c</v>
      </c>
    </row>
    <row r="1952" spans="1:8" x14ac:dyDescent="0.25">
      <c r="A1952">
        <v>647591</v>
      </c>
      <c r="B1952" t="s">
        <v>4007</v>
      </c>
      <c r="C1952" t="s">
        <v>1427</v>
      </c>
      <c r="D1952" t="s">
        <v>52</v>
      </c>
      <c r="E1952" t="s">
        <v>35</v>
      </c>
      <c r="G1952" t="str">
        <f>HYPERLINK(_xlfn.CONCAT("https://tablet.otzar.org/",CHAR(35),"/book/647591/p/-1/t/1/fs/0/start/0/end/0/c"),"כפרת החטא והחוטא")</f>
        <v>כפרת החטא והחוטא</v>
      </c>
      <c r="H1952" t="str">
        <f>_xlfn.CONCAT("https://tablet.otzar.org/",CHAR(35),"/book/647591/p/-1/t/1/fs/0/start/0/end/0/c")</f>
        <v>https://tablet.otzar.org/#/book/647591/p/-1/t/1/fs/0/start/0/end/0/c</v>
      </c>
    </row>
    <row r="1953" spans="1:8" x14ac:dyDescent="0.25">
      <c r="A1953">
        <v>647483</v>
      </c>
      <c r="B1953" t="s">
        <v>4008</v>
      </c>
      <c r="C1953" t="s">
        <v>614</v>
      </c>
      <c r="E1953" t="s">
        <v>4009</v>
      </c>
      <c r="G1953" t="str">
        <f>HYPERLINK(_xlfn.CONCAT("https://tablet.otzar.org/",CHAR(35),"/book/647483/p/-1/t/1/fs/0/start/0/end/0/c"),"כפתור ופרח")</f>
        <v>כפתור ופרח</v>
      </c>
      <c r="H1953" t="str">
        <f>_xlfn.CONCAT("https://tablet.otzar.org/",CHAR(35),"/book/647483/p/-1/t/1/fs/0/start/0/end/0/c")</f>
        <v>https://tablet.otzar.org/#/book/647483/p/-1/t/1/fs/0/start/0/end/0/c</v>
      </c>
    </row>
    <row r="1954" spans="1:8" x14ac:dyDescent="0.25">
      <c r="A1954">
        <v>649235</v>
      </c>
      <c r="B1954" t="s">
        <v>4010</v>
      </c>
      <c r="C1954" t="s">
        <v>4011</v>
      </c>
      <c r="D1954" t="s">
        <v>10</v>
      </c>
      <c r="E1954" t="s">
        <v>35</v>
      </c>
      <c r="G1954" t="str">
        <f>HYPERLINK(_xlfn.CONCAT("https://tablet.otzar.org/",CHAR(35),"/book/649235/p/-1/t/1/fs/0/start/0/end/0/c"),"כצפיחת בדבש")</f>
        <v>כצפיחת בדבש</v>
      </c>
      <c r="H1954" t="str">
        <f>_xlfn.CONCAT("https://tablet.otzar.org/",CHAR(35),"/book/649235/p/-1/t/1/fs/0/start/0/end/0/c")</f>
        <v>https://tablet.otzar.org/#/book/649235/p/-1/t/1/fs/0/start/0/end/0/c</v>
      </c>
    </row>
    <row r="1955" spans="1:8" x14ac:dyDescent="0.25">
      <c r="A1955">
        <v>647606</v>
      </c>
      <c r="B1955" t="s">
        <v>4012</v>
      </c>
      <c r="C1955" t="s">
        <v>4013</v>
      </c>
      <c r="D1955" t="s">
        <v>440</v>
      </c>
      <c r="E1955" t="s">
        <v>2368</v>
      </c>
      <c r="G1955" t="str">
        <f>HYPERLINK(_xlfn.CONCAT("https://tablet.otzar.org/",CHAR(35),"/book/647606/p/-1/t/1/fs/0/start/0/end/0/c"),"כרם - שבט אדר תשל""""ח")</f>
        <v>כרם - שבט אדר תשל""ח</v>
      </c>
      <c r="H1955" t="str">
        <f>_xlfn.CONCAT("https://tablet.otzar.org/",CHAR(35),"/book/647606/p/-1/t/1/fs/0/start/0/end/0/c")</f>
        <v>https://tablet.otzar.org/#/book/647606/p/-1/t/1/fs/0/start/0/end/0/c</v>
      </c>
    </row>
    <row r="1956" spans="1:8" x14ac:dyDescent="0.25">
      <c r="A1956">
        <v>654265</v>
      </c>
      <c r="B1956" t="s">
        <v>4014</v>
      </c>
      <c r="C1956" t="s">
        <v>4015</v>
      </c>
      <c r="D1956" t="s">
        <v>855</v>
      </c>
      <c r="E1956" t="s">
        <v>84</v>
      </c>
      <c r="G1956" t="str">
        <f>HYPERLINK(_xlfn.CONCAT("https://tablet.otzar.org/",CHAR(35),"/book/654265/p/-1/t/1/fs/0/start/0/end/0/c"),"כרם זלות - הלכות תפילה")</f>
        <v>כרם זלות - הלכות תפילה</v>
      </c>
      <c r="H1956" t="str">
        <f>_xlfn.CONCAT("https://tablet.otzar.org/",CHAR(35),"/book/654265/p/-1/t/1/fs/0/start/0/end/0/c")</f>
        <v>https://tablet.otzar.org/#/book/654265/p/-1/t/1/fs/0/start/0/end/0/c</v>
      </c>
    </row>
    <row r="1957" spans="1:8" x14ac:dyDescent="0.25">
      <c r="A1957">
        <v>642128</v>
      </c>
      <c r="B1957" t="s">
        <v>4016</v>
      </c>
      <c r="C1957" t="s">
        <v>4016</v>
      </c>
      <c r="D1957" t="s">
        <v>4017</v>
      </c>
      <c r="E1957" t="s">
        <v>4018</v>
      </c>
      <c r="G1957" t="str">
        <f>HYPERLINK(_xlfn.CONCAT("https://tablet.otzar.org/",CHAR(35),"/book/642128/p/-1/t/1/fs/0/start/0/end/0/c"),"כרם חמד")</f>
        <v>כרם חמד</v>
      </c>
      <c r="H1957" t="str">
        <f>_xlfn.CONCAT("https://tablet.otzar.org/",CHAR(35),"/book/642128/p/-1/t/1/fs/0/start/0/end/0/c")</f>
        <v>https://tablet.otzar.org/#/book/642128/p/-1/t/1/fs/0/start/0/end/0/c</v>
      </c>
    </row>
    <row r="1958" spans="1:8" x14ac:dyDescent="0.25">
      <c r="A1958">
        <v>655233</v>
      </c>
      <c r="B1958" t="s">
        <v>4019</v>
      </c>
      <c r="C1958" t="s">
        <v>911</v>
      </c>
      <c r="D1958" t="s">
        <v>10</v>
      </c>
      <c r="E1958" t="s">
        <v>320</v>
      </c>
      <c r="G1958" t="str">
        <f>HYPERLINK(_xlfn.CONCAT("https://tablet.otzar.org/",CHAR(35),"/book/655233/p/-1/t/1/fs/0/start/0/end/0/c"),"כשרות המטבח בהלכה ובאגדה")</f>
        <v>כשרות המטבח בהלכה ובאגדה</v>
      </c>
      <c r="H1958" t="str">
        <f>_xlfn.CONCAT("https://tablet.otzar.org/",CHAR(35),"/book/655233/p/-1/t/1/fs/0/start/0/end/0/c")</f>
        <v>https://tablet.otzar.org/#/book/655233/p/-1/t/1/fs/0/start/0/end/0/c</v>
      </c>
    </row>
    <row r="1959" spans="1:8" x14ac:dyDescent="0.25">
      <c r="A1959">
        <v>647223</v>
      </c>
      <c r="B1959" t="s">
        <v>4020</v>
      </c>
      <c r="C1959" t="s">
        <v>4021</v>
      </c>
      <c r="D1959" t="s">
        <v>10</v>
      </c>
      <c r="E1959" t="s">
        <v>1077</v>
      </c>
      <c r="G1959" t="str">
        <f>HYPERLINK(_xlfn.CONCAT("https://tablet.otzar.org/",CHAR(35),"/book/647223/p/-1/t/1/fs/0/start/0/end/0/c"),"כשרות השלחן א")</f>
        <v>כשרות השלחן א</v>
      </c>
      <c r="H1959" t="str">
        <f>_xlfn.CONCAT("https://tablet.otzar.org/",CHAR(35),"/book/647223/p/-1/t/1/fs/0/start/0/end/0/c")</f>
        <v>https://tablet.otzar.org/#/book/647223/p/-1/t/1/fs/0/start/0/end/0/c</v>
      </c>
    </row>
    <row r="1960" spans="1:8" x14ac:dyDescent="0.25">
      <c r="A1960">
        <v>647225</v>
      </c>
      <c r="B1960" t="s">
        <v>4022</v>
      </c>
      <c r="C1960" t="s">
        <v>4021</v>
      </c>
      <c r="D1960" t="s">
        <v>10</v>
      </c>
      <c r="E1960" t="s">
        <v>780</v>
      </c>
      <c r="G1960" t="str">
        <f>HYPERLINK(_xlfn.CONCAT("https://tablet.otzar.org/",CHAR(35),"/book/647225/p/-1/t/1/fs/0/start/0/end/0/c"),"כשרות השלחן ג")</f>
        <v>כשרות השלחן ג</v>
      </c>
      <c r="H1960" t="str">
        <f>_xlfn.CONCAT("https://tablet.otzar.org/",CHAR(35),"/book/647225/p/-1/t/1/fs/0/start/0/end/0/c")</f>
        <v>https://tablet.otzar.org/#/book/647225/p/-1/t/1/fs/0/start/0/end/0/c</v>
      </c>
    </row>
    <row r="1961" spans="1:8" x14ac:dyDescent="0.25">
      <c r="A1961">
        <v>647226</v>
      </c>
      <c r="B1961" t="s">
        <v>4023</v>
      </c>
      <c r="C1961" t="s">
        <v>4021</v>
      </c>
      <c r="D1961" t="s">
        <v>10</v>
      </c>
      <c r="E1961" t="s">
        <v>200</v>
      </c>
      <c r="G1961" t="str">
        <f>HYPERLINK(_xlfn.CONCAT("https://tablet.otzar.org/",CHAR(35),"/book/647226/p/-1/t/1/fs/0/start/0/end/0/c"),"כשרות השלחן ד")</f>
        <v>כשרות השלחן ד</v>
      </c>
      <c r="H1961" t="str">
        <f>_xlfn.CONCAT("https://tablet.otzar.org/",CHAR(35),"/book/647226/p/-1/t/1/fs/0/start/0/end/0/c")</f>
        <v>https://tablet.otzar.org/#/book/647226/p/-1/t/1/fs/0/start/0/end/0/c</v>
      </c>
    </row>
    <row r="1962" spans="1:8" x14ac:dyDescent="0.25">
      <c r="A1962">
        <v>647227</v>
      </c>
      <c r="B1962" t="s">
        <v>4024</v>
      </c>
      <c r="C1962" t="s">
        <v>4021</v>
      </c>
      <c r="D1962" t="s">
        <v>10</v>
      </c>
      <c r="E1962" t="s">
        <v>704</v>
      </c>
      <c r="G1962" t="str">
        <f>HYPERLINK(_xlfn.CONCAT("https://tablet.otzar.org/",CHAR(35),"/book/647227/p/-1/t/1/fs/0/start/0/end/0/c"),"כשרות השלחן ה")</f>
        <v>כשרות השלחן ה</v>
      </c>
      <c r="H1962" t="str">
        <f>_xlfn.CONCAT("https://tablet.otzar.org/",CHAR(35),"/book/647227/p/-1/t/1/fs/0/start/0/end/0/c")</f>
        <v>https://tablet.otzar.org/#/book/647227/p/-1/t/1/fs/0/start/0/end/0/c</v>
      </c>
    </row>
    <row r="1963" spans="1:8" x14ac:dyDescent="0.25">
      <c r="A1963">
        <v>647228</v>
      </c>
      <c r="B1963" t="s">
        <v>4025</v>
      </c>
      <c r="C1963" t="s">
        <v>4021</v>
      </c>
      <c r="D1963" t="s">
        <v>10</v>
      </c>
      <c r="E1963" t="s">
        <v>495</v>
      </c>
      <c r="G1963" t="str">
        <f>HYPERLINK(_xlfn.CONCAT("https://tablet.otzar.org/",CHAR(35),"/book/647228/p/-1/t/1/fs/0/start/0/end/0/c"),"כשרות השלחן ו")</f>
        <v>כשרות השלחן ו</v>
      </c>
      <c r="H1963" t="str">
        <f>_xlfn.CONCAT("https://tablet.otzar.org/",CHAR(35),"/book/647228/p/-1/t/1/fs/0/start/0/end/0/c")</f>
        <v>https://tablet.otzar.org/#/book/647228/p/-1/t/1/fs/0/start/0/end/0/c</v>
      </c>
    </row>
    <row r="1964" spans="1:8" x14ac:dyDescent="0.25">
      <c r="A1964">
        <v>647229</v>
      </c>
      <c r="B1964" t="s">
        <v>4026</v>
      </c>
      <c r="C1964" t="s">
        <v>4021</v>
      </c>
      <c r="D1964" t="s">
        <v>10</v>
      </c>
      <c r="E1964" t="s">
        <v>126</v>
      </c>
      <c r="G1964" t="str">
        <f>HYPERLINK(_xlfn.CONCAT("https://tablet.otzar.org/",CHAR(35),"/book/647229/p/-1/t/1/fs/0/start/0/end/0/c"),"כשרות השלחן ז")</f>
        <v>כשרות השלחן ז</v>
      </c>
      <c r="H1964" t="str">
        <f>_xlfn.CONCAT("https://tablet.otzar.org/",CHAR(35),"/book/647229/p/-1/t/1/fs/0/start/0/end/0/c")</f>
        <v>https://tablet.otzar.org/#/book/647229/p/-1/t/1/fs/0/start/0/end/0/c</v>
      </c>
    </row>
    <row r="1965" spans="1:8" x14ac:dyDescent="0.25">
      <c r="A1965">
        <v>647230</v>
      </c>
      <c r="B1965" t="s">
        <v>4027</v>
      </c>
      <c r="C1965" t="s">
        <v>4021</v>
      </c>
      <c r="D1965" t="s">
        <v>10</v>
      </c>
      <c r="E1965" t="s">
        <v>763</v>
      </c>
      <c r="G1965" t="str">
        <f>HYPERLINK(_xlfn.CONCAT("https://tablet.otzar.org/",CHAR(35),"/book/647230/p/-1/t/1/fs/0/start/0/end/0/c"),"כשרות השלחן ח")</f>
        <v>כשרות השלחן ח</v>
      </c>
      <c r="H1965" t="str">
        <f>_xlfn.CONCAT("https://tablet.otzar.org/",CHAR(35),"/book/647230/p/-1/t/1/fs/0/start/0/end/0/c")</f>
        <v>https://tablet.otzar.org/#/book/647230/p/-1/t/1/fs/0/start/0/end/0/c</v>
      </c>
    </row>
    <row r="1966" spans="1:8" x14ac:dyDescent="0.25">
      <c r="A1966">
        <v>649912</v>
      </c>
      <c r="B1966" t="s">
        <v>4028</v>
      </c>
      <c r="C1966" t="s">
        <v>4029</v>
      </c>
      <c r="D1966" t="s">
        <v>4030</v>
      </c>
      <c r="E1966" t="s">
        <v>84</v>
      </c>
      <c r="G1966" t="str">
        <f>HYPERLINK(_xlfn.CONCAT("https://tablet.otzar.org/",CHAR(35),"/book/649912/p/-1/t/1/fs/0/start/0/end/0/c"),"כשרות כהלכה - ב")</f>
        <v>כשרות כהלכה - ב</v>
      </c>
      <c r="H1966" t="str">
        <f>_xlfn.CONCAT("https://tablet.otzar.org/",CHAR(35),"/book/649912/p/-1/t/1/fs/0/start/0/end/0/c")</f>
        <v>https://tablet.otzar.org/#/book/649912/p/-1/t/1/fs/0/start/0/end/0/c</v>
      </c>
    </row>
    <row r="1967" spans="1:8" x14ac:dyDescent="0.25">
      <c r="A1967">
        <v>651093</v>
      </c>
      <c r="B1967" t="s">
        <v>4031</v>
      </c>
      <c r="C1967" t="s">
        <v>4032</v>
      </c>
      <c r="D1967" t="s">
        <v>4033</v>
      </c>
      <c r="E1967" t="s">
        <v>11</v>
      </c>
      <c r="G1967" t="str">
        <f>HYPERLINK(_xlfn.CONCAT("https://tablet.otzar.org/",CHAR(35),"/book/651093/p/-1/t/1/fs/0/start/0/end/0/c"),"כתב משה - בדיני נ""""ט בר נ""""ט ודבר חריף")</f>
        <v>כתב משה - בדיני נ""ט בר נ""ט ודבר חריף</v>
      </c>
      <c r="H1967" t="str">
        <f>_xlfn.CONCAT("https://tablet.otzar.org/",CHAR(35),"/book/651093/p/-1/t/1/fs/0/start/0/end/0/c")</f>
        <v>https://tablet.otzar.org/#/book/651093/p/-1/t/1/fs/0/start/0/end/0/c</v>
      </c>
    </row>
    <row r="1968" spans="1:8" x14ac:dyDescent="0.25">
      <c r="A1968">
        <v>651570</v>
      </c>
      <c r="B1968" t="s">
        <v>4034</v>
      </c>
      <c r="C1968" t="s">
        <v>3838</v>
      </c>
      <c r="D1968" t="s">
        <v>840</v>
      </c>
      <c r="E1968" t="s">
        <v>11</v>
      </c>
      <c r="G1968" t="str">
        <f>HYPERLINK(_xlfn.CONCAT("https://tablet.otzar.org/",CHAR(35),"/book/651570/p/-1/t/1/fs/0/start/0/end/0/c"),"כתב סופר גיטין &lt;מכון תלמידי כתב סופר&gt;")</f>
        <v>כתב סופר גיטין &lt;מכון תלמידי כתב סופר&gt;</v>
      </c>
      <c r="H1968" t="str">
        <f>_xlfn.CONCAT("https://tablet.otzar.org/",CHAR(35),"/book/651570/p/-1/t/1/fs/0/start/0/end/0/c")</f>
        <v>https://tablet.otzar.org/#/book/651570/p/-1/t/1/fs/0/start/0/end/0/c</v>
      </c>
    </row>
    <row r="1969" spans="1:8" x14ac:dyDescent="0.25">
      <c r="A1969">
        <v>654442</v>
      </c>
      <c r="B1969" t="s">
        <v>4035</v>
      </c>
      <c r="C1969" t="s">
        <v>3266</v>
      </c>
      <c r="D1969" t="s">
        <v>3267</v>
      </c>
      <c r="E1969" t="s">
        <v>213</v>
      </c>
      <c r="G1969" t="str">
        <f>HYPERLINK(_xlfn.CONCAT("https://tablet.otzar.org/",CHAR(35),"/book/654442/p/-1/t/1/fs/0/start/0/end/0/c"),"כתבוני לדורות - פורים")</f>
        <v>כתבוני לדורות - פורים</v>
      </c>
      <c r="H1969" t="str">
        <f>_xlfn.CONCAT("https://tablet.otzar.org/",CHAR(35),"/book/654442/p/-1/t/1/fs/0/start/0/end/0/c")</f>
        <v>https://tablet.otzar.org/#/book/654442/p/-1/t/1/fs/0/start/0/end/0/c</v>
      </c>
    </row>
    <row r="1970" spans="1:8" x14ac:dyDescent="0.25">
      <c r="A1970">
        <v>654674</v>
      </c>
      <c r="B1970" t="s">
        <v>4036</v>
      </c>
      <c r="C1970" t="s">
        <v>4037</v>
      </c>
      <c r="D1970" t="s">
        <v>52</v>
      </c>
      <c r="E1970" t="s">
        <v>45</v>
      </c>
      <c r="G1970" t="str">
        <f>HYPERLINK(_xlfn.CONCAT("https://tablet.otzar.org/",CHAR(35),"/book/654674/p/-1/t/1/fs/0/start/0/end/0/c"),"כתבי הסבא מקלם - ימים נוראים")</f>
        <v>כתבי הסבא מקלם - ימים נוראים</v>
      </c>
      <c r="H1970" t="str">
        <f>_xlfn.CONCAT("https://tablet.otzar.org/",CHAR(35),"/book/654674/p/-1/t/1/fs/0/start/0/end/0/c")</f>
        <v>https://tablet.otzar.org/#/book/654674/p/-1/t/1/fs/0/start/0/end/0/c</v>
      </c>
    </row>
    <row r="1971" spans="1:8" x14ac:dyDescent="0.25">
      <c r="A1971">
        <v>651749</v>
      </c>
      <c r="B1971" t="s">
        <v>4038</v>
      </c>
      <c r="C1971" t="s">
        <v>4039</v>
      </c>
      <c r="E1971" t="s">
        <v>70</v>
      </c>
      <c r="G1971" t="str">
        <f>HYPERLINK(_xlfn.CONCAT("https://tablet.otzar.org/",CHAR(35),"/book/651749/p/-1/t/1/fs/0/start/0/end/0/c"),"כתבי יד קודש - (מתוך 'המזכיר')")</f>
        <v>כתבי יד קודש - (מתוך 'המזכיר')</v>
      </c>
      <c r="H1971" t="str">
        <f>_xlfn.CONCAT("https://tablet.otzar.org/",CHAR(35),"/book/651749/p/-1/t/1/fs/0/start/0/end/0/c")</f>
        <v>https://tablet.otzar.org/#/book/651749/p/-1/t/1/fs/0/start/0/end/0/c</v>
      </c>
    </row>
    <row r="1972" spans="1:8" x14ac:dyDescent="0.25">
      <c r="A1972">
        <v>650706</v>
      </c>
      <c r="B1972" t="s">
        <v>4040</v>
      </c>
      <c r="C1972" t="s">
        <v>143</v>
      </c>
      <c r="E1972" t="s">
        <v>146</v>
      </c>
      <c r="G1972" t="str">
        <f>HYPERLINK(_xlfn.CONCAT("https://tablet.otzar.org/",CHAR(35),"/book/650706/p/-1/t/1/fs/0/start/0/end/0/c"),"כתבי מהרצ""""א")</f>
        <v>כתבי מהרצ""א</v>
      </c>
      <c r="H1972" t="str">
        <f>_xlfn.CONCAT("https://tablet.otzar.org/",CHAR(35),"/book/650706/p/-1/t/1/fs/0/start/0/end/0/c")</f>
        <v>https://tablet.otzar.org/#/book/650706/p/-1/t/1/fs/0/start/0/end/0/c</v>
      </c>
    </row>
    <row r="1973" spans="1:8" x14ac:dyDescent="0.25">
      <c r="A1973">
        <v>650944</v>
      </c>
      <c r="B1973" t="s">
        <v>4041</v>
      </c>
      <c r="C1973" t="s">
        <v>4042</v>
      </c>
      <c r="D1973" t="s">
        <v>10</v>
      </c>
      <c r="E1973" t="s">
        <v>4043</v>
      </c>
      <c r="G1973" t="str">
        <f>HYPERLINK(_xlfn.CONCAT("https://tablet.otzar.org/",CHAR(35),"/book/650944/p/-1/t/1/fs/0/start/0/end/0/c"),"כתבי מנחם מבש""""ן - ב")</f>
        <v>כתבי מנחם מבש""ן - ב</v>
      </c>
      <c r="H1973" t="str">
        <f>_xlfn.CONCAT("https://tablet.otzar.org/",CHAR(35),"/book/650944/p/-1/t/1/fs/0/start/0/end/0/c")</f>
        <v>https://tablet.otzar.org/#/book/650944/p/-1/t/1/fs/0/start/0/end/0/c</v>
      </c>
    </row>
    <row r="1974" spans="1:8" x14ac:dyDescent="0.25">
      <c r="A1974">
        <v>650050</v>
      </c>
      <c r="B1974" t="s">
        <v>4044</v>
      </c>
      <c r="C1974" t="s">
        <v>4045</v>
      </c>
      <c r="E1974" t="s">
        <v>4046</v>
      </c>
      <c r="G1974" t="str">
        <f>HYPERLINK(_xlfn.CONCAT("https://tablet.otzar.org/",CHAR(35),"/book/650050/p/-1/t/1/fs/0/start/0/end/0/c"),"כתבי קודש רמ""""מ - ליקוטים יקרים")</f>
        <v>כתבי קודש רמ""מ - ליקוטים יקרים</v>
      </c>
      <c r="H1974" t="str">
        <f>_xlfn.CONCAT("https://tablet.otzar.org/",CHAR(35),"/book/650050/p/-1/t/1/fs/0/start/0/end/0/c")</f>
        <v>https://tablet.otzar.org/#/book/650050/p/-1/t/1/fs/0/start/0/end/0/c</v>
      </c>
    </row>
    <row r="1975" spans="1:8" x14ac:dyDescent="0.25">
      <c r="A1975">
        <v>656855</v>
      </c>
      <c r="B1975" t="s">
        <v>4047</v>
      </c>
      <c r="C1975" t="s">
        <v>4048</v>
      </c>
      <c r="D1975" t="s">
        <v>10</v>
      </c>
      <c r="E1975" t="s">
        <v>1240</v>
      </c>
      <c r="G1975" t="str">
        <f>HYPERLINK(_xlfn.CONCAT("https://tablet.otzar.org/",CHAR(35),"/book/656855/p/-1/t/1/fs/0/start/0/end/0/c"),"כתבי רבינו יצחק אבוהב (דה פונסקה) - ג")</f>
        <v>כתבי רבינו יצחק אבוהב (דה פונסקה) - ג</v>
      </c>
      <c r="H1975" t="str">
        <f>_xlfn.CONCAT("https://tablet.otzar.org/",CHAR(35),"/book/656855/p/-1/t/1/fs/0/start/0/end/0/c")</f>
        <v>https://tablet.otzar.org/#/book/656855/p/-1/t/1/fs/0/start/0/end/0/c</v>
      </c>
    </row>
    <row r="1976" spans="1:8" x14ac:dyDescent="0.25">
      <c r="A1976">
        <v>640794</v>
      </c>
      <c r="B1976" t="s">
        <v>4049</v>
      </c>
      <c r="C1976" t="s">
        <v>4050</v>
      </c>
      <c r="D1976" t="s">
        <v>4051</v>
      </c>
      <c r="E1976" t="s">
        <v>4052</v>
      </c>
      <c r="G1976" t="str">
        <f>HYPERLINK(_xlfn.CONCAT("https://tablet.otzar.org/",CHAR(35),"/book/640794/p/-1/t/1/fs/0/start/0/end/0/c"),"כתבים לתולדות חבת - ציון וישוב ארץ-ישראל - ג")</f>
        <v>כתבים לתולדות חבת - ציון וישוב ארץ-ישראל - ג</v>
      </c>
      <c r="H1976" t="str">
        <f>_xlfn.CONCAT("https://tablet.otzar.org/",CHAR(35),"/book/640794/p/-1/t/1/fs/0/start/0/end/0/c")</f>
        <v>https://tablet.otzar.org/#/book/640794/p/-1/t/1/fs/0/start/0/end/0/c</v>
      </c>
    </row>
    <row r="1977" spans="1:8" x14ac:dyDescent="0.25">
      <c r="A1977">
        <v>648432</v>
      </c>
      <c r="B1977" t="s">
        <v>4053</v>
      </c>
      <c r="C1977" t="s">
        <v>4054</v>
      </c>
      <c r="D1977" t="s">
        <v>499</v>
      </c>
      <c r="E1977" t="s">
        <v>1700</v>
      </c>
      <c r="G1977" t="str">
        <f>HYPERLINK(_xlfn.CONCAT("https://tablet.otzar.org/",CHAR(35),"/book/648432/p/-1/t/1/fs/0/start/0/end/0/c"),"כתוב לחיים")</f>
        <v>כתוב לחיים</v>
      </c>
      <c r="H1977" t="str">
        <f>_xlfn.CONCAT("https://tablet.otzar.org/",CHAR(35),"/book/648432/p/-1/t/1/fs/0/start/0/end/0/c")</f>
        <v>https://tablet.otzar.org/#/book/648432/p/-1/t/1/fs/0/start/0/end/0/c</v>
      </c>
    </row>
    <row r="1978" spans="1:8" x14ac:dyDescent="0.25">
      <c r="A1978">
        <v>651802</v>
      </c>
      <c r="B1978" t="s">
        <v>4055</v>
      </c>
      <c r="C1978" t="s">
        <v>1500</v>
      </c>
      <c r="D1978" t="s">
        <v>88</v>
      </c>
      <c r="E1978" t="s">
        <v>77</v>
      </c>
      <c r="G1978" t="str">
        <f>HYPERLINK(_xlfn.CONCAT("https://tablet.otzar.org/",CHAR(35),"/book/651802/p/-1/t/1/fs/0/start/0/end/0/c"),"כתונת אור")</f>
        <v>כתונת אור</v>
      </c>
      <c r="H1978" t="str">
        <f>_xlfn.CONCAT("https://tablet.otzar.org/",CHAR(35),"/book/651802/p/-1/t/1/fs/0/start/0/end/0/c")</f>
        <v>https://tablet.otzar.org/#/book/651802/p/-1/t/1/fs/0/start/0/end/0/c</v>
      </c>
    </row>
    <row r="1979" spans="1:8" x14ac:dyDescent="0.25">
      <c r="A1979">
        <v>651803</v>
      </c>
      <c r="B1979" t="s">
        <v>4056</v>
      </c>
      <c r="C1979" t="s">
        <v>1500</v>
      </c>
      <c r="D1979" t="s">
        <v>88</v>
      </c>
      <c r="E1979" t="s">
        <v>77</v>
      </c>
      <c r="G1979" t="str">
        <f>HYPERLINK(_xlfn.CONCAT("https://tablet.otzar.org/",CHAR(35),"/book/651803/p/-1/t/1/fs/0/start/0/end/0/c"),"כתונת יוסף")</f>
        <v>כתונת יוסף</v>
      </c>
      <c r="H1979" t="str">
        <f>_xlfn.CONCAT("https://tablet.otzar.org/",CHAR(35),"/book/651803/p/-1/t/1/fs/0/start/0/end/0/c")</f>
        <v>https://tablet.otzar.org/#/book/651803/p/-1/t/1/fs/0/start/0/end/0/c</v>
      </c>
    </row>
    <row r="1980" spans="1:8" x14ac:dyDescent="0.25">
      <c r="A1980">
        <v>651801</v>
      </c>
      <c r="B1980" t="s">
        <v>4057</v>
      </c>
      <c r="C1980" t="s">
        <v>1500</v>
      </c>
      <c r="D1980" t="s">
        <v>88</v>
      </c>
      <c r="E1980" t="s">
        <v>213</v>
      </c>
      <c r="G1980" t="str">
        <f>HYPERLINK(_xlfn.CONCAT("https://tablet.otzar.org/",CHAR(35),"/book/651801/p/-1/t/1/fs/0/start/0/end/0/c"),"כתונת פסים")</f>
        <v>כתונת פסים</v>
      </c>
      <c r="H1980" t="str">
        <f>_xlfn.CONCAT("https://tablet.otzar.org/",CHAR(35),"/book/651801/p/-1/t/1/fs/0/start/0/end/0/c")</f>
        <v>https://tablet.otzar.org/#/book/651801/p/-1/t/1/fs/0/start/0/end/0/c</v>
      </c>
    </row>
    <row r="1981" spans="1:8" x14ac:dyDescent="0.25">
      <c r="A1981">
        <v>648803</v>
      </c>
      <c r="B1981" t="s">
        <v>4058</v>
      </c>
      <c r="C1981" t="s">
        <v>4059</v>
      </c>
      <c r="D1981" t="s">
        <v>10</v>
      </c>
      <c r="E1981" t="s">
        <v>205</v>
      </c>
      <c r="G1981" t="str">
        <f>HYPERLINK(_xlfn.CONCAT("https://tablet.otzar.org/",CHAR(35),"/exKotar/648803"),"כתלי בית המדרש - 2 כרכים")</f>
        <v>כתלי בית המדרש - 2 כרכים</v>
      </c>
      <c r="H1981" t="str">
        <f>_xlfn.CONCAT("https://tablet.otzar.org/",CHAR(35),"/exKotar/648803")</f>
        <v>https://tablet.otzar.org/#/exKotar/648803</v>
      </c>
    </row>
    <row r="1982" spans="1:8" x14ac:dyDescent="0.25">
      <c r="A1982">
        <v>647931</v>
      </c>
      <c r="B1982" t="s">
        <v>4060</v>
      </c>
      <c r="C1982" t="s">
        <v>4061</v>
      </c>
      <c r="D1982" t="s">
        <v>58</v>
      </c>
      <c r="E1982" t="s">
        <v>4062</v>
      </c>
      <c r="G1982" t="str">
        <f>HYPERLINK(_xlfn.CONCAT("https://tablet.otzar.org/",CHAR(35),"/book/647931/p/-1/t/1/fs/0/start/0/end/0/c"),"כתר חכמה")</f>
        <v>כתר חכמה</v>
      </c>
      <c r="H1982" t="str">
        <f>_xlfn.CONCAT("https://tablet.otzar.org/",CHAR(35),"/book/647931/p/-1/t/1/fs/0/start/0/end/0/c")</f>
        <v>https://tablet.otzar.org/#/book/647931/p/-1/t/1/fs/0/start/0/end/0/c</v>
      </c>
    </row>
    <row r="1983" spans="1:8" x14ac:dyDescent="0.25">
      <c r="A1983">
        <v>649844</v>
      </c>
      <c r="B1983" t="s">
        <v>4063</v>
      </c>
      <c r="C1983" t="s">
        <v>4064</v>
      </c>
      <c r="D1983" t="s">
        <v>340</v>
      </c>
      <c r="E1983" t="s">
        <v>70</v>
      </c>
      <c r="G1983" t="str">
        <f>HYPERLINK(_xlfn.CONCAT("https://tablet.otzar.org/",CHAR(35),"/book/649844/p/-1/t/1/fs/0/start/0/end/0/c"),"כתר מלוכה")</f>
        <v>כתר מלוכה</v>
      </c>
      <c r="H1983" t="str">
        <f>_xlfn.CONCAT("https://tablet.otzar.org/",CHAR(35),"/book/649844/p/-1/t/1/fs/0/start/0/end/0/c")</f>
        <v>https://tablet.otzar.org/#/book/649844/p/-1/t/1/fs/0/start/0/end/0/c</v>
      </c>
    </row>
    <row r="1984" spans="1:8" x14ac:dyDescent="0.25">
      <c r="A1984">
        <v>649959</v>
      </c>
      <c r="B1984" t="s">
        <v>4063</v>
      </c>
      <c r="C1984" t="s">
        <v>614</v>
      </c>
      <c r="D1984" t="s">
        <v>10</v>
      </c>
      <c r="E1984" t="s">
        <v>495</v>
      </c>
      <c r="G1984" t="str">
        <f>HYPERLINK(_xlfn.CONCAT("https://tablet.otzar.org/",CHAR(35),"/book/649959/p/-1/t/1/fs/0/start/0/end/0/c"),"כתר מלוכה")</f>
        <v>כתר מלוכה</v>
      </c>
      <c r="H1984" t="str">
        <f>_xlfn.CONCAT("https://tablet.otzar.org/",CHAR(35),"/book/649959/p/-1/t/1/fs/0/start/0/end/0/c")</f>
        <v>https://tablet.otzar.org/#/book/649959/p/-1/t/1/fs/0/start/0/end/0/c</v>
      </c>
    </row>
    <row r="1985" spans="1:8" x14ac:dyDescent="0.25">
      <c r="A1985">
        <v>650750</v>
      </c>
      <c r="B1985" t="s">
        <v>4065</v>
      </c>
      <c r="C1985" t="s">
        <v>4066</v>
      </c>
      <c r="D1985" t="s">
        <v>34</v>
      </c>
      <c r="E1985" t="s">
        <v>35</v>
      </c>
      <c r="G1985" t="str">
        <f>HYPERLINK(_xlfn.CONCAT("https://tablet.otzar.org/",CHAR(35),"/book/650750/p/-1/t/1/fs/0/start/0/end/0/c"),"כתר מלוכה - ראש השנה")</f>
        <v>כתר מלוכה - ראש השנה</v>
      </c>
      <c r="H1985" t="str">
        <f>_xlfn.CONCAT("https://tablet.otzar.org/",CHAR(35),"/book/650750/p/-1/t/1/fs/0/start/0/end/0/c")</f>
        <v>https://tablet.otzar.org/#/book/650750/p/-1/t/1/fs/0/start/0/end/0/c</v>
      </c>
    </row>
    <row r="1986" spans="1:8" x14ac:dyDescent="0.25">
      <c r="A1986">
        <v>652574</v>
      </c>
      <c r="B1986" t="s">
        <v>4067</v>
      </c>
      <c r="C1986" t="s">
        <v>4068</v>
      </c>
      <c r="D1986" t="s">
        <v>4069</v>
      </c>
      <c r="E1986" t="s">
        <v>45</v>
      </c>
      <c r="G1986" t="str">
        <f>HYPERLINK(_xlfn.CONCAT("https://tablet.otzar.org/",CHAR(35),"/exKotar/652574"),"כתר שלמה - 2 כרכים")</f>
        <v>כתר שלמה - 2 כרכים</v>
      </c>
      <c r="H1986" t="str">
        <f>_xlfn.CONCAT("https://tablet.otzar.org/",CHAR(35),"/exKotar/652574")</f>
        <v>https://tablet.otzar.org/#/exKotar/652574</v>
      </c>
    </row>
    <row r="1987" spans="1:8" x14ac:dyDescent="0.25">
      <c r="A1987">
        <v>643278</v>
      </c>
      <c r="B1987" t="s">
        <v>4070</v>
      </c>
      <c r="C1987" t="s">
        <v>4071</v>
      </c>
      <c r="D1987" t="s">
        <v>4072</v>
      </c>
      <c r="E1987" t="s">
        <v>35</v>
      </c>
      <c r="G1987" t="str">
        <f>HYPERLINK(_xlfn.CONCAT("https://tablet.otzar.org/",CHAR(35),"/book/643278/p/-1/t/1/fs/0/start/0/end/0/c"),"כתר תורה")</f>
        <v>כתר תורה</v>
      </c>
      <c r="H1987" t="str">
        <f>_xlfn.CONCAT("https://tablet.otzar.org/",CHAR(35),"/book/643278/p/-1/t/1/fs/0/start/0/end/0/c")</f>
        <v>https://tablet.otzar.org/#/book/643278/p/-1/t/1/fs/0/start/0/end/0/c</v>
      </c>
    </row>
    <row r="1988" spans="1:8" x14ac:dyDescent="0.25">
      <c r="A1988">
        <v>648930</v>
      </c>
      <c r="B1988" t="s">
        <v>4073</v>
      </c>
      <c r="C1988" t="s">
        <v>4074</v>
      </c>
      <c r="D1988" t="s">
        <v>287</v>
      </c>
      <c r="E1988" t="s">
        <v>237</v>
      </c>
      <c r="G1988" t="str">
        <f>HYPERLINK(_xlfn.CONCAT("https://tablet.otzar.org/",CHAR(35),"/book/648930/p/-1/t/1/fs/0/start/0/end/0/c"),"כתר תורה - מ""""ח דברים שהתורה נקנית")</f>
        <v>כתר תורה - מ""ח דברים שהתורה נקנית</v>
      </c>
      <c r="H1988" t="str">
        <f>_xlfn.CONCAT("https://tablet.otzar.org/",CHAR(35),"/book/648930/p/-1/t/1/fs/0/start/0/end/0/c")</f>
        <v>https://tablet.otzar.org/#/book/648930/p/-1/t/1/fs/0/start/0/end/0/c</v>
      </c>
    </row>
    <row r="1989" spans="1:8" x14ac:dyDescent="0.25">
      <c r="A1989">
        <v>649288</v>
      </c>
      <c r="B1989" t="s">
        <v>4070</v>
      </c>
      <c r="C1989" t="s">
        <v>4075</v>
      </c>
      <c r="D1989" t="s">
        <v>58</v>
      </c>
      <c r="E1989" t="s">
        <v>2191</v>
      </c>
      <c r="G1989" t="str">
        <f>HYPERLINK(_xlfn.CONCAT("https://tablet.otzar.org/",CHAR(35),"/book/649288/p/-1/t/1/fs/0/start/0/end/0/c"),"כתר תורה")</f>
        <v>כתר תורה</v>
      </c>
      <c r="H1989" t="str">
        <f>_xlfn.CONCAT("https://tablet.otzar.org/",CHAR(35),"/book/649288/p/-1/t/1/fs/0/start/0/end/0/c")</f>
        <v>https://tablet.otzar.org/#/book/649288/p/-1/t/1/fs/0/start/0/end/0/c</v>
      </c>
    </row>
    <row r="1990" spans="1:8" x14ac:dyDescent="0.25">
      <c r="A1990">
        <v>652575</v>
      </c>
      <c r="B1990" t="s">
        <v>4076</v>
      </c>
      <c r="C1990" t="s">
        <v>4077</v>
      </c>
      <c r="D1990" t="s">
        <v>2111</v>
      </c>
      <c r="E1990" t="s">
        <v>35</v>
      </c>
      <c r="G1990" t="str">
        <f>HYPERLINK(_xlfn.CONCAT("https://tablet.otzar.org/",CHAR(35),"/book/652575/p/-1/t/1/fs/0/start/0/end/0/c"),"כתרי פרשיות")</f>
        <v>כתרי פרשיות</v>
      </c>
      <c r="H1990" t="str">
        <f>_xlfn.CONCAT("https://tablet.otzar.org/",CHAR(35),"/book/652575/p/-1/t/1/fs/0/start/0/end/0/c")</f>
        <v>https://tablet.otzar.org/#/book/652575/p/-1/t/1/fs/0/start/0/end/0/c</v>
      </c>
    </row>
    <row r="1991" spans="1:8" x14ac:dyDescent="0.25">
      <c r="A1991">
        <v>653196</v>
      </c>
      <c r="B1991" t="s">
        <v>4078</v>
      </c>
      <c r="C1991" t="s">
        <v>4079</v>
      </c>
      <c r="D1991" t="s">
        <v>4080</v>
      </c>
      <c r="E1991" t="s">
        <v>4081</v>
      </c>
      <c r="G1991" t="str">
        <f>HYPERLINK(_xlfn.CONCAT("https://tablet.otzar.org/",CHAR(35),"/book/653196/p/-1/t/1/fs/0/start/0/end/0/c"),"לא זו הדרך")</f>
        <v>לא זו הדרך</v>
      </c>
      <c r="H1991" t="str">
        <f>_xlfn.CONCAT("https://tablet.otzar.org/",CHAR(35),"/book/653196/p/-1/t/1/fs/0/start/0/end/0/c")</f>
        <v>https://tablet.otzar.org/#/book/653196/p/-1/t/1/fs/0/start/0/end/0/c</v>
      </c>
    </row>
    <row r="1992" spans="1:8" x14ac:dyDescent="0.25">
      <c r="A1992">
        <v>652640</v>
      </c>
      <c r="B1992" t="s">
        <v>4082</v>
      </c>
      <c r="C1992" t="s">
        <v>4083</v>
      </c>
      <c r="D1992" t="s">
        <v>129</v>
      </c>
      <c r="E1992" t="s">
        <v>4084</v>
      </c>
      <c r="G1992" t="str">
        <f>HYPERLINK(_xlfn.CONCAT("https://tablet.otzar.org/",CHAR(35),"/book/652640/p/-1/t/1/fs/0/start/0/end/0/c"),"לא ככל הגוים בית ישראל")</f>
        <v>לא ככל הגוים בית ישראל</v>
      </c>
      <c r="H1992" t="str">
        <f>_xlfn.CONCAT("https://tablet.otzar.org/",CHAR(35),"/book/652640/p/-1/t/1/fs/0/start/0/end/0/c")</f>
        <v>https://tablet.otzar.org/#/book/652640/p/-1/t/1/fs/0/start/0/end/0/c</v>
      </c>
    </row>
    <row r="1993" spans="1:8" x14ac:dyDescent="0.25">
      <c r="A1993">
        <v>651060</v>
      </c>
      <c r="B1993" t="s">
        <v>4085</v>
      </c>
      <c r="C1993" t="s">
        <v>2569</v>
      </c>
      <c r="D1993" t="s">
        <v>52</v>
      </c>
      <c r="E1993" t="s">
        <v>70</v>
      </c>
      <c r="G1993" t="str">
        <f>HYPERLINK(_xlfn.CONCAT("https://tablet.otzar.org/",CHAR(35),"/book/651060/p/-1/t/1/fs/0/start/0/end/0/c"),"לא תעשון אתי")</f>
        <v>לא תעשון אתי</v>
      </c>
      <c r="H1993" t="str">
        <f>_xlfn.CONCAT("https://tablet.otzar.org/",CHAR(35),"/book/651060/p/-1/t/1/fs/0/start/0/end/0/c")</f>
        <v>https://tablet.otzar.org/#/book/651060/p/-1/t/1/fs/0/start/0/end/0/c</v>
      </c>
    </row>
    <row r="1994" spans="1:8" x14ac:dyDescent="0.25">
      <c r="A1994">
        <v>650791</v>
      </c>
      <c r="B1994" t="s">
        <v>4086</v>
      </c>
      <c r="C1994" t="s">
        <v>4087</v>
      </c>
      <c r="D1994" t="s">
        <v>10</v>
      </c>
      <c r="E1994" t="s">
        <v>11</v>
      </c>
      <c r="G1994" t="str">
        <f>HYPERLINK(_xlfn.CONCAT("https://tablet.otzar.org/",CHAR(35),"/book/650791/p/-1/t/1/fs/0/start/0/end/0/c"),"לאור שפת אמת")</f>
        <v>לאור שפת אמת</v>
      </c>
      <c r="H1994" t="str">
        <f>_xlfn.CONCAT("https://tablet.otzar.org/",CHAR(35),"/book/650791/p/-1/t/1/fs/0/start/0/end/0/c")</f>
        <v>https://tablet.otzar.org/#/book/650791/p/-1/t/1/fs/0/start/0/end/0/c</v>
      </c>
    </row>
    <row r="1995" spans="1:8" x14ac:dyDescent="0.25">
      <c r="A1995">
        <v>651078</v>
      </c>
      <c r="B1995" t="s">
        <v>4088</v>
      </c>
      <c r="C1995" t="s">
        <v>1939</v>
      </c>
      <c r="D1995" t="s">
        <v>52</v>
      </c>
      <c r="E1995" t="s">
        <v>35</v>
      </c>
      <c r="G1995" t="str">
        <f>HYPERLINK(_xlfn.CONCAT("https://tablet.otzar.org/",CHAR(35),"/book/651078/p/-1/t/1/fs/0/start/0/end/0/c"),"לאיש כדרכיו")</f>
        <v>לאיש כדרכיו</v>
      </c>
      <c r="H1995" t="str">
        <f>_xlfn.CONCAT("https://tablet.otzar.org/",CHAR(35),"/book/651078/p/-1/t/1/fs/0/start/0/end/0/c")</f>
        <v>https://tablet.otzar.org/#/book/651078/p/-1/t/1/fs/0/start/0/end/0/c</v>
      </c>
    </row>
    <row r="1996" spans="1:8" x14ac:dyDescent="0.25">
      <c r="A1996">
        <v>642535</v>
      </c>
      <c r="B1996" t="s">
        <v>4089</v>
      </c>
      <c r="C1996" t="s">
        <v>4090</v>
      </c>
      <c r="D1996" t="s">
        <v>340</v>
      </c>
      <c r="E1996" t="s">
        <v>35</v>
      </c>
      <c r="G1996" t="str">
        <f>HYPERLINK(_xlfn.CONCAT("https://tablet.otzar.org/",CHAR(35),"/exKotar/642535"),"לאיש שלום - 2 כרכים")</f>
        <v>לאיש שלום - 2 כרכים</v>
      </c>
      <c r="H1996" t="str">
        <f>_xlfn.CONCAT("https://tablet.otzar.org/",CHAR(35),"/exKotar/642535")</f>
        <v>https://tablet.otzar.org/#/exKotar/642535</v>
      </c>
    </row>
    <row r="1997" spans="1:8" x14ac:dyDescent="0.25">
      <c r="A1997">
        <v>647689</v>
      </c>
      <c r="B1997" t="s">
        <v>4091</v>
      </c>
      <c r="C1997" t="s">
        <v>4092</v>
      </c>
      <c r="E1997" t="s">
        <v>84</v>
      </c>
      <c r="G1997" t="str">
        <f>HYPERLINK(_xlfn.CONCAT("https://tablet.otzar.org/",CHAR(35),"/book/647689/p/-1/t/1/fs/0/start/0/end/0/c"),"לאן הלכת")</f>
        <v>לאן הלכת</v>
      </c>
      <c r="H1997" t="str">
        <f>_xlfn.CONCAT("https://tablet.otzar.org/",CHAR(35),"/book/647689/p/-1/t/1/fs/0/start/0/end/0/c")</f>
        <v>https://tablet.otzar.org/#/book/647689/p/-1/t/1/fs/0/start/0/end/0/c</v>
      </c>
    </row>
    <row r="1998" spans="1:8" x14ac:dyDescent="0.25">
      <c r="A1998">
        <v>651079</v>
      </c>
      <c r="B1998" t="s">
        <v>4093</v>
      </c>
      <c r="C1998" t="s">
        <v>2877</v>
      </c>
      <c r="D1998" t="s">
        <v>34</v>
      </c>
      <c r="E1998" t="s">
        <v>117</v>
      </c>
      <c r="G1998" t="str">
        <f>HYPERLINK(_xlfn.CONCAT("https://tablet.otzar.org/",CHAR(35),"/exKotar/651079"),"לאסוקי שמעתא אליבא דהילכתא - 2 כרכים")</f>
        <v>לאסוקי שמעתא אליבא דהילכתא - 2 כרכים</v>
      </c>
      <c r="H1998" t="str">
        <f>_xlfn.CONCAT("https://tablet.otzar.org/",CHAR(35),"/exKotar/651079")</f>
        <v>https://tablet.otzar.org/#/exKotar/651079</v>
      </c>
    </row>
    <row r="1999" spans="1:8" x14ac:dyDescent="0.25">
      <c r="A1999">
        <v>651887</v>
      </c>
      <c r="B1999" t="s">
        <v>4094</v>
      </c>
      <c r="C1999" t="s">
        <v>4095</v>
      </c>
      <c r="D1999" t="s">
        <v>2314</v>
      </c>
      <c r="E1999" t="s">
        <v>11</v>
      </c>
      <c r="G1999" t="str">
        <f>HYPERLINK(_xlfn.CONCAT("https://tablet.otzar.org/",CHAR(35),"/exKotar/651887"),"לב אברהם - 2 כרכים")</f>
        <v>לב אברהם - 2 כרכים</v>
      </c>
      <c r="H1999" t="str">
        <f>_xlfn.CONCAT("https://tablet.otzar.org/",CHAR(35),"/exKotar/651887")</f>
        <v>https://tablet.otzar.org/#/exKotar/651887</v>
      </c>
    </row>
    <row r="2000" spans="1:8" x14ac:dyDescent="0.25">
      <c r="A2000">
        <v>651742</v>
      </c>
      <c r="B2000" t="s">
        <v>4096</v>
      </c>
      <c r="C2000" t="s">
        <v>4097</v>
      </c>
      <c r="D2000" t="s">
        <v>1259</v>
      </c>
      <c r="E2000" t="s">
        <v>35</v>
      </c>
      <c r="G2000" t="str">
        <f>HYPERLINK(_xlfn.CONCAT("https://tablet.otzar.org/",CHAR(35),"/book/651742/p/-1/t/1/fs/0/start/0/end/0/c"),"לב אלמנה ארנין")</f>
        <v>לב אלמנה ארנין</v>
      </c>
      <c r="H2000" t="str">
        <f>_xlfn.CONCAT("https://tablet.otzar.org/",CHAR(35),"/book/651742/p/-1/t/1/fs/0/start/0/end/0/c")</f>
        <v>https://tablet.otzar.org/#/book/651742/p/-1/t/1/fs/0/start/0/end/0/c</v>
      </c>
    </row>
    <row r="2001" spans="1:8" x14ac:dyDescent="0.25">
      <c r="A2001">
        <v>652543</v>
      </c>
      <c r="B2001" t="s">
        <v>4098</v>
      </c>
      <c r="C2001" t="s">
        <v>4099</v>
      </c>
      <c r="E2001" t="s">
        <v>11</v>
      </c>
      <c r="G2001" t="str">
        <f>HYPERLINK(_xlfn.CONCAT("https://tablet.otzar.org/",CHAR(35),"/book/652543/p/-1/t/1/fs/0/start/0/end/0/c"),"לב האש")</f>
        <v>לב האש</v>
      </c>
      <c r="H2001" t="str">
        <f>_xlfn.CONCAT("https://tablet.otzar.org/",CHAR(35),"/book/652543/p/-1/t/1/fs/0/start/0/end/0/c")</f>
        <v>https://tablet.otzar.org/#/book/652543/p/-1/t/1/fs/0/start/0/end/0/c</v>
      </c>
    </row>
    <row r="2002" spans="1:8" x14ac:dyDescent="0.25">
      <c r="A2002">
        <v>655754</v>
      </c>
      <c r="B2002" t="s">
        <v>4100</v>
      </c>
      <c r="C2002" t="s">
        <v>4101</v>
      </c>
      <c r="D2002" t="s">
        <v>273</v>
      </c>
      <c r="E2002" t="s">
        <v>35</v>
      </c>
      <c r="G2002" t="str">
        <f>HYPERLINK(_xlfn.CONCAT("https://tablet.otzar.org/",CHAR(35),"/book/655754/p/-1/t/1/fs/0/start/0/end/0/c"),"לב הלקוטים")</f>
        <v>לב הלקוטים</v>
      </c>
      <c r="H2002" t="str">
        <f>_xlfn.CONCAT("https://tablet.otzar.org/",CHAR(35),"/book/655754/p/-1/t/1/fs/0/start/0/end/0/c")</f>
        <v>https://tablet.otzar.org/#/book/655754/p/-1/t/1/fs/0/start/0/end/0/c</v>
      </c>
    </row>
    <row r="2003" spans="1:8" x14ac:dyDescent="0.25">
      <c r="A2003">
        <v>649158</v>
      </c>
      <c r="B2003" t="s">
        <v>4102</v>
      </c>
      <c r="C2003" t="s">
        <v>4103</v>
      </c>
      <c r="D2003" t="s">
        <v>10</v>
      </c>
      <c r="E2003" t="s">
        <v>84</v>
      </c>
      <c r="G2003" t="str">
        <f>HYPERLINK(_xlfn.CONCAT("https://tablet.otzar.org/",CHAR(35),"/book/649158/p/-1/t/1/fs/0/start/0/end/0/c"),"לב טוב &lt;מכון אור הצפון&gt;")</f>
        <v>לב טוב &lt;מכון אור הצפון&gt;</v>
      </c>
      <c r="H2003" t="str">
        <f>_xlfn.CONCAT("https://tablet.otzar.org/",CHAR(35),"/book/649158/p/-1/t/1/fs/0/start/0/end/0/c")</f>
        <v>https://tablet.otzar.org/#/book/649158/p/-1/t/1/fs/0/start/0/end/0/c</v>
      </c>
    </row>
    <row r="2004" spans="1:8" x14ac:dyDescent="0.25">
      <c r="A2004">
        <v>646245</v>
      </c>
      <c r="B2004" t="s">
        <v>4104</v>
      </c>
      <c r="C2004" t="s">
        <v>4105</v>
      </c>
      <c r="D2004" t="s">
        <v>10</v>
      </c>
      <c r="E2004" t="s">
        <v>70</v>
      </c>
      <c r="G2004" t="str">
        <f>HYPERLINK(_xlfn.CONCAT("https://tablet.otzar.org/",CHAR(35),"/book/646245/p/-1/t/1/fs/0/start/0/end/0/c"),"לב ים - גיטין")</f>
        <v>לב ים - גיטין</v>
      </c>
      <c r="H2004" t="str">
        <f>_xlfn.CONCAT("https://tablet.otzar.org/",CHAR(35),"/book/646245/p/-1/t/1/fs/0/start/0/end/0/c")</f>
        <v>https://tablet.otzar.org/#/book/646245/p/-1/t/1/fs/0/start/0/end/0/c</v>
      </c>
    </row>
    <row r="2005" spans="1:8" x14ac:dyDescent="0.25">
      <c r="A2005">
        <v>647604</v>
      </c>
      <c r="B2005" t="s">
        <v>4106</v>
      </c>
      <c r="C2005" t="s">
        <v>4107</v>
      </c>
      <c r="D2005" t="s">
        <v>10</v>
      </c>
      <c r="E2005" t="s">
        <v>405</v>
      </c>
      <c r="G2005" t="str">
        <f>HYPERLINK(_xlfn.CONCAT("https://tablet.otzar.org/",CHAR(35),"/book/647604/p/-1/t/1/fs/0/start/0/end/0/c"),"לב יצחק")</f>
        <v>לב יצחק</v>
      </c>
      <c r="H2005" t="str">
        <f>_xlfn.CONCAT("https://tablet.otzar.org/",CHAR(35),"/book/647604/p/-1/t/1/fs/0/start/0/end/0/c")</f>
        <v>https://tablet.otzar.org/#/book/647604/p/-1/t/1/fs/0/start/0/end/0/c</v>
      </c>
    </row>
    <row r="2006" spans="1:8" x14ac:dyDescent="0.25">
      <c r="A2006">
        <v>655769</v>
      </c>
      <c r="B2006" t="s">
        <v>4108</v>
      </c>
      <c r="C2006" t="s">
        <v>4101</v>
      </c>
      <c r="D2006" t="s">
        <v>273</v>
      </c>
      <c r="E2006" t="s">
        <v>11</v>
      </c>
      <c r="G2006" t="str">
        <f>HYPERLINK(_xlfn.CONCAT("https://tablet.otzar.org/",CHAR(35),"/book/655769/p/-1/t/1/fs/0/start/0/end/0/c"),"לב לדעת")</f>
        <v>לב לדעת</v>
      </c>
      <c r="H2006" t="str">
        <f>_xlfn.CONCAT("https://tablet.otzar.org/",CHAR(35),"/book/655769/p/-1/t/1/fs/0/start/0/end/0/c")</f>
        <v>https://tablet.otzar.org/#/book/655769/p/-1/t/1/fs/0/start/0/end/0/c</v>
      </c>
    </row>
    <row r="2007" spans="1:8" x14ac:dyDescent="0.25">
      <c r="A2007">
        <v>648188</v>
      </c>
      <c r="B2007" t="s">
        <v>4109</v>
      </c>
      <c r="C2007" t="s">
        <v>4110</v>
      </c>
      <c r="D2007" t="s">
        <v>10</v>
      </c>
      <c r="E2007" t="s">
        <v>35</v>
      </c>
      <c r="G2007" t="str">
        <f>HYPERLINK(_xlfn.CONCAT("https://tablet.otzar.org/",CHAR(35),"/book/648188/p/-1/t/1/fs/0/start/0/end/0/c"),"לב נפתלי")</f>
        <v>לב נפתלי</v>
      </c>
      <c r="H2007" t="str">
        <f>_xlfn.CONCAT("https://tablet.otzar.org/",CHAR(35),"/book/648188/p/-1/t/1/fs/0/start/0/end/0/c")</f>
        <v>https://tablet.otzar.org/#/book/648188/p/-1/t/1/fs/0/start/0/end/0/c</v>
      </c>
    </row>
    <row r="2008" spans="1:8" x14ac:dyDescent="0.25">
      <c r="A2008">
        <v>650884</v>
      </c>
      <c r="B2008" t="s">
        <v>4109</v>
      </c>
      <c r="C2008" t="s">
        <v>4111</v>
      </c>
      <c r="D2008" t="s">
        <v>34</v>
      </c>
      <c r="E2008" t="s">
        <v>70</v>
      </c>
      <c r="G2008" t="str">
        <f>HYPERLINK(_xlfn.CONCAT("https://tablet.otzar.org/",CHAR(35),"/book/650884/p/-1/t/1/fs/0/start/0/end/0/c"),"לב נפתלי")</f>
        <v>לב נפתלי</v>
      </c>
      <c r="H2008" t="str">
        <f>_xlfn.CONCAT("https://tablet.otzar.org/",CHAR(35),"/book/650884/p/-1/t/1/fs/0/start/0/end/0/c")</f>
        <v>https://tablet.otzar.org/#/book/650884/p/-1/t/1/fs/0/start/0/end/0/c</v>
      </c>
    </row>
    <row r="2009" spans="1:8" x14ac:dyDescent="0.25">
      <c r="A2009">
        <v>648944</v>
      </c>
      <c r="B2009" t="s">
        <v>4112</v>
      </c>
      <c r="C2009" t="s">
        <v>4113</v>
      </c>
      <c r="D2009" t="s">
        <v>10</v>
      </c>
      <c r="E2009" t="s">
        <v>769</v>
      </c>
      <c r="G2009" t="str">
        <f>HYPERLINK(_xlfn.CONCAT("https://tablet.otzar.org/",CHAR(35),"/book/648944/p/-1/t/1/fs/0/start/0/end/0/c"),"לב רחב - תורה בראשית")</f>
        <v>לב רחב - תורה בראשית</v>
      </c>
      <c r="H2009" t="str">
        <f>_xlfn.CONCAT("https://tablet.otzar.org/",CHAR(35),"/book/648944/p/-1/t/1/fs/0/start/0/end/0/c")</f>
        <v>https://tablet.otzar.org/#/book/648944/p/-1/t/1/fs/0/start/0/end/0/c</v>
      </c>
    </row>
    <row r="2010" spans="1:8" x14ac:dyDescent="0.25">
      <c r="A2010">
        <v>654262</v>
      </c>
      <c r="B2010" t="s">
        <v>4114</v>
      </c>
      <c r="C2010" t="s">
        <v>4115</v>
      </c>
      <c r="D2010" t="s">
        <v>52</v>
      </c>
      <c r="E2010" t="s">
        <v>11</v>
      </c>
      <c r="G2010" t="str">
        <f>HYPERLINK(_xlfn.CONCAT("https://tablet.otzar.org/",CHAR(35),"/book/654262/p/-1/t/1/fs/0/start/0/end/0/c"),"לב שמואל - שבת, פסחים, סוכה, שביעית")</f>
        <v>לב שמואל - שבת, פסחים, סוכה, שביעית</v>
      </c>
      <c r="H2010" t="str">
        <f>_xlfn.CONCAT("https://tablet.otzar.org/",CHAR(35),"/book/654262/p/-1/t/1/fs/0/start/0/end/0/c")</f>
        <v>https://tablet.otzar.org/#/book/654262/p/-1/t/1/fs/0/start/0/end/0/c</v>
      </c>
    </row>
    <row r="2011" spans="1:8" x14ac:dyDescent="0.25">
      <c r="A2011">
        <v>648107</v>
      </c>
      <c r="B2011" t="s">
        <v>4116</v>
      </c>
      <c r="C2011" t="s">
        <v>4117</v>
      </c>
      <c r="D2011" t="s">
        <v>287</v>
      </c>
      <c r="E2011" t="s">
        <v>914</v>
      </c>
      <c r="G2011" t="str">
        <f>HYPERLINK(_xlfn.CONCAT("https://tablet.otzar.org/",CHAR(35),"/book/648107/p/-1/t/1/fs/0/start/0/end/0/c"),"לב שמח")</f>
        <v>לב שמח</v>
      </c>
      <c r="H2011" t="str">
        <f>_xlfn.CONCAT("https://tablet.otzar.org/",CHAR(35),"/book/648107/p/-1/t/1/fs/0/start/0/end/0/c")</f>
        <v>https://tablet.otzar.org/#/book/648107/p/-1/t/1/fs/0/start/0/end/0/c</v>
      </c>
    </row>
    <row r="2012" spans="1:8" x14ac:dyDescent="0.25">
      <c r="A2012">
        <v>649344</v>
      </c>
      <c r="B2012" t="s">
        <v>4118</v>
      </c>
      <c r="C2012" t="s">
        <v>4119</v>
      </c>
      <c r="D2012" t="s">
        <v>34</v>
      </c>
      <c r="E2012" t="s">
        <v>11</v>
      </c>
      <c r="G2012" t="str">
        <f>HYPERLINK(_xlfn.CONCAT("https://tablet.otzar.org/",CHAR(35),"/book/649344/p/-1/t/1/fs/0/start/0/end/0/c"),"לב שמחה")</f>
        <v>לב שמחה</v>
      </c>
      <c r="H2012" t="str">
        <f>_xlfn.CONCAT("https://tablet.otzar.org/",CHAR(35),"/book/649344/p/-1/t/1/fs/0/start/0/end/0/c")</f>
        <v>https://tablet.otzar.org/#/book/649344/p/-1/t/1/fs/0/start/0/end/0/c</v>
      </c>
    </row>
    <row r="2013" spans="1:8" x14ac:dyDescent="0.25">
      <c r="A2013">
        <v>647595</v>
      </c>
      <c r="B2013" t="s">
        <v>4120</v>
      </c>
      <c r="C2013" t="s">
        <v>4121</v>
      </c>
      <c r="D2013" t="s">
        <v>10</v>
      </c>
      <c r="E2013" t="s">
        <v>70</v>
      </c>
      <c r="G2013" t="str">
        <f>HYPERLINK(_xlfn.CONCAT("https://tablet.otzar.org/",CHAR(35),"/book/647595/p/-1/t/1/fs/0/start/0/end/0/c"),"לבב חכמה")</f>
        <v>לבב חכמה</v>
      </c>
      <c r="H2013" t="str">
        <f>_xlfn.CONCAT("https://tablet.otzar.org/",CHAR(35),"/book/647595/p/-1/t/1/fs/0/start/0/end/0/c")</f>
        <v>https://tablet.otzar.org/#/book/647595/p/-1/t/1/fs/0/start/0/end/0/c</v>
      </c>
    </row>
    <row r="2014" spans="1:8" x14ac:dyDescent="0.25">
      <c r="A2014">
        <v>647718</v>
      </c>
      <c r="B2014" t="s">
        <v>4122</v>
      </c>
      <c r="C2014" t="s">
        <v>4123</v>
      </c>
      <c r="D2014" t="s">
        <v>34</v>
      </c>
      <c r="E2014" t="s">
        <v>35</v>
      </c>
      <c r="G2014" t="str">
        <f>HYPERLINK(_xlfn.CONCAT("https://tablet.otzar.org/",CHAR(35),"/book/647718/p/-1/t/1/fs/0/start/0/end/0/c"),"לבוקר חסדך")</f>
        <v>לבוקר חסדך</v>
      </c>
      <c r="H2014" t="str">
        <f>_xlfn.CONCAT("https://tablet.otzar.org/",CHAR(35),"/book/647718/p/-1/t/1/fs/0/start/0/end/0/c")</f>
        <v>https://tablet.otzar.org/#/book/647718/p/-1/t/1/fs/0/start/0/end/0/c</v>
      </c>
    </row>
    <row r="2015" spans="1:8" x14ac:dyDescent="0.25">
      <c r="A2015">
        <v>655256</v>
      </c>
      <c r="B2015" t="s">
        <v>4124</v>
      </c>
      <c r="C2015" t="s">
        <v>3680</v>
      </c>
      <c r="D2015" t="s">
        <v>52</v>
      </c>
      <c r="E2015" t="s">
        <v>11</v>
      </c>
      <c r="G2015" t="str">
        <f>HYPERLINK(_xlfn.CONCAT("https://tablet.otzar.org/",CHAR(35),"/exKotar/655256"),"לבוש יוסף - 3 כרכים")</f>
        <v>לבוש יוסף - 3 כרכים</v>
      </c>
      <c r="H2015" t="str">
        <f>_xlfn.CONCAT("https://tablet.otzar.org/",CHAR(35),"/exKotar/655256")</f>
        <v>https://tablet.otzar.org/#/exKotar/655256</v>
      </c>
    </row>
    <row r="2016" spans="1:8" x14ac:dyDescent="0.25">
      <c r="A2016">
        <v>655526</v>
      </c>
      <c r="B2016" t="s">
        <v>4125</v>
      </c>
      <c r="C2016" t="s">
        <v>4126</v>
      </c>
      <c r="E2016" t="s">
        <v>84</v>
      </c>
      <c r="G2016" t="str">
        <f>HYPERLINK(_xlfn.CONCAT("https://tablet.otzar.org/",CHAR(35),"/exKotar/655526"),"לבושי מרדכי - 3 כרכים")</f>
        <v>לבושי מרדכי - 3 כרכים</v>
      </c>
      <c r="H2016" t="str">
        <f>_xlfn.CONCAT("https://tablet.otzar.org/",CHAR(35),"/exKotar/655526")</f>
        <v>https://tablet.otzar.org/#/exKotar/655526</v>
      </c>
    </row>
    <row r="2017" spans="1:8" x14ac:dyDescent="0.25">
      <c r="A2017">
        <v>647256</v>
      </c>
      <c r="B2017" t="s">
        <v>4127</v>
      </c>
      <c r="C2017" t="s">
        <v>3792</v>
      </c>
      <c r="D2017" t="s">
        <v>10</v>
      </c>
      <c r="E2017" t="s">
        <v>2534</v>
      </c>
      <c r="G2017" t="str">
        <f>HYPERLINK(_xlfn.CONCAT("https://tablet.otzar.org/",CHAR(35),"/book/647256/p/-1/t/1/fs/0/start/0/end/0/c"),"לדוד אמת &lt;עם ילקוט יוסף&gt;")</f>
        <v>לדוד אמת &lt;עם ילקוט יוסף&gt;</v>
      </c>
      <c r="H2017" t="str">
        <f>_xlfn.CONCAT("https://tablet.otzar.org/",CHAR(35),"/book/647256/p/-1/t/1/fs/0/start/0/end/0/c")</f>
        <v>https://tablet.otzar.org/#/book/647256/p/-1/t/1/fs/0/start/0/end/0/c</v>
      </c>
    </row>
    <row r="2018" spans="1:8" x14ac:dyDescent="0.25">
      <c r="A2018">
        <v>648553</v>
      </c>
      <c r="B2018" t="s">
        <v>4128</v>
      </c>
      <c r="C2018" t="s">
        <v>4129</v>
      </c>
      <c r="D2018" t="s">
        <v>948</v>
      </c>
      <c r="E2018" t="s">
        <v>405</v>
      </c>
      <c r="G2018" t="str">
        <f>HYPERLINK(_xlfn.CONCAT("https://tablet.otzar.org/",CHAR(35),"/book/648553/p/-1/t/1/fs/0/start/0/end/0/c"),"לדוד ולזרעו - זרע חיים - כתית למאור - ב")</f>
        <v>לדוד ולזרעו - זרע חיים - כתית למאור - ב</v>
      </c>
      <c r="H2018" t="str">
        <f>_xlfn.CONCAT("https://tablet.otzar.org/",CHAR(35),"/book/648553/p/-1/t/1/fs/0/start/0/end/0/c")</f>
        <v>https://tablet.otzar.org/#/book/648553/p/-1/t/1/fs/0/start/0/end/0/c</v>
      </c>
    </row>
    <row r="2019" spans="1:8" x14ac:dyDescent="0.25">
      <c r="A2019">
        <v>652608</v>
      </c>
      <c r="B2019" t="s">
        <v>4130</v>
      </c>
      <c r="C2019" t="s">
        <v>4131</v>
      </c>
      <c r="D2019" t="s">
        <v>34</v>
      </c>
      <c r="E2019" t="s">
        <v>19</v>
      </c>
      <c r="G2019" t="str">
        <f>HYPERLINK(_xlfn.CONCAT("https://tablet.otzar.org/",CHAR(35),"/book/652608/p/-1/t/1/fs/0/start/0/end/0/c"),"לדוד להזכיר")</f>
        <v>לדוד להזכיר</v>
      </c>
      <c r="H2019" t="str">
        <f>_xlfn.CONCAT("https://tablet.otzar.org/",CHAR(35),"/book/652608/p/-1/t/1/fs/0/start/0/end/0/c")</f>
        <v>https://tablet.otzar.org/#/book/652608/p/-1/t/1/fs/0/start/0/end/0/c</v>
      </c>
    </row>
    <row r="2020" spans="1:8" x14ac:dyDescent="0.25">
      <c r="A2020">
        <v>657054</v>
      </c>
      <c r="B2020" t="s">
        <v>4130</v>
      </c>
      <c r="C2020" t="s">
        <v>4132</v>
      </c>
      <c r="D2020" t="s">
        <v>52</v>
      </c>
      <c r="E2020" t="s">
        <v>11</v>
      </c>
      <c r="G2020" t="str">
        <f>HYPERLINK(_xlfn.CONCAT("https://tablet.otzar.org/",CHAR(35),"/book/657054/p/-1/t/1/fs/0/start/0/end/0/c"),"לדוד להזכיר")</f>
        <v>לדוד להזכיר</v>
      </c>
      <c r="H2020" t="str">
        <f>_xlfn.CONCAT("https://tablet.otzar.org/",CHAR(35),"/book/657054/p/-1/t/1/fs/0/start/0/end/0/c")</f>
        <v>https://tablet.otzar.org/#/book/657054/p/-1/t/1/fs/0/start/0/end/0/c</v>
      </c>
    </row>
    <row r="2021" spans="1:8" x14ac:dyDescent="0.25">
      <c r="A2021">
        <v>654886</v>
      </c>
      <c r="B2021" t="s">
        <v>4133</v>
      </c>
      <c r="C2021" t="s">
        <v>4134</v>
      </c>
      <c r="D2021" t="s">
        <v>1195</v>
      </c>
      <c r="E2021" t="s">
        <v>11</v>
      </c>
      <c r="G2021" t="str">
        <f>HYPERLINK(_xlfn.CONCAT("https://tablet.otzar.org/",CHAR(35),"/book/654886/p/-1/t/1/fs/0/start/0/end/0/c"),"לדוד מזמור סיכום תמציתי של פרקי תהלים")</f>
        <v>לדוד מזמור סיכום תמציתי של פרקי תהלים</v>
      </c>
      <c r="H2021" t="str">
        <f>_xlfn.CONCAT("https://tablet.otzar.org/",CHAR(35),"/book/654886/p/-1/t/1/fs/0/start/0/end/0/c")</f>
        <v>https://tablet.otzar.org/#/book/654886/p/-1/t/1/fs/0/start/0/end/0/c</v>
      </c>
    </row>
    <row r="2022" spans="1:8" x14ac:dyDescent="0.25">
      <c r="A2022">
        <v>640423</v>
      </c>
      <c r="B2022" t="s">
        <v>4135</v>
      </c>
      <c r="C2022" t="s">
        <v>4136</v>
      </c>
      <c r="D2022" t="s">
        <v>10</v>
      </c>
      <c r="E2022" t="s">
        <v>405</v>
      </c>
      <c r="G2022" t="str">
        <f>HYPERLINK(_xlfn.CONCAT("https://tablet.otzar.org/",CHAR(35),"/book/640423/p/-1/t/1/fs/0/start/0/end/0/c"),"לדור ולדורות - ב")</f>
        <v>לדור ולדורות - ב</v>
      </c>
      <c r="H2022" t="str">
        <f>_xlfn.CONCAT("https://tablet.otzar.org/",CHAR(35),"/book/640423/p/-1/t/1/fs/0/start/0/end/0/c")</f>
        <v>https://tablet.otzar.org/#/book/640423/p/-1/t/1/fs/0/start/0/end/0/c</v>
      </c>
    </row>
    <row r="2023" spans="1:8" x14ac:dyDescent="0.25">
      <c r="A2023">
        <v>648984</v>
      </c>
      <c r="B2023" t="s">
        <v>4137</v>
      </c>
      <c r="C2023" t="s">
        <v>4138</v>
      </c>
      <c r="D2023" t="s">
        <v>10</v>
      </c>
      <c r="E2023" t="s">
        <v>293</v>
      </c>
      <c r="G2023" t="str">
        <f>HYPERLINK(_xlfn.CONCAT("https://tablet.otzar.org/",CHAR(35),"/book/648984/p/-1/t/1/fs/0/start/0/end/0/c"),"לדורו ולדורות")</f>
        <v>לדורו ולדורות</v>
      </c>
      <c r="H2023" t="str">
        <f>_xlfn.CONCAT("https://tablet.otzar.org/",CHAR(35),"/book/648984/p/-1/t/1/fs/0/start/0/end/0/c")</f>
        <v>https://tablet.otzar.org/#/book/648984/p/-1/t/1/fs/0/start/0/end/0/c</v>
      </c>
    </row>
    <row r="2024" spans="1:8" x14ac:dyDescent="0.25">
      <c r="A2024">
        <v>648806</v>
      </c>
      <c r="B2024" t="s">
        <v>4139</v>
      </c>
      <c r="C2024" t="s">
        <v>1933</v>
      </c>
      <c r="D2024" t="s">
        <v>10</v>
      </c>
      <c r="E2024" t="s">
        <v>405</v>
      </c>
      <c r="G2024" t="str">
        <f>HYPERLINK(_xlfn.CONCAT("https://tablet.otzar.org/",CHAR(35),"/book/648806/p/-1/t/1/fs/0/start/0/end/0/c"),"לדניאל מזמור")</f>
        <v>לדניאל מזמור</v>
      </c>
      <c r="H2024" t="str">
        <f>_xlfn.CONCAT("https://tablet.otzar.org/",CHAR(35),"/book/648806/p/-1/t/1/fs/0/start/0/end/0/c")</f>
        <v>https://tablet.otzar.org/#/book/648806/p/-1/t/1/fs/0/start/0/end/0/c</v>
      </c>
    </row>
    <row r="2025" spans="1:8" x14ac:dyDescent="0.25">
      <c r="A2025">
        <v>651993</v>
      </c>
      <c r="B2025" t="s">
        <v>4140</v>
      </c>
      <c r="C2025" t="s">
        <v>4141</v>
      </c>
      <c r="D2025" t="s">
        <v>386</v>
      </c>
      <c r="E2025" t="s">
        <v>35</v>
      </c>
      <c r="G2025" t="str">
        <f>HYPERLINK(_xlfn.CONCAT("https://tablet.otzar.org/",CHAR(35),"/book/651993/p/-1/t/1/fs/0/start/0/end/0/c"),"להבין את הקסם")</f>
        <v>להבין את הקסם</v>
      </c>
      <c r="H2025" t="str">
        <f>_xlfn.CONCAT("https://tablet.otzar.org/",CHAR(35),"/book/651993/p/-1/t/1/fs/0/start/0/end/0/c")</f>
        <v>https://tablet.otzar.org/#/book/651993/p/-1/t/1/fs/0/start/0/end/0/c</v>
      </c>
    </row>
    <row r="2026" spans="1:8" x14ac:dyDescent="0.25">
      <c r="A2026">
        <v>654325</v>
      </c>
      <c r="B2026" t="s">
        <v>4142</v>
      </c>
      <c r="C2026" t="s">
        <v>4143</v>
      </c>
      <c r="D2026" t="s">
        <v>10</v>
      </c>
      <c r="E2026" t="s">
        <v>11</v>
      </c>
      <c r="G2026" t="str">
        <f>HYPERLINK(_xlfn.CONCAT("https://tablet.otzar.org/",CHAR(35),"/book/654325/p/-1/t/1/fs/0/start/0/end/0/c"),"להבין ולהשכיל")</f>
        <v>להבין ולהשכיל</v>
      </c>
      <c r="H2026" t="str">
        <f>_xlfn.CONCAT("https://tablet.otzar.org/",CHAR(35),"/book/654325/p/-1/t/1/fs/0/start/0/end/0/c")</f>
        <v>https://tablet.otzar.org/#/book/654325/p/-1/t/1/fs/0/start/0/end/0/c</v>
      </c>
    </row>
    <row r="2027" spans="1:8" x14ac:dyDescent="0.25">
      <c r="A2027">
        <v>650214</v>
      </c>
      <c r="B2027" t="s">
        <v>4144</v>
      </c>
      <c r="C2027" t="s">
        <v>4145</v>
      </c>
      <c r="D2027" t="s">
        <v>609</v>
      </c>
      <c r="E2027" t="s">
        <v>558</v>
      </c>
      <c r="G2027" t="str">
        <f>HYPERLINK(_xlfn.CONCAT("https://tablet.otzar.org/",CHAR(35),"/exKotar/650214"),"להבין ולהשכיל - 2 כרכים")</f>
        <v>להבין ולהשכיל - 2 כרכים</v>
      </c>
      <c r="H2027" t="str">
        <f>_xlfn.CONCAT("https://tablet.otzar.org/",CHAR(35),"/exKotar/650214")</f>
        <v>https://tablet.otzar.org/#/exKotar/650214</v>
      </c>
    </row>
    <row r="2028" spans="1:8" x14ac:dyDescent="0.25">
      <c r="A2028">
        <v>648671</v>
      </c>
      <c r="B2028" t="s">
        <v>4146</v>
      </c>
      <c r="C2028" t="s">
        <v>4147</v>
      </c>
      <c r="D2028" t="s">
        <v>34</v>
      </c>
      <c r="E2028" t="s">
        <v>73</v>
      </c>
      <c r="G2028" t="str">
        <f>HYPERLINK(_xlfn.CONCAT("https://tablet.otzar.org/",CHAR(35),"/book/648671/p/-1/t/1/fs/0/start/0/end/0/c"),"להגדיל תורה ולהאדירה")</f>
        <v>להגדיל תורה ולהאדירה</v>
      </c>
      <c r="H2028" t="str">
        <f>_xlfn.CONCAT("https://tablet.otzar.org/",CHAR(35),"/book/648671/p/-1/t/1/fs/0/start/0/end/0/c")</f>
        <v>https://tablet.otzar.org/#/book/648671/p/-1/t/1/fs/0/start/0/end/0/c</v>
      </c>
    </row>
    <row r="2029" spans="1:8" x14ac:dyDescent="0.25">
      <c r="A2029">
        <v>655598</v>
      </c>
      <c r="B2029" t="s">
        <v>4148</v>
      </c>
      <c r="C2029" t="s">
        <v>4149</v>
      </c>
      <c r="D2029" t="s">
        <v>52</v>
      </c>
      <c r="E2029" t="s">
        <v>11</v>
      </c>
      <c r="G2029" t="str">
        <f>HYPERLINK(_xlfn.CONCAT("https://tablet.otzar.org/",CHAR(35),"/exKotar/655598"),"להדבק בדרכיו של רבינו חיים קנייבסקי זצ""""ל - 2 כרכים")</f>
        <v>להדבק בדרכיו של רבינו חיים קנייבסקי זצ""ל - 2 כרכים</v>
      </c>
      <c r="H2029" t="str">
        <f>_xlfn.CONCAT("https://tablet.otzar.org/",CHAR(35),"/exKotar/655598")</f>
        <v>https://tablet.otzar.org/#/exKotar/655598</v>
      </c>
    </row>
    <row r="2030" spans="1:8" x14ac:dyDescent="0.25">
      <c r="A2030">
        <v>647757</v>
      </c>
      <c r="B2030" t="s">
        <v>4150</v>
      </c>
      <c r="C2030" t="s">
        <v>4149</v>
      </c>
      <c r="D2030" t="s">
        <v>52</v>
      </c>
      <c r="E2030" t="s">
        <v>35</v>
      </c>
      <c r="G2030" t="str">
        <f>HYPERLINK(_xlfn.CONCAT("https://tablet.otzar.org/",CHAR(35),"/book/647757/p/-1/t/1/fs/0/start/0/end/0/c"),"להדבק ביראתם של רבותינו")</f>
        <v>להדבק ביראתם של רבותינו</v>
      </c>
      <c r="H2030" t="str">
        <f>_xlfn.CONCAT("https://tablet.otzar.org/",CHAR(35),"/book/647757/p/-1/t/1/fs/0/start/0/end/0/c")</f>
        <v>https://tablet.otzar.org/#/book/647757/p/-1/t/1/fs/0/start/0/end/0/c</v>
      </c>
    </row>
    <row r="2031" spans="1:8" x14ac:dyDescent="0.25">
      <c r="A2031">
        <v>647717</v>
      </c>
      <c r="B2031" t="s">
        <v>4151</v>
      </c>
      <c r="C2031" t="s">
        <v>4152</v>
      </c>
      <c r="D2031" t="s">
        <v>139</v>
      </c>
      <c r="E2031" t="s">
        <v>11</v>
      </c>
      <c r="G2031" t="str">
        <f>HYPERLINK(_xlfn.CONCAT("https://tablet.otzar.org/",CHAR(35),"/book/647717/p/-1/t/1/fs/0/start/0/end/0/c"),"להודות ולהלל")</f>
        <v>להודות ולהלל</v>
      </c>
      <c r="H2031" t="str">
        <f>_xlfn.CONCAT("https://tablet.otzar.org/",CHAR(35),"/book/647717/p/-1/t/1/fs/0/start/0/end/0/c")</f>
        <v>https://tablet.otzar.org/#/book/647717/p/-1/t/1/fs/0/start/0/end/0/c</v>
      </c>
    </row>
    <row r="2032" spans="1:8" x14ac:dyDescent="0.25">
      <c r="A2032">
        <v>648173</v>
      </c>
      <c r="B2032" t="s">
        <v>4153</v>
      </c>
      <c r="C2032" t="s">
        <v>382</v>
      </c>
      <c r="D2032" t="s">
        <v>10</v>
      </c>
      <c r="E2032" t="s">
        <v>763</v>
      </c>
      <c r="G2032" t="str">
        <f>HYPERLINK(_xlfn.CONCAT("https://tablet.otzar.org/",CHAR(35),"/book/648173/p/-1/t/1/fs/0/start/0/end/0/c"),"להטות לבבנו - מקומו של הלב בעבודת ה'")</f>
        <v>להטות לבבנו - מקומו של הלב בעבודת ה'</v>
      </c>
      <c r="H2032" t="str">
        <f>_xlfn.CONCAT("https://tablet.otzar.org/",CHAR(35),"/book/648173/p/-1/t/1/fs/0/start/0/end/0/c")</f>
        <v>https://tablet.otzar.org/#/book/648173/p/-1/t/1/fs/0/start/0/end/0/c</v>
      </c>
    </row>
    <row r="2033" spans="1:8" x14ac:dyDescent="0.25">
      <c r="A2033">
        <v>655234</v>
      </c>
      <c r="B2033" t="s">
        <v>4154</v>
      </c>
      <c r="C2033" t="s">
        <v>911</v>
      </c>
      <c r="D2033" t="s">
        <v>10</v>
      </c>
      <c r="E2033" t="s">
        <v>312</v>
      </c>
      <c r="G2033" t="str">
        <f>HYPERLINK(_xlfn.CONCAT("https://tablet.otzar.org/",CHAR(35),"/book/655234/p/-1/t/1/fs/0/start/0/end/0/c"),"להיות את")</f>
        <v>להיות את</v>
      </c>
      <c r="H2033" t="str">
        <f>_xlfn.CONCAT("https://tablet.otzar.org/",CHAR(35),"/book/655234/p/-1/t/1/fs/0/start/0/end/0/c")</f>
        <v>https://tablet.otzar.org/#/book/655234/p/-1/t/1/fs/0/start/0/end/0/c</v>
      </c>
    </row>
    <row r="2034" spans="1:8" x14ac:dyDescent="0.25">
      <c r="A2034">
        <v>650446</v>
      </c>
      <c r="B2034" t="s">
        <v>4155</v>
      </c>
      <c r="C2034" t="s">
        <v>4156</v>
      </c>
      <c r="D2034" t="s">
        <v>4157</v>
      </c>
      <c r="E2034">
        <v>1913</v>
      </c>
      <c r="G2034" t="str">
        <f>HYPERLINK(_xlfn.CONCAT("https://tablet.otzar.org/",CHAR(35),"/book/650446/p/-1/t/1/fs/0/start/0/end/0/c"),"להסיר מכשול של קלה נאה וחשודה")</f>
        <v>להסיר מכשול של קלה נאה וחשודה</v>
      </c>
      <c r="H2034" t="str">
        <f>_xlfn.CONCAT("https://tablet.otzar.org/",CHAR(35),"/book/650446/p/-1/t/1/fs/0/start/0/end/0/c")</f>
        <v>https://tablet.otzar.org/#/book/650446/p/-1/t/1/fs/0/start/0/end/0/c</v>
      </c>
    </row>
    <row r="2035" spans="1:8" x14ac:dyDescent="0.25">
      <c r="A2035">
        <v>654871</v>
      </c>
      <c r="B2035" t="s">
        <v>4158</v>
      </c>
      <c r="C2035" t="s">
        <v>4159</v>
      </c>
      <c r="D2035" t="s">
        <v>52</v>
      </c>
      <c r="E2035" t="s">
        <v>11</v>
      </c>
      <c r="G2035" t="str">
        <f>HYPERLINK(_xlfn.CONCAT("https://tablet.otzar.org/",CHAR(35),"/book/654871/p/-1/t/1/fs/0/start/0/end/0/c"),"להקים שם")</f>
        <v>להקים שם</v>
      </c>
      <c r="H2035" t="str">
        <f>_xlfn.CONCAT("https://tablet.otzar.org/",CHAR(35),"/book/654871/p/-1/t/1/fs/0/start/0/end/0/c")</f>
        <v>https://tablet.otzar.org/#/book/654871/p/-1/t/1/fs/0/start/0/end/0/c</v>
      </c>
    </row>
    <row r="2036" spans="1:8" x14ac:dyDescent="0.25">
      <c r="A2036">
        <v>657098</v>
      </c>
      <c r="B2036" t="s">
        <v>4160</v>
      </c>
      <c r="C2036" t="s">
        <v>4161</v>
      </c>
      <c r="D2036" t="s">
        <v>10</v>
      </c>
      <c r="E2036" t="s">
        <v>1056</v>
      </c>
      <c r="G2036" t="str">
        <f>HYPERLINK(_xlfn.CONCAT("https://tablet.otzar.org/",CHAR(35),"/book/657098/p/-1/t/1/fs/0/start/0/end/0/c"),"להתהלך - בראשית")</f>
        <v>להתהלך - בראשית</v>
      </c>
      <c r="H2036" t="str">
        <f>_xlfn.CONCAT("https://tablet.otzar.org/",CHAR(35),"/book/657098/p/-1/t/1/fs/0/start/0/end/0/c")</f>
        <v>https://tablet.otzar.org/#/book/657098/p/-1/t/1/fs/0/start/0/end/0/c</v>
      </c>
    </row>
    <row r="2037" spans="1:8" x14ac:dyDescent="0.25">
      <c r="A2037">
        <v>651956</v>
      </c>
      <c r="B2037" t="s">
        <v>4162</v>
      </c>
      <c r="C2037" t="s">
        <v>614</v>
      </c>
      <c r="D2037" t="s">
        <v>10</v>
      </c>
      <c r="E2037" t="s">
        <v>11</v>
      </c>
      <c r="G2037" t="str">
        <f>HYPERLINK(_xlfn.CONCAT("https://tablet.otzar.org/",CHAR(35),"/exKotar/651956"),"להתענג על השם - 3 כרכים")</f>
        <v>להתענג על השם - 3 כרכים</v>
      </c>
      <c r="H2037" t="str">
        <f>_xlfn.CONCAT("https://tablet.otzar.org/",CHAR(35),"/exKotar/651956")</f>
        <v>https://tablet.otzar.org/#/exKotar/651956</v>
      </c>
    </row>
    <row r="2038" spans="1:8" x14ac:dyDescent="0.25">
      <c r="A2038">
        <v>652840</v>
      </c>
      <c r="B2038" t="s">
        <v>4163</v>
      </c>
      <c r="C2038" t="s">
        <v>3964</v>
      </c>
      <c r="D2038" t="s">
        <v>34</v>
      </c>
      <c r="E2038" t="s">
        <v>35</v>
      </c>
      <c r="G2038" t="str">
        <f>HYPERLINK(_xlfn.CONCAT("https://tablet.otzar.org/",CHAR(35),"/book/652840/p/-1/t/1/fs/0/start/0/end/0/c"),"לו חכמו - שיעורים בענייני חנוכה")</f>
        <v>לו חכמו - שיעורים בענייני חנוכה</v>
      </c>
      <c r="H2038" t="str">
        <f>_xlfn.CONCAT("https://tablet.otzar.org/",CHAR(35),"/book/652840/p/-1/t/1/fs/0/start/0/end/0/c")</f>
        <v>https://tablet.otzar.org/#/book/652840/p/-1/t/1/fs/0/start/0/end/0/c</v>
      </c>
    </row>
    <row r="2039" spans="1:8" x14ac:dyDescent="0.25">
      <c r="A2039">
        <v>649359</v>
      </c>
      <c r="B2039" t="s">
        <v>4164</v>
      </c>
      <c r="C2039" t="s">
        <v>4165</v>
      </c>
      <c r="D2039" t="s">
        <v>10</v>
      </c>
      <c r="E2039" t="s">
        <v>1189</v>
      </c>
      <c r="G2039" t="str">
        <f>HYPERLINK(_xlfn.CONCAT("https://tablet.otzar.org/",CHAR(35),"/book/649359/p/-1/t/1/fs/0/start/0/end/0/c"),"לוח - לשנת תשל""""ד")</f>
        <v>לוח - לשנת תשל""ד</v>
      </c>
      <c r="H2039" t="str">
        <f>_xlfn.CONCAT("https://tablet.otzar.org/",CHAR(35),"/book/649359/p/-1/t/1/fs/0/start/0/end/0/c")</f>
        <v>https://tablet.otzar.org/#/book/649359/p/-1/t/1/fs/0/start/0/end/0/c</v>
      </c>
    </row>
    <row r="2040" spans="1:8" x14ac:dyDescent="0.25">
      <c r="A2040">
        <v>648520</v>
      </c>
      <c r="B2040" t="s">
        <v>4166</v>
      </c>
      <c r="C2040" t="s">
        <v>2831</v>
      </c>
      <c r="D2040" t="s">
        <v>10</v>
      </c>
      <c r="E2040" t="s">
        <v>11</v>
      </c>
      <c r="G2040" t="str">
        <f>HYPERLINK(_xlfn.CONCAT("https://tablet.otzar.org/",CHAR(35),"/book/648520/p/-1/t/1/fs/0/start/0/end/0/c"),"לוח ברכות")</f>
        <v>לוח ברכות</v>
      </c>
      <c r="H2040" t="str">
        <f>_xlfn.CONCAT("https://tablet.otzar.org/",CHAR(35),"/book/648520/p/-1/t/1/fs/0/start/0/end/0/c")</f>
        <v>https://tablet.otzar.org/#/book/648520/p/-1/t/1/fs/0/start/0/end/0/c</v>
      </c>
    </row>
    <row r="2041" spans="1:8" x14ac:dyDescent="0.25">
      <c r="A2041">
        <v>657218</v>
      </c>
      <c r="B2041" t="s">
        <v>4167</v>
      </c>
      <c r="C2041" t="s">
        <v>4168</v>
      </c>
      <c r="D2041" t="s">
        <v>139</v>
      </c>
      <c r="E2041" t="s">
        <v>1056</v>
      </c>
      <c r="G2041" t="str">
        <f>HYPERLINK(_xlfn.CONCAT("https://tablet.otzar.org/",CHAR(35),"/book/657218/p/-1/t/1/fs/0/start/0/end/0/c"),"לוח ההלכות והמנהגים - תשפ""""ג")</f>
        <v>לוח ההלכות והמנהגים - תשפ""ג</v>
      </c>
      <c r="H2041" t="str">
        <f>_xlfn.CONCAT("https://tablet.otzar.org/",CHAR(35),"/book/657218/p/-1/t/1/fs/0/start/0/end/0/c")</f>
        <v>https://tablet.otzar.org/#/book/657218/p/-1/t/1/fs/0/start/0/end/0/c</v>
      </c>
    </row>
    <row r="2042" spans="1:8" x14ac:dyDescent="0.25">
      <c r="A2042">
        <v>647910</v>
      </c>
      <c r="B2042" t="s">
        <v>4169</v>
      </c>
      <c r="C2042" t="s">
        <v>4170</v>
      </c>
      <c r="D2042" t="s">
        <v>58</v>
      </c>
      <c r="E2042" t="s">
        <v>1480</v>
      </c>
      <c r="G2042" t="str">
        <f>HYPERLINK(_xlfn.CONCAT("https://tablet.otzar.org/",CHAR(35),"/book/647910/p/-1/t/1/fs/0/start/0/end/0/c"),"לוח לשנת תרמ""""ז - זכרונות ירושלים")</f>
        <v>לוח לשנת תרמ""ז - זכרונות ירושלים</v>
      </c>
      <c r="H2042" t="str">
        <f>_xlfn.CONCAT("https://tablet.otzar.org/",CHAR(35),"/book/647910/p/-1/t/1/fs/0/start/0/end/0/c")</f>
        <v>https://tablet.otzar.org/#/book/647910/p/-1/t/1/fs/0/start/0/end/0/c</v>
      </c>
    </row>
    <row r="2043" spans="1:8" x14ac:dyDescent="0.25">
      <c r="A2043">
        <v>650150</v>
      </c>
      <c r="B2043" t="s">
        <v>4171</v>
      </c>
      <c r="C2043" t="s">
        <v>4172</v>
      </c>
      <c r="D2043" t="s">
        <v>4173</v>
      </c>
      <c r="E2043" t="s">
        <v>257</v>
      </c>
      <c r="G2043" t="str">
        <f>HYPERLINK(_xlfn.CONCAT("https://tablet.otzar.org/",CHAR(35),"/book/650150/p/-1/t/1/fs/0/start/0/end/0/c"),"לוח לשנת תשל""""א")</f>
        <v>לוח לשנת תשל""א</v>
      </c>
      <c r="H2043" t="str">
        <f>_xlfn.CONCAT("https://tablet.otzar.org/",CHAR(35),"/book/650150/p/-1/t/1/fs/0/start/0/end/0/c")</f>
        <v>https://tablet.otzar.org/#/book/650150/p/-1/t/1/fs/0/start/0/end/0/c</v>
      </c>
    </row>
    <row r="2044" spans="1:8" x14ac:dyDescent="0.25">
      <c r="A2044">
        <v>647353</v>
      </c>
      <c r="B2044" t="s">
        <v>4174</v>
      </c>
      <c r="C2044" t="s">
        <v>4175</v>
      </c>
      <c r="E2044" t="s">
        <v>1189</v>
      </c>
      <c r="G2044" t="str">
        <f>HYPERLINK(_xlfn.CONCAT("https://tablet.otzar.org/",CHAR(35),"/exKotar/647353"),"לוח מנהגי בית הכנסת ע""""פ פסקי הגרי""""א הנקין זצ""""ל והגהותיו - 5 כרכים")</f>
        <v>לוח מנהגי בית הכנסת ע""פ פסקי הגרי""א הנקין זצ""ל והגהותיו - 5 כרכים</v>
      </c>
      <c r="H2044" t="str">
        <f>_xlfn.CONCAT("https://tablet.otzar.org/",CHAR(35),"/exKotar/647353")</f>
        <v>https://tablet.otzar.org/#/exKotar/647353</v>
      </c>
    </row>
    <row r="2045" spans="1:8" x14ac:dyDescent="0.25">
      <c r="A2045">
        <v>649358</v>
      </c>
      <c r="B2045" t="s">
        <v>4176</v>
      </c>
      <c r="C2045" t="s">
        <v>4177</v>
      </c>
      <c r="E2045" t="s">
        <v>106</v>
      </c>
      <c r="G2045" t="str">
        <f>HYPERLINK(_xlfn.CONCAT("https://tablet.otzar.org/",CHAR(35),"/book/649358/p/-1/t/1/fs/0/start/0/end/0/c"),"לוח מנהגי ודיני בית הכנסת - תשל""""ו")</f>
        <v>לוח מנהגי ודיני בית הכנסת - תשל""ו</v>
      </c>
      <c r="H2045" t="str">
        <f>_xlfn.CONCAT("https://tablet.otzar.org/",CHAR(35),"/book/649358/p/-1/t/1/fs/0/start/0/end/0/c")</f>
        <v>https://tablet.otzar.org/#/book/649358/p/-1/t/1/fs/0/start/0/end/0/c</v>
      </c>
    </row>
    <row r="2046" spans="1:8" x14ac:dyDescent="0.25">
      <c r="A2046">
        <v>651754</v>
      </c>
      <c r="B2046" t="s">
        <v>4178</v>
      </c>
      <c r="C2046" t="s">
        <v>4179</v>
      </c>
      <c r="D2046" t="s">
        <v>1761</v>
      </c>
      <c r="E2046" t="s">
        <v>11</v>
      </c>
      <c r="G2046" t="str">
        <f>HYPERLINK(_xlfn.CONCAT("https://tablet.otzar.org/",CHAR(35),"/book/651754/p/-1/t/1/fs/0/start/0/end/0/c"),"לוח ניסן תשפ""""ב")</f>
        <v>לוח ניסן תשפ""ב</v>
      </c>
      <c r="H2046" t="str">
        <f>_xlfn.CONCAT("https://tablet.otzar.org/",CHAR(35),"/book/651754/p/-1/t/1/fs/0/start/0/end/0/c")</f>
        <v>https://tablet.otzar.org/#/book/651754/p/-1/t/1/fs/0/start/0/end/0/c</v>
      </c>
    </row>
    <row r="2047" spans="1:8" x14ac:dyDescent="0.25">
      <c r="A2047">
        <v>649538</v>
      </c>
      <c r="B2047" t="s">
        <v>4180</v>
      </c>
      <c r="C2047" t="s">
        <v>4181</v>
      </c>
      <c r="D2047" t="s">
        <v>58</v>
      </c>
      <c r="E2047" t="s">
        <v>4182</v>
      </c>
      <c r="G2047" t="str">
        <f>HYPERLINK(_xlfn.CONCAT("https://tablet.otzar.org/",CHAR(35),"/book/649538/p/-1/t/1/fs/0/start/0/end/0/c"),"לוח על כל אלף הששי")</f>
        <v>לוח על כל אלף הששי</v>
      </c>
      <c r="H2047" t="str">
        <f>_xlfn.CONCAT("https://tablet.otzar.org/",CHAR(35),"/book/649538/p/-1/t/1/fs/0/start/0/end/0/c")</f>
        <v>https://tablet.otzar.org/#/book/649538/p/-1/t/1/fs/0/start/0/end/0/c</v>
      </c>
    </row>
    <row r="2048" spans="1:8" x14ac:dyDescent="0.25">
      <c r="A2048">
        <v>653066</v>
      </c>
      <c r="B2048" t="s">
        <v>4183</v>
      </c>
      <c r="C2048" t="s">
        <v>4184</v>
      </c>
      <c r="D2048" t="s">
        <v>10</v>
      </c>
      <c r="E2048" t="s">
        <v>4185</v>
      </c>
      <c r="G2048" t="str">
        <f>HYPERLINK(_xlfn.CONCAT("https://tablet.otzar.org/",CHAR(35),"/book/653066/p/-1/t/1/fs/0/start/0/end/0/c"),"לוח ערך כל ימי השנה")</f>
        <v>לוח ערך כל ימי השנה</v>
      </c>
      <c r="H2048" t="str">
        <f>_xlfn.CONCAT("https://tablet.otzar.org/",CHAR(35),"/book/653066/p/-1/t/1/fs/0/start/0/end/0/c")</f>
        <v>https://tablet.otzar.org/#/book/653066/p/-1/t/1/fs/0/start/0/end/0/c</v>
      </c>
    </row>
    <row r="2049" spans="1:8" x14ac:dyDescent="0.25">
      <c r="A2049">
        <v>650021</v>
      </c>
      <c r="B2049" t="s">
        <v>4186</v>
      </c>
      <c r="C2049" t="s">
        <v>4187</v>
      </c>
      <c r="E2049" t="s">
        <v>35</v>
      </c>
      <c r="G2049" t="str">
        <f>HYPERLINK(_xlfn.CONCAT("https://tablet.otzar.org/",CHAR(35),"/book/650021/p/-1/t/1/fs/0/start/0/end/0/c"),"לוח שנה חכמי ספרד")</f>
        <v>לוח שנה חכמי ספרד</v>
      </c>
      <c r="H2049" t="str">
        <f>_xlfn.CONCAT("https://tablet.otzar.org/",CHAR(35),"/book/650021/p/-1/t/1/fs/0/start/0/end/0/c")</f>
        <v>https://tablet.otzar.org/#/book/650021/p/-1/t/1/fs/0/start/0/end/0/c</v>
      </c>
    </row>
    <row r="2050" spans="1:8" x14ac:dyDescent="0.25">
      <c r="A2050">
        <v>652797</v>
      </c>
      <c r="B2050" t="s">
        <v>4188</v>
      </c>
      <c r="C2050" t="s">
        <v>4189</v>
      </c>
      <c r="D2050" t="s">
        <v>10</v>
      </c>
      <c r="E2050" t="s">
        <v>4190</v>
      </c>
      <c r="G2050" t="str">
        <f>HYPERLINK(_xlfn.CONCAT("https://tablet.otzar.org/",CHAR(35),"/book/652797/p/-1/t/1/fs/0/start/0/end/0/c"),"לזכר עולם יהי' צדיק")</f>
        <v>לזכר עולם יהי' צדיק</v>
      </c>
      <c r="H2050" t="str">
        <f>_xlfn.CONCAT("https://tablet.otzar.org/",CHAR(35),"/book/652797/p/-1/t/1/fs/0/start/0/end/0/c")</f>
        <v>https://tablet.otzar.org/#/book/652797/p/-1/t/1/fs/0/start/0/end/0/c</v>
      </c>
    </row>
    <row r="2051" spans="1:8" x14ac:dyDescent="0.25">
      <c r="A2051">
        <v>650822</v>
      </c>
      <c r="B2051" t="s">
        <v>4191</v>
      </c>
      <c r="C2051" t="s">
        <v>4192</v>
      </c>
      <c r="D2051" t="s">
        <v>273</v>
      </c>
      <c r="E2051" t="s">
        <v>405</v>
      </c>
      <c r="G2051" t="str">
        <f>HYPERLINK(_xlfn.CONCAT("https://tablet.otzar.org/",CHAR(35),"/exKotar/650822"),"לחזות בנועם - 2 כרכים")</f>
        <v>לחזות בנועם - 2 כרכים</v>
      </c>
      <c r="H2051" t="str">
        <f>_xlfn.CONCAT("https://tablet.otzar.org/",CHAR(35),"/exKotar/650822")</f>
        <v>https://tablet.otzar.org/#/exKotar/650822</v>
      </c>
    </row>
    <row r="2052" spans="1:8" x14ac:dyDescent="0.25">
      <c r="A2052">
        <v>648810</v>
      </c>
      <c r="B2052" t="s">
        <v>4193</v>
      </c>
      <c r="C2052" t="s">
        <v>4194</v>
      </c>
      <c r="D2052" t="s">
        <v>951</v>
      </c>
      <c r="E2052" t="s">
        <v>891</v>
      </c>
      <c r="G2052" t="str">
        <f>HYPERLINK(_xlfn.CONCAT("https://tablet.otzar.org/",CHAR(35),"/book/648810/p/-1/t/1/fs/0/start/0/end/0/c"),"לחיות את הנצח")</f>
        <v>לחיות את הנצח</v>
      </c>
      <c r="H2052" t="str">
        <f>_xlfn.CONCAT("https://tablet.otzar.org/",CHAR(35),"/book/648810/p/-1/t/1/fs/0/start/0/end/0/c")</f>
        <v>https://tablet.otzar.org/#/book/648810/p/-1/t/1/fs/0/start/0/end/0/c</v>
      </c>
    </row>
    <row r="2053" spans="1:8" x14ac:dyDescent="0.25">
      <c r="A2053">
        <v>654844</v>
      </c>
      <c r="B2053" t="s">
        <v>4195</v>
      </c>
      <c r="C2053" t="s">
        <v>4196</v>
      </c>
      <c r="D2053" t="s">
        <v>10</v>
      </c>
      <c r="E2053" t="s">
        <v>11</v>
      </c>
      <c r="G2053" t="str">
        <f>HYPERLINK(_xlfn.CONCAT("https://tablet.otzar.org/",CHAR(35),"/book/654844/p/-1/t/1/fs/0/start/0/end/0/c"),"לחמי תודה &lt;מהדורת אהבת שלום&gt;")</f>
        <v>לחמי תודה &lt;מהדורת אהבת שלום&gt;</v>
      </c>
      <c r="H2053" t="str">
        <f>_xlfn.CONCAT("https://tablet.otzar.org/",CHAR(35),"/book/654844/p/-1/t/1/fs/0/start/0/end/0/c")</f>
        <v>https://tablet.otzar.org/#/book/654844/p/-1/t/1/fs/0/start/0/end/0/c</v>
      </c>
    </row>
    <row r="2054" spans="1:8" x14ac:dyDescent="0.25">
      <c r="A2054">
        <v>652548</v>
      </c>
      <c r="B2054" t="s">
        <v>4197</v>
      </c>
      <c r="C2054" t="s">
        <v>4198</v>
      </c>
      <c r="D2054" t="s">
        <v>4199</v>
      </c>
      <c r="E2054" t="s">
        <v>45</v>
      </c>
      <c r="G2054" t="str">
        <f>HYPERLINK(_xlfn.CONCAT("https://tablet.otzar.org/",CHAR(35),"/book/652548/p/-1/t/1/fs/0/start/0/end/0/c"),"לטביא ורבניה")</f>
        <v>לטביא ורבניה</v>
      </c>
      <c r="H2054" t="str">
        <f>_xlfn.CONCAT("https://tablet.otzar.org/",CHAR(35),"/book/652548/p/-1/t/1/fs/0/start/0/end/0/c")</f>
        <v>https://tablet.otzar.org/#/book/652548/p/-1/t/1/fs/0/start/0/end/0/c</v>
      </c>
    </row>
    <row r="2055" spans="1:8" x14ac:dyDescent="0.25">
      <c r="A2055">
        <v>649230</v>
      </c>
      <c r="B2055" t="s">
        <v>4200</v>
      </c>
      <c r="C2055" t="s">
        <v>614</v>
      </c>
      <c r="D2055" t="s">
        <v>52</v>
      </c>
      <c r="E2055" t="s">
        <v>11</v>
      </c>
      <c r="G2055" t="str">
        <f>HYPERLINK(_xlfn.CONCAT("https://tablet.otzar.org/",CHAR(35),"/exKotar/649230"),"ליגמר איניש - 5 כרכים")</f>
        <v>ליגמר איניש - 5 כרכים</v>
      </c>
      <c r="H2055" t="str">
        <f>_xlfn.CONCAT("https://tablet.otzar.org/",CHAR(35),"/exKotar/649230")</f>
        <v>https://tablet.otzar.org/#/exKotar/649230</v>
      </c>
    </row>
    <row r="2056" spans="1:8" x14ac:dyDescent="0.25">
      <c r="A2056">
        <v>650837</v>
      </c>
      <c r="B2056" t="s">
        <v>4201</v>
      </c>
      <c r="C2056" t="s">
        <v>4202</v>
      </c>
      <c r="D2056" t="s">
        <v>4203</v>
      </c>
      <c r="E2056" t="s">
        <v>11</v>
      </c>
      <c r="G2056" t="str">
        <f>HYPERLINK(_xlfn.CONCAT("https://tablet.otzar.org/",CHAR(35),"/book/650837/p/-1/t/1/fs/0/start/0/end/0/c"),"ליהודים היתה אורה ושמחה - באור עשר לשונות של שמחה")</f>
        <v>ליהודים היתה אורה ושמחה - באור עשר לשונות של שמחה</v>
      </c>
      <c r="H2056" t="str">
        <f>_xlfn.CONCAT("https://tablet.otzar.org/",CHAR(35),"/book/650837/p/-1/t/1/fs/0/start/0/end/0/c")</f>
        <v>https://tablet.otzar.org/#/book/650837/p/-1/t/1/fs/0/start/0/end/0/c</v>
      </c>
    </row>
    <row r="2057" spans="1:8" x14ac:dyDescent="0.25">
      <c r="A2057">
        <v>649058</v>
      </c>
      <c r="B2057" t="s">
        <v>4204</v>
      </c>
      <c r="C2057" t="s">
        <v>2239</v>
      </c>
      <c r="D2057" t="s">
        <v>4205</v>
      </c>
      <c r="E2057" t="s">
        <v>197</v>
      </c>
      <c r="G2057" t="str">
        <f>HYPERLINK(_xlfn.CONCAT("https://tablet.otzar.org/",CHAR(35),"/book/649058/p/-1/t/1/fs/0/start/0/end/0/c"),"ליובאוויטש העיירה של חב""""ד")</f>
        <v>ליובאוויטש העיירה של חב""ד</v>
      </c>
      <c r="H2057" t="str">
        <f>_xlfn.CONCAT("https://tablet.otzar.org/",CHAR(35),"/book/649058/p/-1/t/1/fs/0/start/0/end/0/c")</f>
        <v>https://tablet.otzar.org/#/book/649058/p/-1/t/1/fs/0/start/0/end/0/c</v>
      </c>
    </row>
    <row r="2058" spans="1:8" x14ac:dyDescent="0.25">
      <c r="A2058">
        <v>648264</v>
      </c>
      <c r="B2058" t="s">
        <v>4206</v>
      </c>
      <c r="C2058" t="s">
        <v>4207</v>
      </c>
      <c r="D2058" t="s">
        <v>10</v>
      </c>
      <c r="E2058" t="s">
        <v>146</v>
      </c>
      <c r="G2058" t="str">
        <f>HYPERLINK(_xlfn.CONCAT("https://tablet.otzar.org/",CHAR(35),"/book/648264/p/-1/t/1/fs/0/start/0/end/0/c"),"לימדה תורה דרך ארץ")</f>
        <v>לימדה תורה דרך ארץ</v>
      </c>
      <c r="H2058" t="str">
        <f>_xlfn.CONCAT("https://tablet.otzar.org/",CHAR(35),"/book/648264/p/-1/t/1/fs/0/start/0/end/0/c")</f>
        <v>https://tablet.otzar.org/#/book/648264/p/-1/t/1/fs/0/start/0/end/0/c</v>
      </c>
    </row>
    <row r="2059" spans="1:8" x14ac:dyDescent="0.25">
      <c r="A2059">
        <v>656053</v>
      </c>
      <c r="B2059" t="s">
        <v>4208</v>
      </c>
      <c r="C2059" t="s">
        <v>4209</v>
      </c>
      <c r="D2059" t="s">
        <v>193</v>
      </c>
      <c r="E2059" t="s">
        <v>29</v>
      </c>
      <c r="G2059" t="str">
        <f>HYPERLINK(_xlfn.CONCAT("https://tablet.otzar.org/",CHAR(35),"/book/656053/p/-1/t/1/fs/0/start/0/end/0/c"),"לימוד הסוגיא - קידושין")</f>
        <v>לימוד הסוגיא - קידושין</v>
      </c>
      <c r="H2059" t="str">
        <f>_xlfn.CONCAT("https://tablet.otzar.org/",CHAR(35),"/book/656053/p/-1/t/1/fs/0/start/0/end/0/c")</f>
        <v>https://tablet.otzar.org/#/book/656053/p/-1/t/1/fs/0/start/0/end/0/c</v>
      </c>
    </row>
    <row r="2060" spans="1:8" x14ac:dyDescent="0.25">
      <c r="A2060">
        <v>653702</v>
      </c>
      <c r="B2060" t="s">
        <v>4210</v>
      </c>
      <c r="C2060" t="s">
        <v>4211</v>
      </c>
      <c r="D2060" t="s">
        <v>319</v>
      </c>
      <c r="E2060" t="s">
        <v>70</v>
      </c>
      <c r="G2060" t="str">
        <f>HYPERLINK(_xlfn.CONCAT("https://tablet.otzar.org/",CHAR(35),"/book/653702/p/-1/t/1/fs/0/start/0/end/0/c"),"לימוד הרמב""""ם - לדעת להבין להעמיק")</f>
        <v>לימוד הרמב""ם - לדעת להבין להעמיק</v>
      </c>
      <c r="H2060" t="str">
        <f>_xlfn.CONCAT("https://tablet.otzar.org/",CHAR(35),"/book/653702/p/-1/t/1/fs/0/start/0/end/0/c")</f>
        <v>https://tablet.otzar.org/#/book/653702/p/-1/t/1/fs/0/start/0/end/0/c</v>
      </c>
    </row>
    <row r="2061" spans="1:8" x14ac:dyDescent="0.25">
      <c r="A2061">
        <v>650512</v>
      </c>
      <c r="B2061" t="s">
        <v>4212</v>
      </c>
      <c r="C2061" t="s">
        <v>3466</v>
      </c>
      <c r="D2061" t="s">
        <v>1255</v>
      </c>
      <c r="E2061" t="s">
        <v>4213</v>
      </c>
      <c r="G2061" t="str">
        <f>HYPERLINK(_xlfn.CONCAT("https://tablet.otzar.org/",CHAR(35),"/book/650512/p/-1/t/1/fs/0/start/0/end/0/c"),"לימוד לר""""ח אב")</f>
        <v>לימוד לר""ח אב</v>
      </c>
      <c r="H2061" t="str">
        <f>_xlfn.CONCAT("https://tablet.otzar.org/",CHAR(35),"/book/650512/p/-1/t/1/fs/0/start/0/end/0/c")</f>
        <v>https://tablet.otzar.org/#/book/650512/p/-1/t/1/fs/0/start/0/end/0/c</v>
      </c>
    </row>
    <row r="2062" spans="1:8" x14ac:dyDescent="0.25">
      <c r="A2062">
        <v>649937</v>
      </c>
      <c r="B2062" t="s">
        <v>4214</v>
      </c>
      <c r="C2062" t="s">
        <v>3113</v>
      </c>
      <c r="D2062" t="s">
        <v>58</v>
      </c>
      <c r="E2062" t="s">
        <v>719</v>
      </c>
      <c r="G2062" t="str">
        <f>HYPERLINK(_xlfn.CONCAT("https://tablet.otzar.org/",CHAR(35),"/book/649937/p/-1/t/1/fs/0/start/0/end/0/c"),"לימודי מקוואות")</f>
        <v>לימודי מקוואות</v>
      </c>
      <c r="H2062" t="str">
        <f>_xlfn.CONCAT("https://tablet.otzar.org/",CHAR(35),"/book/649937/p/-1/t/1/fs/0/start/0/end/0/c")</f>
        <v>https://tablet.otzar.org/#/book/649937/p/-1/t/1/fs/0/start/0/end/0/c</v>
      </c>
    </row>
    <row r="2063" spans="1:8" x14ac:dyDescent="0.25">
      <c r="A2063">
        <v>649856</v>
      </c>
      <c r="B2063" t="s">
        <v>4215</v>
      </c>
      <c r="C2063" t="s">
        <v>1509</v>
      </c>
      <c r="E2063" t="s">
        <v>89</v>
      </c>
      <c r="G2063" t="str">
        <f>HYPERLINK(_xlfn.CONCAT("https://tablet.otzar.org/",CHAR(35),"/book/649856/p/-1/t/1/fs/0/start/0/end/0/c"),"ליקוט בעניני אמונה ובטחון")</f>
        <v>ליקוט בעניני אמונה ובטחון</v>
      </c>
      <c r="H2063" t="str">
        <f>_xlfn.CONCAT("https://tablet.otzar.org/",CHAR(35),"/book/649856/p/-1/t/1/fs/0/start/0/end/0/c")</f>
        <v>https://tablet.otzar.org/#/book/649856/p/-1/t/1/fs/0/start/0/end/0/c</v>
      </c>
    </row>
    <row r="2064" spans="1:8" x14ac:dyDescent="0.25">
      <c r="A2064">
        <v>647860</v>
      </c>
      <c r="B2064" t="s">
        <v>4216</v>
      </c>
      <c r="C2064" t="s">
        <v>151</v>
      </c>
      <c r="D2064" t="s">
        <v>463</v>
      </c>
      <c r="E2064" t="s">
        <v>11</v>
      </c>
      <c r="G2064" t="str">
        <f>HYPERLINK(_xlfn.CONCAT("https://tablet.otzar.org/",CHAR(35),"/exKotar/647860"),"ליקוט מענות קודש - 2 כרכים")</f>
        <v>ליקוט מענות קודש - 2 כרכים</v>
      </c>
      <c r="H2064" t="str">
        <f>_xlfn.CONCAT("https://tablet.otzar.org/",CHAR(35),"/exKotar/647860")</f>
        <v>https://tablet.otzar.org/#/exKotar/647860</v>
      </c>
    </row>
    <row r="2065" spans="1:8" x14ac:dyDescent="0.25">
      <c r="A2065">
        <v>648203</v>
      </c>
      <c r="B2065" t="s">
        <v>4217</v>
      </c>
      <c r="C2065" t="s">
        <v>4218</v>
      </c>
      <c r="E2065" t="s">
        <v>817</v>
      </c>
      <c r="G2065" t="str">
        <f>HYPERLINK(_xlfn.CONCAT("https://tablet.otzar.org/",CHAR(35),"/book/648203/p/-1/t/1/fs/0/start/0/end/0/c"),"ליקוט מתוך ספר שער המלך")</f>
        <v>ליקוט מתוך ספר שער המלך</v>
      </c>
      <c r="H2065" t="str">
        <f>_xlfn.CONCAT("https://tablet.otzar.org/",CHAR(35),"/book/648203/p/-1/t/1/fs/0/start/0/end/0/c")</f>
        <v>https://tablet.otzar.org/#/book/648203/p/-1/t/1/fs/0/start/0/end/0/c</v>
      </c>
    </row>
    <row r="2066" spans="1:8" x14ac:dyDescent="0.25">
      <c r="A2066">
        <v>651601</v>
      </c>
      <c r="B2066" t="s">
        <v>4219</v>
      </c>
      <c r="C2066" t="s">
        <v>928</v>
      </c>
      <c r="D2066" t="s">
        <v>10</v>
      </c>
      <c r="E2066" t="s">
        <v>70</v>
      </c>
      <c r="G2066" t="str">
        <f>HYPERLINK(_xlfn.CONCAT("https://tablet.otzar.org/",CHAR(35),"/exKotar/651601"),"ליקוטי חתם סופר - 2 כרכים")</f>
        <v>ליקוטי חתם סופר - 2 כרכים</v>
      </c>
      <c r="H2066" t="str">
        <f>_xlfn.CONCAT("https://tablet.otzar.org/",CHAR(35),"/exKotar/651601")</f>
        <v>https://tablet.otzar.org/#/exKotar/651601</v>
      </c>
    </row>
    <row r="2067" spans="1:8" x14ac:dyDescent="0.25">
      <c r="A2067">
        <v>648287</v>
      </c>
      <c r="B2067" t="s">
        <v>4220</v>
      </c>
      <c r="C2067" t="s">
        <v>4221</v>
      </c>
      <c r="D2067" t="s">
        <v>10</v>
      </c>
      <c r="E2067" t="s">
        <v>473</v>
      </c>
      <c r="G2067" t="str">
        <f>HYPERLINK(_xlfn.CONCAT("https://tablet.otzar.org/",CHAR(35),"/book/648287/p/-1/t/1/fs/0/start/0/end/0/c"),"ליקוטי יהודה - מועדים")</f>
        <v>ליקוטי יהודה - מועדים</v>
      </c>
      <c r="H2067" t="str">
        <f>_xlfn.CONCAT("https://tablet.otzar.org/",CHAR(35),"/book/648287/p/-1/t/1/fs/0/start/0/end/0/c")</f>
        <v>https://tablet.otzar.org/#/book/648287/p/-1/t/1/fs/0/start/0/end/0/c</v>
      </c>
    </row>
    <row r="2068" spans="1:8" x14ac:dyDescent="0.25">
      <c r="A2068">
        <v>655478</v>
      </c>
      <c r="B2068" t="s">
        <v>4222</v>
      </c>
      <c r="C2068" t="s">
        <v>4223</v>
      </c>
      <c r="D2068" t="s">
        <v>10</v>
      </c>
      <c r="E2068" t="s">
        <v>1240</v>
      </c>
      <c r="G2068" t="str">
        <f>HYPERLINK(_xlfn.CONCAT("https://tablet.otzar.org/",CHAR(35),"/exKotar/655478"),"ליקוטי מאמרים שבילי פנחס - 6 כרכים")</f>
        <v>ליקוטי מאמרים שבילי פנחס - 6 כרכים</v>
      </c>
      <c r="H2068" t="str">
        <f>_xlfn.CONCAT("https://tablet.otzar.org/",CHAR(35),"/exKotar/655478")</f>
        <v>https://tablet.otzar.org/#/exKotar/655478</v>
      </c>
    </row>
    <row r="2069" spans="1:8" x14ac:dyDescent="0.25">
      <c r="A2069">
        <v>657676</v>
      </c>
      <c r="B2069" t="s">
        <v>4224</v>
      </c>
      <c r="C2069" t="s">
        <v>3726</v>
      </c>
      <c r="D2069" t="s">
        <v>319</v>
      </c>
      <c r="E2069" t="s">
        <v>11</v>
      </c>
      <c r="G2069" t="str">
        <f>HYPERLINK(_xlfn.CONCAT("https://tablet.otzar.org/",CHAR(35),"/exKotar/657676"),"ליקוטי מדרשים - 3 כרכים")</f>
        <v>ליקוטי מדרשים - 3 כרכים</v>
      </c>
      <c r="H2069" t="str">
        <f>_xlfn.CONCAT("https://tablet.otzar.org/",CHAR(35),"/exKotar/657676")</f>
        <v>https://tablet.otzar.org/#/exKotar/657676</v>
      </c>
    </row>
    <row r="2070" spans="1:8" x14ac:dyDescent="0.25">
      <c r="A2070">
        <v>647652</v>
      </c>
      <c r="B2070" t="s">
        <v>4225</v>
      </c>
      <c r="C2070" t="s">
        <v>4226</v>
      </c>
      <c r="D2070" t="s">
        <v>3602</v>
      </c>
      <c r="E2070" t="s">
        <v>184</v>
      </c>
      <c r="G2070" t="str">
        <f>HYPERLINK(_xlfn.CONCAT("https://tablet.otzar.org/",CHAR(35),"/book/647652/p/-1/t/1/fs/0/start/0/end/0/c"),"ליקוטי מוהר""""ן &lt;סגולת פלא&gt;")</f>
        <v>ליקוטי מוהר""ן &lt;סגולת פלא&gt;</v>
      </c>
      <c r="H2070" t="str">
        <f>_xlfn.CONCAT("https://tablet.otzar.org/",CHAR(35),"/book/647652/p/-1/t/1/fs/0/start/0/end/0/c")</f>
        <v>https://tablet.otzar.org/#/book/647652/p/-1/t/1/fs/0/start/0/end/0/c</v>
      </c>
    </row>
    <row r="2071" spans="1:8" x14ac:dyDescent="0.25">
      <c r="A2071">
        <v>655397</v>
      </c>
      <c r="B2071" t="s">
        <v>4227</v>
      </c>
      <c r="C2071" t="s">
        <v>4228</v>
      </c>
      <c r="D2071" t="s">
        <v>52</v>
      </c>
      <c r="E2071" t="s">
        <v>35</v>
      </c>
      <c r="G2071" t="str">
        <f>HYPERLINK(_xlfn.CONCAT("https://tablet.otzar.org/",CHAR(35),"/book/655397/p/-1/t/1/fs/0/start/0/end/0/c"),"ליקוטי מוהר""""ן &lt;מקור חכמה&gt; - ד")</f>
        <v>ליקוטי מוהר""ן &lt;מקור חכמה&gt; - ד</v>
      </c>
      <c r="H2071" t="str">
        <f>_xlfn.CONCAT("https://tablet.otzar.org/",CHAR(35),"/book/655397/p/-1/t/1/fs/0/start/0/end/0/c")</f>
        <v>https://tablet.otzar.org/#/book/655397/p/-1/t/1/fs/0/start/0/end/0/c</v>
      </c>
    </row>
    <row r="2072" spans="1:8" x14ac:dyDescent="0.25">
      <c r="A2072">
        <v>643237</v>
      </c>
      <c r="B2072" t="s">
        <v>4229</v>
      </c>
      <c r="C2072" t="s">
        <v>4230</v>
      </c>
      <c r="D2072" t="s">
        <v>52</v>
      </c>
      <c r="E2072" t="s">
        <v>495</v>
      </c>
      <c r="G2072" t="str">
        <f>HYPERLINK(_xlfn.CONCAT("https://tablet.otzar.org/",CHAR(35),"/book/643237/p/-1/t/1/fs/0/start/0/end/0/c"),"ליקוטי נבונים")</f>
        <v>ליקוטי נבונים</v>
      </c>
      <c r="H2072" t="str">
        <f>_xlfn.CONCAT("https://tablet.otzar.org/",CHAR(35),"/book/643237/p/-1/t/1/fs/0/start/0/end/0/c")</f>
        <v>https://tablet.otzar.org/#/book/643237/p/-1/t/1/fs/0/start/0/end/0/c</v>
      </c>
    </row>
    <row r="2073" spans="1:8" x14ac:dyDescent="0.25">
      <c r="A2073">
        <v>649391</v>
      </c>
      <c r="B2073" t="s">
        <v>4231</v>
      </c>
      <c r="C2073" t="s">
        <v>4232</v>
      </c>
      <c r="D2073" t="s">
        <v>10</v>
      </c>
      <c r="E2073" t="s">
        <v>70</v>
      </c>
      <c r="G2073" t="str">
        <f>HYPERLINK(_xlfn.CONCAT("https://tablet.otzar.org/",CHAR(35),"/book/649391/p/-1/t/1/fs/0/start/0/end/0/c"),"ליקוטי עטרת")</f>
        <v>ליקוטי עטרת</v>
      </c>
      <c r="H2073" t="str">
        <f>_xlfn.CONCAT("https://tablet.otzar.org/",CHAR(35),"/book/649391/p/-1/t/1/fs/0/start/0/end/0/c")</f>
        <v>https://tablet.otzar.org/#/book/649391/p/-1/t/1/fs/0/start/0/end/0/c</v>
      </c>
    </row>
    <row r="2074" spans="1:8" x14ac:dyDescent="0.25">
      <c r="A2074">
        <v>649921</v>
      </c>
      <c r="B2074" t="s">
        <v>4233</v>
      </c>
      <c r="C2074" t="s">
        <v>4234</v>
      </c>
      <c r="D2074" t="s">
        <v>347</v>
      </c>
      <c r="E2074" t="s">
        <v>197</v>
      </c>
      <c r="G2074" t="str">
        <f>HYPERLINK(_xlfn.CONCAT("https://tablet.otzar.org/",CHAR(35),"/exKotar/649921"),"ליקוטי ערך ש""""י - 5 כרכים")</f>
        <v>ליקוטי ערך ש""י - 5 כרכים</v>
      </c>
      <c r="H2074" t="str">
        <f>_xlfn.CONCAT("https://tablet.otzar.org/",CHAR(35),"/exKotar/649921")</f>
        <v>https://tablet.otzar.org/#/exKotar/649921</v>
      </c>
    </row>
    <row r="2075" spans="1:8" x14ac:dyDescent="0.25">
      <c r="A2075">
        <v>654981</v>
      </c>
      <c r="B2075" t="s">
        <v>4235</v>
      </c>
      <c r="C2075" t="s">
        <v>3687</v>
      </c>
      <c r="D2075" t="s">
        <v>463</v>
      </c>
      <c r="E2075" t="s">
        <v>4236</v>
      </c>
      <c r="G2075" t="str">
        <f>HYPERLINK(_xlfn.CONCAT("https://tablet.otzar.org/",CHAR(35),"/book/654981/p/-1/t/1/fs/0/start/0/end/0/c"),"ליקוטי פנחס &lt;מהדורה חדשה&gt;")</f>
        <v>ליקוטי פנחס &lt;מהדורה חדשה&gt;</v>
      </c>
      <c r="H2075" t="str">
        <f>_xlfn.CONCAT("https://tablet.otzar.org/",CHAR(35),"/book/654981/p/-1/t/1/fs/0/start/0/end/0/c")</f>
        <v>https://tablet.otzar.org/#/book/654981/p/-1/t/1/fs/0/start/0/end/0/c</v>
      </c>
    </row>
    <row r="2076" spans="1:8" x14ac:dyDescent="0.25">
      <c r="A2076">
        <v>647455</v>
      </c>
      <c r="B2076" t="s">
        <v>4237</v>
      </c>
      <c r="C2076" t="s">
        <v>4238</v>
      </c>
      <c r="E2076" t="s">
        <v>126</v>
      </c>
      <c r="G2076" t="str">
        <f>HYPERLINK(_xlfn.CONCAT("https://tablet.otzar.org/",CHAR(35),"/book/647455/p/-1/t/1/fs/0/start/0/end/0/c"),"ליקוטי צבי - מעשי דוד - אהבת אברהם")</f>
        <v>ליקוטי צבי - מעשי דוד - אהבת אברהם</v>
      </c>
      <c r="H2076" t="str">
        <f>_xlfn.CONCAT("https://tablet.otzar.org/",CHAR(35),"/book/647455/p/-1/t/1/fs/0/start/0/end/0/c")</f>
        <v>https://tablet.otzar.org/#/book/647455/p/-1/t/1/fs/0/start/0/end/0/c</v>
      </c>
    </row>
    <row r="2077" spans="1:8" x14ac:dyDescent="0.25">
      <c r="A2077">
        <v>650934</v>
      </c>
      <c r="B2077" t="s">
        <v>4239</v>
      </c>
      <c r="C2077" t="s">
        <v>226</v>
      </c>
      <c r="E2077" t="s">
        <v>507</v>
      </c>
      <c r="G2077" t="str">
        <f>HYPERLINK(_xlfn.CONCAT("https://tablet.otzar.org/",CHAR(35),"/book/650934/p/-1/t/1/fs/0/start/0/end/0/c"),"ליקוטי רבינו החפץ חיים")</f>
        <v>ליקוטי רבינו החפץ חיים</v>
      </c>
      <c r="H2077" t="str">
        <f>_xlfn.CONCAT("https://tablet.otzar.org/",CHAR(35),"/book/650934/p/-1/t/1/fs/0/start/0/end/0/c")</f>
        <v>https://tablet.otzar.org/#/book/650934/p/-1/t/1/fs/0/start/0/end/0/c</v>
      </c>
    </row>
    <row r="2078" spans="1:8" x14ac:dyDescent="0.25">
      <c r="A2078">
        <v>652386</v>
      </c>
      <c r="B2078" t="s">
        <v>4240</v>
      </c>
      <c r="C2078" t="s">
        <v>151</v>
      </c>
      <c r="E2078" t="s">
        <v>4241</v>
      </c>
      <c r="G2078" t="str">
        <f>HYPERLINK(_xlfn.CONCAT("https://tablet.otzar.org/",CHAR(35),"/book/652386/p/-1/t/1/fs/0/start/0/end/0/c"),"ליקוטי שיחות &lt;תרגום חפשי&gt; - כ")</f>
        <v>ליקוטי שיחות &lt;תרגום חפשי&gt; - כ</v>
      </c>
      <c r="H2078" t="str">
        <f>_xlfn.CONCAT("https://tablet.otzar.org/",CHAR(35),"/book/652386/p/-1/t/1/fs/0/start/0/end/0/c")</f>
        <v>https://tablet.otzar.org/#/book/652386/p/-1/t/1/fs/0/start/0/end/0/c</v>
      </c>
    </row>
    <row r="2079" spans="1:8" x14ac:dyDescent="0.25">
      <c r="A2079">
        <v>655071</v>
      </c>
      <c r="B2079" t="s">
        <v>4242</v>
      </c>
      <c r="C2079" t="s">
        <v>3257</v>
      </c>
      <c r="D2079" t="s">
        <v>340</v>
      </c>
      <c r="E2079" t="s">
        <v>11</v>
      </c>
      <c r="G2079" t="str">
        <f>HYPERLINK(_xlfn.CONCAT("https://tablet.otzar.org/",CHAR(35),"/book/655071/p/-1/t/1/fs/0/start/0/end/0/c"),"ליקוטי שער היחוד")</f>
        <v>ליקוטי שער היחוד</v>
      </c>
      <c r="H2079" t="str">
        <f>_xlfn.CONCAT("https://tablet.otzar.org/",CHAR(35),"/book/655071/p/-1/t/1/fs/0/start/0/end/0/c")</f>
        <v>https://tablet.otzar.org/#/book/655071/p/-1/t/1/fs/0/start/0/end/0/c</v>
      </c>
    </row>
    <row r="2080" spans="1:8" x14ac:dyDescent="0.25">
      <c r="A2080">
        <v>652389</v>
      </c>
      <c r="B2080" t="s">
        <v>4243</v>
      </c>
      <c r="C2080" t="s">
        <v>4244</v>
      </c>
      <c r="E2080" t="s">
        <v>337</v>
      </c>
      <c r="G2080" t="str">
        <f>HYPERLINK(_xlfn.CONCAT("https://tablet.otzar.org/",CHAR(35),"/book/652389/p/-1/t/1/fs/0/start/0/end/0/c"),"ליקוטי תורה תורת שמואל - תרכ""""ח (צילום כת""""י)")</f>
        <v>ליקוטי תורה תורת שמואל - תרכ""ח (צילום כת""י)</v>
      </c>
      <c r="H2080" t="str">
        <f>_xlfn.CONCAT("https://tablet.otzar.org/",CHAR(35),"/book/652389/p/-1/t/1/fs/0/start/0/end/0/c")</f>
        <v>https://tablet.otzar.org/#/book/652389/p/-1/t/1/fs/0/start/0/end/0/c</v>
      </c>
    </row>
    <row r="2081" spans="1:8" x14ac:dyDescent="0.25">
      <c r="A2081">
        <v>654393</v>
      </c>
      <c r="B2081" t="s">
        <v>4245</v>
      </c>
      <c r="C2081" t="s">
        <v>4246</v>
      </c>
      <c r="D2081" t="s">
        <v>10</v>
      </c>
      <c r="E2081" t="s">
        <v>11</v>
      </c>
      <c r="G2081" t="str">
        <f>HYPERLINK(_xlfn.CONCAT("https://tablet.otzar.org/",CHAR(35),"/exKotar/654393"),"ליקוטי תשובות משנת יוסף - 3 כרכים")</f>
        <v>ליקוטי תשובות משנת יוסף - 3 כרכים</v>
      </c>
      <c r="H2081" t="str">
        <f>_xlfn.CONCAT("https://tablet.otzar.org/",CHAR(35),"/exKotar/654393")</f>
        <v>https://tablet.otzar.org/#/exKotar/654393</v>
      </c>
    </row>
    <row r="2082" spans="1:8" x14ac:dyDescent="0.25">
      <c r="A2082">
        <v>655950</v>
      </c>
      <c r="B2082" t="s">
        <v>4247</v>
      </c>
      <c r="C2082" t="s">
        <v>3941</v>
      </c>
      <c r="D2082" t="s">
        <v>52</v>
      </c>
      <c r="E2082" t="s">
        <v>29</v>
      </c>
      <c r="G2082" t="str">
        <f>HYPERLINK(_xlfn.CONCAT("https://tablet.otzar.org/",CHAR(35),"/book/655950/p/-1/t/1/fs/0/start/0/end/0/c"),"ליקוטים מרבנו יונה על מצוות הבטחון")</f>
        <v>ליקוטים מרבנו יונה על מצוות הבטחון</v>
      </c>
      <c r="H2082" t="str">
        <f>_xlfn.CONCAT("https://tablet.otzar.org/",CHAR(35),"/book/655950/p/-1/t/1/fs/0/start/0/end/0/c")</f>
        <v>https://tablet.otzar.org/#/book/655950/p/-1/t/1/fs/0/start/0/end/0/c</v>
      </c>
    </row>
    <row r="2083" spans="1:8" x14ac:dyDescent="0.25">
      <c r="A2083">
        <v>653726</v>
      </c>
      <c r="B2083" t="s">
        <v>4248</v>
      </c>
      <c r="C2083" t="s">
        <v>4249</v>
      </c>
      <c r="D2083" t="s">
        <v>432</v>
      </c>
      <c r="E2083" t="s">
        <v>11</v>
      </c>
      <c r="G2083" t="str">
        <f>HYPERLINK(_xlfn.CONCAT("https://tablet.otzar.org/",CHAR(35),"/book/653726/p/-1/t/1/fs/0/start/0/end/0/c"),"לישועתך קיונו")</f>
        <v>לישועתך קיונו</v>
      </c>
      <c r="H2083" t="str">
        <f>_xlfn.CONCAT("https://tablet.otzar.org/",CHAR(35),"/book/653726/p/-1/t/1/fs/0/start/0/end/0/c")</f>
        <v>https://tablet.otzar.org/#/book/653726/p/-1/t/1/fs/0/start/0/end/0/c</v>
      </c>
    </row>
    <row r="2084" spans="1:8" x14ac:dyDescent="0.25">
      <c r="A2084">
        <v>643328</v>
      </c>
      <c r="B2084" t="s">
        <v>4250</v>
      </c>
      <c r="C2084" t="s">
        <v>4251</v>
      </c>
      <c r="D2084" t="s">
        <v>52</v>
      </c>
      <c r="E2084" t="s">
        <v>84</v>
      </c>
      <c r="G2084" t="str">
        <f>HYPERLINK(_xlfn.CONCAT("https://tablet.otzar.org/",CHAR(35),"/book/643328/p/-1/t/1/fs/0/start/0/end/0/c"),"ללא שם - על הגרב""""צ פלמן זצ""""ל")</f>
        <v>ללא שם - על הגרב""צ פלמן זצ""ל</v>
      </c>
      <c r="H2084" t="str">
        <f>_xlfn.CONCAT("https://tablet.otzar.org/",CHAR(35),"/book/643328/p/-1/t/1/fs/0/start/0/end/0/c")</f>
        <v>https://tablet.otzar.org/#/book/643328/p/-1/t/1/fs/0/start/0/end/0/c</v>
      </c>
    </row>
    <row r="2085" spans="1:8" x14ac:dyDescent="0.25">
      <c r="A2085">
        <v>13347</v>
      </c>
      <c r="B2085" t="s">
        <v>4252</v>
      </c>
      <c r="C2085" t="s">
        <v>4253</v>
      </c>
      <c r="D2085" t="s">
        <v>10</v>
      </c>
      <c r="E2085" t="s">
        <v>769</v>
      </c>
      <c r="G2085" t="str">
        <f>HYPERLINK(_xlfn.CONCAT("https://tablet.otzar.org/",CHAR(35),"/book/13347/p/-1/t/1/fs/0/start/0/end/0/c"),"ללמד בני יהודה קשת")</f>
        <v>ללמד בני יהודה קשת</v>
      </c>
      <c r="H2085" t="str">
        <f>_xlfn.CONCAT("https://tablet.otzar.org/",CHAR(35),"/book/13347/p/-1/t/1/fs/0/start/0/end/0/c")</f>
        <v>https://tablet.otzar.org/#/book/13347/p/-1/t/1/fs/0/start/0/end/0/c</v>
      </c>
    </row>
    <row r="2086" spans="1:8" x14ac:dyDescent="0.25">
      <c r="A2086">
        <v>652326</v>
      </c>
      <c r="B2086" t="s">
        <v>4254</v>
      </c>
      <c r="C2086" t="s">
        <v>4255</v>
      </c>
      <c r="D2086" t="s">
        <v>386</v>
      </c>
      <c r="E2086" t="s">
        <v>574</v>
      </c>
      <c r="G2086" t="str">
        <f>HYPERLINK(_xlfn.CONCAT("https://tablet.otzar.org/",CHAR(35),"/book/652326/p/-1/t/1/fs/0/start/0/end/0/c"),"ללמוד איך להתפלל - ד")</f>
        <v>ללמוד איך להתפלל - ד</v>
      </c>
      <c r="H2086" t="str">
        <f>_xlfn.CONCAT("https://tablet.otzar.org/",CHAR(35),"/book/652326/p/-1/t/1/fs/0/start/0/end/0/c")</f>
        <v>https://tablet.otzar.org/#/book/652326/p/-1/t/1/fs/0/start/0/end/0/c</v>
      </c>
    </row>
    <row r="2087" spans="1:8" x14ac:dyDescent="0.25">
      <c r="A2087">
        <v>654375</v>
      </c>
      <c r="B2087" t="s">
        <v>4256</v>
      </c>
      <c r="C2087" t="s">
        <v>4257</v>
      </c>
      <c r="D2087" t="s">
        <v>34</v>
      </c>
      <c r="E2087" t="s">
        <v>45</v>
      </c>
      <c r="G2087" t="str">
        <f>HYPERLINK(_xlfn.CONCAT("https://tablet.otzar.org/",CHAR(35),"/book/654375/p/-1/t/1/fs/0/start/0/end/0/c"),"ללמוד ולקיים - שבת - אדר-אב תש""""פ")</f>
        <v>ללמוד ולקיים - שבת - אדר-אב תש""פ</v>
      </c>
      <c r="H2087" t="str">
        <f>_xlfn.CONCAT("https://tablet.otzar.org/",CHAR(35),"/book/654375/p/-1/t/1/fs/0/start/0/end/0/c")</f>
        <v>https://tablet.otzar.org/#/book/654375/p/-1/t/1/fs/0/start/0/end/0/c</v>
      </c>
    </row>
    <row r="2088" spans="1:8" x14ac:dyDescent="0.25">
      <c r="A2088">
        <v>649850</v>
      </c>
      <c r="B2088" t="s">
        <v>4258</v>
      </c>
      <c r="C2088" t="s">
        <v>4259</v>
      </c>
      <c r="E2088" t="s">
        <v>224</v>
      </c>
      <c r="G2088" t="str">
        <f>HYPERLINK(_xlfn.CONCAT("https://tablet.otzar.org/",CHAR(35),"/book/649850/p/-1/t/1/fs/0/start/0/end/0/c"),"ללקוט שושנים")</f>
        <v>ללקוט שושנים</v>
      </c>
      <c r="H2088" t="str">
        <f>_xlfn.CONCAT("https://tablet.otzar.org/",CHAR(35),"/book/649850/p/-1/t/1/fs/0/start/0/end/0/c")</f>
        <v>https://tablet.otzar.org/#/book/649850/p/-1/t/1/fs/0/start/0/end/0/c</v>
      </c>
    </row>
    <row r="2089" spans="1:8" x14ac:dyDescent="0.25">
      <c r="A2089">
        <v>651431</v>
      </c>
      <c r="B2089" t="s">
        <v>4260</v>
      </c>
      <c r="C2089" t="s">
        <v>4261</v>
      </c>
      <c r="D2089" t="s">
        <v>951</v>
      </c>
      <c r="E2089" t="s">
        <v>62</v>
      </c>
      <c r="G2089" t="str">
        <f>HYPERLINK(_xlfn.CONCAT("https://tablet.otzar.org/",CHAR(35),"/book/651431/p/-1/t/1/fs/0/start/0/end/0/c"),"למה דווקא ארץ ישראל")</f>
        <v>למה דווקא ארץ ישראל</v>
      </c>
      <c r="H2089" t="str">
        <f>_xlfn.CONCAT("https://tablet.otzar.org/",CHAR(35),"/book/651431/p/-1/t/1/fs/0/start/0/end/0/c")</f>
        <v>https://tablet.otzar.org/#/book/651431/p/-1/t/1/fs/0/start/0/end/0/c</v>
      </c>
    </row>
    <row r="2090" spans="1:8" x14ac:dyDescent="0.25">
      <c r="A2090">
        <v>652891</v>
      </c>
      <c r="B2090" t="s">
        <v>4262</v>
      </c>
      <c r="C2090" t="s">
        <v>4263</v>
      </c>
      <c r="D2090" t="s">
        <v>951</v>
      </c>
      <c r="E2090" t="s">
        <v>89</v>
      </c>
      <c r="G2090" t="str">
        <f>HYPERLINK(_xlfn.CONCAT("https://tablet.otzar.org/",CHAR(35),"/book/652891/p/-1/t/1/fs/0/start/0/end/0/c"),"למועדה מימים ימימה")</f>
        <v>למועדה מימים ימימה</v>
      </c>
      <c r="H2090" t="str">
        <f>_xlfn.CONCAT("https://tablet.otzar.org/",CHAR(35),"/book/652891/p/-1/t/1/fs/0/start/0/end/0/c")</f>
        <v>https://tablet.otzar.org/#/book/652891/p/-1/t/1/fs/0/start/0/end/0/c</v>
      </c>
    </row>
    <row r="2091" spans="1:8" x14ac:dyDescent="0.25">
      <c r="A2091">
        <v>649913</v>
      </c>
      <c r="B2091" t="s">
        <v>4264</v>
      </c>
      <c r="C2091" t="s">
        <v>4265</v>
      </c>
      <c r="D2091" t="s">
        <v>10</v>
      </c>
      <c r="E2091" t="s">
        <v>77</v>
      </c>
      <c r="G2091" t="str">
        <f>HYPERLINK(_xlfn.CONCAT("https://tablet.otzar.org/",CHAR(35),"/book/649913/p/-1/t/1/fs/0/start/0/end/0/c"),"למחר אעתיר")</f>
        <v>למחר אעתיר</v>
      </c>
      <c r="H2091" t="str">
        <f>_xlfn.CONCAT("https://tablet.otzar.org/",CHAR(35),"/book/649913/p/-1/t/1/fs/0/start/0/end/0/c")</f>
        <v>https://tablet.otzar.org/#/book/649913/p/-1/t/1/fs/0/start/0/end/0/c</v>
      </c>
    </row>
    <row r="2092" spans="1:8" x14ac:dyDescent="0.25">
      <c r="A2092">
        <v>651879</v>
      </c>
      <c r="B2092" t="s">
        <v>4266</v>
      </c>
      <c r="C2092" t="s">
        <v>4267</v>
      </c>
      <c r="E2092" t="s">
        <v>817</v>
      </c>
      <c r="G2092" t="str">
        <f>HYPERLINK(_xlfn.CONCAT("https://tablet.otzar.org/",CHAR(35),"/book/651879/p/-1/t/1/fs/0/start/0/end/0/c"),"למנות ימינו")</f>
        <v>למנות ימינו</v>
      </c>
      <c r="H2092" t="str">
        <f>_xlfn.CONCAT("https://tablet.otzar.org/",CHAR(35),"/book/651879/p/-1/t/1/fs/0/start/0/end/0/c")</f>
        <v>https://tablet.otzar.org/#/book/651879/p/-1/t/1/fs/0/start/0/end/0/c</v>
      </c>
    </row>
    <row r="2093" spans="1:8" x14ac:dyDescent="0.25">
      <c r="A2093">
        <v>652919</v>
      </c>
      <c r="B2093" t="s">
        <v>4268</v>
      </c>
      <c r="C2093" t="s">
        <v>4269</v>
      </c>
      <c r="D2093" t="s">
        <v>129</v>
      </c>
      <c r="E2093" t="s">
        <v>4270</v>
      </c>
      <c r="G2093" t="str">
        <f>HYPERLINK(_xlfn.CONCAT("https://tablet.otzar.org/",CHAR(35),"/book/652919/p/-1/t/1/fs/0/start/0/end/0/c"),"למנחמי")</f>
        <v>למנחמי</v>
      </c>
      <c r="H2093" t="str">
        <f>_xlfn.CONCAT("https://tablet.otzar.org/",CHAR(35),"/book/652919/p/-1/t/1/fs/0/start/0/end/0/c")</f>
        <v>https://tablet.otzar.org/#/book/652919/p/-1/t/1/fs/0/start/0/end/0/c</v>
      </c>
    </row>
    <row r="2094" spans="1:8" x14ac:dyDescent="0.25">
      <c r="A2094">
        <v>649354</v>
      </c>
      <c r="B2094" t="s">
        <v>4271</v>
      </c>
      <c r="C2094" t="s">
        <v>4272</v>
      </c>
      <c r="D2094" t="s">
        <v>10</v>
      </c>
      <c r="E2094" t="s">
        <v>2534</v>
      </c>
      <c r="G2094" t="str">
        <f>HYPERLINK(_xlfn.CONCAT("https://tablet.otzar.org/",CHAR(35),"/book/649354/p/-1/t/1/fs/0/start/0/end/0/c"),"למעלה מן החושים")</f>
        <v>למעלה מן החושים</v>
      </c>
      <c r="H2094" t="str">
        <f>_xlfn.CONCAT("https://tablet.otzar.org/",CHAR(35),"/book/649354/p/-1/t/1/fs/0/start/0/end/0/c")</f>
        <v>https://tablet.otzar.org/#/book/649354/p/-1/t/1/fs/0/start/0/end/0/c</v>
      </c>
    </row>
    <row r="2095" spans="1:8" x14ac:dyDescent="0.25">
      <c r="A2095">
        <v>651437</v>
      </c>
      <c r="B2095" t="s">
        <v>4273</v>
      </c>
      <c r="C2095" t="s">
        <v>4274</v>
      </c>
      <c r="D2095" t="s">
        <v>10</v>
      </c>
      <c r="E2095" t="s">
        <v>670</v>
      </c>
      <c r="G2095" t="str">
        <f>HYPERLINK(_xlfn.CONCAT("https://tablet.otzar.org/",CHAR(35),"/book/651437/p/-1/t/1/fs/0/start/0/end/0/c"),"למען השבת")</f>
        <v>למען השבת</v>
      </c>
      <c r="H2095" t="str">
        <f>_xlfn.CONCAT("https://tablet.otzar.org/",CHAR(35),"/book/651437/p/-1/t/1/fs/0/start/0/end/0/c")</f>
        <v>https://tablet.otzar.org/#/book/651437/p/-1/t/1/fs/0/start/0/end/0/c</v>
      </c>
    </row>
    <row r="2096" spans="1:8" x14ac:dyDescent="0.25">
      <c r="A2096">
        <v>649299</v>
      </c>
      <c r="B2096" t="s">
        <v>4275</v>
      </c>
      <c r="C2096" t="s">
        <v>4276</v>
      </c>
      <c r="D2096" t="s">
        <v>58</v>
      </c>
      <c r="E2096" t="s">
        <v>922</v>
      </c>
      <c r="G2096" t="str">
        <f>HYPERLINK(_xlfn.CONCAT("https://tablet.otzar.org/",CHAR(35),"/book/649299/p/-1/t/1/fs/0/start/0/end/0/c"),"למען ירושלים")</f>
        <v>למען ירושלים</v>
      </c>
      <c r="H2096" t="str">
        <f>_xlfn.CONCAT("https://tablet.otzar.org/",CHAR(35),"/book/649299/p/-1/t/1/fs/0/start/0/end/0/c")</f>
        <v>https://tablet.otzar.org/#/book/649299/p/-1/t/1/fs/0/start/0/end/0/c</v>
      </c>
    </row>
    <row r="2097" spans="1:8" x14ac:dyDescent="0.25">
      <c r="A2097">
        <v>647842</v>
      </c>
      <c r="B2097" t="s">
        <v>4277</v>
      </c>
      <c r="C2097" t="s">
        <v>220</v>
      </c>
      <c r="D2097" t="s">
        <v>2923</v>
      </c>
      <c r="E2097" t="s">
        <v>405</v>
      </c>
      <c r="G2097" t="str">
        <f>HYPERLINK(_xlfn.CONCAT("https://tablet.otzar.org/",CHAR(35),"/book/647842/p/-1/t/1/fs/0/start/0/end/0/c"),"למען עמי")</f>
        <v>למען עמי</v>
      </c>
      <c r="H2097" t="str">
        <f>_xlfn.CONCAT("https://tablet.otzar.org/",CHAR(35),"/book/647842/p/-1/t/1/fs/0/start/0/end/0/c")</f>
        <v>https://tablet.otzar.org/#/book/647842/p/-1/t/1/fs/0/start/0/end/0/c</v>
      </c>
    </row>
    <row r="2098" spans="1:8" x14ac:dyDescent="0.25">
      <c r="A2098">
        <v>649246</v>
      </c>
      <c r="B2098" t="s">
        <v>4278</v>
      </c>
      <c r="C2098" t="s">
        <v>4279</v>
      </c>
      <c r="D2098" t="s">
        <v>921</v>
      </c>
      <c r="E2098" t="s">
        <v>3101</v>
      </c>
      <c r="G2098" t="str">
        <f>HYPERLINK(_xlfn.CONCAT("https://tablet.otzar.org/",CHAR(35),"/book/649246/p/-1/t/1/fs/0/start/0/end/0/c"),"למען ציון")</f>
        <v>למען ציון</v>
      </c>
      <c r="H2098" t="str">
        <f>_xlfn.CONCAT("https://tablet.otzar.org/",CHAR(35),"/book/649246/p/-1/t/1/fs/0/start/0/end/0/c")</f>
        <v>https://tablet.otzar.org/#/book/649246/p/-1/t/1/fs/0/start/0/end/0/c</v>
      </c>
    </row>
    <row r="2099" spans="1:8" x14ac:dyDescent="0.25">
      <c r="A2099">
        <v>650885</v>
      </c>
      <c r="B2099" t="s">
        <v>4280</v>
      </c>
      <c r="C2099" t="s">
        <v>4281</v>
      </c>
      <c r="D2099" t="s">
        <v>34</v>
      </c>
      <c r="E2099" t="s">
        <v>117</v>
      </c>
      <c r="G2099" t="str">
        <f>HYPERLINK(_xlfn.CONCAT("https://tablet.otzar.org/",CHAR(35),"/book/650885/p/-1/t/1/fs/0/start/0/end/0/c"),"למען תדע")</f>
        <v>למען תדע</v>
      </c>
      <c r="H2099" t="str">
        <f>_xlfn.CONCAT("https://tablet.otzar.org/",CHAR(35),"/book/650885/p/-1/t/1/fs/0/start/0/end/0/c")</f>
        <v>https://tablet.otzar.org/#/book/650885/p/-1/t/1/fs/0/start/0/end/0/c</v>
      </c>
    </row>
    <row r="2100" spans="1:8" x14ac:dyDescent="0.25">
      <c r="A2100">
        <v>637688</v>
      </c>
      <c r="B2100" t="s">
        <v>4282</v>
      </c>
      <c r="C2100" t="s">
        <v>4283</v>
      </c>
      <c r="D2100" t="s">
        <v>10</v>
      </c>
      <c r="E2100" t="s">
        <v>45</v>
      </c>
      <c r="G2100" t="str">
        <f>HYPERLINK(_xlfn.CONCAT("https://tablet.otzar.org/",CHAR(35),"/book/637688/p/-1/t/1/fs/0/start/0/end/0/c"),"למען תזכרו - הלכות עגונות")</f>
        <v>למען תזכרו - הלכות עגונות</v>
      </c>
      <c r="H2100" t="str">
        <f>_xlfn.CONCAT("https://tablet.otzar.org/",CHAR(35),"/book/637688/p/-1/t/1/fs/0/start/0/end/0/c")</f>
        <v>https://tablet.otzar.org/#/book/637688/p/-1/t/1/fs/0/start/0/end/0/c</v>
      </c>
    </row>
    <row r="2101" spans="1:8" x14ac:dyDescent="0.25">
      <c r="A2101">
        <v>653273</v>
      </c>
      <c r="B2101" t="s">
        <v>4284</v>
      </c>
      <c r="C2101" t="s">
        <v>4285</v>
      </c>
      <c r="D2101" t="s">
        <v>52</v>
      </c>
      <c r="E2101" t="s">
        <v>70</v>
      </c>
      <c r="G2101" t="str">
        <f>HYPERLINK(_xlfn.CONCAT("https://tablet.otzar.org/",CHAR(35),"/book/653273/p/-1/t/1/fs/0/start/0/end/0/c"),"למען תספר")</f>
        <v>למען תספר</v>
      </c>
      <c r="H2101" t="str">
        <f>_xlfn.CONCAT("https://tablet.otzar.org/",CHAR(35),"/book/653273/p/-1/t/1/fs/0/start/0/end/0/c")</f>
        <v>https://tablet.otzar.org/#/book/653273/p/-1/t/1/fs/0/start/0/end/0/c</v>
      </c>
    </row>
    <row r="2102" spans="1:8" x14ac:dyDescent="0.25">
      <c r="A2102">
        <v>651366</v>
      </c>
      <c r="B2102" t="s">
        <v>4286</v>
      </c>
      <c r="C2102" t="s">
        <v>4287</v>
      </c>
      <c r="D2102" t="s">
        <v>10</v>
      </c>
      <c r="E2102" t="s">
        <v>2534</v>
      </c>
      <c r="G2102" t="str">
        <f>HYPERLINK(_xlfn.CONCAT("https://tablet.otzar.org/",CHAR(35),"/book/651366/p/-1/t/1/fs/0/start/0/end/0/c"),"למשמעות &lt;אידיש&gt; - בראשית -וירא")</f>
        <v>למשמעות &lt;אידיש&gt; - בראשית -וירא</v>
      </c>
      <c r="H2102" t="str">
        <f>_xlfn.CONCAT("https://tablet.otzar.org/",CHAR(35),"/book/651366/p/-1/t/1/fs/0/start/0/end/0/c")</f>
        <v>https://tablet.otzar.org/#/book/651366/p/-1/t/1/fs/0/start/0/end/0/c</v>
      </c>
    </row>
    <row r="2103" spans="1:8" x14ac:dyDescent="0.25">
      <c r="A2103">
        <v>649414</v>
      </c>
      <c r="B2103" t="s">
        <v>4288</v>
      </c>
      <c r="C2103" t="s">
        <v>4289</v>
      </c>
      <c r="D2103" t="s">
        <v>10</v>
      </c>
      <c r="E2103" t="s">
        <v>213</v>
      </c>
      <c r="G2103" t="str">
        <f>HYPERLINK(_xlfn.CONCAT("https://tablet.otzar.org/",CHAR(35),"/book/649414/p/-1/t/1/fs/0/start/0/end/0/c"),"לנתיבות התורה הגואלת")</f>
        <v>לנתיבות התורה הגואלת</v>
      </c>
      <c r="H2103" t="str">
        <f>_xlfn.CONCAT("https://tablet.otzar.org/",CHAR(35),"/book/649414/p/-1/t/1/fs/0/start/0/end/0/c")</f>
        <v>https://tablet.otzar.org/#/book/649414/p/-1/t/1/fs/0/start/0/end/0/c</v>
      </c>
    </row>
    <row r="2104" spans="1:8" x14ac:dyDescent="0.25">
      <c r="A2104">
        <v>647238</v>
      </c>
      <c r="B2104" t="s">
        <v>4290</v>
      </c>
      <c r="C2104" t="s">
        <v>4291</v>
      </c>
      <c r="E2104" t="s">
        <v>62</v>
      </c>
      <c r="G2104" t="str">
        <f>HYPERLINK(_xlfn.CONCAT("https://tablet.otzar.org/",CHAR(35),"/book/647238/p/-1/t/1/fs/0/start/0/end/0/c"),"לעטר פתורא הלכות שבת ב")</f>
        <v>לעטר פתורא הלכות שבת ב</v>
      </c>
      <c r="H2104" t="str">
        <f>_xlfn.CONCAT("https://tablet.otzar.org/",CHAR(35),"/book/647238/p/-1/t/1/fs/0/start/0/end/0/c")</f>
        <v>https://tablet.otzar.org/#/book/647238/p/-1/t/1/fs/0/start/0/end/0/c</v>
      </c>
    </row>
    <row r="2105" spans="1:8" x14ac:dyDescent="0.25">
      <c r="A2105">
        <v>656175</v>
      </c>
      <c r="B2105" t="s">
        <v>4292</v>
      </c>
      <c r="C2105" t="s">
        <v>4293</v>
      </c>
      <c r="D2105" t="s">
        <v>52</v>
      </c>
      <c r="E2105" t="s">
        <v>35</v>
      </c>
      <c r="G2105" t="str">
        <f>HYPERLINK(_xlfn.CONCAT("https://tablet.otzar.org/",CHAR(35),"/book/656175/p/-1/t/1/fs/0/start/0/end/0/c"),"לעיונא - בבא בתרא")</f>
        <v>לעיונא - בבא בתרא</v>
      </c>
      <c r="H2105" t="str">
        <f>_xlfn.CONCAT("https://tablet.otzar.org/",CHAR(35),"/book/656175/p/-1/t/1/fs/0/start/0/end/0/c")</f>
        <v>https://tablet.otzar.org/#/book/656175/p/-1/t/1/fs/0/start/0/end/0/c</v>
      </c>
    </row>
    <row r="2106" spans="1:8" x14ac:dyDescent="0.25">
      <c r="A2106">
        <v>654376</v>
      </c>
      <c r="B2106" t="s">
        <v>4294</v>
      </c>
      <c r="C2106" t="s">
        <v>4295</v>
      </c>
      <c r="D2106" t="s">
        <v>4296</v>
      </c>
      <c r="E2106" t="s">
        <v>11</v>
      </c>
      <c r="G2106" t="str">
        <f>HYPERLINK(_xlfn.CONCAT("https://tablet.otzar.org/",CHAR(35),"/book/654376/p/-1/t/1/fs/0/start/0/end/0/c"),"לעניין הלכה - שביעית")</f>
        <v>לעניין הלכה - שביעית</v>
      </c>
      <c r="H2106" t="str">
        <f>_xlfn.CONCAT("https://tablet.otzar.org/",CHAR(35),"/book/654376/p/-1/t/1/fs/0/start/0/end/0/c")</f>
        <v>https://tablet.otzar.org/#/book/654376/p/-1/t/1/fs/0/start/0/end/0/c</v>
      </c>
    </row>
    <row r="2107" spans="1:8" x14ac:dyDescent="0.25">
      <c r="A2107">
        <v>652637</v>
      </c>
      <c r="B2107" t="s">
        <v>4297</v>
      </c>
      <c r="C2107" t="s">
        <v>4298</v>
      </c>
      <c r="E2107" t="s">
        <v>126</v>
      </c>
      <c r="G2107" t="str">
        <f>HYPERLINK(_xlfn.CONCAT("https://tablet.otzar.org/",CHAR(35),"/book/652637/p/-1/t/1/fs/0/start/0/end/0/c"),"לפלגות לעד")</f>
        <v>לפלגות לעד</v>
      </c>
      <c r="H2107" t="str">
        <f>_xlfn.CONCAT("https://tablet.otzar.org/",CHAR(35),"/book/652637/p/-1/t/1/fs/0/start/0/end/0/c")</f>
        <v>https://tablet.otzar.org/#/book/652637/p/-1/t/1/fs/0/start/0/end/0/c</v>
      </c>
    </row>
    <row r="2108" spans="1:8" x14ac:dyDescent="0.25">
      <c r="A2108">
        <v>648979</v>
      </c>
      <c r="B2108" t="s">
        <v>4299</v>
      </c>
      <c r="C2108" t="s">
        <v>4300</v>
      </c>
      <c r="D2108" t="s">
        <v>10</v>
      </c>
      <c r="E2108" t="s">
        <v>77</v>
      </c>
      <c r="G2108" t="str">
        <f>HYPERLINK(_xlfn.CONCAT("https://tablet.otzar.org/",CHAR(35),"/book/648979/p/-1/t/1/fs/0/start/0/end/0/c"),"לפלגות ראובן - הגדה של פסח")</f>
        <v>לפלגות ראובן - הגדה של פסח</v>
      </c>
      <c r="H2108" t="str">
        <f>_xlfn.CONCAT("https://tablet.otzar.org/",CHAR(35),"/book/648979/p/-1/t/1/fs/0/start/0/end/0/c")</f>
        <v>https://tablet.otzar.org/#/book/648979/p/-1/t/1/fs/0/start/0/end/0/c</v>
      </c>
    </row>
    <row r="2109" spans="1:8" x14ac:dyDescent="0.25">
      <c r="A2109">
        <v>654269</v>
      </c>
      <c r="B2109" t="s">
        <v>4301</v>
      </c>
      <c r="C2109" t="s">
        <v>4302</v>
      </c>
      <c r="D2109" t="s">
        <v>34</v>
      </c>
      <c r="E2109" t="s">
        <v>11</v>
      </c>
      <c r="G2109" t="str">
        <f>HYPERLINK(_xlfn.CONCAT("https://tablet.otzar.org/",CHAR(35),"/exKotar/654269"),"לציון ברנה - 4 כרכים")</f>
        <v>לציון ברנה - 4 כרכים</v>
      </c>
      <c r="H2109" t="str">
        <f>_xlfn.CONCAT("https://tablet.otzar.org/",CHAR(35),"/exKotar/654269")</f>
        <v>https://tablet.otzar.org/#/exKotar/654269</v>
      </c>
    </row>
    <row r="2110" spans="1:8" x14ac:dyDescent="0.25">
      <c r="A2110">
        <v>649821</v>
      </c>
      <c r="B2110" t="s">
        <v>4303</v>
      </c>
      <c r="C2110" t="s">
        <v>1444</v>
      </c>
      <c r="D2110" t="s">
        <v>609</v>
      </c>
      <c r="E2110" t="s">
        <v>35</v>
      </c>
      <c r="G2110" t="str">
        <f>HYPERLINK(_xlfn.CONCAT("https://tablet.otzar.org/",CHAR(35),"/exKotar/649821"),"לצל יומם - 2 כרכים")</f>
        <v>לצל יומם - 2 כרכים</v>
      </c>
      <c r="H2110" t="str">
        <f>_xlfn.CONCAT("https://tablet.otzar.org/",CHAR(35),"/exKotar/649821")</f>
        <v>https://tablet.otzar.org/#/exKotar/649821</v>
      </c>
    </row>
    <row r="2111" spans="1:8" x14ac:dyDescent="0.25">
      <c r="A2111">
        <v>646940</v>
      </c>
      <c r="B2111" t="s">
        <v>4304</v>
      </c>
      <c r="C2111" t="s">
        <v>4305</v>
      </c>
      <c r="D2111" t="s">
        <v>440</v>
      </c>
      <c r="E2111" t="s">
        <v>4306</v>
      </c>
      <c r="G2111" t="str">
        <f>HYPERLINK(_xlfn.CONCAT("https://tablet.otzar.org/",CHAR(35),"/book/646940/p/-1/t/1/fs/0/start/0/end/0/c"),"לקוטי בתר לקוטי - אבות א")</f>
        <v>לקוטי בתר לקוטי - אבות א</v>
      </c>
      <c r="H2111" t="str">
        <f>_xlfn.CONCAT("https://tablet.otzar.org/",CHAR(35),"/book/646940/p/-1/t/1/fs/0/start/0/end/0/c")</f>
        <v>https://tablet.otzar.org/#/book/646940/p/-1/t/1/fs/0/start/0/end/0/c</v>
      </c>
    </row>
    <row r="2112" spans="1:8" x14ac:dyDescent="0.25">
      <c r="A2112">
        <v>650252</v>
      </c>
      <c r="B2112" t="s">
        <v>4307</v>
      </c>
      <c r="C2112" t="s">
        <v>4308</v>
      </c>
      <c r="E2112" t="s">
        <v>35</v>
      </c>
      <c r="G2112" t="str">
        <f>HYPERLINK(_xlfn.CONCAT("https://tablet.otzar.org/",CHAR(35),"/exKotar/650252"),"לקוטי דיבורים - 4 כרכים")</f>
        <v>לקוטי דיבורים - 4 כרכים</v>
      </c>
      <c r="H2112" t="str">
        <f>_xlfn.CONCAT("https://tablet.otzar.org/",CHAR(35),"/exKotar/650252")</f>
        <v>https://tablet.otzar.org/#/exKotar/650252</v>
      </c>
    </row>
    <row r="2113" spans="1:8" x14ac:dyDescent="0.25">
      <c r="A2113">
        <v>645023</v>
      </c>
      <c r="B2113" t="s">
        <v>4309</v>
      </c>
      <c r="C2113" t="s">
        <v>4310</v>
      </c>
      <c r="D2113" t="s">
        <v>58</v>
      </c>
      <c r="E2113" t="s">
        <v>70</v>
      </c>
      <c r="G2113" t="str">
        <f>HYPERLINK(_xlfn.CONCAT("https://tablet.otzar.org/",CHAR(35),"/book/645023/p/-1/t/1/fs/0/start/0/end/0/c"),"לקוטי הראי""""ב")</f>
        <v>לקוטי הראי""ב</v>
      </c>
      <c r="H2113" t="str">
        <f>_xlfn.CONCAT("https://tablet.otzar.org/",CHAR(35),"/book/645023/p/-1/t/1/fs/0/start/0/end/0/c")</f>
        <v>https://tablet.otzar.org/#/book/645023/p/-1/t/1/fs/0/start/0/end/0/c</v>
      </c>
    </row>
    <row r="2114" spans="1:8" x14ac:dyDescent="0.25">
      <c r="A2114">
        <v>650380</v>
      </c>
      <c r="B2114" t="s">
        <v>4311</v>
      </c>
      <c r="C2114" t="s">
        <v>4312</v>
      </c>
      <c r="D2114" t="s">
        <v>10</v>
      </c>
      <c r="E2114" t="s">
        <v>35</v>
      </c>
      <c r="G2114" t="str">
        <f>HYPERLINK(_xlfn.CONCAT("https://tablet.otzar.org/",CHAR(35),"/book/650380/p/-1/t/1/fs/0/start/0/end/0/c"),"לקוטי זכר יצחק")</f>
        <v>לקוטי זכר יצחק</v>
      </c>
      <c r="H2114" t="str">
        <f>_xlfn.CONCAT("https://tablet.otzar.org/",CHAR(35),"/book/650380/p/-1/t/1/fs/0/start/0/end/0/c")</f>
        <v>https://tablet.otzar.org/#/book/650380/p/-1/t/1/fs/0/start/0/end/0/c</v>
      </c>
    </row>
    <row r="2115" spans="1:8" x14ac:dyDescent="0.25">
      <c r="A2115">
        <v>641127</v>
      </c>
      <c r="B2115" t="s">
        <v>4313</v>
      </c>
      <c r="C2115" t="s">
        <v>4314</v>
      </c>
      <c r="D2115" t="s">
        <v>4315</v>
      </c>
      <c r="E2115">
        <v>1918</v>
      </c>
      <c r="G2115" t="str">
        <f>HYPERLINK(_xlfn.CONCAT("https://tablet.otzar.org/",CHAR(35),"/book/641127/p/-1/t/1/fs/0/start/0/end/0/c"),"לקוטי מאמרים")</f>
        <v>לקוטי מאמרים</v>
      </c>
      <c r="H2115" t="str">
        <f>_xlfn.CONCAT("https://tablet.otzar.org/",CHAR(35),"/book/641127/p/-1/t/1/fs/0/start/0/end/0/c")</f>
        <v>https://tablet.otzar.org/#/book/641127/p/-1/t/1/fs/0/start/0/end/0/c</v>
      </c>
    </row>
    <row r="2116" spans="1:8" x14ac:dyDescent="0.25">
      <c r="A2116">
        <v>656138</v>
      </c>
      <c r="B2116" t="s">
        <v>4316</v>
      </c>
      <c r="C2116" t="s">
        <v>4317</v>
      </c>
      <c r="D2116" t="s">
        <v>52</v>
      </c>
      <c r="E2116" t="s">
        <v>29</v>
      </c>
      <c r="G2116" t="str">
        <f>HYPERLINK(_xlfn.CONCAT("https://tablet.otzar.org/",CHAR(35),"/book/656138/p/-1/t/1/fs/0/start/0/end/0/c"),"לקח וסברא - בבא בתרא")</f>
        <v>לקח וסברא - בבא בתרא</v>
      </c>
      <c r="H2116" t="str">
        <f>_xlfn.CONCAT("https://tablet.otzar.org/",CHAR(35),"/book/656138/p/-1/t/1/fs/0/start/0/end/0/c")</f>
        <v>https://tablet.otzar.org/#/book/656138/p/-1/t/1/fs/0/start/0/end/0/c</v>
      </c>
    </row>
    <row r="2117" spans="1:8" x14ac:dyDescent="0.25">
      <c r="A2117">
        <v>652636</v>
      </c>
      <c r="B2117" t="s">
        <v>4318</v>
      </c>
      <c r="C2117" t="s">
        <v>4319</v>
      </c>
      <c r="D2117" t="s">
        <v>4320</v>
      </c>
      <c r="E2117" t="s">
        <v>1962</v>
      </c>
      <c r="G2117" t="str">
        <f>HYPERLINK(_xlfn.CONCAT("https://tablet.otzar.org/",CHAR(35),"/book/652636/p/-1/t/1/fs/0/start/0/end/0/c"),"לקח טוב על מגלת איכה")</f>
        <v>לקח טוב על מגלת איכה</v>
      </c>
      <c r="H2117" t="str">
        <f>_xlfn.CONCAT("https://tablet.otzar.org/",CHAR(35),"/book/652636/p/-1/t/1/fs/0/start/0/end/0/c")</f>
        <v>https://tablet.otzar.org/#/book/652636/p/-1/t/1/fs/0/start/0/end/0/c</v>
      </c>
    </row>
    <row r="2118" spans="1:8" x14ac:dyDescent="0.25">
      <c r="A2118">
        <v>652644</v>
      </c>
      <c r="B2118" t="s">
        <v>4321</v>
      </c>
      <c r="C2118" t="s">
        <v>4322</v>
      </c>
      <c r="D2118" t="s">
        <v>3577</v>
      </c>
      <c r="E2118">
        <v>1869</v>
      </c>
      <c r="G2118" t="str">
        <f>HYPERLINK(_xlfn.CONCAT("https://tablet.otzar.org/",CHAR(35),"/book/652644/p/-1/t/1/fs/0/start/0/end/0/c"),"לקח נחמד")</f>
        <v>לקח נחמד</v>
      </c>
      <c r="H2118" t="str">
        <f>_xlfn.CONCAT("https://tablet.otzar.org/",CHAR(35),"/book/652644/p/-1/t/1/fs/0/start/0/end/0/c")</f>
        <v>https://tablet.otzar.org/#/book/652644/p/-1/t/1/fs/0/start/0/end/0/c</v>
      </c>
    </row>
    <row r="2119" spans="1:8" x14ac:dyDescent="0.25">
      <c r="A2119">
        <v>643178</v>
      </c>
      <c r="B2119" t="s">
        <v>4323</v>
      </c>
      <c r="C2119" t="s">
        <v>4324</v>
      </c>
      <c r="D2119" t="s">
        <v>10</v>
      </c>
      <c r="E2119" t="s">
        <v>1189</v>
      </c>
      <c r="G2119" t="str">
        <f>HYPERLINK(_xlfn.CONCAT("https://tablet.otzar.org/",CHAR(35),"/book/643178/p/-1/t/1/fs/0/start/0/end/0/c"),"לקט דינים בכתיבת סת""""ם")</f>
        <v>לקט דינים בכתיבת סת""ם</v>
      </c>
      <c r="H2119" t="str">
        <f>_xlfn.CONCAT("https://tablet.otzar.org/",CHAR(35),"/book/643178/p/-1/t/1/fs/0/start/0/end/0/c")</f>
        <v>https://tablet.otzar.org/#/book/643178/p/-1/t/1/fs/0/start/0/end/0/c</v>
      </c>
    </row>
    <row r="2120" spans="1:8" x14ac:dyDescent="0.25">
      <c r="A2120">
        <v>653417</v>
      </c>
      <c r="B2120" t="s">
        <v>4325</v>
      </c>
      <c r="C2120" t="s">
        <v>4326</v>
      </c>
      <c r="E2120" t="s">
        <v>507</v>
      </c>
      <c r="G2120" t="str">
        <f>HYPERLINK(_xlfn.CONCAT("https://tablet.otzar.org/",CHAR(35),"/book/653417/p/-1/t/1/fs/0/start/0/end/0/c"),"לקט הלכות קטנים בדיני ממונות")</f>
        <v>לקט הלכות קטנים בדיני ממונות</v>
      </c>
      <c r="H2120" t="str">
        <f>_xlfn.CONCAT("https://tablet.otzar.org/",CHAR(35),"/book/653417/p/-1/t/1/fs/0/start/0/end/0/c")</f>
        <v>https://tablet.otzar.org/#/book/653417/p/-1/t/1/fs/0/start/0/end/0/c</v>
      </c>
    </row>
    <row r="2121" spans="1:8" x14ac:dyDescent="0.25">
      <c r="A2121">
        <v>654310</v>
      </c>
      <c r="B2121" t="s">
        <v>4327</v>
      </c>
      <c r="C2121" t="s">
        <v>4328</v>
      </c>
      <c r="D2121" t="s">
        <v>10</v>
      </c>
      <c r="E2121" t="s">
        <v>84</v>
      </c>
      <c r="G2121" t="str">
        <f>HYPERLINK(_xlfn.CONCAT("https://tablet.otzar.org/",CHAR(35),"/exKotar/654310"),"לקט ופרט - 6 כרכים")</f>
        <v>לקט ופרט - 6 כרכים</v>
      </c>
      <c r="H2121" t="str">
        <f>_xlfn.CONCAT("https://tablet.otzar.org/",CHAR(35),"/exKotar/654310")</f>
        <v>https://tablet.otzar.org/#/exKotar/654310</v>
      </c>
    </row>
    <row r="2122" spans="1:8" x14ac:dyDescent="0.25">
      <c r="A2122">
        <v>641164</v>
      </c>
      <c r="B2122" t="s">
        <v>4329</v>
      </c>
      <c r="C2122" t="s">
        <v>2507</v>
      </c>
      <c r="D2122" t="s">
        <v>1813</v>
      </c>
      <c r="E2122" t="s">
        <v>891</v>
      </c>
      <c r="G2122" t="str">
        <f>HYPERLINK(_xlfn.CONCAT("https://tablet.otzar.org/",CHAR(35),"/book/641164/p/-1/t/1/fs/0/start/0/end/0/c"),"לקט מאמרים עדויות ותמונות במלאות חמישים שנה למאורעות תרפ""""ט בחברון")</f>
        <v>לקט מאמרים עדויות ותמונות במלאות חמישים שנה למאורעות תרפ""ט בחברון</v>
      </c>
      <c r="H2122" t="str">
        <f>_xlfn.CONCAT("https://tablet.otzar.org/",CHAR(35),"/book/641164/p/-1/t/1/fs/0/start/0/end/0/c")</f>
        <v>https://tablet.otzar.org/#/book/641164/p/-1/t/1/fs/0/start/0/end/0/c</v>
      </c>
    </row>
    <row r="2123" spans="1:8" x14ac:dyDescent="0.25">
      <c r="A2123">
        <v>619511</v>
      </c>
      <c r="B2123" t="s">
        <v>4330</v>
      </c>
      <c r="C2123" t="s">
        <v>4331</v>
      </c>
      <c r="D2123" t="s">
        <v>3130</v>
      </c>
      <c r="E2123" t="s">
        <v>1288</v>
      </c>
      <c r="G2123" t="str">
        <f>HYPERLINK(_xlfn.CONCAT("https://tablet.otzar.org/",CHAR(35),"/book/619511/p/-1/t/1/fs/0/start/0/end/0/c"),"לקט מדרשי חז""""ל על מעמד הר סיני")</f>
        <v>לקט מדרשי חז""ל על מעמד הר סיני</v>
      </c>
      <c r="H2123" t="str">
        <f>_xlfn.CONCAT("https://tablet.otzar.org/",CHAR(35),"/book/619511/p/-1/t/1/fs/0/start/0/end/0/c")</f>
        <v>https://tablet.otzar.org/#/book/619511/p/-1/t/1/fs/0/start/0/end/0/c</v>
      </c>
    </row>
    <row r="2124" spans="1:8" x14ac:dyDescent="0.25">
      <c r="A2124">
        <v>651432</v>
      </c>
      <c r="B2124" t="s">
        <v>4332</v>
      </c>
      <c r="C2124" t="s">
        <v>4331</v>
      </c>
      <c r="D2124" t="s">
        <v>3130</v>
      </c>
      <c r="E2124" t="s">
        <v>1101</v>
      </c>
      <c r="G2124" t="str">
        <f>HYPERLINK(_xlfn.CONCAT("https://tablet.otzar.org/",CHAR(35),"/book/651432/p/-1/t/1/fs/0/start/0/end/0/c"),"לקט מדרשי חז""""ל על סיפור יציאת מצרים")</f>
        <v>לקט מדרשי חז""ל על סיפור יציאת מצרים</v>
      </c>
      <c r="H2124" t="str">
        <f>_xlfn.CONCAT("https://tablet.otzar.org/",CHAR(35),"/book/651432/p/-1/t/1/fs/0/start/0/end/0/c")</f>
        <v>https://tablet.otzar.org/#/book/651432/p/-1/t/1/fs/0/start/0/end/0/c</v>
      </c>
    </row>
    <row r="2125" spans="1:8" x14ac:dyDescent="0.25">
      <c r="A2125">
        <v>650220</v>
      </c>
      <c r="B2125" t="s">
        <v>4333</v>
      </c>
      <c r="C2125" t="s">
        <v>4334</v>
      </c>
      <c r="D2125" t="s">
        <v>10</v>
      </c>
      <c r="E2125" t="s">
        <v>704</v>
      </c>
      <c r="G2125" t="str">
        <f>HYPERLINK(_xlfn.CONCAT("https://tablet.otzar.org/",CHAR(35),"/book/650220/p/-1/t/1/fs/0/start/0/end/0/c"),"לקט מקורות ופרושים לנביאים ראשונים")</f>
        <v>לקט מקורות ופרושים לנביאים ראשונים</v>
      </c>
      <c r="H2125" t="str">
        <f>_xlfn.CONCAT("https://tablet.otzar.org/",CHAR(35),"/book/650220/p/-1/t/1/fs/0/start/0/end/0/c")</f>
        <v>https://tablet.otzar.org/#/book/650220/p/-1/t/1/fs/0/start/0/end/0/c</v>
      </c>
    </row>
    <row r="2126" spans="1:8" x14ac:dyDescent="0.25">
      <c r="A2126">
        <v>653436</v>
      </c>
      <c r="B2126" t="s">
        <v>4335</v>
      </c>
      <c r="C2126" t="s">
        <v>3761</v>
      </c>
      <c r="E2126" t="s">
        <v>11</v>
      </c>
      <c r="G2126" t="str">
        <f>HYPERLINK(_xlfn.CONCAT("https://tablet.otzar.org/",CHAR(35),"/exKotar/653436"),"לקט סגולות הלכות והנהגות - 2 כרכים")</f>
        <v>לקט סגולות הלכות והנהגות - 2 כרכים</v>
      </c>
      <c r="H2126" t="str">
        <f>_xlfn.CONCAT("https://tablet.otzar.org/",CHAR(35),"/exKotar/653436")</f>
        <v>https://tablet.otzar.org/#/exKotar/653436</v>
      </c>
    </row>
    <row r="2127" spans="1:8" x14ac:dyDescent="0.25">
      <c r="A2127">
        <v>649982</v>
      </c>
      <c r="B2127" t="s">
        <v>4336</v>
      </c>
      <c r="C2127" t="s">
        <v>4337</v>
      </c>
      <c r="E2127" t="s">
        <v>780</v>
      </c>
      <c r="G2127" t="str">
        <f>HYPERLINK(_xlfn.CONCAT("https://tablet.otzar.org/",CHAR(35),"/book/649982/p/-1/t/1/fs/0/start/0/end/0/c"),"לקט שיעורים - בבא בתרא")</f>
        <v>לקט שיעורים - בבא בתרא</v>
      </c>
      <c r="H2127" t="str">
        <f>_xlfn.CONCAT("https://tablet.otzar.org/",CHAR(35),"/book/649982/p/-1/t/1/fs/0/start/0/end/0/c")</f>
        <v>https://tablet.otzar.org/#/book/649982/p/-1/t/1/fs/0/start/0/end/0/c</v>
      </c>
    </row>
    <row r="2128" spans="1:8" x14ac:dyDescent="0.25">
      <c r="A2128">
        <v>652598</v>
      </c>
      <c r="B2128" t="s">
        <v>4338</v>
      </c>
      <c r="C2128" t="s">
        <v>4339</v>
      </c>
      <c r="D2128" t="s">
        <v>10</v>
      </c>
      <c r="E2128" t="s">
        <v>73</v>
      </c>
      <c r="G2128" t="str">
        <f>HYPERLINK(_xlfn.CONCAT("https://tablet.otzar.org/",CHAR(35),"/book/652598/p/-1/t/1/fs/0/start/0/end/0/c"),"לקט תפילות החולה")</f>
        <v>לקט תפילות החולה</v>
      </c>
      <c r="H2128" t="str">
        <f>_xlfn.CONCAT("https://tablet.otzar.org/",CHAR(35),"/book/652598/p/-1/t/1/fs/0/start/0/end/0/c")</f>
        <v>https://tablet.otzar.org/#/book/652598/p/-1/t/1/fs/0/start/0/end/0/c</v>
      </c>
    </row>
    <row r="2129" spans="1:8" x14ac:dyDescent="0.25">
      <c r="A2129">
        <v>647322</v>
      </c>
      <c r="B2129" t="s">
        <v>4340</v>
      </c>
      <c r="C2129" t="s">
        <v>4341</v>
      </c>
      <c r="D2129" t="s">
        <v>196</v>
      </c>
      <c r="E2129" t="s">
        <v>35</v>
      </c>
      <c r="G2129" t="str">
        <f>HYPERLINK(_xlfn.CONCAT("https://tablet.otzar.org/",CHAR(35),"/book/647322/p/-1/t/1/fs/0/start/0/end/0/c"),"לקיחה תמה")</f>
        <v>לקיחה תמה</v>
      </c>
      <c r="H2129" t="str">
        <f>_xlfn.CONCAT("https://tablet.otzar.org/",CHAR(35),"/book/647322/p/-1/t/1/fs/0/start/0/end/0/c")</f>
        <v>https://tablet.otzar.org/#/book/647322/p/-1/t/1/fs/0/start/0/end/0/c</v>
      </c>
    </row>
    <row r="2130" spans="1:8" x14ac:dyDescent="0.25">
      <c r="A2130">
        <v>655740</v>
      </c>
      <c r="B2130" t="s">
        <v>4340</v>
      </c>
      <c r="C2130" t="s">
        <v>4342</v>
      </c>
      <c r="D2130" t="s">
        <v>196</v>
      </c>
      <c r="E2130" t="s">
        <v>11</v>
      </c>
      <c r="G2130" t="str">
        <f>HYPERLINK(_xlfn.CONCAT("https://tablet.otzar.org/",CHAR(35),"/book/655740/p/-1/t/1/fs/0/start/0/end/0/c"),"לקיחה תמה")</f>
        <v>לקיחה תמה</v>
      </c>
      <c r="H2130" t="str">
        <f>_xlfn.CONCAT("https://tablet.otzar.org/",CHAR(35),"/book/655740/p/-1/t/1/fs/0/start/0/end/0/c")</f>
        <v>https://tablet.otzar.org/#/book/655740/p/-1/t/1/fs/0/start/0/end/0/c</v>
      </c>
    </row>
    <row r="2131" spans="1:8" x14ac:dyDescent="0.25">
      <c r="A2131">
        <v>650080</v>
      </c>
      <c r="B2131" t="s">
        <v>4343</v>
      </c>
      <c r="C2131" t="s">
        <v>4344</v>
      </c>
      <c r="D2131" t="s">
        <v>606</v>
      </c>
      <c r="E2131" t="s">
        <v>11</v>
      </c>
      <c r="G2131" t="str">
        <f>HYPERLINK(_xlfn.CONCAT("https://tablet.otzar.org/",CHAR(35),"/book/650080/p/-1/t/1/fs/0/start/0/end/0/c"),"לקרא כלם בשם ה'")</f>
        <v>לקרא כלם בשם ה'</v>
      </c>
      <c r="H2131" t="str">
        <f>_xlfn.CONCAT("https://tablet.otzar.org/",CHAR(35),"/book/650080/p/-1/t/1/fs/0/start/0/end/0/c")</f>
        <v>https://tablet.otzar.org/#/book/650080/p/-1/t/1/fs/0/start/0/end/0/c</v>
      </c>
    </row>
    <row r="2132" spans="1:8" x14ac:dyDescent="0.25">
      <c r="A2132">
        <v>650653</v>
      </c>
      <c r="B2132" t="s">
        <v>4345</v>
      </c>
      <c r="C2132" t="s">
        <v>4346</v>
      </c>
      <c r="D2132" t="s">
        <v>4347</v>
      </c>
      <c r="E2132" t="s">
        <v>11</v>
      </c>
      <c r="G2132" t="str">
        <f>HYPERLINK(_xlfn.CONCAT("https://tablet.otzar.org/",CHAR(35),"/book/650653/p/-1/t/1/fs/0/start/0/end/0/c"),"לקראת מקדש")</f>
        <v>לקראת מקדש</v>
      </c>
      <c r="H2132" t="str">
        <f>_xlfn.CONCAT("https://tablet.otzar.org/",CHAR(35),"/book/650653/p/-1/t/1/fs/0/start/0/end/0/c")</f>
        <v>https://tablet.otzar.org/#/book/650653/p/-1/t/1/fs/0/start/0/end/0/c</v>
      </c>
    </row>
    <row r="2133" spans="1:8" x14ac:dyDescent="0.25">
      <c r="A2133">
        <v>649128</v>
      </c>
      <c r="B2133" t="s">
        <v>4348</v>
      </c>
      <c r="C2133" t="s">
        <v>1327</v>
      </c>
      <c r="D2133" t="s">
        <v>10</v>
      </c>
      <c r="E2133" t="s">
        <v>146</v>
      </c>
      <c r="G2133" t="str">
        <f>HYPERLINK(_xlfn.CONCAT("https://tablet.otzar.org/",CHAR(35),"/book/649128/p/-1/t/1/fs/0/start/0/end/0/c"),"לקראת שבת לכו ונלכה")</f>
        <v>לקראת שבת לכו ונלכה</v>
      </c>
      <c r="H2133" t="str">
        <f>_xlfn.CONCAT("https://tablet.otzar.org/",CHAR(35),"/book/649128/p/-1/t/1/fs/0/start/0/end/0/c")</f>
        <v>https://tablet.otzar.org/#/book/649128/p/-1/t/1/fs/0/start/0/end/0/c</v>
      </c>
    </row>
    <row r="2134" spans="1:8" x14ac:dyDescent="0.25">
      <c r="A2134">
        <v>650099</v>
      </c>
      <c r="B2134" t="s">
        <v>4349</v>
      </c>
      <c r="C2134" t="s">
        <v>4350</v>
      </c>
      <c r="E2134" t="s">
        <v>45</v>
      </c>
      <c r="G2134" t="str">
        <f>HYPERLINK(_xlfn.CONCAT("https://tablet.otzar.org/",CHAR(35),"/book/650099/p/-1/t/1/fs/0/start/0/end/0/c"),"לרוץ ארח")</f>
        <v>לרוץ ארח</v>
      </c>
      <c r="H2134" t="str">
        <f>_xlfn.CONCAT("https://tablet.otzar.org/",CHAR(35),"/book/650099/p/-1/t/1/fs/0/start/0/end/0/c")</f>
        <v>https://tablet.otzar.org/#/book/650099/p/-1/t/1/fs/0/start/0/end/0/c</v>
      </c>
    </row>
    <row r="2135" spans="1:8" x14ac:dyDescent="0.25">
      <c r="A2135">
        <v>650048</v>
      </c>
      <c r="B2135" t="s">
        <v>4351</v>
      </c>
      <c r="C2135" t="s">
        <v>2962</v>
      </c>
      <c r="D2135" t="s">
        <v>832</v>
      </c>
      <c r="E2135" t="s">
        <v>1506</v>
      </c>
      <c r="G2135" t="str">
        <f>HYPERLINK(_xlfn.CONCAT("https://tablet.otzar.org/",CHAR(35),"/book/650048/p/-1/t/1/fs/0/start/0/end/0/c"),"לשון חכמים")</f>
        <v>לשון חכמים</v>
      </c>
      <c r="H2135" t="str">
        <f>_xlfn.CONCAT("https://tablet.otzar.org/",CHAR(35),"/book/650048/p/-1/t/1/fs/0/start/0/end/0/c")</f>
        <v>https://tablet.otzar.org/#/book/650048/p/-1/t/1/fs/0/start/0/end/0/c</v>
      </c>
    </row>
    <row r="2136" spans="1:8" x14ac:dyDescent="0.25">
      <c r="A2136">
        <v>652848</v>
      </c>
      <c r="B2136" t="s">
        <v>4352</v>
      </c>
      <c r="C2136" t="s">
        <v>4353</v>
      </c>
      <c r="D2136" t="s">
        <v>10</v>
      </c>
      <c r="E2136" t="s">
        <v>574</v>
      </c>
      <c r="G2136" t="str">
        <f>HYPERLINK(_xlfn.CONCAT("https://tablet.otzar.org/",CHAR(35),"/book/652848/p/-1/t/1/fs/0/start/0/end/0/c"),"לשון למודים - בעניני התפילה")</f>
        <v>לשון למודים - בעניני התפילה</v>
      </c>
      <c r="H2136" t="str">
        <f>_xlfn.CONCAT("https://tablet.otzar.org/",CHAR(35),"/book/652848/p/-1/t/1/fs/0/start/0/end/0/c")</f>
        <v>https://tablet.otzar.org/#/book/652848/p/-1/t/1/fs/0/start/0/end/0/c</v>
      </c>
    </row>
    <row r="2137" spans="1:8" x14ac:dyDescent="0.25">
      <c r="A2137">
        <v>648433</v>
      </c>
      <c r="B2137" t="s">
        <v>4354</v>
      </c>
      <c r="C2137" t="s">
        <v>1272</v>
      </c>
      <c r="D2137" t="s">
        <v>4355</v>
      </c>
      <c r="E2137" t="s">
        <v>4356</v>
      </c>
      <c r="G2137" t="str">
        <f>HYPERLINK(_xlfn.CONCAT("https://tablet.otzar.org/",CHAR(35),"/book/648433/p/-1/t/1/fs/0/start/0/end/0/c"),"לשכת הסופר")</f>
        <v>לשכת הסופר</v>
      </c>
      <c r="H2137" t="str">
        <f>_xlfn.CONCAT("https://tablet.otzar.org/",CHAR(35),"/book/648433/p/-1/t/1/fs/0/start/0/end/0/c")</f>
        <v>https://tablet.otzar.org/#/book/648433/p/-1/t/1/fs/0/start/0/end/0/c</v>
      </c>
    </row>
    <row r="2138" spans="1:8" x14ac:dyDescent="0.25">
      <c r="A2138">
        <v>647734</v>
      </c>
      <c r="B2138" t="s">
        <v>4357</v>
      </c>
      <c r="C2138" t="s">
        <v>4358</v>
      </c>
      <c r="D2138" t="s">
        <v>4359</v>
      </c>
      <c r="E2138" t="s">
        <v>4360</v>
      </c>
      <c r="G2138" t="str">
        <f>HYPERLINK(_xlfn.CONCAT("https://tablet.otzar.org/",CHAR(35),"/book/647734/p/-1/t/1/fs/0/start/0/end/0/c"),"לשם זבח")</f>
        <v>לשם זבח</v>
      </c>
      <c r="H2138" t="str">
        <f>_xlfn.CONCAT("https://tablet.otzar.org/",CHAR(35),"/book/647734/p/-1/t/1/fs/0/start/0/end/0/c")</f>
        <v>https://tablet.otzar.org/#/book/647734/p/-1/t/1/fs/0/start/0/end/0/c</v>
      </c>
    </row>
    <row r="2139" spans="1:8" x14ac:dyDescent="0.25">
      <c r="A2139">
        <v>649368</v>
      </c>
      <c r="B2139" t="s">
        <v>4361</v>
      </c>
      <c r="C2139" t="s">
        <v>4362</v>
      </c>
      <c r="E2139" t="s">
        <v>4363</v>
      </c>
      <c r="G2139" t="str">
        <f>HYPERLINK(_xlfn.CONCAT("https://tablet.otzar.org/",CHAR(35),"/book/649368/p/-1/t/1/fs/0/start/0/end/0/c"),"לתוהה האלמוני")</f>
        <v>לתוהה האלמוני</v>
      </c>
      <c r="H2139" t="str">
        <f>_xlfn.CONCAT("https://tablet.otzar.org/",CHAR(35),"/book/649368/p/-1/t/1/fs/0/start/0/end/0/c")</f>
        <v>https://tablet.otzar.org/#/book/649368/p/-1/t/1/fs/0/start/0/end/0/c</v>
      </c>
    </row>
    <row r="2140" spans="1:8" x14ac:dyDescent="0.25">
      <c r="A2140">
        <v>647907</v>
      </c>
      <c r="B2140" t="s">
        <v>4364</v>
      </c>
      <c r="C2140" t="s">
        <v>4365</v>
      </c>
      <c r="D2140" t="s">
        <v>10</v>
      </c>
      <c r="E2140" t="s">
        <v>2713</v>
      </c>
      <c r="G2140" t="str">
        <f>HYPERLINK(_xlfn.CONCAT("https://tablet.otzar.org/",CHAR(35),"/book/647907/p/-1/t/1/fs/0/start/0/end/0/c"),"לתולדות השחיטה האשכנזית")</f>
        <v>לתולדות השחיטה האשכנזית</v>
      </c>
      <c r="H2140" t="str">
        <f>_xlfn.CONCAT("https://tablet.otzar.org/",CHAR(35),"/book/647907/p/-1/t/1/fs/0/start/0/end/0/c")</f>
        <v>https://tablet.otzar.org/#/book/647907/p/-1/t/1/fs/0/start/0/end/0/c</v>
      </c>
    </row>
    <row r="2141" spans="1:8" x14ac:dyDescent="0.25">
      <c r="A2141">
        <v>15642</v>
      </c>
      <c r="B2141" t="s">
        <v>4366</v>
      </c>
      <c r="C2141" t="s">
        <v>4367</v>
      </c>
      <c r="D2141" t="s">
        <v>1321</v>
      </c>
      <c r="E2141" t="s">
        <v>4368</v>
      </c>
      <c r="G2141" t="str">
        <f>HYPERLINK(_xlfn.CONCAT("https://tablet.otzar.org/",CHAR(35),"/book/15642/p/-1/t/1/fs/0/start/0/end/0/c"),"לתולדות התנועה הפראנקית - א -ב")</f>
        <v>לתולדות התנועה הפראנקית - א -ב</v>
      </c>
      <c r="H2141" t="str">
        <f>_xlfn.CONCAT("https://tablet.otzar.org/",CHAR(35),"/book/15642/p/-1/t/1/fs/0/start/0/end/0/c")</f>
        <v>https://tablet.otzar.org/#/book/15642/p/-1/t/1/fs/0/start/0/end/0/c</v>
      </c>
    </row>
    <row r="2142" spans="1:8" x14ac:dyDescent="0.25">
      <c r="A2142">
        <v>648042</v>
      </c>
      <c r="B2142" t="s">
        <v>4369</v>
      </c>
      <c r="C2142" t="s">
        <v>4370</v>
      </c>
      <c r="E2142" t="s">
        <v>804</v>
      </c>
      <c r="G2142" t="str">
        <f>HYPERLINK(_xlfn.CONCAT("https://tablet.otzar.org/",CHAR(35),"/book/648042/p/-1/t/1/fs/0/start/0/end/0/c"),"לתורה והוראה - ב")</f>
        <v>לתורה והוראה - ב</v>
      </c>
      <c r="H2142" t="str">
        <f>_xlfn.CONCAT("https://tablet.otzar.org/",CHAR(35),"/book/648042/p/-1/t/1/fs/0/start/0/end/0/c")</f>
        <v>https://tablet.otzar.org/#/book/648042/p/-1/t/1/fs/0/start/0/end/0/c</v>
      </c>
    </row>
    <row r="2143" spans="1:8" x14ac:dyDescent="0.25">
      <c r="A2143">
        <v>647927</v>
      </c>
      <c r="B2143" t="s">
        <v>4371</v>
      </c>
      <c r="C2143" t="s">
        <v>171</v>
      </c>
      <c r="D2143" t="s">
        <v>58</v>
      </c>
      <c r="E2143" t="s">
        <v>4081</v>
      </c>
      <c r="G2143" t="str">
        <f>HYPERLINK(_xlfn.CONCAT("https://tablet.otzar.org/",CHAR(35),"/book/647927/p/-1/t/1/fs/0/start/0/end/0/c"),"לתשובה")</f>
        <v>לתשובה</v>
      </c>
      <c r="H2143" t="str">
        <f>_xlfn.CONCAT("https://tablet.otzar.org/",CHAR(35),"/book/647927/p/-1/t/1/fs/0/start/0/end/0/c")</f>
        <v>https://tablet.otzar.org/#/book/647927/p/-1/t/1/fs/0/start/0/end/0/c</v>
      </c>
    </row>
    <row r="2144" spans="1:8" x14ac:dyDescent="0.25">
      <c r="A2144">
        <v>626127</v>
      </c>
      <c r="B2144" t="s">
        <v>4372</v>
      </c>
      <c r="C2144" t="s">
        <v>4373</v>
      </c>
      <c r="E2144" t="s">
        <v>4374</v>
      </c>
      <c r="G2144" t="str">
        <f>HYPERLINK(_xlfn.CONCAT("https://tablet.otzar.org/",CHAR(35),"/book/626127/p/-1/t/1/fs/0/start/0/end/0/c"),"מאבק יהודי פולין על זכויותיהם")</f>
        <v>מאבק יהודי פולין על זכויותיהם</v>
      </c>
      <c r="H2144" t="str">
        <f>_xlfn.CONCAT("https://tablet.otzar.org/",CHAR(35),"/book/626127/p/-1/t/1/fs/0/start/0/end/0/c")</f>
        <v>https://tablet.otzar.org/#/book/626127/p/-1/t/1/fs/0/start/0/end/0/c</v>
      </c>
    </row>
    <row r="2145" spans="1:8" x14ac:dyDescent="0.25">
      <c r="A2145">
        <v>647459</v>
      </c>
      <c r="B2145" t="s">
        <v>4375</v>
      </c>
      <c r="C2145" t="s">
        <v>4376</v>
      </c>
      <c r="D2145" t="s">
        <v>10</v>
      </c>
      <c r="E2145" t="s">
        <v>106</v>
      </c>
      <c r="G2145" t="str">
        <f>HYPERLINK(_xlfn.CONCAT("https://tablet.otzar.org/",CHAR(35),"/book/647459/p/-1/t/1/fs/0/start/0/end/0/c"),"מאה ועשרים שנה להכרזת האיסור")</f>
        <v>מאה ועשרים שנה להכרזת האיסור</v>
      </c>
      <c r="H2145" t="str">
        <f>_xlfn.CONCAT("https://tablet.otzar.org/",CHAR(35),"/book/647459/p/-1/t/1/fs/0/start/0/end/0/c")</f>
        <v>https://tablet.otzar.org/#/book/647459/p/-1/t/1/fs/0/start/0/end/0/c</v>
      </c>
    </row>
    <row r="2146" spans="1:8" x14ac:dyDescent="0.25">
      <c r="A2146">
        <v>649749</v>
      </c>
      <c r="B2146" t="s">
        <v>4377</v>
      </c>
      <c r="C2146" t="s">
        <v>4378</v>
      </c>
      <c r="E2146" t="s">
        <v>383</v>
      </c>
      <c r="G2146" t="str">
        <f>HYPERLINK(_xlfn.CONCAT("https://tablet.otzar.org/",CHAR(35),"/book/649749/p/-1/t/1/fs/0/start/0/end/0/c"),"מאוצרות קדומים")</f>
        <v>מאוצרות קדומים</v>
      </c>
      <c r="H2146" t="str">
        <f>_xlfn.CONCAT("https://tablet.otzar.org/",CHAR(35),"/book/649749/p/-1/t/1/fs/0/start/0/end/0/c")</f>
        <v>https://tablet.otzar.org/#/book/649749/p/-1/t/1/fs/0/start/0/end/0/c</v>
      </c>
    </row>
    <row r="2147" spans="1:8" x14ac:dyDescent="0.25">
      <c r="A2147">
        <v>649262</v>
      </c>
      <c r="B2147" t="s">
        <v>4379</v>
      </c>
      <c r="C2147" t="s">
        <v>4380</v>
      </c>
      <c r="D2147" t="s">
        <v>10</v>
      </c>
      <c r="E2147" t="s">
        <v>3335</v>
      </c>
      <c r="G2147" t="str">
        <f>HYPERLINK(_xlfn.CONCAT("https://tablet.otzar.org/",CHAR(35),"/book/649262/p/-1/t/1/fs/0/start/0/end/0/c"),"מאור דגל התורה")</f>
        <v>מאור דגל התורה</v>
      </c>
      <c r="H2147" t="str">
        <f>_xlfn.CONCAT("https://tablet.otzar.org/",CHAR(35),"/book/649262/p/-1/t/1/fs/0/start/0/end/0/c")</f>
        <v>https://tablet.otzar.org/#/book/649262/p/-1/t/1/fs/0/start/0/end/0/c</v>
      </c>
    </row>
    <row r="2148" spans="1:8" x14ac:dyDescent="0.25">
      <c r="A2148">
        <v>647974</v>
      </c>
      <c r="B2148" t="s">
        <v>4381</v>
      </c>
      <c r="C2148" t="s">
        <v>4382</v>
      </c>
      <c r="D2148" t="s">
        <v>34</v>
      </c>
      <c r="E2148" t="s">
        <v>35</v>
      </c>
      <c r="G2148" t="str">
        <f>HYPERLINK(_xlfn.CONCAT("https://tablet.otzar.org/",CHAR(35),"/exKotar/647974"),"מאור החיים - 2 כרכים")</f>
        <v>מאור החיים - 2 כרכים</v>
      </c>
      <c r="H2148" t="str">
        <f>_xlfn.CONCAT("https://tablet.otzar.org/",CHAR(35),"/exKotar/647974")</f>
        <v>https://tablet.otzar.org/#/exKotar/647974</v>
      </c>
    </row>
    <row r="2149" spans="1:8" x14ac:dyDescent="0.25">
      <c r="A2149">
        <v>655351</v>
      </c>
      <c r="B2149" t="s">
        <v>4383</v>
      </c>
      <c r="C2149" t="s">
        <v>2145</v>
      </c>
      <c r="D2149" t="s">
        <v>10</v>
      </c>
      <c r="E2149" t="s">
        <v>62</v>
      </c>
      <c r="G2149" t="str">
        <f>HYPERLINK(_xlfn.CONCAT("https://tablet.otzar.org/",CHAR(35),"/exKotar/655351"),"מאור ישראל - 4 כרכים")</f>
        <v>מאור ישראל - 4 כרכים</v>
      </c>
      <c r="H2149" t="str">
        <f>_xlfn.CONCAT("https://tablet.otzar.org/",CHAR(35),"/exKotar/655351")</f>
        <v>https://tablet.otzar.org/#/exKotar/655351</v>
      </c>
    </row>
    <row r="2150" spans="1:8" x14ac:dyDescent="0.25">
      <c r="A2150">
        <v>654494</v>
      </c>
      <c r="B2150" t="s">
        <v>4384</v>
      </c>
      <c r="C2150" t="s">
        <v>4385</v>
      </c>
      <c r="D2150" t="s">
        <v>10</v>
      </c>
      <c r="E2150" t="s">
        <v>84</v>
      </c>
      <c r="G2150" t="str">
        <f>HYPERLINK(_xlfn.CONCAT("https://tablet.otzar.org/",CHAR(35),"/exKotar/654494"),"מאור למלך - 2 כרכים")</f>
        <v>מאור למלך - 2 כרכים</v>
      </c>
      <c r="H2150" t="str">
        <f>_xlfn.CONCAT("https://tablet.otzar.org/",CHAR(35),"/exKotar/654494")</f>
        <v>https://tablet.otzar.org/#/exKotar/654494</v>
      </c>
    </row>
    <row r="2151" spans="1:8" x14ac:dyDescent="0.25">
      <c r="A2151">
        <v>642408</v>
      </c>
      <c r="B2151" t="s">
        <v>4386</v>
      </c>
      <c r="C2151" t="s">
        <v>4387</v>
      </c>
      <c r="D2151" t="s">
        <v>166</v>
      </c>
      <c r="E2151" t="s">
        <v>4388</v>
      </c>
      <c r="G2151" t="str">
        <f>HYPERLINK(_xlfn.CONCAT("https://tablet.otzar.org/",CHAR(35),"/book/642408/p/-1/t/1/fs/0/start/0/end/0/c"),"מאור עינים")</f>
        <v>מאור עינים</v>
      </c>
      <c r="H2151" t="str">
        <f>_xlfn.CONCAT("https://tablet.otzar.org/",CHAR(35),"/book/642408/p/-1/t/1/fs/0/start/0/end/0/c")</f>
        <v>https://tablet.otzar.org/#/book/642408/p/-1/t/1/fs/0/start/0/end/0/c</v>
      </c>
    </row>
    <row r="2152" spans="1:8" x14ac:dyDescent="0.25">
      <c r="A2152">
        <v>648051</v>
      </c>
      <c r="B2152" t="s">
        <v>4389</v>
      </c>
      <c r="C2152" t="s">
        <v>4387</v>
      </c>
      <c r="D2152" t="s">
        <v>3577</v>
      </c>
      <c r="E2152" t="s">
        <v>4390</v>
      </c>
      <c r="G2152" t="str">
        <f>HYPERLINK(_xlfn.CONCAT("https://tablet.otzar.org/",CHAR(35),"/exKotar/648051"),"מאור עינים &lt;מהדורת מקור&gt;  - 2 כרכים")</f>
        <v>מאור עינים &lt;מהדורת מקור&gt;  - 2 כרכים</v>
      </c>
      <c r="H2152" t="str">
        <f>_xlfn.CONCAT("https://tablet.otzar.org/",CHAR(35),"/exKotar/648051")</f>
        <v>https://tablet.otzar.org/#/exKotar/648051</v>
      </c>
    </row>
    <row r="2153" spans="1:8" x14ac:dyDescent="0.25">
      <c r="A2153">
        <v>649089</v>
      </c>
      <c r="B2153" t="s">
        <v>4391</v>
      </c>
      <c r="C2153" t="s">
        <v>4189</v>
      </c>
      <c r="D2153" t="s">
        <v>10</v>
      </c>
      <c r="E2153" t="s">
        <v>582</v>
      </c>
      <c r="G2153" t="str">
        <f>HYPERLINK(_xlfn.CONCAT("https://tablet.otzar.org/",CHAR(35),"/book/649089/p/-1/t/1/fs/0/start/0/end/0/c"),"מאורה של תורה")</f>
        <v>מאורה של תורה</v>
      </c>
      <c r="H2153" t="str">
        <f>_xlfn.CONCAT("https://tablet.otzar.org/",CHAR(35),"/book/649089/p/-1/t/1/fs/0/start/0/end/0/c")</f>
        <v>https://tablet.otzar.org/#/book/649089/p/-1/t/1/fs/0/start/0/end/0/c</v>
      </c>
    </row>
    <row r="2154" spans="1:8" x14ac:dyDescent="0.25">
      <c r="A2154">
        <v>655203</v>
      </c>
      <c r="B2154" t="s">
        <v>4392</v>
      </c>
      <c r="C2154" t="s">
        <v>928</v>
      </c>
      <c r="D2154" t="s">
        <v>287</v>
      </c>
      <c r="E2154" t="s">
        <v>62</v>
      </c>
      <c r="G2154" t="str">
        <f>HYPERLINK(_xlfn.CONCAT("https://tablet.otzar.org/",CHAR(35),"/book/655203/p/-1/t/1/fs/0/start/0/end/0/c"),"מאורות הסופר - קידוש החמה והתקופה")</f>
        <v>מאורות הסופר - קידוש החמה והתקופה</v>
      </c>
      <c r="H2154" t="str">
        <f>_xlfn.CONCAT("https://tablet.otzar.org/",CHAR(35),"/book/655203/p/-1/t/1/fs/0/start/0/end/0/c")</f>
        <v>https://tablet.otzar.org/#/book/655203/p/-1/t/1/fs/0/start/0/end/0/c</v>
      </c>
    </row>
    <row r="2155" spans="1:8" x14ac:dyDescent="0.25">
      <c r="A2155">
        <v>652452</v>
      </c>
      <c r="B2155" t="s">
        <v>4393</v>
      </c>
      <c r="C2155" t="s">
        <v>1350</v>
      </c>
      <c r="D2155" t="s">
        <v>10</v>
      </c>
      <c r="E2155" t="s">
        <v>11</v>
      </c>
      <c r="G2155" t="str">
        <f>HYPERLINK(_xlfn.CONCAT("https://tablet.otzar.org/",CHAR(35),"/book/652452/p/-1/t/1/fs/0/start/0/end/0/c"),"מאורות חיים")</f>
        <v>מאורות חיים</v>
      </c>
      <c r="H2155" t="str">
        <f>_xlfn.CONCAT("https://tablet.otzar.org/",CHAR(35),"/book/652452/p/-1/t/1/fs/0/start/0/end/0/c")</f>
        <v>https://tablet.otzar.org/#/book/652452/p/-1/t/1/fs/0/start/0/end/0/c</v>
      </c>
    </row>
    <row r="2156" spans="1:8" x14ac:dyDescent="0.25">
      <c r="A2156">
        <v>646949</v>
      </c>
      <c r="B2156" t="s">
        <v>4394</v>
      </c>
      <c r="C2156" t="s">
        <v>4395</v>
      </c>
      <c r="D2156" t="s">
        <v>34</v>
      </c>
      <c r="E2156" t="s">
        <v>11</v>
      </c>
      <c r="G2156" t="str">
        <f>HYPERLINK(_xlfn.CONCAT("https://tablet.otzar.org/",CHAR(35),"/book/646949/p/-1/t/1/fs/0/start/0/end/0/c"),"מאורות תורת המשפט - ג")</f>
        <v>מאורות תורת המשפט - ג</v>
      </c>
      <c r="H2156" t="str">
        <f>_xlfn.CONCAT("https://tablet.otzar.org/",CHAR(35),"/book/646949/p/-1/t/1/fs/0/start/0/end/0/c")</f>
        <v>https://tablet.otzar.org/#/book/646949/p/-1/t/1/fs/0/start/0/end/0/c</v>
      </c>
    </row>
    <row r="2157" spans="1:8" x14ac:dyDescent="0.25">
      <c r="A2157">
        <v>649549</v>
      </c>
      <c r="B2157" t="s">
        <v>4396</v>
      </c>
      <c r="C2157" t="s">
        <v>4397</v>
      </c>
      <c r="D2157" t="s">
        <v>39</v>
      </c>
      <c r="E2157" t="s">
        <v>802</v>
      </c>
      <c r="G2157" t="str">
        <f>HYPERLINK(_xlfn.CONCAT("https://tablet.otzar.org/",CHAR(35),"/book/649549/p/-1/t/1/fs/0/start/0/end/0/c"),"מאורי בית יצחק")</f>
        <v>מאורי בית יצחק</v>
      </c>
      <c r="H2157" t="str">
        <f>_xlfn.CONCAT("https://tablet.otzar.org/",CHAR(35),"/book/649549/p/-1/t/1/fs/0/start/0/end/0/c")</f>
        <v>https://tablet.otzar.org/#/book/649549/p/-1/t/1/fs/0/start/0/end/0/c</v>
      </c>
    </row>
    <row r="2158" spans="1:8" x14ac:dyDescent="0.25">
      <c r="A2158">
        <v>649163</v>
      </c>
      <c r="B2158" t="s">
        <v>4398</v>
      </c>
      <c r="C2158" t="s">
        <v>4399</v>
      </c>
      <c r="D2158" t="s">
        <v>10</v>
      </c>
      <c r="E2158" t="s">
        <v>405</v>
      </c>
      <c r="G2158" t="str">
        <f>HYPERLINK(_xlfn.CONCAT("https://tablet.otzar.org/",CHAR(35),"/book/649163/p/-1/t/1/fs/0/start/0/end/0/c"),"מאורי השבת - הדלקת נרות")</f>
        <v>מאורי השבת - הדלקת נרות</v>
      </c>
      <c r="H2158" t="str">
        <f>_xlfn.CONCAT("https://tablet.otzar.org/",CHAR(35),"/book/649163/p/-1/t/1/fs/0/start/0/end/0/c")</f>
        <v>https://tablet.otzar.org/#/book/649163/p/-1/t/1/fs/0/start/0/end/0/c</v>
      </c>
    </row>
    <row r="2159" spans="1:8" x14ac:dyDescent="0.25">
      <c r="A2159">
        <v>655722</v>
      </c>
      <c r="B2159" t="s">
        <v>4400</v>
      </c>
      <c r="C2159" t="s">
        <v>4401</v>
      </c>
      <c r="D2159" t="s">
        <v>10</v>
      </c>
      <c r="E2159" t="s">
        <v>11</v>
      </c>
      <c r="G2159" t="str">
        <f>HYPERLINK(_xlfn.CONCAT("https://tablet.otzar.org/",CHAR(35),"/book/655722/p/-1/t/1/fs/0/start/0/end/0/c"),"מאורי סוכה")</f>
        <v>מאורי סוכה</v>
      </c>
      <c r="H2159" t="str">
        <f>_xlfn.CONCAT("https://tablet.otzar.org/",CHAR(35),"/book/655722/p/-1/t/1/fs/0/start/0/end/0/c")</f>
        <v>https://tablet.otzar.org/#/book/655722/p/-1/t/1/fs/0/start/0/end/0/c</v>
      </c>
    </row>
    <row r="2160" spans="1:8" x14ac:dyDescent="0.25">
      <c r="A2160">
        <v>653538</v>
      </c>
      <c r="B2160" t="s">
        <v>4402</v>
      </c>
      <c r="C2160" t="s">
        <v>4403</v>
      </c>
      <c r="E2160" t="s">
        <v>574</v>
      </c>
      <c r="G2160" t="str">
        <f>HYPERLINK(_xlfn.CONCAT("https://tablet.otzar.org/",CHAR(35),"/exKotar/653538"),"מאזני הלכה - 2 כרכים")</f>
        <v>מאזני הלכה - 2 כרכים</v>
      </c>
      <c r="H2160" t="str">
        <f>_xlfn.CONCAT("https://tablet.otzar.org/",CHAR(35),"/exKotar/653538")</f>
        <v>https://tablet.otzar.org/#/exKotar/653538</v>
      </c>
    </row>
    <row r="2161" spans="1:8" x14ac:dyDescent="0.25">
      <c r="A2161">
        <v>652503</v>
      </c>
      <c r="B2161" t="s">
        <v>4404</v>
      </c>
      <c r="C2161" t="s">
        <v>2497</v>
      </c>
      <c r="E2161" t="s">
        <v>184</v>
      </c>
      <c r="G2161" t="str">
        <f>HYPERLINK(_xlfn.CONCAT("https://tablet.otzar.org/",CHAR(35),"/book/652503/p/-1/t/1/fs/0/start/0/end/0/c"),"מאזני צדק &lt;מהדורה חדשה&gt;")</f>
        <v>מאזני צדק &lt;מהדורה חדשה&gt;</v>
      </c>
      <c r="H2161" t="str">
        <f>_xlfn.CONCAT("https://tablet.otzar.org/",CHAR(35),"/book/652503/p/-1/t/1/fs/0/start/0/end/0/c")</f>
        <v>https://tablet.otzar.org/#/book/652503/p/-1/t/1/fs/0/start/0/end/0/c</v>
      </c>
    </row>
    <row r="2162" spans="1:8" x14ac:dyDescent="0.25">
      <c r="A2162">
        <v>656003</v>
      </c>
      <c r="B2162" t="s">
        <v>4405</v>
      </c>
      <c r="C2162" t="s">
        <v>318</v>
      </c>
      <c r="D2162" t="s">
        <v>319</v>
      </c>
      <c r="E2162" t="s">
        <v>657</v>
      </c>
      <c r="G2162" t="str">
        <f>HYPERLINK(_xlfn.CONCAT("https://tablet.otzar.org/",CHAR(35),"/book/656003/p/-1/t/1/fs/0/start/0/end/0/c"),"מאיבה לאהבה")</f>
        <v>מאיבה לאהבה</v>
      </c>
      <c r="H2162" t="str">
        <f>_xlfn.CONCAT("https://tablet.otzar.org/",CHAR(35),"/book/656003/p/-1/t/1/fs/0/start/0/end/0/c")</f>
        <v>https://tablet.otzar.org/#/book/656003/p/-1/t/1/fs/0/start/0/end/0/c</v>
      </c>
    </row>
    <row r="2163" spans="1:8" x14ac:dyDescent="0.25">
      <c r="A2163">
        <v>655737</v>
      </c>
      <c r="B2163" t="s">
        <v>4406</v>
      </c>
      <c r="C2163" t="s">
        <v>4407</v>
      </c>
      <c r="D2163" t="s">
        <v>573</v>
      </c>
      <c r="E2163" t="s">
        <v>11</v>
      </c>
      <c r="G2163" t="str">
        <f>HYPERLINK(_xlfn.CONCAT("https://tablet.otzar.org/",CHAR(35),"/exKotar/655737"),"מאיר עיני - 2 כרכים")</f>
        <v>מאיר עיני - 2 כרכים</v>
      </c>
      <c r="H2163" t="str">
        <f>_xlfn.CONCAT("https://tablet.otzar.org/",CHAR(35),"/exKotar/655737")</f>
        <v>https://tablet.otzar.org/#/exKotar/655737</v>
      </c>
    </row>
    <row r="2164" spans="1:8" x14ac:dyDescent="0.25">
      <c r="A2164">
        <v>655736</v>
      </c>
      <c r="B2164" t="s">
        <v>4408</v>
      </c>
      <c r="C2164" t="s">
        <v>4407</v>
      </c>
      <c r="D2164" t="s">
        <v>573</v>
      </c>
      <c r="E2164" t="s">
        <v>11</v>
      </c>
      <c r="G2164" t="str">
        <f>HYPERLINK(_xlfn.CONCAT("https://tablet.otzar.org/",CHAR(35),"/book/655736/p/-1/t/1/fs/0/start/0/end/0/c"),"מאיר עיני - שביעית")</f>
        <v>מאיר עיני - שביעית</v>
      </c>
      <c r="H2164" t="str">
        <f>_xlfn.CONCAT("https://tablet.otzar.org/",CHAR(35),"/book/655736/p/-1/t/1/fs/0/start/0/end/0/c")</f>
        <v>https://tablet.otzar.org/#/book/655736/p/-1/t/1/fs/0/start/0/end/0/c</v>
      </c>
    </row>
    <row r="2165" spans="1:8" x14ac:dyDescent="0.25">
      <c r="A2165">
        <v>649696</v>
      </c>
      <c r="B2165" t="s">
        <v>4409</v>
      </c>
      <c r="C2165" t="s">
        <v>4410</v>
      </c>
      <c r="D2165" t="s">
        <v>287</v>
      </c>
      <c r="E2165" t="s">
        <v>146</v>
      </c>
      <c r="G2165" t="str">
        <f>HYPERLINK(_xlfn.CONCAT("https://tablet.otzar.org/",CHAR(35),"/book/649696/p/-1/t/1/fs/0/start/0/end/0/c"),"מאיר עיני חכמים - נישואין ויציאת מצרים")</f>
        <v>מאיר עיני חכמים - נישואין ויציאת מצרים</v>
      </c>
      <c r="H2165" t="str">
        <f>_xlfn.CONCAT("https://tablet.otzar.org/",CHAR(35),"/book/649696/p/-1/t/1/fs/0/start/0/end/0/c")</f>
        <v>https://tablet.otzar.org/#/book/649696/p/-1/t/1/fs/0/start/0/end/0/c</v>
      </c>
    </row>
    <row r="2166" spans="1:8" x14ac:dyDescent="0.25">
      <c r="A2166">
        <v>650015</v>
      </c>
      <c r="B2166" t="s">
        <v>4411</v>
      </c>
      <c r="C2166" t="s">
        <v>844</v>
      </c>
      <c r="D2166" t="s">
        <v>10</v>
      </c>
      <c r="E2166" t="s">
        <v>845</v>
      </c>
      <c r="G2166" t="str">
        <f>HYPERLINK(_xlfn.CONCAT("https://tablet.otzar.org/",CHAR(35),"/book/650015/p/-1/t/1/fs/0/start/0/end/0/c"),"מאמר הד הרים")</f>
        <v>מאמר הד הרים</v>
      </c>
      <c r="H2166" t="str">
        <f>_xlfn.CONCAT("https://tablet.otzar.org/",CHAR(35),"/book/650015/p/-1/t/1/fs/0/start/0/end/0/c")</f>
        <v>https://tablet.otzar.org/#/book/650015/p/-1/t/1/fs/0/start/0/end/0/c</v>
      </c>
    </row>
    <row r="2167" spans="1:8" x14ac:dyDescent="0.25">
      <c r="A2167">
        <v>649951</v>
      </c>
      <c r="B2167" t="s">
        <v>4412</v>
      </c>
      <c r="C2167" t="s">
        <v>4413</v>
      </c>
      <c r="D2167" t="s">
        <v>58</v>
      </c>
      <c r="E2167" t="s">
        <v>2121</v>
      </c>
      <c r="G2167" t="str">
        <f>HYPERLINK(_xlfn.CONCAT("https://tablet.otzar.org/",CHAR(35),"/book/649951/p/-1/t/1/fs/0/start/0/end/0/c"),"מאמר הזכות")</f>
        <v>מאמר הזכות</v>
      </c>
      <c r="H2167" t="str">
        <f>_xlfn.CONCAT("https://tablet.otzar.org/",CHAR(35),"/book/649951/p/-1/t/1/fs/0/start/0/end/0/c")</f>
        <v>https://tablet.otzar.org/#/book/649951/p/-1/t/1/fs/0/start/0/end/0/c</v>
      </c>
    </row>
    <row r="2168" spans="1:8" x14ac:dyDescent="0.25">
      <c r="A2168">
        <v>649099</v>
      </c>
      <c r="B2168" t="s">
        <v>4414</v>
      </c>
      <c r="C2168" t="s">
        <v>614</v>
      </c>
      <c r="D2168" t="s">
        <v>10</v>
      </c>
      <c r="E2168" t="s">
        <v>35</v>
      </c>
      <c r="G2168" t="str">
        <f>HYPERLINK(_xlfn.CONCAT("https://tablet.otzar.org/",CHAR(35),"/book/649099/p/-1/t/1/fs/0/start/0/end/0/c"),"מאמר יסוד עולם")</f>
        <v>מאמר יסוד עולם</v>
      </c>
      <c r="H2168" t="str">
        <f>_xlfn.CONCAT("https://tablet.otzar.org/",CHAR(35),"/book/649099/p/-1/t/1/fs/0/start/0/end/0/c")</f>
        <v>https://tablet.otzar.org/#/book/649099/p/-1/t/1/fs/0/start/0/end/0/c</v>
      </c>
    </row>
    <row r="2169" spans="1:8" x14ac:dyDescent="0.25">
      <c r="A2169">
        <v>654291</v>
      </c>
      <c r="B2169" t="s">
        <v>4415</v>
      </c>
      <c r="C2169" t="s">
        <v>4416</v>
      </c>
      <c r="D2169" t="s">
        <v>34</v>
      </c>
      <c r="E2169" t="s">
        <v>11</v>
      </c>
      <c r="G2169" t="str">
        <f>HYPERLINK(_xlfn.CONCAT("https://tablet.otzar.org/",CHAR(35),"/book/654291/p/-1/t/1/fs/0/start/0/end/0/c"),"מאמר יציאת מצרים")</f>
        <v>מאמר יציאת מצרים</v>
      </c>
      <c r="H2169" t="str">
        <f>_xlfn.CONCAT("https://tablet.otzar.org/",CHAR(35),"/book/654291/p/-1/t/1/fs/0/start/0/end/0/c")</f>
        <v>https://tablet.otzar.org/#/book/654291/p/-1/t/1/fs/0/start/0/end/0/c</v>
      </c>
    </row>
    <row r="2170" spans="1:8" x14ac:dyDescent="0.25">
      <c r="A2170">
        <v>653418</v>
      </c>
      <c r="B2170" t="s">
        <v>4417</v>
      </c>
      <c r="C2170" t="s">
        <v>4418</v>
      </c>
      <c r="E2170" t="s">
        <v>35</v>
      </c>
      <c r="G2170" t="str">
        <f>HYPERLINK(_xlfn.CONCAT("https://tablet.otzar.org/",CHAR(35),"/book/653418/p/-1/t/1/fs/0/start/0/end/0/c"),"מאמר כי אתה אבינו")</f>
        <v>מאמר כי אתה אבינו</v>
      </c>
      <c r="H2170" t="str">
        <f>_xlfn.CONCAT("https://tablet.otzar.org/",CHAR(35),"/book/653418/p/-1/t/1/fs/0/start/0/end/0/c")</f>
        <v>https://tablet.otzar.org/#/book/653418/p/-1/t/1/fs/0/start/0/end/0/c</v>
      </c>
    </row>
    <row r="2171" spans="1:8" x14ac:dyDescent="0.25">
      <c r="A2171">
        <v>653415</v>
      </c>
      <c r="B2171" t="s">
        <v>4419</v>
      </c>
      <c r="C2171" t="s">
        <v>151</v>
      </c>
      <c r="E2171" t="s">
        <v>35</v>
      </c>
      <c r="G2171" t="str">
        <f>HYPERLINK(_xlfn.CONCAT("https://tablet.otzar.org/",CHAR(35),"/book/653415/p/-1/t/1/fs/0/start/0/end/0/c"),"מאמר כי מראש צורים אראנו - התשל""""ד")</f>
        <v>מאמר כי מראש צורים אראנו - התשל""ד</v>
      </c>
      <c r="H2171" t="str">
        <f>_xlfn.CONCAT("https://tablet.otzar.org/",CHAR(35),"/book/653415/p/-1/t/1/fs/0/start/0/end/0/c")</f>
        <v>https://tablet.otzar.org/#/book/653415/p/-1/t/1/fs/0/start/0/end/0/c</v>
      </c>
    </row>
    <row r="2172" spans="1:8" x14ac:dyDescent="0.25">
      <c r="A2172">
        <v>648793</v>
      </c>
      <c r="B2172" t="s">
        <v>4420</v>
      </c>
      <c r="C2172" t="s">
        <v>4421</v>
      </c>
      <c r="D2172" t="s">
        <v>34</v>
      </c>
      <c r="E2172" t="s">
        <v>70</v>
      </c>
      <c r="G2172" t="str">
        <f>HYPERLINK(_xlfn.CONCAT("https://tablet.otzar.org/",CHAR(35),"/book/648793/p/-1/t/1/fs/0/start/0/end/0/c"),"מאמר מחשוף הלבן")</f>
        <v>מאמר מחשוף הלבן</v>
      </c>
      <c r="H2172" t="str">
        <f>_xlfn.CONCAT("https://tablet.otzar.org/",CHAR(35),"/book/648793/p/-1/t/1/fs/0/start/0/end/0/c")</f>
        <v>https://tablet.otzar.org/#/book/648793/p/-1/t/1/fs/0/start/0/end/0/c</v>
      </c>
    </row>
    <row r="2173" spans="1:8" x14ac:dyDescent="0.25">
      <c r="A2173">
        <v>650530</v>
      </c>
      <c r="B2173" t="s">
        <v>4422</v>
      </c>
      <c r="C2173" t="s">
        <v>4423</v>
      </c>
      <c r="D2173" t="s">
        <v>34</v>
      </c>
      <c r="E2173" t="s">
        <v>11</v>
      </c>
      <c r="G2173" t="str">
        <f>HYPERLINK(_xlfn.CONCAT("https://tablet.otzar.org/",CHAR(35),"/book/650530/p/-1/t/1/fs/0/start/0/end/0/c"),"מאמר מרדכי")</f>
        <v>מאמר מרדכי</v>
      </c>
      <c r="H2173" t="str">
        <f>_xlfn.CONCAT("https://tablet.otzar.org/",CHAR(35),"/book/650530/p/-1/t/1/fs/0/start/0/end/0/c")</f>
        <v>https://tablet.otzar.org/#/book/650530/p/-1/t/1/fs/0/start/0/end/0/c</v>
      </c>
    </row>
    <row r="2174" spans="1:8" x14ac:dyDescent="0.25">
      <c r="A2174">
        <v>648011</v>
      </c>
      <c r="B2174" t="s">
        <v>4424</v>
      </c>
      <c r="C2174" t="s">
        <v>4425</v>
      </c>
      <c r="D2174" t="s">
        <v>10</v>
      </c>
      <c r="E2174" t="s">
        <v>646</v>
      </c>
      <c r="G2174" t="str">
        <f>HYPERLINK(_xlfn.CONCAT("https://tablet.otzar.org/",CHAR(35),"/book/648011/p/-1/t/1/fs/0/start/0/end/0/c"),"מאמר מרדכי &lt;מכון ירושלים&gt;")</f>
        <v>מאמר מרדכי &lt;מכון ירושלים&gt;</v>
      </c>
      <c r="H2174" t="str">
        <f>_xlfn.CONCAT("https://tablet.otzar.org/",CHAR(35),"/book/648011/p/-1/t/1/fs/0/start/0/end/0/c")</f>
        <v>https://tablet.otzar.org/#/book/648011/p/-1/t/1/fs/0/start/0/end/0/c</v>
      </c>
    </row>
    <row r="2175" spans="1:8" x14ac:dyDescent="0.25">
      <c r="A2175">
        <v>650677</v>
      </c>
      <c r="B2175" t="s">
        <v>4426</v>
      </c>
      <c r="C2175" t="s">
        <v>4427</v>
      </c>
      <c r="D2175" t="s">
        <v>10</v>
      </c>
      <c r="E2175" t="s">
        <v>184</v>
      </c>
      <c r="G2175" t="str">
        <f>HYPERLINK(_xlfn.CONCAT("https://tablet.otzar.org/",CHAR(35),"/book/650677/p/-1/t/1/fs/0/start/0/end/0/c"),"מאמר פי")</f>
        <v>מאמר פי</v>
      </c>
      <c r="H2175" t="str">
        <f>_xlfn.CONCAT("https://tablet.otzar.org/",CHAR(35),"/book/650677/p/-1/t/1/fs/0/start/0/end/0/c")</f>
        <v>https://tablet.otzar.org/#/book/650677/p/-1/t/1/fs/0/start/0/end/0/c</v>
      </c>
    </row>
    <row r="2176" spans="1:8" x14ac:dyDescent="0.25">
      <c r="A2176">
        <v>648556</v>
      </c>
      <c r="B2176" t="s">
        <v>4428</v>
      </c>
      <c r="C2176" t="s">
        <v>617</v>
      </c>
      <c r="D2176" t="s">
        <v>3075</v>
      </c>
      <c r="E2176" t="s">
        <v>70</v>
      </c>
      <c r="G2176" t="str">
        <f>HYPERLINK(_xlfn.CONCAT("https://tablet.otzar.org/",CHAR(35),"/book/648556/p/-1/t/1/fs/0/start/0/end/0/c"),"מאמרי הרב יהודה יעקב ברקאי")</f>
        <v>מאמרי הרב יהודה יעקב ברקאי</v>
      </c>
      <c r="H2176" t="str">
        <f>_xlfn.CONCAT("https://tablet.otzar.org/",CHAR(35),"/book/648556/p/-1/t/1/fs/0/start/0/end/0/c")</f>
        <v>https://tablet.otzar.org/#/book/648556/p/-1/t/1/fs/0/start/0/end/0/c</v>
      </c>
    </row>
    <row r="2177" spans="1:8" x14ac:dyDescent="0.25">
      <c r="A2177">
        <v>650262</v>
      </c>
      <c r="B2177" t="s">
        <v>4429</v>
      </c>
      <c r="C2177" t="s">
        <v>4255</v>
      </c>
      <c r="E2177" t="s">
        <v>11</v>
      </c>
      <c r="G2177" t="str">
        <f>HYPERLINK(_xlfn.CONCAT("https://tablet.otzar.org/",CHAR(35),"/book/650262/p/-1/t/1/fs/0/start/0/end/0/c"),"מאמרי הרבי")</f>
        <v>מאמרי הרבי</v>
      </c>
      <c r="H2177" t="str">
        <f>_xlfn.CONCAT("https://tablet.otzar.org/",CHAR(35),"/book/650262/p/-1/t/1/fs/0/start/0/end/0/c")</f>
        <v>https://tablet.otzar.org/#/book/650262/p/-1/t/1/fs/0/start/0/end/0/c</v>
      </c>
    </row>
    <row r="2178" spans="1:8" x14ac:dyDescent="0.25">
      <c r="A2178">
        <v>646938</v>
      </c>
      <c r="B2178" t="s">
        <v>4430</v>
      </c>
      <c r="C2178" t="s">
        <v>4431</v>
      </c>
      <c r="D2178" t="s">
        <v>4432</v>
      </c>
      <c r="E2178" t="s">
        <v>891</v>
      </c>
      <c r="G2178" t="str">
        <f>HYPERLINK(_xlfn.CONCAT("https://tablet.otzar.org/",CHAR(35),"/book/646938/p/-1/t/1/fs/0/start/0/end/0/c"),"מאמרי חז""""ל")</f>
        <v>מאמרי חז""ל</v>
      </c>
      <c r="H2178" t="str">
        <f>_xlfn.CONCAT("https://tablet.otzar.org/",CHAR(35),"/book/646938/p/-1/t/1/fs/0/start/0/end/0/c")</f>
        <v>https://tablet.otzar.org/#/book/646938/p/-1/t/1/fs/0/start/0/end/0/c</v>
      </c>
    </row>
    <row r="2179" spans="1:8" x14ac:dyDescent="0.25">
      <c r="A2179">
        <v>647871</v>
      </c>
      <c r="B2179" t="s">
        <v>4433</v>
      </c>
      <c r="C2179" t="s">
        <v>4434</v>
      </c>
      <c r="D2179" t="s">
        <v>4435</v>
      </c>
      <c r="E2179" t="s">
        <v>11</v>
      </c>
      <c r="G2179" t="str">
        <f>HYPERLINK(_xlfn.CONCAT("https://tablet.otzar.org/",CHAR(35),"/book/647871/p/-1/t/1/fs/0/start/0/end/0/c"),"מאמרי חיזוק ודברי אלוקים חיים")</f>
        <v>מאמרי חיזוק ודברי אלוקים חיים</v>
      </c>
      <c r="H2179" t="str">
        <f>_xlfn.CONCAT("https://tablet.otzar.org/",CHAR(35),"/book/647871/p/-1/t/1/fs/0/start/0/end/0/c")</f>
        <v>https://tablet.otzar.org/#/book/647871/p/-1/t/1/fs/0/start/0/end/0/c</v>
      </c>
    </row>
    <row r="2180" spans="1:8" x14ac:dyDescent="0.25">
      <c r="A2180">
        <v>656802</v>
      </c>
      <c r="B2180" t="s">
        <v>4436</v>
      </c>
      <c r="C2180" t="s">
        <v>4437</v>
      </c>
      <c r="E2180" t="s">
        <v>84</v>
      </c>
      <c r="G2180" t="str">
        <f>HYPERLINK(_xlfn.CONCAT("https://tablet.otzar.org/",CHAR(35),"/book/656802/p/-1/t/1/fs/0/start/0/end/0/c"),"מאמרי חנוכה")</f>
        <v>מאמרי חנוכה</v>
      </c>
      <c r="H2180" t="str">
        <f>_xlfn.CONCAT("https://tablet.otzar.org/",CHAR(35),"/book/656802/p/-1/t/1/fs/0/start/0/end/0/c")</f>
        <v>https://tablet.otzar.org/#/book/656802/p/-1/t/1/fs/0/start/0/end/0/c</v>
      </c>
    </row>
    <row r="2181" spans="1:8" x14ac:dyDescent="0.25">
      <c r="A2181">
        <v>654008</v>
      </c>
      <c r="B2181" t="s">
        <v>4438</v>
      </c>
      <c r="C2181" t="s">
        <v>2043</v>
      </c>
      <c r="D2181" t="s">
        <v>10</v>
      </c>
      <c r="E2181" t="s">
        <v>35</v>
      </c>
      <c r="G2181" t="str">
        <f>HYPERLINK(_xlfn.CONCAT("https://tablet.otzar.org/",CHAR(35),"/exKotar/654008"),"מאמרי ים החכמה - 2 כרכים")</f>
        <v>מאמרי ים החכמה - 2 כרכים</v>
      </c>
      <c r="H2181" t="str">
        <f>_xlfn.CONCAT("https://tablet.otzar.org/",CHAR(35),"/exKotar/654008")</f>
        <v>https://tablet.otzar.org/#/exKotar/654008</v>
      </c>
    </row>
    <row r="2182" spans="1:8" x14ac:dyDescent="0.25">
      <c r="A2182">
        <v>651925</v>
      </c>
      <c r="B2182" t="s">
        <v>4439</v>
      </c>
      <c r="C2182" t="s">
        <v>4440</v>
      </c>
      <c r="D2182" t="s">
        <v>4441</v>
      </c>
      <c r="E2182" t="s">
        <v>35</v>
      </c>
      <c r="G2182" t="str">
        <f>HYPERLINK(_xlfn.CONCAT("https://tablet.otzar.org/",CHAR(35),"/book/651925/p/-1/t/1/fs/0/start/0/end/0/c"),"מאמרי מחשבה ומוסר")</f>
        <v>מאמרי מחשבה ומוסר</v>
      </c>
      <c r="H2182" t="str">
        <f>_xlfn.CONCAT("https://tablet.otzar.org/",CHAR(35),"/book/651925/p/-1/t/1/fs/0/start/0/end/0/c")</f>
        <v>https://tablet.otzar.org/#/book/651925/p/-1/t/1/fs/0/start/0/end/0/c</v>
      </c>
    </row>
    <row r="2183" spans="1:8" x14ac:dyDescent="0.25">
      <c r="A2183">
        <v>656803</v>
      </c>
      <c r="B2183" t="s">
        <v>4442</v>
      </c>
      <c r="C2183" t="s">
        <v>4443</v>
      </c>
      <c r="D2183" t="s">
        <v>10</v>
      </c>
      <c r="E2183" t="s">
        <v>11</v>
      </c>
      <c r="G2183" t="str">
        <f>HYPERLINK(_xlfn.CONCAT("https://tablet.otzar.org/",CHAR(35),"/book/656803/p/-1/t/1/fs/0/start/0/end/0/c"),"מאמרי פחד יצחק - פסח")</f>
        <v>מאמרי פחד יצחק - פסח</v>
      </c>
      <c r="H2183" t="str">
        <f>_xlfn.CONCAT("https://tablet.otzar.org/",CHAR(35),"/book/656803/p/-1/t/1/fs/0/start/0/end/0/c")</f>
        <v>https://tablet.otzar.org/#/book/656803/p/-1/t/1/fs/0/start/0/end/0/c</v>
      </c>
    </row>
    <row r="2184" spans="1:8" x14ac:dyDescent="0.25">
      <c r="A2184">
        <v>656800</v>
      </c>
      <c r="B2184" t="s">
        <v>4444</v>
      </c>
      <c r="C2184" t="s">
        <v>4437</v>
      </c>
      <c r="E2184" t="s">
        <v>35</v>
      </c>
      <c r="G2184" t="str">
        <f>HYPERLINK(_xlfn.CONCAT("https://tablet.otzar.org/",CHAR(35),"/book/656800/p/-1/t/1/fs/0/start/0/end/0/c"),"מאמרי פסח")</f>
        <v>מאמרי פסח</v>
      </c>
      <c r="H2184" t="str">
        <f>_xlfn.CONCAT("https://tablet.otzar.org/",CHAR(35),"/book/656800/p/-1/t/1/fs/0/start/0/end/0/c")</f>
        <v>https://tablet.otzar.org/#/book/656800/p/-1/t/1/fs/0/start/0/end/0/c</v>
      </c>
    </row>
    <row r="2185" spans="1:8" x14ac:dyDescent="0.25">
      <c r="A2185">
        <v>647514</v>
      </c>
      <c r="B2185" t="s">
        <v>4445</v>
      </c>
      <c r="C2185" t="s">
        <v>1108</v>
      </c>
      <c r="D2185" t="s">
        <v>10</v>
      </c>
      <c r="E2185" t="s">
        <v>77</v>
      </c>
      <c r="G2185" t="str">
        <f>HYPERLINK(_xlfn.CONCAT("https://tablet.otzar.org/",CHAR(35),"/exKotar/647514"),"מאמרי רמח""""ל - 2 כרכים")</f>
        <v>מאמרי רמח""ל - 2 כרכים</v>
      </c>
      <c r="H2185" t="str">
        <f>_xlfn.CONCAT("https://tablet.otzar.org/",CHAR(35),"/exKotar/647514")</f>
        <v>https://tablet.otzar.org/#/exKotar/647514</v>
      </c>
    </row>
    <row r="2186" spans="1:8" x14ac:dyDescent="0.25">
      <c r="A2186">
        <v>655346</v>
      </c>
      <c r="B2186" t="s">
        <v>4446</v>
      </c>
      <c r="C2186" t="s">
        <v>4447</v>
      </c>
      <c r="E2186" t="s">
        <v>35</v>
      </c>
      <c r="G2186" t="str">
        <f>HYPERLINK(_xlfn.CONCAT("https://tablet.otzar.org/",CHAR(35),"/exKotar/655346"),"מאמרים - 4 כרכים")</f>
        <v>מאמרים - 4 כרכים</v>
      </c>
      <c r="H2186" t="str">
        <f>_xlfn.CONCAT("https://tablet.otzar.org/",CHAR(35),"/exKotar/655346")</f>
        <v>https://tablet.otzar.org/#/exKotar/655346</v>
      </c>
    </row>
    <row r="2187" spans="1:8" x14ac:dyDescent="0.25">
      <c r="A2187">
        <v>655245</v>
      </c>
      <c r="B2187" t="s">
        <v>4448</v>
      </c>
      <c r="C2187" t="s">
        <v>4449</v>
      </c>
      <c r="D2187" t="s">
        <v>10</v>
      </c>
      <c r="E2187" t="s">
        <v>149</v>
      </c>
      <c r="G2187" t="str">
        <f>HYPERLINK(_xlfn.CONCAT("https://tablet.otzar.org/",CHAR(35),"/book/655245/p/-1/t/1/fs/0/start/0/end/0/c"),"מאמרים - רבי עזרא מפאנו חכם מקובל ומנהיג")</f>
        <v>מאמרים - רבי עזרא מפאנו חכם מקובל ומנהיג</v>
      </c>
      <c r="H2187" t="str">
        <f>_xlfn.CONCAT("https://tablet.otzar.org/",CHAR(35),"/book/655245/p/-1/t/1/fs/0/start/0/end/0/c")</f>
        <v>https://tablet.otzar.org/#/book/655245/p/-1/t/1/fs/0/start/0/end/0/c</v>
      </c>
    </row>
    <row r="2188" spans="1:8" x14ac:dyDescent="0.25">
      <c r="A2188">
        <v>651556</v>
      </c>
      <c r="B2188" t="s">
        <v>4450</v>
      </c>
      <c r="C2188" t="s">
        <v>236</v>
      </c>
      <c r="D2188" t="s">
        <v>10</v>
      </c>
      <c r="E2188" t="s">
        <v>73</v>
      </c>
      <c r="G2188" t="str">
        <f>HYPERLINK(_xlfn.CONCAT("https://tablet.otzar.org/",CHAR(35),"/book/651556/p/-1/t/1/fs/0/start/0/end/0/c"),"מאן בעי חיי")</f>
        <v>מאן בעי חיי</v>
      </c>
      <c r="H2188" t="str">
        <f>_xlfn.CONCAT("https://tablet.otzar.org/",CHAR(35),"/book/651556/p/-1/t/1/fs/0/start/0/end/0/c")</f>
        <v>https://tablet.otzar.org/#/book/651556/p/-1/t/1/fs/0/start/0/end/0/c</v>
      </c>
    </row>
    <row r="2189" spans="1:8" x14ac:dyDescent="0.25">
      <c r="A2189">
        <v>651950</v>
      </c>
      <c r="B2189" t="s">
        <v>4451</v>
      </c>
      <c r="C2189" t="s">
        <v>4452</v>
      </c>
      <c r="D2189" t="s">
        <v>10</v>
      </c>
      <c r="E2189" t="s">
        <v>11</v>
      </c>
      <c r="G2189" t="str">
        <f>HYPERLINK(_xlfn.CONCAT("https://tablet.otzar.org/",CHAR(35),"/book/651950/p/-1/t/1/fs/0/start/0/end/0/c"),"מאסף שמחת תורה - ב")</f>
        <v>מאסף שמחת תורה - ב</v>
      </c>
      <c r="H2189" t="str">
        <f>_xlfn.CONCAT("https://tablet.otzar.org/",CHAR(35),"/book/651950/p/-1/t/1/fs/0/start/0/end/0/c")</f>
        <v>https://tablet.otzar.org/#/book/651950/p/-1/t/1/fs/0/start/0/end/0/c</v>
      </c>
    </row>
    <row r="2190" spans="1:8" x14ac:dyDescent="0.25">
      <c r="A2190">
        <v>642150</v>
      </c>
      <c r="B2190" t="s">
        <v>4453</v>
      </c>
      <c r="C2190" t="s">
        <v>4454</v>
      </c>
      <c r="D2190" t="s">
        <v>10</v>
      </c>
      <c r="E2190" t="s">
        <v>35</v>
      </c>
      <c r="G2190" t="str">
        <f>HYPERLINK(_xlfn.CONCAT("https://tablet.otzar.org/",CHAR(35),"/exKotar/642150"),"מאסף תורני כליל תפארת - 3 כרכים")</f>
        <v>מאסף תורני כליל תפארת - 3 כרכים</v>
      </c>
      <c r="H2190" t="str">
        <f>_xlfn.CONCAT("https://tablet.otzar.org/",CHAR(35),"/exKotar/642150")</f>
        <v>https://tablet.otzar.org/#/exKotar/642150</v>
      </c>
    </row>
    <row r="2191" spans="1:8" x14ac:dyDescent="0.25">
      <c r="A2191">
        <v>650529</v>
      </c>
      <c r="B2191" t="s">
        <v>4455</v>
      </c>
      <c r="C2191" t="s">
        <v>4456</v>
      </c>
      <c r="D2191" t="s">
        <v>34</v>
      </c>
      <c r="E2191" t="s">
        <v>70</v>
      </c>
      <c r="G2191" t="str">
        <f>HYPERLINK(_xlfn.CONCAT("https://tablet.otzar.org/",CHAR(35),"/book/650529/p/-1/t/1/fs/0/start/0/end/0/c"),"מאריות גברו")</f>
        <v>מאריות גברו</v>
      </c>
      <c r="H2191" t="str">
        <f>_xlfn.CONCAT("https://tablet.otzar.org/",CHAR(35),"/book/650529/p/-1/t/1/fs/0/start/0/end/0/c")</f>
        <v>https://tablet.otzar.org/#/book/650529/p/-1/t/1/fs/0/start/0/end/0/c</v>
      </c>
    </row>
    <row r="2192" spans="1:8" x14ac:dyDescent="0.25">
      <c r="A2192">
        <v>652915</v>
      </c>
      <c r="B2192" t="s">
        <v>4457</v>
      </c>
      <c r="C2192" t="s">
        <v>4458</v>
      </c>
      <c r="D2192" t="s">
        <v>319</v>
      </c>
      <c r="E2192" t="s">
        <v>224</v>
      </c>
      <c r="G2192" t="str">
        <f>HYPERLINK(_xlfn.CONCAT("https://tablet.otzar.org/",CHAR(35),"/book/652915/p/-1/t/1/fs/0/start/0/end/0/c"),"מבארו של זאב")</f>
        <v>מבארו של זאב</v>
      </c>
      <c r="H2192" t="str">
        <f>_xlfn.CONCAT("https://tablet.otzar.org/",CHAR(35),"/book/652915/p/-1/t/1/fs/0/start/0/end/0/c")</f>
        <v>https://tablet.otzar.org/#/book/652915/p/-1/t/1/fs/0/start/0/end/0/c</v>
      </c>
    </row>
    <row r="2193" spans="1:8" x14ac:dyDescent="0.25">
      <c r="A2193">
        <v>650621</v>
      </c>
      <c r="B2193" t="s">
        <v>4459</v>
      </c>
      <c r="C2193" t="s">
        <v>4460</v>
      </c>
      <c r="E2193" t="s">
        <v>507</v>
      </c>
      <c r="G2193" t="str">
        <f>HYPERLINK(_xlfn.CONCAT("https://tablet.otzar.org/",CHAR(35),"/book/650621/p/-1/t/1/fs/0/start/0/end/0/c"),"מבוא ליהושע")</f>
        <v>מבוא ליהושע</v>
      </c>
      <c r="H2193" t="str">
        <f>_xlfn.CONCAT("https://tablet.otzar.org/",CHAR(35),"/book/650621/p/-1/t/1/fs/0/start/0/end/0/c")</f>
        <v>https://tablet.otzar.org/#/book/650621/p/-1/t/1/fs/0/start/0/end/0/c</v>
      </c>
    </row>
    <row r="2194" spans="1:8" x14ac:dyDescent="0.25">
      <c r="A2194">
        <v>653440</v>
      </c>
      <c r="B2194" t="s">
        <v>4461</v>
      </c>
      <c r="C2194" t="s">
        <v>4462</v>
      </c>
      <c r="D2194" t="s">
        <v>424</v>
      </c>
      <c r="E2194" t="s">
        <v>257</v>
      </c>
      <c r="G2194" t="str">
        <f>HYPERLINK(_xlfn.CONCAT("https://tablet.otzar.org/",CHAR(35),"/book/653440/p/-1/t/1/fs/0/start/0/end/0/c"),"מבוא למשנה ולתלמוד")</f>
        <v>מבוא למשנה ולתלמוד</v>
      </c>
      <c r="H2194" t="str">
        <f>_xlfn.CONCAT("https://tablet.otzar.org/",CHAR(35),"/book/653440/p/-1/t/1/fs/0/start/0/end/0/c")</f>
        <v>https://tablet.otzar.org/#/book/653440/p/-1/t/1/fs/0/start/0/end/0/c</v>
      </c>
    </row>
    <row r="2195" spans="1:8" x14ac:dyDescent="0.25">
      <c r="A2195">
        <v>649008</v>
      </c>
      <c r="B2195" t="s">
        <v>4463</v>
      </c>
      <c r="C2195" t="s">
        <v>4464</v>
      </c>
      <c r="D2195" t="s">
        <v>10</v>
      </c>
      <c r="E2195" t="s">
        <v>35</v>
      </c>
      <c r="G2195" t="str">
        <f>HYPERLINK(_xlfn.CONCAT("https://tablet.otzar.org/",CHAR(35),"/book/649008/p/-1/t/1/fs/0/start/0/end/0/c"),"מבוא לשביעית")</f>
        <v>מבוא לשביעית</v>
      </c>
      <c r="H2195" t="str">
        <f>_xlfn.CONCAT("https://tablet.otzar.org/",CHAR(35),"/book/649008/p/-1/t/1/fs/0/start/0/end/0/c")</f>
        <v>https://tablet.otzar.org/#/book/649008/p/-1/t/1/fs/0/start/0/end/0/c</v>
      </c>
    </row>
    <row r="2196" spans="1:8" x14ac:dyDescent="0.25">
      <c r="A2196">
        <v>649011</v>
      </c>
      <c r="B2196" t="s">
        <v>4465</v>
      </c>
      <c r="C2196" t="s">
        <v>4464</v>
      </c>
      <c r="D2196" t="s">
        <v>10</v>
      </c>
      <c r="E2196" t="s">
        <v>89</v>
      </c>
      <c r="G2196" t="str">
        <f>HYPERLINK(_xlfn.CONCAT("https://tablet.otzar.org/",CHAR(35),"/exKotar/649011"),"מבוא לתרומות ומעשרות - 4 כרכים")</f>
        <v>מבוא לתרומות ומעשרות - 4 כרכים</v>
      </c>
      <c r="H2196" t="str">
        <f>_xlfn.CONCAT("https://tablet.otzar.org/",CHAR(35),"/exKotar/649011")</f>
        <v>https://tablet.otzar.org/#/exKotar/649011</v>
      </c>
    </row>
    <row r="2197" spans="1:8" x14ac:dyDescent="0.25">
      <c r="A2197">
        <v>652786</v>
      </c>
      <c r="B2197" t="s">
        <v>4466</v>
      </c>
      <c r="C2197" t="s">
        <v>4467</v>
      </c>
      <c r="D2197" t="s">
        <v>52</v>
      </c>
      <c r="E2197" t="s">
        <v>817</v>
      </c>
      <c r="G2197" t="str">
        <f>HYPERLINK(_xlfn.CONCAT("https://tablet.otzar.org/",CHAR(35),"/exKotar/652786"),"מבואות הלכה - 4 כרכים")</f>
        <v>מבואות הלכה - 4 כרכים</v>
      </c>
      <c r="H2197" t="str">
        <f>_xlfn.CONCAT("https://tablet.otzar.org/",CHAR(35),"/exKotar/652786")</f>
        <v>https://tablet.otzar.org/#/exKotar/652786</v>
      </c>
    </row>
    <row r="2198" spans="1:8" x14ac:dyDescent="0.25">
      <c r="A2198">
        <v>648369</v>
      </c>
      <c r="B2198" t="s">
        <v>4468</v>
      </c>
      <c r="C2198" t="s">
        <v>4469</v>
      </c>
      <c r="D2198" t="s">
        <v>10</v>
      </c>
      <c r="E2198" t="s">
        <v>1937</v>
      </c>
      <c r="G2198" t="str">
        <f>HYPERLINK(_xlfn.CONCAT("https://tablet.otzar.org/",CHAR(35),"/exKotar/648369"),"מבוע - 9 כרכים")</f>
        <v>מבוע - 9 כרכים</v>
      </c>
      <c r="H2198" t="str">
        <f>_xlfn.CONCAT("https://tablet.otzar.org/",CHAR(35),"/exKotar/648369")</f>
        <v>https://tablet.otzar.org/#/exKotar/648369</v>
      </c>
    </row>
    <row r="2199" spans="1:8" x14ac:dyDescent="0.25">
      <c r="A2199">
        <v>653305</v>
      </c>
      <c r="B2199" t="s">
        <v>4470</v>
      </c>
      <c r="C2199" t="s">
        <v>382</v>
      </c>
      <c r="D2199" t="s">
        <v>10</v>
      </c>
      <c r="E2199" t="s">
        <v>891</v>
      </c>
      <c r="G2199" t="str">
        <f>HYPERLINK(_xlfn.CONCAT("https://tablet.otzar.org/",CHAR(35),"/book/653305/p/-1/t/1/fs/0/start/0/end/0/c"),"מבועי הנחל 14 &lt;ב&gt;")</f>
        <v>מבועי הנחל 14 &lt;ב&gt;</v>
      </c>
      <c r="H2199" t="str">
        <f>_xlfn.CONCAT("https://tablet.otzar.org/",CHAR(35),"/book/653305/p/-1/t/1/fs/0/start/0/end/0/c")</f>
        <v>https://tablet.otzar.org/#/book/653305/p/-1/t/1/fs/0/start/0/end/0/c</v>
      </c>
    </row>
    <row r="2200" spans="1:8" x14ac:dyDescent="0.25">
      <c r="A2200">
        <v>652904</v>
      </c>
      <c r="B2200" t="s">
        <v>4471</v>
      </c>
      <c r="C2200" t="s">
        <v>4472</v>
      </c>
      <c r="D2200" t="s">
        <v>2512</v>
      </c>
      <c r="E2200" t="s">
        <v>126</v>
      </c>
      <c r="G2200" t="str">
        <f>HYPERLINK(_xlfn.CONCAT("https://tablet.otzar.org/",CHAR(35),"/book/652904/p/-1/t/1/fs/0/start/0/end/0/c"),"מבחר מאמרים - שבת כיבוד הורים מצות התלויות בארץ")</f>
        <v>מבחר מאמרים - שבת כיבוד הורים מצות התלויות בארץ</v>
      </c>
      <c r="H2200" t="str">
        <f>_xlfn.CONCAT("https://tablet.otzar.org/",CHAR(35),"/book/652904/p/-1/t/1/fs/0/start/0/end/0/c")</f>
        <v>https://tablet.otzar.org/#/book/652904/p/-1/t/1/fs/0/start/0/end/0/c</v>
      </c>
    </row>
    <row r="2201" spans="1:8" x14ac:dyDescent="0.25">
      <c r="A2201">
        <v>654991</v>
      </c>
      <c r="B2201" t="s">
        <v>4473</v>
      </c>
      <c r="C2201" t="s">
        <v>125</v>
      </c>
      <c r="D2201" t="s">
        <v>10</v>
      </c>
      <c r="E2201" t="s">
        <v>11</v>
      </c>
      <c r="G2201" t="str">
        <f>HYPERLINK(_xlfn.CONCAT("https://tablet.otzar.org/",CHAR(35),"/book/654991/p/-1/t/1/fs/0/start/0/end/0/c"),"מבי מדרשא דרבי מאיר")</f>
        <v>מבי מדרשא דרבי מאיר</v>
      </c>
      <c r="H2201" t="str">
        <f>_xlfn.CONCAT("https://tablet.otzar.org/",CHAR(35),"/book/654991/p/-1/t/1/fs/0/start/0/end/0/c")</f>
        <v>https://tablet.otzar.org/#/book/654991/p/-1/t/1/fs/0/start/0/end/0/c</v>
      </c>
    </row>
    <row r="2202" spans="1:8" x14ac:dyDescent="0.25">
      <c r="A2202">
        <v>652440</v>
      </c>
      <c r="B2202" t="s">
        <v>4474</v>
      </c>
      <c r="C2202" t="s">
        <v>4475</v>
      </c>
      <c r="E2202" t="s">
        <v>35</v>
      </c>
      <c r="G2202" t="str">
        <f>HYPERLINK(_xlfn.CONCAT("https://tablet.otzar.org/",CHAR(35),"/exKotar/652440"),"מבית ההוראה - 3 כרכים")</f>
        <v>מבית ההוראה - 3 כרכים</v>
      </c>
      <c r="H2202" t="str">
        <f>_xlfn.CONCAT("https://tablet.otzar.org/",CHAR(35),"/exKotar/652440")</f>
        <v>https://tablet.otzar.org/#/exKotar/652440</v>
      </c>
    </row>
    <row r="2203" spans="1:8" x14ac:dyDescent="0.25">
      <c r="A2203">
        <v>653535</v>
      </c>
      <c r="B2203" t="s">
        <v>4476</v>
      </c>
      <c r="C2203" t="s">
        <v>4477</v>
      </c>
      <c r="D2203" t="s">
        <v>52</v>
      </c>
      <c r="E2203" t="s">
        <v>11</v>
      </c>
      <c r="G2203" t="str">
        <f>HYPERLINK(_xlfn.CONCAT("https://tablet.otzar.org/",CHAR(35),"/exKotar/653535"),"מבית לוי - 4 כרכים")</f>
        <v>מבית לוי - 4 כרכים</v>
      </c>
      <c r="H2203" t="str">
        <f>_xlfn.CONCAT("https://tablet.otzar.org/",CHAR(35),"/exKotar/653535")</f>
        <v>https://tablet.otzar.org/#/exKotar/653535</v>
      </c>
    </row>
    <row r="2204" spans="1:8" x14ac:dyDescent="0.25">
      <c r="A2204">
        <v>650090</v>
      </c>
      <c r="B2204" t="s">
        <v>4478</v>
      </c>
      <c r="C2204" t="s">
        <v>4479</v>
      </c>
      <c r="D2204" t="s">
        <v>10</v>
      </c>
      <c r="E2204" t="s">
        <v>11</v>
      </c>
      <c r="G2204" t="str">
        <f>HYPERLINK(_xlfn.CONCAT("https://tablet.otzar.org/",CHAR(35),"/book/650090/p/-1/t/1/fs/0/start/0/end/0/c"),"מבית מדרשנו באגדה - ב""""ק, סנהדרין")</f>
        <v>מבית מדרשנו באגדה - ב""ק, סנהדרין</v>
      </c>
      <c r="H2204" t="str">
        <f>_xlfn.CONCAT("https://tablet.otzar.org/",CHAR(35),"/book/650090/p/-1/t/1/fs/0/start/0/end/0/c")</f>
        <v>https://tablet.otzar.org/#/book/650090/p/-1/t/1/fs/0/start/0/end/0/c</v>
      </c>
    </row>
    <row r="2205" spans="1:8" x14ac:dyDescent="0.25">
      <c r="A2205">
        <v>649779</v>
      </c>
      <c r="B2205" t="s">
        <v>4480</v>
      </c>
      <c r="C2205" t="s">
        <v>4481</v>
      </c>
      <c r="D2205" t="s">
        <v>52</v>
      </c>
      <c r="E2205" t="s">
        <v>146</v>
      </c>
      <c r="G2205" t="str">
        <f>HYPERLINK(_xlfn.CONCAT("https://tablet.otzar.org/",CHAR(35),"/exKotar/649779"),"מבנים אשר - 2 כרכים")</f>
        <v>מבנים אשר - 2 כרכים</v>
      </c>
      <c r="H2205" t="str">
        <f>_xlfn.CONCAT("https://tablet.otzar.org/",CHAR(35),"/exKotar/649779")</f>
        <v>https://tablet.otzar.org/#/exKotar/649779</v>
      </c>
    </row>
    <row r="2206" spans="1:8" x14ac:dyDescent="0.25">
      <c r="A2206">
        <v>643144</v>
      </c>
      <c r="B2206" t="s">
        <v>4482</v>
      </c>
      <c r="C2206" t="s">
        <v>4483</v>
      </c>
      <c r="D2206" t="s">
        <v>10</v>
      </c>
      <c r="E2206" t="s">
        <v>200</v>
      </c>
      <c r="G2206" t="str">
        <f>HYPERLINK(_xlfn.CONCAT("https://tablet.otzar.org/",CHAR(35),"/book/643144/p/-1/t/1/fs/0/start/0/end/0/c"),"מבקשי אמונה - ג")</f>
        <v>מבקשי אמונה - ג</v>
      </c>
      <c r="H2206" t="str">
        <f>_xlfn.CONCAT("https://tablet.otzar.org/",CHAR(35),"/book/643144/p/-1/t/1/fs/0/start/0/end/0/c")</f>
        <v>https://tablet.otzar.org/#/book/643144/p/-1/t/1/fs/0/start/0/end/0/c</v>
      </c>
    </row>
    <row r="2207" spans="1:8" x14ac:dyDescent="0.25">
      <c r="A2207">
        <v>649285</v>
      </c>
      <c r="B2207" t="s">
        <v>4484</v>
      </c>
      <c r="C2207" t="s">
        <v>4485</v>
      </c>
      <c r="D2207" t="s">
        <v>10</v>
      </c>
      <c r="E2207" t="s">
        <v>922</v>
      </c>
      <c r="G2207" t="str">
        <f>HYPERLINK(_xlfn.CONCAT("https://tablet.otzar.org/",CHAR(35),"/book/649285/p/-1/t/1/fs/0/start/0/end/0/c"),"מבשר ואומר")</f>
        <v>מבשר ואומר</v>
      </c>
      <c r="H2207" t="str">
        <f>_xlfn.CONCAT("https://tablet.otzar.org/",CHAR(35),"/book/649285/p/-1/t/1/fs/0/start/0/end/0/c")</f>
        <v>https://tablet.otzar.org/#/book/649285/p/-1/t/1/fs/0/start/0/end/0/c</v>
      </c>
    </row>
    <row r="2208" spans="1:8" x14ac:dyDescent="0.25">
      <c r="A2208">
        <v>652749</v>
      </c>
      <c r="B2208" t="s">
        <v>4486</v>
      </c>
      <c r="C2208" t="s">
        <v>4487</v>
      </c>
      <c r="D2208" t="s">
        <v>866</v>
      </c>
      <c r="E2208" t="s">
        <v>136</v>
      </c>
      <c r="G2208" t="str">
        <f>HYPERLINK(_xlfn.CONCAT("https://tablet.otzar.org/",CHAR(35),"/book/652749/p/-1/t/1/fs/0/start/0/end/0/c"),"מבשר טוב")</f>
        <v>מבשר טוב</v>
      </c>
      <c r="H2208" t="str">
        <f>_xlfn.CONCAT("https://tablet.otzar.org/",CHAR(35),"/book/652749/p/-1/t/1/fs/0/start/0/end/0/c")</f>
        <v>https://tablet.otzar.org/#/book/652749/p/-1/t/1/fs/0/start/0/end/0/c</v>
      </c>
    </row>
    <row r="2209" spans="1:8" x14ac:dyDescent="0.25">
      <c r="A2209">
        <v>647239</v>
      </c>
      <c r="B2209" t="s">
        <v>4488</v>
      </c>
      <c r="C2209" t="s">
        <v>4489</v>
      </c>
      <c r="D2209" t="s">
        <v>10</v>
      </c>
      <c r="E2209" t="s">
        <v>35</v>
      </c>
      <c r="G2209" t="str">
        <f>HYPERLINK(_xlfn.CONCAT("https://tablet.otzar.org/",CHAR(35),"/book/647239/p/-1/t/1/fs/0/start/0/end/0/c"),"מבשר טוב - אור אלימלך")</f>
        <v>מבשר טוב - אור אלימלך</v>
      </c>
      <c r="H2209" t="str">
        <f>_xlfn.CONCAT("https://tablet.otzar.org/",CHAR(35),"/book/647239/p/-1/t/1/fs/0/start/0/end/0/c")</f>
        <v>https://tablet.otzar.org/#/book/647239/p/-1/t/1/fs/0/start/0/end/0/c</v>
      </c>
    </row>
    <row r="2210" spans="1:8" x14ac:dyDescent="0.25">
      <c r="A2210">
        <v>649260</v>
      </c>
      <c r="B2210" t="s">
        <v>4490</v>
      </c>
      <c r="C2210" t="s">
        <v>3950</v>
      </c>
      <c r="D2210" t="s">
        <v>2308</v>
      </c>
      <c r="E2210">
        <v>1847</v>
      </c>
      <c r="G2210" t="str">
        <f>HYPERLINK(_xlfn.CONCAT("https://tablet.otzar.org/",CHAR(35),"/book/649260/p/-1/t/1/fs/0/start/0/end/0/c"),"מבשרת ציון")</f>
        <v>מבשרת ציון</v>
      </c>
      <c r="H2210" t="str">
        <f>_xlfn.CONCAT("https://tablet.otzar.org/",CHAR(35),"/book/649260/p/-1/t/1/fs/0/start/0/end/0/c")</f>
        <v>https://tablet.otzar.org/#/book/649260/p/-1/t/1/fs/0/start/0/end/0/c</v>
      </c>
    </row>
    <row r="2211" spans="1:8" x14ac:dyDescent="0.25">
      <c r="A2211">
        <v>649871</v>
      </c>
      <c r="B2211" t="s">
        <v>4491</v>
      </c>
      <c r="C2211" t="s">
        <v>1108</v>
      </c>
      <c r="D2211" t="s">
        <v>10</v>
      </c>
      <c r="E2211" t="s">
        <v>117</v>
      </c>
      <c r="G2211" t="str">
        <f>HYPERLINK(_xlfn.CONCAT("https://tablet.otzar.org/",CHAR(35),"/book/649871/p/-1/t/1/fs/0/start/0/end/0/c"),"מגדיל ישעת מלכו")</f>
        <v>מגדיל ישעת מלכו</v>
      </c>
      <c r="H2211" t="str">
        <f>_xlfn.CONCAT("https://tablet.otzar.org/",CHAR(35),"/book/649871/p/-1/t/1/fs/0/start/0/end/0/c")</f>
        <v>https://tablet.otzar.org/#/book/649871/p/-1/t/1/fs/0/start/0/end/0/c</v>
      </c>
    </row>
    <row r="2212" spans="1:8" x14ac:dyDescent="0.25">
      <c r="A2212">
        <v>647452</v>
      </c>
      <c r="B2212" t="s">
        <v>4492</v>
      </c>
      <c r="C2212" t="s">
        <v>4493</v>
      </c>
      <c r="D2212" t="s">
        <v>3568</v>
      </c>
      <c r="E2212" t="s">
        <v>2368</v>
      </c>
      <c r="G2212" t="str">
        <f>HYPERLINK(_xlfn.CONCAT("https://tablet.otzar.org/",CHAR(35),"/book/647452/p/-1/t/1/fs/0/start/0/end/0/c"),"מגדל עוז - 4")</f>
        <v>מגדל עוז - 4</v>
      </c>
      <c r="H2212" t="str">
        <f>_xlfn.CONCAT("https://tablet.otzar.org/",CHAR(35),"/book/647452/p/-1/t/1/fs/0/start/0/end/0/c")</f>
        <v>https://tablet.otzar.org/#/book/647452/p/-1/t/1/fs/0/start/0/end/0/c</v>
      </c>
    </row>
    <row r="2213" spans="1:8" x14ac:dyDescent="0.25">
      <c r="A2213">
        <v>655161</v>
      </c>
      <c r="B2213" t="s">
        <v>4494</v>
      </c>
      <c r="C2213" t="s">
        <v>4495</v>
      </c>
      <c r="D2213" t="s">
        <v>10</v>
      </c>
      <c r="E2213" t="s">
        <v>84</v>
      </c>
      <c r="G2213" t="str">
        <f>HYPERLINK(_xlfn.CONCAT("https://tablet.otzar.org/",CHAR(35),"/book/655161/p/-1/t/1/fs/0/start/0/end/0/c"),"מגיד דבריו ליעקב, עה""""ת - 05 וישלח")</f>
        <v>מגיד דבריו ליעקב, עה""ת - 05 וישלח</v>
      </c>
      <c r="H2213" t="str">
        <f>_xlfn.CONCAT("https://tablet.otzar.org/",CHAR(35),"/book/655161/p/-1/t/1/fs/0/start/0/end/0/c")</f>
        <v>https://tablet.otzar.org/#/book/655161/p/-1/t/1/fs/0/start/0/end/0/c</v>
      </c>
    </row>
    <row r="2214" spans="1:8" x14ac:dyDescent="0.25">
      <c r="A2214">
        <v>646219</v>
      </c>
      <c r="B2214" t="s">
        <v>4496</v>
      </c>
      <c r="C2214" t="s">
        <v>4497</v>
      </c>
      <c r="D2214" t="s">
        <v>10</v>
      </c>
      <c r="E2214" t="s">
        <v>35</v>
      </c>
      <c r="G2214" t="str">
        <f>HYPERLINK(_xlfn.CONCAT("https://tablet.otzar.org/",CHAR(35),"/book/646219/p/-1/t/1/fs/0/start/0/end/0/c"),"מגיד רחצה")</f>
        <v>מגיד רחצה</v>
      </c>
      <c r="H2214" t="str">
        <f>_xlfn.CONCAT("https://tablet.otzar.org/",CHAR(35),"/book/646219/p/-1/t/1/fs/0/start/0/end/0/c")</f>
        <v>https://tablet.otzar.org/#/book/646219/p/-1/t/1/fs/0/start/0/end/0/c</v>
      </c>
    </row>
    <row r="2215" spans="1:8" x14ac:dyDescent="0.25">
      <c r="A2215">
        <v>653987</v>
      </c>
      <c r="B2215" t="s">
        <v>4498</v>
      </c>
      <c r="C2215" t="s">
        <v>4499</v>
      </c>
      <c r="D2215" t="s">
        <v>10</v>
      </c>
      <c r="E2215" t="s">
        <v>70</v>
      </c>
      <c r="G2215" t="str">
        <f>HYPERLINK(_xlfn.CONCAT("https://tablet.otzar.org/",CHAR(35),"/book/653987/p/-1/t/1/fs/0/start/0/end/0/c"),"מגילת איכה &lt;נחמת אבות&gt;")</f>
        <v>מגילת איכה &lt;נחמת אבות&gt;</v>
      </c>
      <c r="H2215" t="str">
        <f>_xlfn.CONCAT("https://tablet.otzar.org/",CHAR(35),"/book/653987/p/-1/t/1/fs/0/start/0/end/0/c")</f>
        <v>https://tablet.otzar.org/#/book/653987/p/-1/t/1/fs/0/start/0/end/0/c</v>
      </c>
    </row>
    <row r="2216" spans="1:8" x14ac:dyDescent="0.25">
      <c r="A2216">
        <v>649400</v>
      </c>
      <c r="B2216" t="s">
        <v>4500</v>
      </c>
      <c r="C2216" t="s">
        <v>2339</v>
      </c>
      <c r="D2216" t="s">
        <v>52</v>
      </c>
      <c r="E2216" t="s">
        <v>11</v>
      </c>
      <c r="G2216" t="str">
        <f>HYPERLINK(_xlfn.CONCAT("https://tablet.otzar.org/",CHAR(35),"/book/649400/p/-1/t/1/fs/0/start/0/end/0/c"),"מגילת אסתר &lt;מעשה כהן&gt;")</f>
        <v>מגילת אסתר &lt;מעשה כהן&gt;</v>
      </c>
      <c r="H2216" t="str">
        <f>_xlfn.CONCAT("https://tablet.otzar.org/",CHAR(35),"/book/649400/p/-1/t/1/fs/0/start/0/end/0/c")</f>
        <v>https://tablet.otzar.org/#/book/649400/p/-1/t/1/fs/0/start/0/end/0/c</v>
      </c>
    </row>
    <row r="2217" spans="1:8" x14ac:dyDescent="0.25">
      <c r="A2217">
        <v>650790</v>
      </c>
      <c r="B2217" t="s">
        <v>4501</v>
      </c>
      <c r="C2217" t="s">
        <v>4502</v>
      </c>
      <c r="D2217" t="s">
        <v>10</v>
      </c>
      <c r="E2217" t="s">
        <v>84</v>
      </c>
      <c r="G2217" t="str">
        <f>HYPERLINK(_xlfn.CONCAT("https://tablet.otzar.org/",CHAR(35),"/book/650790/p/-1/t/1/fs/0/start/0/end/0/c"),"מגילת אסתר &lt;ברוך מרדכי&gt;")</f>
        <v>מגילת אסתר &lt;ברוך מרדכי&gt;</v>
      </c>
      <c r="H2217" t="str">
        <f>_xlfn.CONCAT("https://tablet.otzar.org/",CHAR(35),"/book/650790/p/-1/t/1/fs/0/start/0/end/0/c")</f>
        <v>https://tablet.otzar.org/#/book/650790/p/-1/t/1/fs/0/start/0/end/0/c</v>
      </c>
    </row>
    <row r="2218" spans="1:8" x14ac:dyDescent="0.25">
      <c r="A2218">
        <v>650945</v>
      </c>
      <c r="B2218" t="s">
        <v>4503</v>
      </c>
      <c r="C2218" t="s">
        <v>2320</v>
      </c>
      <c r="D2218" t="s">
        <v>10</v>
      </c>
      <c r="E2218" t="s">
        <v>11</v>
      </c>
      <c r="G2218" t="str">
        <f>HYPERLINK(_xlfn.CONCAT("https://tablet.otzar.org/",CHAR(35),"/book/650945/p/-1/t/1/fs/0/start/0/end/0/c"),"מגילת אסתר &lt;עטרת מאיר&gt;")</f>
        <v>מגילת אסתר &lt;עטרת מאיר&gt;</v>
      </c>
      <c r="H2218" t="str">
        <f>_xlfn.CONCAT("https://tablet.otzar.org/",CHAR(35),"/book/650945/p/-1/t/1/fs/0/start/0/end/0/c")</f>
        <v>https://tablet.otzar.org/#/book/650945/p/-1/t/1/fs/0/start/0/end/0/c</v>
      </c>
    </row>
    <row r="2219" spans="1:8" x14ac:dyDescent="0.25">
      <c r="A2219">
        <v>652098</v>
      </c>
      <c r="B2219" t="s">
        <v>4504</v>
      </c>
      <c r="C2219" t="s">
        <v>1395</v>
      </c>
      <c r="D2219" t="s">
        <v>10</v>
      </c>
      <c r="E2219" t="s">
        <v>126</v>
      </c>
      <c r="G2219" t="str">
        <f>HYPERLINK(_xlfn.CONCAT("https://tablet.otzar.org/",CHAR(35),"/book/652098/p/-1/t/1/fs/0/start/0/end/0/c"),"מגילת אסתר &lt;אור צבי&gt;")</f>
        <v>מגילת אסתר &lt;אור צבי&gt;</v>
      </c>
      <c r="H2219" t="str">
        <f>_xlfn.CONCAT("https://tablet.otzar.org/",CHAR(35),"/book/652098/p/-1/t/1/fs/0/start/0/end/0/c")</f>
        <v>https://tablet.otzar.org/#/book/652098/p/-1/t/1/fs/0/start/0/end/0/c</v>
      </c>
    </row>
    <row r="2220" spans="1:8" x14ac:dyDescent="0.25">
      <c r="A2220">
        <v>653989</v>
      </c>
      <c r="B2220" t="s">
        <v>4505</v>
      </c>
      <c r="C2220" t="s">
        <v>4499</v>
      </c>
      <c r="D2220" t="s">
        <v>10</v>
      </c>
      <c r="E2220" t="s">
        <v>70</v>
      </c>
      <c r="G2220" t="str">
        <f>HYPERLINK(_xlfn.CONCAT("https://tablet.otzar.org/",CHAR(35),"/book/653989/p/-1/t/1/fs/0/start/0/end/0/c"),"מגילת אסתר &lt;חיי האורה&gt;")</f>
        <v>מגילת אסתר &lt;חיי האורה&gt;</v>
      </c>
      <c r="H2220" t="str">
        <f>_xlfn.CONCAT("https://tablet.otzar.org/",CHAR(35),"/book/653989/p/-1/t/1/fs/0/start/0/end/0/c")</f>
        <v>https://tablet.otzar.org/#/book/653989/p/-1/t/1/fs/0/start/0/end/0/c</v>
      </c>
    </row>
    <row r="2221" spans="1:8" x14ac:dyDescent="0.25">
      <c r="A2221">
        <v>647909</v>
      </c>
      <c r="B2221" t="s">
        <v>4506</v>
      </c>
      <c r="C2221" t="s">
        <v>4507</v>
      </c>
      <c r="D2221" t="s">
        <v>58</v>
      </c>
      <c r="E2221" t="s">
        <v>3101</v>
      </c>
      <c r="G2221" t="str">
        <f>HYPERLINK(_xlfn.CONCAT("https://tablet.otzar.org/",CHAR(35),"/book/647909/p/-1/t/1/fs/0/start/0/end/0/c"),"מגילת יוחסין")</f>
        <v>מגילת יוחסין</v>
      </c>
      <c r="H2221" t="str">
        <f>_xlfn.CONCAT("https://tablet.otzar.org/",CHAR(35),"/book/647909/p/-1/t/1/fs/0/start/0/end/0/c")</f>
        <v>https://tablet.otzar.org/#/book/647909/p/-1/t/1/fs/0/start/0/end/0/c</v>
      </c>
    </row>
    <row r="2222" spans="1:8" x14ac:dyDescent="0.25">
      <c r="A2222">
        <v>649448</v>
      </c>
      <c r="B2222" t="s">
        <v>4508</v>
      </c>
      <c r="C2222" t="s">
        <v>4509</v>
      </c>
      <c r="D2222" t="s">
        <v>10</v>
      </c>
      <c r="E2222" t="s">
        <v>4510</v>
      </c>
      <c r="G2222" t="str">
        <f>HYPERLINK(_xlfn.CONCAT("https://tablet.otzar.org/",CHAR(35),"/book/649448/p/-1/t/1/fs/0/start/0/end/0/c"),"מגילת סארגוסאנוס")</f>
        <v>מגילת סארגוסאנוס</v>
      </c>
      <c r="H2222" t="str">
        <f>_xlfn.CONCAT("https://tablet.otzar.org/",CHAR(35),"/book/649448/p/-1/t/1/fs/0/start/0/end/0/c")</f>
        <v>https://tablet.otzar.org/#/book/649448/p/-1/t/1/fs/0/start/0/end/0/c</v>
      </c>
    </row>
    <row r="2223" spans="1:8" x14ac:dyDescent="0.25">
      <c r="A2223">
        <v>648003</v>
      </c>
      <c r="B2223" t="s">
        <v>4511</v>
      </c>
      <c r="C2223" t="s">
        <v>4512</v>
      </c>
      <c r="D2223" t="s">
        <v>34</v>
      </c>
      <c r="E2223" t="s">
        <v>126</v>
      </c>
      <c r="G2223" t="str">
        <f>HYPERLINK(_xlfn.CONCAT("https://tablet.otzar.org/",CHAR(35),"/book/648003/p/-1/t/1/fs/0/start/0/end/0/c"),"מגילת ספר")</f>
        <v>מגילת ספר</v>
      </c>
      <c r="H2223" t="str">
        <f>_xlfn.CONCAT("https://tablet.otzar.org/",CHAR(35),"/book/648003/p/-1/t/1/fs/0/start/0/end/0/c")</f>
        <v>https://tablet.otzar.org/#/book/648003/p/-1/t/1/fs/0/start/0/end/0/c</v>
      </c>
    </row>
    <row r="2224" spans="1:8" x14ac:dyDescent="0.25">
      <c r="A2224">
        <v>647912</v>
      </c>
      <c r="B2224" t="s">
        <v>4513</v>
      </c>
      <c r="C2224" t="s">
        <v>4514</v>
      </c>
      <c r="D2224" t="s">
        <v>4515</v>
      </c>
      <c r="E2224" t="s">
        <v>4516</v>
      </c>
      <c r="G2224" t="str">
        <f>HYPERLINK(_xlfn.CONCAT("https://tablet.otzar.org/",CHAR(35),"/book/647912/p/-1/t/1/fs/0/start/0/end/0/c"),"מגילת רות &lt;חוטר ישי&gt;")</f>
        <v>מגילת רות &lt;חוטר ישי&gt;</v>
      </c>
      <c r="H2224" t="str">
        <f>_xlfn.CONCAT("https://tablet.otzar.org/",CHAR(35),"/book/647912/p/-1/t/1/fs/0/start/0/end/0/c")</f>
        <v>https://tablet.otzar.org/#/book/647912/p/-1/t/1/fs/0/start/0/end/0/c</v>
      </c>
    </row>
    <row r="2225" spans="1:8" x14ac:dyDescent="0.25">
      <c r="A2225">
        <v>650219</v>
      </c>
      <c r="B2225" t="s">
        <v>4517</v>
      </c>
      <c r="C2225" t="s">
        <v>4518</v>
      </c>
      <c r="D2225" t="s">
        <v>340</v>
      </c>
      <c r="E2225" t="s">
        <v>405</v>
      </c>
      <c r="G2225" t="str">
        <f>HYPERLINK(_xlfn.CONCAT("https://tablet.otzar.org/",CHAR(35),"/book/650219/p/-1/t/1/fs/0/start/0/end/0/c"),"מגילת רות &lt;גזת הצמר&gt;")</f>
        <v>מגילת רות &lt;גזת הצמר&gt;</v>
      </c>
      <c r="H2225" t="str">
        <f>_xlfn.CONCAT("https://tablet.otzar.org/",CHAR(35),"/book/650219/p/-1/t/1/fs/0/start/0/end/0/c")</f>
        <v>https://tablet.otzar.org/#/book/650219/p/-1/t/1/fs/0/start/0/end/0/c</v>
      </c>
    </row>
    <row r="2226" spans="1:8" x14ac:dyDescent="0.25">
      <c r="A2226">
        <v>653988</v>
      </c>
      <c r="B2226" t="s">
        <v>4519</v>
      </c>
      <c r="C2226" t="s">
        <v>4499</v>
      </c>
      <c r="D2226" t="s">
        <v>10</v>
      </c>
      <c r="E2226" t="s">
        <v>70</v>
      </c>
      <c r="G2226" t="str">
        <f>HYPERLINK(_xlfn.CONCAT("https://tablet.otzar.org/",CHAR(35),"/book/653988/p/-1/t/1/fs/0/start/0/end/0/c"),"מגילת רות &lt;שורש יהודה&gt;")</f>
        <v>מגילת רות &lt;שורש יהודה&gt;</v>
      </c>
      <c r="H2226" t="str">
        <f>_xlfn.CONCAT("https://tablet.otzar.org/",CHAR(35),"/book/653988/p/-1/t/1/fs/0/start/0/end/0/c")</f>
        <v>https://tablet.otzar.org/#/book/653988/p/-1/t/1/fs/0/start/0/end/0/c</v>
      </c>
    </row>
    <row r="2227" spans="1:8" x14ac:dyDescent="0.25">
      <c r="A2227">
        <v>654885</v>
      </c>
      <c r="B2227" t="s">
        <v>4520</v>
      </c>
      <c r="C2227" t="s">
        <v>4521</v>
      </c>
      <c r="D2227" t="s">
        <v>10</v>
      </c>
      <c r="E2227" t="s">
        <v>29</v>
      </c>
      <c r="G2227" t="str">
        <f>HYPERLINK(_xlfn.CONCAT("https://tablet.otzar.org/",CHAR(35),"/exKotar/654885"),"מגלה עמוקות על התורה &lt;עם ביאור שושנת העמקים&gt; - 7 כרכים")</f>
        <v>מגלה עמוקות על התורה &lt;עם ביאור שושנת העמקים&gt; - 7 כרכים</v>
      </c>
      <c r="H2227" t="str">
        <f>_xlfn.CONCAT("https://tablet.otzar.org/",CHAR(35),"/exKotar/654885")</f>
        <v>https://tablet.otzar.org/#/exKotar/654885</v>
      </c>
    </row>
    <row r="2228" spans="1:8" x14ac:dyDescent="0.25">
      <c r="A2228">
        <v>651905</v>
      </c>
      <c r="B2228" t="s">
        <v>4522</v>
      </c>
      <c r="C2228" t="s">
        <v>4523</v>
      </c>
      <c r="D2228" t="s">
        <v>4524</v>
      </c>
      <c r="E2228" t="s">
        <v>4525</v>
      </c>
      <c r="G2228" t="str">
        <f>HYPERLINK(_xlfn.CONCAT("https://tablet.otzar.org/",CHAR(35),"/book/651905/p/-1/t/1/fs/0/start/0/end/0/c"),"מגלת סתרים וס' מסכת פורים")</f>
        <v>מגלת סתרים וס' מסכת פורים</v>
      </c>
      <c r="H2228" t="str">
        <f>_xlfn.CONCAT("https://tablet.otzar.org/",CHAR(35),"/book/651905/p/-1/t/1/fs/0/start/0/end/0/c")</f>
        <v>https://tablet.otzar.org/#/book/651905/p/-1/t/1/fs/0/start/0/end/0/c</v>
      </c>
    </row>
    <row r="2229" spans="1:8" x14ac:dyDescent="0.25">
      <c r="A2229">
        <v>649539</v>
      </c>
      <c r="B2229" t="s">
        <v>4526</v>
      </c>
      <c r="C2229" t="s">
        <v>4527</v>
      </c>
      <c r="D2229" t="s">
        <v>4528</v>
      </c>
      <c r="E2229" t="s">
        <v>70</v>
      </c>
      <c r="G2229" t="str">
        <f>HYPERLINK(_xlfn.CONCAT("https://tablet.otzar.org/",CHAR(35),"/book/649539/p/-1/t/1/fs/0/start/0/end/0/c"),"מגן אבות זיע""""א")</f>
        <v>מגן אבות זיע""א</v>
      </c>
      <c r="H2229" t="str">
        <f>_xlfn.CONCAT("https://tablet.otzar.org/",CHAR(35),"/book/649539/p/-1/t/1/fs/0/start/0/end/0/c")</f>
        <v>https://tablet.otzar.org/#/book/649539/p/-1/t/1/fs/0/start/0/end/0/c</v>
      </c>
    </row>
    <row r="2230" spans="1:8" x14ac:dyDescent="0.25">
      <c r="A2230">
        <v>637773</v>
      </c>
      <c r="B2230" t="s">
        <v>4529</v>
      </c>
      <c r="C2230" t="s">
        <v>280</v>
      </c>
      <c r="D2230" t="s">
        <v>34</v>
      </c>
      <c r="E2230" t="s">
        <v>574</v>
      </c>
      <c r="G2230" t="str">
        <f>HYPERLINK(_xlfn.CONCAT("https://tablet.otzar.org/",CHAR(35),"/book/637773/p/-1/t/1/fs/0/start/0/end/0/c"),"מגן שאול")</f>
        <v>מגן שאול</v>
      </c>
      <c r="H2230" t="str">
        <f>_xlfn.CONCAT("https://tablet.otzar.org/",CHAR(35),"/book/637773/p/-1/t/1/fs/0/start/0/end/0/c")</f>
        <v>https://tablet.otzar.org/#/book/637773/p/-1/t/1/fs/0/start/0/end/0/c</v>
      </c>
    </row>
    <row r="2231" spans="1:8" x14ac:dyDescent="0.25">
      <c r="A2231">
        <v>648345</v>
      </c>
      <c r="B2231" t="s">
        <v>4530</v>
      </c>
      <c r="C2231" t="s">
        <v>4531</v>
      </c>
      <c r="D2231" t="s">
        <v>34</v>
      </c>
      <c r="E2231" t="s">
        <v>45</v>
      </c>
      <c r="G2231" t="str">
        <f>HYPERLINK(_xlfn.CONCAT("https://tablet.otzar.org/",CHAR(35),"/book/648345/p/-1/t/1/fs/0/start/0/end/0/c"),"מגרוסוורדיין לארץ ישראל")</f>
        <v>מגרוסוורדיין לארץ ישראל</v>
      </c>
      <c r="H2231" t="str">
        <f>_xlfn.CONCAT("https://tablet.otzar.org/",CHAR(35),"/book/648345/p/-1/t/1/fs/0/start/0/end/0/c")</f>
        <v>https://tablet.otzar.org/#/book/648345/p/-1/t/1/fs/0/start/0/end/0/c</v>
      </c>
    </row>
    <row r="2232" spans="1:8" x14ac:dyDescent="0.25">
      <c r="A2232">
        <v>648349</v>
      </c>
      <c r="B2232" t="s">
        <v>4532</v>
      </c>
      <c r="C2232" t="s">
        <v>2903</v>
      </c>
      <c r="E2232" t="s">
        <v>2534</v>
      </c>
      <c r="G2232" t="str">
        <f>HYPERLINK(_xlfn.CONCAT("https://tablet.otzar.org/",CHAR(35),"/book/648349/p/-1/t/1/fs/0/start/0/end/0/c"),"מדבר שקר תרחק")</f>
        <v>מדבר שקר תרחק</v>
      </c>
      <c r="H2232" t="str">
        <f>_xlfn.CONCAT("https://tablet.otzar.org/",CHAR(35),"/book/648349/p/-1/t/1/fs/0/start/0/end/0/c")</f>
        <v>https://tablet.otzar.org/#/book/648349/p/-1/t/1/fs/0/start/0/end/0/c</v>
      </c>
    </row>
    <row r="2233" spans="1:8" x14ac:dyDescent="0.25">
      <c r="A2233">
        <v>647392</v>
      </c>
      <c r="B2233" t="s">
        <v>4533</v>
      </c>
      <c r="C2233" t="s">
        <v>4534</v>
      </c>
      <c r="D2233" t="s">
        <v>10</v>
      </c>
      <c r="E2233" t="s">
        <v>270</v>
      </c>
      <c r="G2233" t="str">
        <f>HYPERLINK(_xlfn.CONCAT("https://tablet.otzar.org/",CHAR(35),"/book/647392/p/-1/t/1/fs/0/start/0/end/0/c"),"מדברי ראשונים - ד בין אדם לחבירו")</f>
        <v>מדברי ראשונים - ד בין אדם לחבירו</v>
      </c>
      <c r="H2233" t="str">
        <f>_xlfn.CONCAT("https://tablet.otzar.org/",CHAR(35),"/book/647392/p/-1/t/1/fs/0/start/0/end/0/c")</f>
        <v>https://tablet.otzar.org/#/book/647392/p/-1/t/1/fs/0/start/0/end/0/c</v>
      </c>
    </row>
    <row r="2234" spans="1:8" x14ac:dyDescent="0.25">
      <c r="A2234">
        <v>655377</v>
      </c>
      <c r="B2234" t="s">
        <v>4535</v>
      </c>
      <c r="C2234" t="s">
        <v>4097</v>
      </c>
      <c r="D2234" t="s">
        <v>10</v>
      </c>
      <c r="E2234" t="s">
        <v>1061</v>
      </c>
      <c r="G2234" t="str">
        <f>HYPERLINK(_xlfn.CONCAT("https://tablet.otzar.org/",CHAR(35),"/book/655377/p/-1/t/1/fs/0/start/0/end/0/c"),"מדובקים ביראתך")</f>
        <v>מדובקים ביראתך</v>
      </c>
      <c r="H2234" t="str">
        <f>_xlfn.CONCAT("https://tablet.otzar.org/",CHAR(35),"/book/655377/p/-1/t/1/fs/0/start/0/end/0/c")</f>
        <v>https://tablet.otzar.org/#/book/655377/p/-1/t/1/fs/0/start/0/end/0/c</v>
      </c>
    </row>
    <row r="2235" spans="1:8" x14ac:dyDescent="0.25">
      <c r="A2235">
        <v>650843</v>
      </c>
      <c r="B2235" t="s">
        <v>4536</v>
      </c>
      <c r="C2235" t="s">
        <v>4537</v>
      </c>
      <c r="D2235" t="s">
        <v>52</v>
      </c>
      <c r="E2235" t="s">
        <v>146</v>
      </c>
      <c r="G2235" t="str">
        <f>HYPERLINK(_xlfn.CONCAT("https://tablet.otzar.org/",CHAR(35),"/book/650843/p/-1/t/1/fs/0/start/0/end/0/c"),"מדי דברי - תפילה וברכות")</f>
        <v>מדי דברי - תפילה וברכות</v>
      </c>
      <c r="H2235" t="str">
        <f>_xlfn.CONCAT("https://tablet.otzar.org/",CHAR(35),"/book/650843/p/-1/t/1/fs/0/start/0/end/0/c")</f>
        <v>https://tablet.otzar.org/#/book/650843/p/-1/t/1/fs/0/start/0/end/0/c</v>
      </c>
    </row>
    <row r="2236" spans="1:8" x14ac:dyDescent="0.25">
      <c r="A2236">
        <v>647494</v>
      </c>
      <c r="B2236" t="s">
        <v>4538</v>
      </c>
      <c r="C2236" t="s">
        <v>4539</v>
      </c>
      <c r="D2236" t="s">
        <v>10</v>
      </c>
      <c r="E2236" t="s">
        <v>114</v>
      </c>
      <c r="G2236" t="str">
        <f>HYPERLINK(_xlfn.CONCAT("https://tablet.otzar.org/",CHAR(35),"/book/647494/p/-1/t/1/fs/0/start/0/end/0/c"),"מדרגת האדם")</f>
        <v>מדרגת האדם</v>
      </c>
      <c r="H2236" t="str">
        <f>_xlfn.CONCAT("https://tablet.otzar.org/",CHAR(35),"/book/647494/p/-1/t/1/fs/0/start/0/end/0/c")</f>
        <v>https://tablet.otzar.org/#/book/647494/p/-1/t/1/fs/0/start/0/end/0/c</v>
      </c>
    </row>
    <row r="2237" spans="1:8" x14ac:dyDescent="0.25">
      <c r="A2237">
        <v>653470</v>
      </c>
      <c r="B2237" t="s">
        <v>4540</v>
      </c>
      <c r="C2237" t="s">
        <v>2635</v>
      </c>
      <c r="D2237" t="s">
        <v>139</v>
      </c>
      <c r="E2237" t="s">
        <v>11</v>
      </c>
      <c r="G2237" t="str">
        <f>HYPERLINK(_xlfn.CONCAT("https://tablet.otzar.org/",CHAR(35),"/book/653470/p/-1/t/1/fs/0/start/0/end/0/c"),"מדריך בענין בן עיר ובן כרך")</f>
        <v>מדריך בענין בן עיר ובן כרך</v>
      </c>
      <c r="H2237" t="str">
        <f>_xlfn.CONCAT("https://tablet.otzar.org/",CHAR(35),"/book/653470/p/-1/t/1/fs/0/start/0/end/0/c")</f>
        <v>https://tablet.otzar.org/#/book/653470/p/-1/t/1/fs/0/start/0/end/0/c</v>
      </c>
    </row>
    <row r="2238" spans="1:8" x14ac:dyDescent="0.25">
      <c r="A2238">
        <v>653471</v>
      </c>
      <c r="B2238" t="s">
        <v>4541</v>
      </c>
      <c r="C2238" t="s">
        <v>2635</v>
      </c>
      <c r="D2238" t="s">
        <v>139</v>
      </c>
      <c r="E2238" t="s">
        <v>11</v>
      </c>
      <c r="G2238" t="str">
        <f>HYPERLINK(_xlfn.CONCAT("https://tablet.otzar.org/",CHAR(35),"/book/653471/p/-1/t/1/fs/0/start/0/end/0/c"),"מדריך בענין מצות ביומו תתן שכרו")</f>
        <v>מדריך בענין מצות ביומו תתן שכרו</v>
      </c>
      <c r="H2238" t="str">
        <f>_xlfn.CONCAT("https://tablet.otzar.org/",CHAR(35),"/book/653471/p/-1/t/1/fs/0/start/0/end/0/c")</f>
        <v>https://tablet.otzar.org/#/book/653471/p/-1/t/1/fs/0/start/0/end/0/c</v>
      </c>
    </row>
    <row r="2239" spans="1:8" x14ac:dyDescent="0.25">
      <c r="A2239">
        <v>651408</v>
      </c>
      <c r="B2239" t="s">
        <v>4542</v>
      </c>
      <c r="C2239" t="s">
        <v>4543</v>
      </c>
      <c r="D2239" t="s">
        <v>10</v>
      </c>
      <c r="E2239" t="s">
        <v>769</v>
      </c>
      <c r="G2239" t="str">
        <f>HYPERLINK(_xlfn.CONCAT("https://tablet.otzar.org/",CHAR(35),"/exKotar/651408"),"מדריך הכשרות - 2 כרכים")</f>
        <v>מדריך הכשרות - 2 כרכים</v>
      </c>
      <c r="H2239" t="str">
        <f>_xlfn.CONCAT("https://tablet.otzar.org/",CHAR(35),"/exKotar/651408")</f>
        <v>https://tablet.otzar.org/#/exKotar/651408</v>
      </c>
    </row>
    <row r="2240" spans="1:8" x14ac:dyDescent="0.25">
      <c r="A2240">
        <v>652103</v>
      </c>
      <c r="B2240" t="s">
        <v>4544</v>
      </c>
      <c r="C2240" t="s">
        <v>4545</v>
      </c>
      <c r="D2240" t="s">
        <v>10</v>
      </c>
      <c r="E2240" t="s">
        <v>77</v>
      </c>
      <c r="G2240" t="str">
        <f>HYPERLINK(_xlfn.CONCAT("https://tablet.otzar.org/",CHAR(35),"/book/652103/p/-1/t/1/fs/0/start/0/end/0/c"),"מדריך לדיני מוקצה")</f>
        <v>מדריך לדיני מוקצה</v>
      </c>
      <c r="H2240" t="str">
        <f>_xlfn.CONCAT("https://tablet.otzar.org/",CHAR(35),"/book/652103/p/-1/t/1/fs/0/start/0/end/0/c")</f>
        <v>https://tablet.otzar.org/#/book/652103/p/-1/t/1/fs/0/start/0/end/0/c</v>
      </c>
    </row>
    <row r="2241" spans="1:8" x14ac:dyDescent="0.25">
      <c r="A2241">
        <v>653473</v>
      </c>
      <c r="B2241" t="s">
        <v>4546</v>
      </c>
      <c r="C2241" t="s">
        <v>2635</v>
      </c>
      <c r="D2241" t="s">
        <v>139</v>
      </c>
      <c r="E2241" t="s">
        <v>35</v>
      </c>
      <c r="G2241" t="str">
        <f>HYPERLINK(_xlfn.CONCAT("https://tablet.otzar.org/",CHAR(35),"/book/653473/p/-1/t/1/fs/0/start/0/end/0/c"),"מדריך להלכות אכסנאי בחנוכה")</f>
        <v>מדריך להלכות אכסנאי בחנוכה</v>
      </c>
      <c r="H2241" t="str">
        <f>_xlfn.CONCAT("https://tablet.otzar.org/",CHAR(35),"/book/653473/p/-1/t/1/fs/0/start/0/end/0/c")</f>
        <v>https://tablet.otzar.org/#/book/653473/p/-1/t/1/fs/0/start/0/end/0/c</v>
      </c>
    </row>
    <row r="2242" spans="1:8" x14ac:dyDescent="0.25">
      <c r="A2242">
        <v>653474</v>
      </c>
      <c r="B2242" t="s">
        <v>4547</v>
      </c>
      <c r="C2242" t="s">
        <v>2635</v>
      </c>
      <c r="D2242" t="s">
        <v>139</v>
      </c>
      <c r="E2242" t="s">
        <v>84</v>
      </c>
      <c r="G2242" t="str">
        <f>HYPERLINK(_xlfn.CONCAT("https://tablet.otzar.org/",CHAR(35),"/book/653474/p/-1/t/1/fs/0/start/0/end/0/c"),"מדריך לליל הסדר")</f>
        <v>מדריך לליל הסדר</v>
      </c>
      <c r="H2242" t="str">
        <f>_xlfn.CONCAT("https://tablet.otzar.org/",CHAR(35),"/book/653474/p/-1/t/1/fs/0/start/0/end/0/c")</f>
        <v>https://tablet.otzar.org/#/book/653474/p/-1/t/1/fs/0/start/0/end/0/c</v>
      </c>
    </row>
    <row r="2243" spans="1:8" x14ac:dyDescent="0.25">
      <c r="A2243">
        <v>653475</v>
      </c>
      <c r="B2243" t="s">
        <v>4548</v>
      </c>
      <c r="C2243" t="s">
        <v>2635</v>
      </c>
      <c r="D2243" t="s">
        <v>139</v>
      </c>
      <c r="E2243" t="s">
        <v>35</v>
      </c>
      <c r="G2243" t="str">
        <f>HYPERLINK(_xlfn.CONCAT("https://tablet.otzar.org/",CHAR(35),"/book/653475/p/-1/t/1/fs/0/start/0/end/0/c"),"מדריך לסוכות")</f>
        <v>מדריך לסוכות</v>
      </c>
      <c r="H2243" t="str">
        <f>_xlfn.CONCAT("https://tablet.otzar.org/",CHAR(35),"/book/653475/p/-1/t/1/fs/0/start/0/end/0/c")</f>
        <v>https://tablet.otzar.org/#/book/653475/p/-1/t/1/fs/0/start/0/end/0/c</v>
      </c>
    </row>
    <row r="2244" spans="1:8" x14ac:dyDescent="0.25">
      <c r="A2244">
        <v>653476</v>
      </c>
      <c r="B2244" t="s">
        <v>4549</v>
      </c>
      <c r="C2244" t="s">
        <v>2635</v>
      </c>
      <c r="D2244" t="s">
        <v>139</v>
      </c>
      <c r="E2244" t="s">
        <v>11</v>
      </c>
      <c r="G2244" t="str">
        <f>HYPERLINK(_xlfn.CONCAT("https://tablet.otzar.org/",CHAR(35),"/book/653476/p/-1/t/1/fs/0/start/0/end/0/c"),"מדריך לשביעי של פסח שחל בערב שבת")</f>
        <v>מדריך לשביעי של פסח שחל בערב שבת</v>
      </c>
      <c r="H2244" t="str">
        <f>_xlfn.CONCAT("https://tablet.otzar.org/",CHAR(35),"/book/653476/p/-1/t/1/fs/0/start/0/end/0/c")</f>
        <v>https://tablet.otzar.org/#/book/653476/p/-1/t/1/fs/0/start/0/end/0/c</v>
      </c>
    </row>
    <row r="2245" spans="1:8" x14ac:dyDescent="0.25">
      <c r="A2245">
        <v>653477</v>
      </c>
      <c r="B2245" t="s">
        <v>4550</v>
      </c>
      <c r="C2245" t="s">
        <v>2635</v>
      </c>
      <c r="D2245" t="s">
        <v>139</v>
      </c>
      <c r="E2245" t="s">
        <v>35</v>
      </c>
      <c r="G2245" t="str">
        <f>HYPERLINK(_xlfn.CONCAT("https://tablet.otzar.org/",CHAR(35),"/book/653477/p/-1/t/1/fs/0/start/0/end/0/c"),"מדריך לשבת ערב פסח")</f>
        <v>מדריך לשבת ערב פסח</v>
      </c>
      <c r="H2245" t="str">
        <f>_xlfn.CONCAT("https://tablet.otzar.org/",CHAR(35),"/book/653477/p/-1/t/1/fs/0/start/0/end/0/c")</f>
        <v>https://tablet.otzar.org/#/book/653477/p/-1/t/1/fs/0/start/0/end/0/c</v>
      </c>
    </row>
    <row r="2246" spans="1:8" x14ac:dyDescent="0.25">
      <c r="A2246">
        <v>653478</v>
      </c>
      <c r="B2246" t="s">
        <v>4551</v>
      </c>
      <c r="C2246" t="s">
        <v>2635</v>
      </c>
      <c r="D2246" t="s">
        <v>139</v>
      </c>
      <c r="E2246" t="s">
        <v>35</v>
      </c>
      <c r="G2246" t="str">
        <f>HYPERLINK(_xlfn.CONCAT("https://tablet.otzar.org/",CHAR(35),"/book/653478/p/-1/t/1/fs/0/start/0/end/0/c"),"מדריך לשמחת תורה")</f>
        <v>מדריך לשמחת תורה</v>
      </c>
      <c r="H2246" t="str">
        <f>_xlfn.CONCAT("https://tablet.otzar.org/",CHAR(35),"/book/653478/p/-1/t/1/fs/0/start/0/end/0/c")</f>
        <v>https://tablet.otzar.org/#/book/653478/p/-1/t/1/fs/0/start/0/end/0/c</v>
      </c>
    </row>
    <row r="2247" spans="1:8" x14ac:dyDescent="0.25">
      <c r="A2247">
        <v>652592</v>
      </c>
      <c r="B2247" t="s">
        <v>4552</v>
      </c>
      <c r="C2247" t="s">
        <v>2854</v>
      </c>
      <c r="D2247" t="s">
        <v>2410</v>
      </c>
      <c r="E2247" t="s">
        <v>1690</v>
      </c>
      <c r="G2247" t="str">
        <f>HYPERLINK(_xlfn.CONCAT("https://tablet.otzar.org/",CHAR(35),"/exKotar/652592"),"מדריך לתורה שבעל פה - 3 כרכים")</f>
        <v>מדריך לתורה שבעל פה - 3 כרכים</v>
      </c>
      <c r="H2247" t="str">
        <f>_xlfn.CONCAT("https://tablet.otzar.org/",CHAR(35),"/exKotar/652592")</f>
        <v>https://tablet.otzar.org/#/exKotar/652592</v>
      </c>
    </row>
    <row r="2248" spans="1:8" x14ac:dyDescent="0.25">
      <c r="A2248">
        <v>653479</v>
      </c>
      <c r="B2248" t="s">
        <v>4553</v>
      </c>
      <c r="C2248" t="s">
        <v>2635</v>
      </c>
      <c r="D2248" t="s">
        <v>139</v>
      </c>
      <c r="E2248" t="s">
        <v>70</v>
      </c>
      <c r="G2248" t="str">
        <f>HYPERLINK(_xlfn.CONCAT("https://tablet.otzar.org/",CHAR(35),"/book/653479/p/-1/t/1/fs/0/start/0/end/0/c"),"מדריך לתקיעות")</f>
        <v>מדריך לתקיעות</v>
      </c>
      <c r="H2248" t="str">
        <f>_xlfn.CONCAT("https://tablet.otzar.org/",CHAR(35),"/book/653479/p/-1/t/1/fs/0/start/0/end/0/c")</f>
        <v>https://tablet.otzar.org/#/book/653479/p/-1/t/1/fs/0/start/0/end/0/c</v>
      </c>
    </row>
    <row r="2249" spans="1:8" x14ac:dyDescent="0.25">
      <c r="A2249">
        <v>651439</v>
      </c>
      <c r="B2249" t="s">
        <v>4554</v>
      </c>
      <c r="C2249" t="s">
        <v>4555</v>
      </c>
      <c r="D2249" t="s">
        <v>424</v>
      </c>
      <c r="E2249" t="s">
        <v>257</v>
      </c>
      <c r="G2249" t="str">
        <f>HYPERLINK(_xlfn.CONCAT("https://tablet.otzar.org/",CHAR(35),"/book/651439/p/-1/t/1/fs/0/start/0/end/0/c"),"מדריך עזר לפרק אלו טריפות")</f>
        <v>מדריך עזר לפרק אלו טריפות</v>
      </c>
      <c r="H2249" t="str">
        <f>_xlfn.CONCAT("https://tablet.otzar.org/",CHAR(35),"/book/651439/p/-1/t/1/fs/0/start/0/end/0/c")</f>
        <v>https://tablet.otzar.org/#/book/651439/p/-1/t/1/fs/0/start/0/end/0/c</v>
      </c>
    </row>
    <row r="2250" spans="1:8" x14ac:dyDescent="0.25">
      <c r="A2250">
        <v>653811</v>
      </c>
      <c r="B2250" t="s">
        <v>4556</v>
      </c>
      <c r="C2250" t="s">
        <v>2106</v>
      </c>
      <c r="D2250" t="s">
        <v>52</v>
      </c>
      <c r="E2250" t="s">
        <v>763</v>
      </c>
      <c r="G2250" t="str">
        <f>HYPERLINK(_xlfn.CONCAT("https://tablet.otzar.org/",CHAR(35),"/book/653811/p/-1/t/1/fs/0/start/0/end/0/c"),"מדרש אליהו &lt;מהדורה חדשה&gt;")</f>
        <v>מדרש אליהו &lt;מהדורה חדשה&gt;</v>
      </c>
      <c r="H2250" t="str">
        <f>_xlfn.CONCAT("https://tablet.otzar.org/",CHAR(35),"/book/653811/p/-1/t/1/fs/0/start/0/end/0/c")</f>
        <v>https://tablet.otzar.org/#/book/653811/p/-1/t/1/fs/0/start/0/end/0/c</v>
      </c>
    </row>
    <row r="2251" spans="1:8" x14ac:dyDescent="0.25">
      <c r="A2251">
        <v>651207</v>
      </c>
      <c r="B2251" t="s">
        <v>4557</v>
      </c>
      <c r="C2251" t="s">
        <v>4558</v>
      </c>
      <c r="D2251" t="s">
        <v>4559</v>
      </c>
      <c r="E2251" t="s">
        <v>293</v>
      </c>
      <c r="G2251" t="str">
        <f>HYPERLINK(_xlfn.CONCAT("https://tablet.otzar.org/",CHAR(35),"/book/651207/p/-1/t/1/fs/0/start/0/end/0/c"),"מדרש דחד יומא - ו")</f>
        <v>מדרש דחד יומא - ו</v>
      </c>
      <c r="H2251" t="str">
        <f>_xlfn.CONCAT("https://tablet.otzar.org/",CHAR(35),"/book/651207/p/-1/t/1/fs/0/start/0/end/0/c")</f>
        <v>https://tablet.otzar.org/#/book/651207/p/-1/t/1/fs/0/start/0/end/0/c</v>
      </c>
    </row>
    <row r="2252" spans="1:8" x14ac:dyDescent="0.25">
      <c r="A2252">
        <v>649740</v>
      </c>
      <c r="B2252" t="s">
        <v>4560</v>
      </c>
      <c r="C2252" t="s">
        <v>4561</v>
      </c>
      <c r="D2252" t="s">
        <v>34</v>
      </c>
      <c r="E2252" t="s">
        <v>35</v>
      </c>
      <c r="G2252" t="str">
        <f>HYPERLINK(_xlfn.CONCAT("https://tablet.otzar.org/",CHAR(35),"/book/649740/p/-1/t/1/fs/0/start/0/end/0/c"),"מדרש הוראה חדרי תורה")</f>
        <v>מדרש הוראה חדרי תורה</v>
      </c>
      <c r="H2252" t="str">
        <f>_xlfn.CONCAT("https://tablet.otzar.org/",CHAR(35),"/book/649740/p/-1/t/1/fs/0/start/0/end/0/c")</f>
        <v>https://tablet.otzar.org/#/book/649740/p/-1/t/1/fs/0/start/0/end/0/c</v>
      </c>
    </row>
    <row r="2253" spans="1:8" x14ac:dyDescent="0.25">
      <c r="A2253">
        <v>651682</v>
      </c>
      <c r="B2253" t="s">
        <v>4560</v>
      </c>
      <c r="C2253" t="s">
        <v>3680</v>
      </c>
      <c r="D2253" t="s">
        <v>52</v>
      </c>
      <c r="E2253" t="s">
        <v>45</v>
      </c>
      <c r="G2253" t="str">
        <f>HYPERLINK(_xlfn.CONCAT("https://tablet.otzar.org/",CHAR(35),"/book/651682/p/-1/t/1/fs/0/start/0/end/0/c"),"מדרש הוראה חדרי תורה")</f>
        <v>מדרש הוראה חדרי תורה</v>
      </c>
      <c r="H2253" t="str">
        <f>_xlfn.CONCAT("https://tablet.otzar.org/",CHAR(35),"/book/651682/p/-1/t/1/fs/0/start/0/end/0/c")</f>
        <v>https://tablet.otzar.org/#/book/651682/p/-1/t/1/fs/0/start/0/end/0/c</v>
      </c>
    </row>
    <row r="2254" spans="1:8" x14ac:dyDescent="0.25">
      <c r="A2254">
        <v>656847</v>
      </c>
      <c r="B2254" t="s">
        <v>4562</v>
      </c>
      <c r="C2254" t="s">
        <v>4563</v>
      </c>
      <c r="D2254" t="s">
        <v>10</v>
      </c>
      <c r="E2254" t="s">
        <v>11</v>
      </c>
      <c r="G2254" t="str">
        <f>HYPERLINK(_xlfn.CONCAT("https://tablet.otzar.org/",CHAR(35),"/book/656847/p/-1/t/1/fs/0/start/0/end/0/c"),"מדרש משלי &lt;עם כל המפרשים&gt;")</f>
        <v>מדרש משלי &lt;עם כל המפרשים&gt;</v>
      </c>
      <c r="H2254" t="str">
        <f>_xlfn.CONCAT("https://tablet.otzar.org/",CHAR(35),"/book/656847/p/-1/t/1/fs/0/start/0/end/0/c")</f>
        <v>https://tablet.otzar.org/#/book/656847/p/-1/t/1/fs/0/start/0/end/0/c</v>
      </c>
    </row>
    <row r="2255" spans="1:8" x14ac:dyDescent="0.25">
      <c r="A2255">
        <v>648189</v>
      </c>
      <c r="B2255" t="s">
        <v>4564</v>
      </c>
      <c r="C2255" t="s">
        <v>4565</v>
      </c>
      <c r="D2255" t="s">
        <v>34</v>
      </c>
      <c r="E2255" t="s">
        <v>35</v>
      </c>
      <c r="G2255" t="str">
        <f>HYPERLINK(_xlfn.CONCAT("https://tablet.otzar.org/",CHAR(35),"/book/648189/p/-1/t/1/fs/0/start/0/end/0/c"),"מדרש ציון")</f>
        <v>מדרש ציון</v>
      </c>
      <c r="H2255" t="str">
        <f>_xlfn.CONCAT("https://tablet.otzar.org/",CHAR(35),"/book/648189/p/-1/t/1/fs/0/start/0/end/0/c")</f>
        <v>https://tablet.otzar.org/#/book/648189/p/-1/t/1/fs/0/start/0/end/0/c</v>
      </c>
    </row>
    <row r="2256" spans="1:8" x14ac:dyDescent="0.25">
      <c r="A2256">
        <v>652027</v>
      </c>
      <c r="B2256" t="s">
        <v>4566</v>
      </c>
      <c r="C2256" t="s">
        <v>4567</v>
      </c>
      <c r="D2256" t="s">
        <v>1321</v>
      </c>
      <c r="E2256" t="s">
        <v>4568</v>
      </c>
      <c r="G2256" t="str">
        <f>HYPERLINK(_xlfn.CONCAT("https://tablet.otzar.org/",CHAR(35),"/exKotar/652027"),"מדרש רבה &lt;עם פירוש מדעי&gt;  - 8 כרכים")</f>
        <v>מדרש רבה &lt;עם פירוש מדעי&gt;  - 8 כרכים</v>
      </c>
      <c r="H2256" t="str">
        <f>_xlfn.CONCAT("https://tablet.otzar.org/",CHAR(35),"/exKotar/652027")</f>
        <v>https://tablet.otzar.org/#/exKotar/652027</v>
      </c>
    </row>
    <row r="2257" spans="1:8" x14ac:dyDescent="0.25">
      <c r="A2257">
        <v>647986</v>
      </c>
      <c r="B2257" t="s">
        <v>4569</v>
      </c>
      <c r="C2257" t="s">
        <v>4570</v>
      </c>
      <c r="D2257" t="s">
        <v>34</v>
      </c>
      <c r="E2257" t="s">
        <v>84</v>
      </c>
      <c r="G2257" t="str">
        <f>HYPERLINK(_xlfn.CONCAT("https://tablet.otzar.org/",CHAR(35),"/book/647986/p/-1/t/1/fs/0/start/0/end/0/c"),"מה אתה מחפש")</f>
        <v>מה אתה מחפש</v>
      </c>
      <c r="H2257" t="str">
        <f>_xlfn.CONCAT("https://tablet.otzar.org/",CHAR(35),"/book/647986/p/-1/t/1/fs/0/start/0/end/0/c")</f>
        <v>https://tablet.otzar.org/#/book/647986/p/-1/t/1/fs/0/start/0/end/0/c</v>
      </c>
    </row>
    <row r="2258" spans="1:8" x14ac:dyDescent="0.25">
      <c r="A2258">
        <v>647456</v>
      </c>
      <c r="B2258" t="s">
        <v>4571</v>
      </c>
      <c r="C2258" t="s">
        <v>2207</v>
      </c>
      <c r="E2258" t="s">
        <v>114</v>
      </c>
      <c r="G2258" t="str">
        <f>HYPERLINK(_xlfn.CONCAT("https://tablet.otzar.org/",CHAR(35),"/book/647456/p/-1/t/1/fs/0/start/0/end/0/c"),"מה דודך מדוד")</f>
        <v>מה דודך מדוד</v>
      </c>
      <c r="H2258" t="str">
        <f>_xlfn.CONCAT("https://tablet.otzar.org/",CHAR(35),"/book/647456/p/-1/t/1/fs/0/start/0/end/0/c")</f>
        <v>https://tablet.otzar.org/#/book/647456/p/-1/t/1/fs/0/start/0/end/0/c</v>
      </c>
    </row>
    <row r="2259" spans="1:8" x14ac:dyDescent="0.25">
      <c r="A2259">
        <v>648303</v>
      </c>
      <c r="B2259" t="s">
        <v>4572</v>
      </c>
      <c r="C2259" t="s">
        <v>4573</v>
      </c>
      <c r="D2259" t="s">
        <v>10</v>
      </c>
      <c r="E2259" t="s">
        <v>1077</v>
      </c>
      <c r="G2259" t="str">
        <f>HYPERLINK(_xlfn.CONCAT("https://tablet.otzar.org/",CHAR(35),"/exKotar/648303"),"מהדרין - 4 כרכים")</f>
        <v>מהדרין - 4 כרכים</v>
      </c>
      <c r="H2259" t="str">
        <f>_xlfn.CONCAT("https://tablet.otzar.org/",CHAR(35),"/exKotar/648303")</f>
        <v>https://tablet.otzar.org/#/exKotar/648303</v>
      </c>
    </row>
    <row r="2260" spans="1:8" x14ac:dyDescent="0.25">
      <c r="A2260">
        <v>649166</v>
      </c>
      <c r="B2260" t="s">
        <v>4574</v>
      </c>
      <c r="C2260" t="s">
        <v>880</v>
      </c>
      <c r="D2260" t="s">
        <v>10</v>
      </c>
      <c r="E2260" t="s">
        <v>383</v>
      </c>
      <c r="G2260" t="str">
        <f>HYPERLINK(_xlfn.CONCAT("https://tablet.otzar.org/",CHAR(35),"/book/649166/p/-1/t/1/fs/0/start/0/end/0/c"),"מהר""""י הלוי - גבורת אנשים - מהר""""ם כץ - זרע חיים - אסיפת גאונים - שו""""ת ר' העשיל - שאגת אריה")</f>
        <v>מהר""י הלוי - גבורת אנשים - מהר""ם כץ - זרע חיים - אסיפת גאונים - שו""ת ר' העשיל - שאגת אריה</v>
      </c>
      <c r="H2260" t="str">
        <f>_xlfn.CONCAT("https://tablet.otzar.org/",CHAR(35),"/book/649166/p/-1/t/1/fs/0/start/0/end/0/c")</f>
        <v>https://tablet.otzar.org/#/book/649166/p/-1/t/1/fs/0/start/0/end/0/c</v>
      </c>
    </row>
    <row r="2261" spans="1:8" x14ac:dyDescent="0.25">
      <c r="A2261">
        <v>649763</v>
      </c>
      <c r="B2261" t="s">
        <v>4575</v>
      </c>
      <c r="C2261" t="s">
        <v>2361</v>
      </c>
      <c r="D2261" t="s">
        <v>10</v>
      </c>
      <c r="E2261" t="s">
        <v>780</v>
      </c>
      <c r="G2261" t="str">
        <f>HYPERLINK(_xlfn.CONCAT("https://tablet.otzar.org/",CHAR(35),"/exKotar/649763"),"מהרש""""ם - 2 כרכים")</f>
        <v>מהרש""ם - 2 כרכים</v>
      </c>
      <c r="H2261" t="str">
        <f>_xlfn.CONCAT("https://tablet.otzar.org/",CHAR(35),"/exKotar/649763")</f>
        <v>https://tablet.otzar.org/#/exKotar/649763</v>
      </c>
    </row>
    <row r="2262" spans="1:8" x14ac:dyDescent="0.25">
      <c r="A2262">
        <v>655713</v>
      </c>
      <c r="B2262" t="s">
        <v>4576</v>
      </c>
      <c r="C2262" t="s">
        <v>4577</v>
      </c>
      <c r="D2262" t="s">
        <v>52</v>
      </c>
      <c r="E2262" t="s">
        <v>29</v>
      </c>
      <c r="G2262" t="str">
        <f>HYPERLINK(_xlfn.CONCAT("https://tablet.otzar.org/",CHAR(35),"/book/655713/p/-1/t/1/fs/0/start/0/end/0/c"),"מהרש""""מ הכהן - שמות")</f>
        <v>מהרש""מ הכהן - שמות</v>
      </c>
      <c r="H2262" t="str">
        <f>_xlfn.CONCAT("https://tablet.otzar.org/",CHAR(35),"/book/655713/p/-1/t/1/fs/0/start/0/end/0/c")</f>
        <v>https://tablet.otzar.org/#/book/655713/p/-1/t/1/fs/0/start/0/end/0/c</v>
      </c>
    </row>
    <row r="2263" spans="1:8" x14ac:dyDescent="0.25">
      <c r="A2263">
        <v>647913</v>
      </c>
      <c r="B2263" t="s">
        <v>4578</v>
      </c>
      <c r="C2263" t="s">
        <v>4579</v>
      </c>
      <c r="D2263" t="s">
        <v>58</v>
      </c>
      <c r="E2263" t="s">
        <v>4580</v>
      </c>
      <c r="G2263" t="str">
        <f>HYPERLINK(_xlfn.CONCAT("https://tablet.otzar.org/",CHAR(35),"/book/647913/p/-1/t/1/fs/0/start/0/end/0/c"),"מודע לבינה,")</f>
        <v>מודע לבינה,</v>
      </c>
      <c r="H2263" t="str">
        <f>_xlfn.CONCAT("https://tablet.otzar.org/",CHAR(35),"/book/647913/p/-1/t/1/fs/0/start/0/end/0/c")</f>
        <v>https://tablet.otzar.org/#/book/647913/p/-1/t/1/fs/0/start/0/end/0/c</v>
      </c>
    </row>
    <row r="2264" spans="1:8" x14ac:dyDescent="0.25">
      <c r="A2264">
        <v>653282</v>
      </c>
      <c r="B2264" t="s">
        <v>4581</v>
      </c>
      <c r="C2264" t="s">
        <v>4582</v>
      </c>
      <c r="D2264" t="s">
        <v>10</v>
      </c>
      <c r="E2264" t="s">
        <v>4583</v>
      </c>
      <c r="G2264" t="str">
        <f>HYPERLINK(_xlfn.CONCAT("https://tablet.otzar.org/",CHAR(35),"/book/653282/p/-1/t/1/fs/0/start/0/end/0/c"),"מודעה רבה")</f>
        <v>מודעה רבה</v>
      </c>
      <c r="H2264" t="str">
        <f>_xlfn.CONCAT("https://tablet.otzar.org/",CHAR(35),"/book/653282/p/-1/t/1/fs/0/start/0/end/0/c")</f>
        <v>https://tablet.otzar.org/#/book/653282/p/-1/t/1/fs/0/start/0/end/0/c</v>
      </c>
    </row>
    <row r="2265" spans="1:8" x14ac:dyDescent="0.25">
      <c r="A2265">
        <v>650575</v>
      </c>
      <c r="B2265" t="s">
        <v>4584</v>
      </c>
      <c r="C2265" t="s">
        <v>4585</v>
      </c>
      <c r="D2265" t="s">
        <v>4586</v>
      </c>
      <c r="E2265" t="s">
        <v>646</v>
      </c>
      <c r="G2265" t="str">
        <f>HYPERLINK(_xlfn.CONCAT("https://tablet.otzar.org/",CHAR(35),"/book/650575/p/-1/t/1/fs/0/start/0/end/0/c"),"מול בעיות הדור")</f>
        <v>מול בעיות הדור</v>
      </c>
      <c r="H2265" t="str">
        <f>_xlfn.CONCAT("https://tablet.otzar.org/",CHAR(35),"/book/650575/p/-1/t/1/fs/0/start/0/end/0/c")</f>
        <v>https://tablet.otzar.org/#/book/650575/p/-1/t/1/fs/0/start/0/end/0/c</v>
      </c>
    </row>
    <row r="2266" spans="1:8" x14ac:dyDescent="0.25">
      <c r="A2266">
        <v>650760</v>
      </c>
      <c r="B2266" t="s">
        <v>4587</v>
      </c>
      <c r="C2266" t="s">
        <v>4588</v>
      </c>
      <c r="D2266" t="s">
        <v>4203</v>
      </c>
      <c r="E2266" t="s">
        <v>11</v>
      </c>
      <c r="G2266" t="str">
        <f>HYPERLINK(_xlfn.CONCAT("https://tablet.otzar.org/",CHAR(35),"/book/650760/p/-1/t/1/fs/0/start/0/end/0/c"),"מוליכך בדרך - הלכות פריקה וטעינה והולכי דרכים")</f>
        <v>מוליכך בדרך - הלכות פריקה וטעינה והולכי דרכים</v>
      </c>
      <c r="H2266" t="str">
        <f>_xlfn.CONCAT("https://tablet.otzar.org/",CHAR(35),"/book/650760/p/-1/t/1/fs/0/start/0/end/0/c")</f>
        <v>https://tablet.otzar.org/#/book/650760/p/-1/t/1/fs/0/start/0/end/0/c</v>
      </c>
    </row>
    <row r="2267" spans="1:8" x14ac:dyDescent="0.25">
      <c r="A2267">
        <v>656362</v>
      </c>
      <c r="B2267" t="s">
        <v>4589</v>
      </c>
      <c r="C2267" t="s">
        <v>4590</v>
      </c>
      <c r="D2267" t="s">
        <v>181</v>
      </c>
      <c r="E2267" t="s">
        <v>35</v>
      </c>
      <c r="G2267" t="str">
        <f>HYPERLINK(_xlfn.CONCAT("https://tablet.otzar.org/",CHAR(35),"/exKotar/656362"),"מוסף שבת קודש - 90 כרכים")</f>
        <v>מוסף שבת קודש - 90 כרכים</v>
      </c>
      <c r="H2267" t="str">
        <f>_xlfn.CONCAT("https://tablet.otzar.org/",CHAR(35),"/exKotar/656362")</f>
        <v>https://tablet.otzar.org/#/exKotar/656362</v>
      </c>
    </row>
    <row r="2268" spans="1:8" x14ac:dyDescent="0.25">
      <c r="A2268">
        <v>639141</v>
      </c>
      <c r="B2268" t="s">
        <v>4591</v>
      </c>
      <c r="C2268" t="s">
        <v>4592</v>
      </c>
      <c r="D2268" t="s">
        <v>4593</v>
      </c>
      <c r="E2268" t="s">
        <v>4594</v>
      </c>
      <c r="G2268" t="str">
        <f>HYPERLINK(_xlfn.CONCAT("https://tablet.otzar.org/",CHAR(35),"/book/639141/p/-1/t/1/fs/0/start/0/end/0/c"),"מוסר השכל")</f>
        <v>מוסר השכל</v>
      </c>
      <c r="H2268" t="str">
        <f>_xlfn.CONCAT("https://tablet.otzar.org/",CHAR(35),"/book/639141/p/-1/t/1/fs/0/start/0/end/0/c")</f>
        <v>https://tablet.otzar.org/#/book/639141/p/-1/t/1/fs/0/start/0/end/0/c</v>
      </c>
    </row>
    <row r="2269" spans="1:8" x14ac:dyDescent="0.25">
      <c r="A2269">
        <v>651630</v>
      </c>
      <c r="B2269" t="s">
        <v>4591</v>
      </c>
      <c r="C2269" t="s">
        <v>4595</v>
      </c>
      <c r="D2269" t="s">
        <v>52</v>
      </c>
      <c r="E2269" t="s">
        <v>84</v>
      </c>
      <c r="G2269" t="str">
        <f>HYPERLINK(_xlfn.CONCAT("https://tablet.otzar.org/",CHAR(35),"/book/651630/p/-1/t/1/fs/0/start/0/end/0/c"),"מוסר השכל")</f>
        <v>מוסר השכל</v>
      </c>
      <c r="H2269" t="str">
        <f>_xlfn.CONCAT("https://tablet.otzar.org/",CHAR(35),"/book/651630/p/-1/t/1/fs/0/start/0/end/0/c")</f>
        <v>https://tablet.otzar.org/#/book/651630/p/-1/t/1/fs/0/start/0/end/0/c</v>
      </c>
    </row>
    <row r="2270" spans="1:8" x14ac:dyDescent="0.25">
      <c r="A2270">
        <v>655589</v>
      </c>
      <c r="B2270" t="s">
        <v>4596</v>
      </c>
      <c r="C2270" t="s">
        <v>4597</v>
      </c>
      <c r="D2270" t="s">
        <v>10</v>
      </c>
      <c r="E2270" t="s">
        <v>11</v>
      </c>
      <c r="G2270" t="str">
        <f>HYPERLINK(_xlfn.CONCAT("https://tablet.otzar.org/",CHAR(35),"/book/655589/p/-1/t/1/fs/0/start/0/end/0/c"),"מוסר מלכים - כוס תנחומים - מהדורה חדשה")</f>
        <v>מוסר מלכים - כוס תנחומים - מהדורה חדשה</v>
      </c>
      <c r="H2270" t="str">
        <f>_xlfn.CONCAT("https://tablet.otzar.org/",CHAR(35),"/book/655589/p/-1/t/1/fs/0/start/0/end/0/c")</f>
        <v>https://tablet.otzar.org/#/book/655589/p/-1/t/1/fs/0/start/0/end/0/c</v>
      </c>
    </row>
    <row r="2271" spans="1:8" x14ac:dyDescent="0.25">
      <c r="A2271">
        <v>655590</v>
      </c>
      <c r="B2271" t="s">
        <v>4598</v>
      </c>
      <c r="C2271" t="s">
        <v>4599</v>
      </c>
      <c r="D2271" t="s">
        <v>10</v>
      </c>
      <c r="E2271" t="s">
        <v>11</v>
      </c>
      <c r="G2271" t="str">
        <f>HYPERLINK(_xlfn.CONCAT("https://tablet.otzar.org/",CHAR(35),"/book/655590/p/-1/t/1/fs/0/start/0/end/0/c"),"מוסר מלכים - סליחת תא שמע")</f>
        <v>מוסר מלכים - סליחת תא שמע</v>
      </c>
      <c r="H2271" t="str">
        <f>_xlfn.CONCAT("https://tablet.otzar.org/",CHAR(35),"/book/655590/p/-1/t/1/fs/0/start/0/end/0/c")</f>
        <v>https://tablet.otzar.org/#/book/655590/p/-1/t/1/fs/0/start/0/end/0/c</v>
      </c>
    </row>
    <row r="2272" spans="1:8" x14ac:dyDescent="0.25">
      <c r="A2272">
        <v>648099</v>
      </c>
      <c r="B2272" t="s">
        <v>4600</v>
      </c>
      <c r="C2272" t="s">
        <v>4601</v>
      </c>
      <c r="D2272" t="s">
        <v>10</v>
      </c>
      <c r="E2272" t="s">
        <v>293</v>
      </c>
      <c r="G2272" t="str">
        <f>HYPERLINK(_xlfn.CONCAT("https://tablet.otzar.org/",CHAR(35),"/exKotar/648099"),"מוסרי השל""""ה - 2 כרכים")</f>
        <v>מוסרי השל""ה - 2 כרכים</v>
      </c>
      <c r="H2272" t="str">
        <f>_xlfn.CONCAT("https://tablet.otzar.org/",CHAR(35),"/exKotar/648099")</f>
        <v>https://tablet.otzar.org/#/exKotar/648099</v>
      </c>
    </row>
    <row r="2273" spans="1:8" x14ac:dyDescent="0.25">
      <c r="A2273">
        <v>651704</v>
      </c>
      <c r="B2273" t="s">
        <v>4602</v>
      </c>
      <c r="C2273" t="s">
        <v>1038</v>
      </c>
      <c r="D2273" t="s">
        <v>52</v>
      </c>
      <c r="E2273" t="s">
        <v>11</v>
      </c>
      <c r="G2273" t="str">
        <f>HYPERLINK(_xlfn.CONCAT("https://tablet.otzar.org/",CHAR(35),"/book/651704/p/-1/t/1/fs/0/start/0/end/0/c"),"מוסרי יעקב")</f>
        <v>מוסרי יעקב</v>
      </c>
      <c r="H2273" t="str">
        <f>_xlfn.CONCAT("https://tablet.otzar.org/",CHAR(35),"/book/651704/p/-1/t/1/fs/0/start/0/end/0/c")</f>
        <v>https://tablet.otzar.org/#/book/651704/p/-1/t/1/fs/0/start/0/end/0/c</v>
      </c>
    </row>
    <row r="2274" spans="1:8" x14ac:dyDescent="0.25">
      <c r="A2274">
        <v>651004</v>
      </c>
      <c r="B2274" t="s">
        <v>4603</v>
      </c>
      <c r="C2274" t="s">
        <v>4604</v>
      </c>
      <c r="D2274" t="s">
        <v>4435</v>
      </c>
      <c r="E2274" t="s">
        <v>35</v>
      </c>
      <c r="G2274" t="str">
        <f>HYPERLINK(_xlfn.CONCAT("https://tablet.otzar.org/",CHAR(35),"/book/651004/p/-1/t/1/fs/0/start/0/end/0/c"),"מועדי ה' - פורים")</f>
        <v>מועדי ה' - פורים</v>
      </c>
      <c r="H2274" t="str">
        <f>_xlfn.CONCAT("https://tablet.otzar.org/",CHAR(35),"/book/651004/p/-1/t/1/fs/0/start/0/end/0/c")</f>
        <v>https://tablet.otzar.org/#/book/651004/p/-1/t/1/fs/0/start/0/end/0/c</v>
      </c>
    </row>
    <row r="2275" spans="1:8" x14ac:dyDescent="0.25">
      <c r="A2275">
        <v>655197</v>
      </c>
      <c r="B2275" t="s">
        <v>4605</v>
      </c>
      <c r="C2275" t="s">
        <v>928</v>
      </c>
      <c r="D2275" t="s">
        <v>287</v>
      </c>
      <c r="E2275" t="s">
        <v>84</v>
      </c>
      <c r="G2275" t="str">
        <f>HYPERLINK(_xlfn.CONCAT("https://tablet.otzar.org/",CHAR(35),"/exKotar/655197"),"מועדי הסופר - 3 כרכים")</f>
        <v>מועדי הסופר - 3 כרכים</v>
      </c>
      <c r="H2275" t="str">
        <f>_xlfn.CONCAT("https://tablet.otzar.org/",CHAR(35),"/exKotar/655197")</f>
        <v>https://tablet.otzar.org/#/exKotar/655197</v>
      </c>
    </row>
    <row r="2276" spans="1:8" x14ac:dyDescent="0.25">
      <c r="A2276">
        <v>649489</v>
      </c>
      <c r="B2276" t="s">
        <v>4606</v>
      </c>
      <c r="C2276" t="s">
        <v>4607</v>
      </c>
      <c r="D2276" t="s">
        <v>10</v>
      </c>
      <c r="E2276" t="s">
        <v>70</v>
      </c>
      <c r="G2276" t="str">
        <f>HYPERLINK(_xlfn.CONCAT("https://tablet.otzar.org/",CHAR(35),"/book/649489/p/-1/t/1/fs/0/start/0/end/0/c"),"מועדי ישראל")</f>
        <v>מועדי ישראל</v>
      </c>
      <c r="H2276" t="str">
        <f>_xlfn.CONCAT("https://tablet.otzar.org/",CHAR(35),"/book/649489/p/-1/t/1/fs/0/start/0/end/0/c")</f>
        <v>https://tablet.otzar.org/#/book/649489/p/-1/t/1/fs/0/start/0/end/0/c</v>
      </c>
    </row>
    <row r="2277" spans="1:8" x14ac:dyDescent="0.25">
      <c r="A2277">
        <v>654677</v>
      </c>
      <c r="B2277" t="s">
        <v>4606</v>
      </c>
      <c r="C2277" t="s">
        <v>2757</v>
      </c>
      <c r="D2277" t="s">
        <v>139</v>
      </c>
      <c r="E2277" t="s">
        <v>35</v>
      </c>
      <c r="G2277" t="str">
        <f>HYPERLINK(_xlfn.CONCAT("https://tablet.otzar.org/",CHAR(35),"/book/654677/p/-1/t/1/fs/0/start/0/end/0/c"),"מועדי ישראל")</f>
        <v>מועדי ישראל</v>
      </c>
      <c r="H2277" t="str">
        <f>_xlfn.CONCAT("https://tablet.otzar.org/",CHAR(35),"/book/654677/p/-1/t/1/fs/0/start/0/end/0/c")</f>
        <v>https://tablet.otzar.org/#/book/654677/p/-1/t/1/fs/0/start/0/end/0/c</v>
      </c>
    </row>
    <row r="2278" spans="1:8" x14ac:dyDescent="0.25">
      <c r="A2278">
        <v>648916</v>
      </c>
      <c r="B2278" t="s">
        <v>4608</v>
      </c>
      <c r="C2278" t="s">
        <v>4609</v>
      </c>
      <c r="E2278" t="s">
        <v>73</v>
      </c>
      <c r="G2278" t="str">
        <f>HYPERLINK(_xlfn.CONCAT("https://tablet.otzar.org/",CHAR(35),"/book/648916/p/-1/t/1/fs/0/start/0/end/0/c"),"מורה אור")</f>
        <v>מורה אור</v>
      </c>
      <c r="H2278" t="str">
        <f>_xlfn.CONCAT("https://tablet.otzar.org/",CHAR(35),"/book/648916/p/-1/t/1/fs/0/start/0/end/0/c")</f>
        <v>https://tablet.otzar.org/#/book/648916/p/-1/t/1/fs/0/start/0/end/0/c</v>
      </c>
    </row>
    <row r="2279" spans="1:8" x14ac:dyDescent="0.25">
      <c r="A2279">
        <v>650191</v>
      </c>
      <c r="B2279" t="s">
        <v>4610</v>
      </c>
      <c r="C2279" t="s">
        <v>614</v>
      </c>
      <c r="D2279" t="s">
        <v>10</v>
      </c>
      <c r="E2279" t="s">
        <v>697</v>
      </c>
      <c r="G2279" t="str">
        <f>HYPERLINK(_xlfn.CONCAT("https://tablet.otzar.org/",CHAR(35),"/book/650191/p/-1/t/1/fs/0/start/0/end/0/c"),"מורה דרך למקומות הקדושים")</f>
        <v>מורה דרך למקומות הקדושים</v>
      </c>
      <c r="H2279" t="str">
        <f>_xlfn.CONCAT("https://tablet.otzar.org/",CHAR(35),"/book/650191/p/-1/t/1/fs/0/start/0/end/0/c")</f>
        <v>https://tablet.otzar.org/#/book/650191/p/-1/t/1/fs/0/start/0/end/0/c</v>
      </c>
    </row>
    <row r="2280" spans="1:8" x14ac:dyDescent="0.25">
      <c r="A2280">
        <v>655380</v>
      </c>
      <c r="B2280" t="s">
        <v>4611</v>
      </c>
      <c r="C2280" t="s">
        <v>4612</v>
      </c>
      <c r="D2280" t="s">
        <v>10</v>
      </c>
      <c r="E2280" t="s">
        <v>4613</v>
      </c>
      <c r="G2280" t="str">
        <f>HYPERLINK(_xlfn.CONCAT("https://tablet.otzar.org/",CHAR(35),"/book/655380/p/-1/t/1/fs/0/start/0/end/0/c"),"מורה צדק - מהדורה חדשה")</f>
        <v>מורה צדק - מהדורה חדשה</v>
      </c>
      <c r="H2280" t="str">
        <f>_xlfn.CONCAT("https://tablet.otzar.org/",CHAR(35),"/book/655380/p/-1/t/1/fs/0/start/0/end/0/c")</f>
        <v>https://tablet.otzar.org/#/book/655380/p/-1/t/1/fs/0/start/0/end/0/c</v>
      </c>
    </row>
    <row r="2281" spans="1:8" x14ac:dyDescent="0.25">
      <c r="A2281">
        <v>654146</v>
      </c>
      <c r="B2281" t="s">
        <v>4614</v>
      </c>
      <c r="C2281" t="s">
        <v>4615</v>
      </c>
      <c r="D2281" t="s">
        <v>52</v>
      </c>
      <c r="E2281" t="s">
        <v>45</v>
      </c>
      <c r="G2281" t="str">
        <f>HYPERLINK(_xlfn.CONCAT("https://tablet.otzar.org/",CHAR(35),"/book/654146/p/-1/t/1/fs/0/start/0/end/0/c"),"מוריד שאול ויעל")</f>
        <v>מוריד שאול ויעל</v>
      </c>
      <c r="H2281" t="str">
        <f>_xlfn.CONCAT("https://tablet.otzar.org/",CHAR(35),"/book/654146/p/-1/t/1/fs/0/start/0/end/0/c")</f>
        <v>https://tablet.otzar.org/#/book/654146/p/-1/t/1/fs/0/start/0/end/0/c</v>
      </c>
    </row>
    <row r="2282" spans="1:8" x14ac:dyDescent="0.25">
      <c r="A2282">
        <v>656858</v>
      </c>
      <c r="B2282" t="s">
        <v>4616</v>
      </c>
      <c r="C2282" t="s">
        <v>4617</v>
      </c>
      <c r="D2282" t="s">
        <v>10</v>
      </c>
      <c r="E2282" t="s">
        <v>35</v>
      </c>
      <c r="G2282" t="str">
        <f>HYPERLINK(_xlfn.CONCAT("https://tablet.otzar.org/",CHAR(35),"/book/656858/p/-1/t/1/fs/0/start/0/end/0/c"),"מוריה - תנא-תנג")</f>
        <v>מוריה - תנא-תנג</v>
      </c>
      <c r="H2282" t="str">
        <f>_xlfn.CONCAT("https://tablet.otzar.org/",CHAR(35),"/book/656858/p/-1/t/1/fs/0/start/0/end/0/c")</f>
        <v>https://tablet.otzar.org/#/book/656858/p/-1/t/1/fs/0/start/0/end/0/c</v>
      </c>
    </row>
    <row r="2283" spans="1:8" x14ac:dyDescent="0.25">
      <c r="A2283">
        <v>652931</v>
      </c>
      <c r="B2283" t="s">
        <v>4618</v>
      </c>
      <c r="C2283" t="s">
        <v>382</v>
      </c>
      <c r="D2283" t="s">
        <v>10</v>
      </c>
      <c r="E2283" t="s">
        <v>804</v>
      </c>
      <c r="G2283" t="str">
        <f>HYPERLINK(_xlfn.CONCAT("https://tablet.otzar.org/",CHAR(35),"/book/652931/p/-1/t/1/fs/0/start/0/end/0/c"),"מורשה - ד")</f>
        <v>מורשה - ד</v>
      </c>
      <c r="H2283" t="str">
        <f>_xlfn.CONCAT("https://tablet.otzar.org/",CHAR(35),"/book/652931/p/-1/t/1/fs/0/start/0/end/0/c")</f>
        <v>https://tablet.otzar.org/#/book/652931/p/-1/t/1/fs/0/start/0/end/0/c</v>
      </c>
    </row>
    <row r="2284" spans="1:8" x14ac:dyDescent="0.25">
      <c r="A2284">
        <v>652776</v>
      </c>
      <c r="B2284" t="s">
        <v>4619</v>
      </c>
      <c r="C2284" t="s">
        <v>4620</v>
      </c>
      <c r="D2284" t="s">
        <v>52</v>
      </c>
      <c r="E2284" t="s">
        <v>11</v>
      </c>
      <c r="G2284" t="str">
        <f>HYPERLINK(_xlfn.CONCAT("https://tablet.otzar.org/",CHAR(35),"/book/652776/p/-1/t/1/fs/0/start/0/end/0/c"),"מורשה - ב")</f>
        <v>מורשה - ב</v>
      </c>
      <c r="H2284" t="str">
        <f>_xlfn.CONCAT("https://tablet.otzar.org/",CHAR(35),"/book/652776/p/-1/t/1/fs/0/start/0/end/0/c")</f>
        <v>https://tablet.otzar.org/#/book/652776/p/-1/t/1/fs/0/start/0/end/0/c</v>
      </c>
    </row>
    <row r="2285" spans="1:8" x14ac:dyDescent="0.25">
      <c r="A2285">
        <v>650631</v>
      </c>
      <c r="B2285" t="s">
        <v>4621</v>
      </c>
      <c r="C2285" t="s">
        <v>4622</v>
      </c>
      <c r="D2285" t="s">
        <v>52</v>
      </c>
      <c r="E2285" t="s">
        <v>780</v>
      </c>
      <c r="G2285" t="str">
        <f>HYPERLINK(_xlfn.CONCAT("https://tablet.otzar.org/",CHAR(35),"/book/650631/p/-1/t/1/fs/0/start/0/end/0/c"),"מורשת - תשנ""""ה")</f>
        <v>מורשת - תשנ""ה</v>
      </c>
      <c r="H2285" t="str">
        <f>_xlfn.CONCAT("https://tablet.otzar.org/",CHAR(35),"/book/650631/p/-1/t/1/fs/0/start/0/end/0/c")</f>
        <v>https://tablet.otzar.org/#/book/650631/p/-1/t/1/fs/0/start/0/end/0/c</v>
      </c>
    </row>
    <row r="2286" spans="1:8" x14ac:dyDescent="0.25">
      <c r="A2286">
        <v>647484</v>
      </c>
      <c r="B2286" t="s">
        <v>4623</v>
      </c>
      <c r="C2286" t="s">
        <v>4624</v>
      </c>
      <c r="E2286" t="s">
        <v>495</v>
      </c>
      <c r="G2286" t="str">
        <f>HYPERLINK(_xlfn.CONCAT("https://tablet.otzar.org/",CHAR(35),"/book/647484/p/-1/t/1/fs/0/start/0/end/0/c"),"מורשת קול אריה")</f>
        <v>מורשת קול אריה</v>
      </c>
      <c r="H2286" t="str">
        <f>_xlfn.CONCAT("https://tablet.otzar.org/",CHAR(35),"/book/647484/p/-1/t/1/fs/0/start/0/end/0/c")</f>
        <v>https://tablet.otzar.org/#/book/647484/p/-1/t/1/fs/0/start/0/end/0/c</v>
      </c>
    </row>
    <row r="2287" spans="1:8" x14ac:dyDescent="0.25">
      <c r="A2287">
        <v>648798</v>
      </c>
      <c r="B2287" t="s">
        <v>4625</v>
      </c>
      <c r="C2287" t="s">
        <v>4626</v>
      </c>
      <c r="D2287" t="s">
        <v>10</v>
      </c>
      <c r="E2287" t="s">
        <v>11</v>
      </c>
      <c r="G2287" t="str">
        <f>HYPERLINK(_xlfn.CONCAT("https://tablet.otzar.org/",CHAR(35),"/book/648798/p/-1/t/1/fs/0/start/0/end/0/c"),"מושגים בעולם התורה")</f>
        <v>מושגים בעולם התורה</v>
      </c>
      <c r="H2287" t="str">
        <f>_xlfn.CONCAT("https://tablet.otzar.org/",CHAR(35),"/book/648798/p/-1/t/1/fs/0/start/0/end/0/c")</f>
        <v>https://tablet.otzar.org/#/book/648798/p/-1/t/1/fs/0/start/0/end/0/c</v>
      </c>
    </row>
    <row r="2288" spans="1:8" x14ac:dyDescent="0.25">
      <c r="A2288">
        <v>650507</v>
      </c>
      <c r="B2288" t="s">
        <v>4627</v>
      </c>
      <c r="C2288" t="s">
        <v>4628</v>
      </c>
      <c r="D2288" t="s">
        <v>2519</v>
      </c>
      <c r="E2288" t="s">
        <v>4629</v>
      </c>
      <c r="G2288" t="str">
        <f>HYPERLINK(_xlfn.CONCAT("https://tablet.otzar.org/",CHAR(35),"/book/650507/p/-1/t/1/fs/0/start/0/end/0/c"),"מזבח כפרה")</f>
        <v>מזבח כפרה</v>
      </c>
      <c r="H2288" t="str">
        <f>_xlfn.CONCAT("https://tablet.otzar.org/",CHAR(35),"/book/650507/p/-1/t/1/fs/0/start/0/end/0/c")</f>
        <v>https://tablet.otzar.org/#/book/650507/p/-1/t/1/fs/0/start/0/end/0/c</v>
      </c>
    </row>
    <row r="2289" spans="1:8" x14ac:dyDescent="0.25">
      <c r="A2289">
        <v>649703</v>
      </c>
      <c r="B2289" t="s">
        <v>4630</v>
      </c>
      <c r="C2289" t="s">
        <v>4631</v>
      </c>
      <c r="D2289" t="s">
        <v>129</v>
      </c>
      <c r="E2289" t="s">
        <v>4632</v>
      </c>
      <c r="G2289" t="str">
        <f>HYPERLINK(_xlfn.CONCAT("https://tablet.otzar.org/",CHAR(35),"/book/649703/p/-1/t/1/fs/0/start/0/end/0/c"),"מזכרונות איש ירושלים - ב")</f>
        <v>מזכרונות איש ירושלים - ב</v>
      </c>
      <c r="H2289" t="str">
        <f>_xlfn.CONCAT("https://tablet.otzar.org/",CHAR(35),"/book/649703/p/-1/t/1/fs/0/start/0/end/0/c")</f>
        <v>https://tablet.otzar.org/#/book/649703/p/-1/t/1/fs/0/start/0/end/0/c</v>
      </c>
    </row>
    <row r="2290" spans="1:8" x14ac:dyDescent="0.25">
      <c r="A2290">
        <v>648822</v>
      </c>
      <c r="B2290" t="s">
        <v>4633</v>
      </c>
      <c r="C2290" t="s">
        <v>4634</v>
      </c>
      <c r="D2290" t="s">
        <v>52</v>
      </c>
      <c r="E2290" t="s">
        <v>11</v>
      </c>
      <c r="G2290" t="str">
        <f>HYPERLINK(_xlfn.CONCAT("https://tablet.otzar.org/",CHAR(35),"/book/648822/p/-1/t/1/fs/0/start/0/end/0/c"),"מזכרת דוד")</f>
        <v>מזכרת דוד</v>
      </c>
      <c r="H2290" t="str">
        <f>_xlfn.CONCAT("https://tablet.otzar.org/",CHAR(35),"/book/648822/p/-1/t/1/fs/0/start/0/end/0/c")</f>
        <v>https://tablet.otzar.org/#/book/648822/p/-1/t/1/fs/0/start/0/end/0/c</v>
      </c>
    </row>
    <row r="2291" spans="1:8" x14ac:dyDescent="0.25">
      <c r="A2291">
        <v>649949</v>
      </c>
      <c r="B2291" t="s">
        <v>4635</v>
      </c>
      <c r="C2291" t="s">
        <v>4636</v>
      </c>
      <c r="D2291" t="s">
        <v>58</v>
      </c>
      <c r="E2291" t="s">
        <v>136</v>
      </c>
      <c r="G2291" t="str">
        <f>HYPERLINK(_xlfn.CONCAT("https://tablet.otzar.org/",CHAR(35),"/book/649949/p/-1/t/1/fs/0/start/0/end/0/c"),"מזכרת משה")</f>
        <v>מזכרת משה</v>
      </c>
      <c r="H2291" t="str">
        <f>_xlfn.CONCAT("https://tablet.otzar.org/",CHAR(35),"/book/649949/p/-1/t/1/fs/0/start/0/end/0/c")</f>
        <v>https://tablet.otzar.org/#/book/649949/p/-1/t/1/fs/0/start/0/end/0/c</v>
      </c>
    </row>
    <row r="2292" spans="1:8" x14ac:dyDescent="0.25">
      <c r="A2292">
        <v>649800</v>
      </c>
      <c r="B2292" t="s">
        <v>4637</v>
      </c>
      <c r="C2292" t="s">
        <v>4638</v>
      </c>
      <c r="E2292" t="s">
        <v>357</v>
      </c>
      <c r="G2292" t="str">
        <f>HYPERLINK(_xlfn.CONCAT("https://tablet.otzar.org/",CHAR(35),"/book/649800/p/-1/t/1/fs/0/start/0/end/0/c"),"מזכרת משמחת שבע ברכות")</f>
        <v>מזכרת משמחת שבע ברכות</v>
      </c>
      <c r="H2292" t="str">
        <f>_xlfn.CONCAT("https://tablet.otzar.org/",CHAR(35),"/book/649800/p/-1/t/1/fs/0/start/0/end/0/c")</f>
        <v>https://tablet.otzar.org/#/book/649800/p/-1/t/1/fs/0/start/0/end/0/c</v>
      </c>
    </row>
    <row r="2293" spans="1:8" x14ac:dyDescent="0.25">
      <c r="A2293">
        <v>649129</v>
      </c>
      <c r="B2293" t="s">
        <v>4639</v>
      </c>
      <c r="C2293" t="s">
        <v>1327</v>
      </c>
      <c r="D2293" t="s">
        <v>10</v>
      </c>
      <c r="E2293" t="s">
        <v>558</v>
      </c>
      <c r="G2293" t="str">
        <f>HYPERLINK(_xlfn.CONCAT("https://tablet.otzar.org/",CHAR(35),"/book/649129/p/-1/t/1/fs/0/start/0/end/0/c"),"מזמור ביום השבת - שיר ליום השבת")</f>
        <v>מזמור ביום השבת - שיר ליום השבת</v>
      </c>
      <c r="H2293" t="str">
        <f>_xlfn.CONCAT("https://tablet.otzar.org/",CHAR(35),"/book/649129/p/-1/t/1/fs/0/start/0/end/0/c")</f>
        <v>https://tablet.otzar.org/#/book/649129/p/-1/t/1/fs/0/start/0/end/0/c</v>
      </c>
    </row>
    <row r="2294" spans="1:8" x14ac:dyDescent="0.25">
      <c r="A2294">
        <v>656933</v>
      </c>
      <c r="B2294" t="s">
        <v>4640</v>
      </c>
      <c r="C2294" t="s">
        <v>4641</v>
      </c>
      <c r="D2294" t="s">
        <v>10</v>
      </c>
      <c r="E2294" t="s">
        <v>1476</v>
      </c>
      <c r="G2294" t="str">
        <f>HYPERLINK(_xlfn.CONCAT("https://tablet.otzar.org/",CHAR(35),"/book/656933/p/-1/t/1/fs/0/start/0/end/0/c"),"מזמור לאסף - סוכה, ביצה, ראש השנה")</f>
        <v>מזמור לאסף - סוכה, ביצה, ראש השנה</v>
      </c>
      <c r="H2294" t="str">
        <f>_xlfn.CONCAT("https://tablet.otzar.org/",CHAR(35),"/book/656933/p/-1/t/1/fs/0/start/0/end/0/c")</f>
        <v>https://tablet.otzar.org/#/book/656933/p/-1/t/1/fs/0/start/0/end/0/c</v>
      </c>
    </row>
    <row r="2295" spans="1:8" x14ac:dyDescent="0.25">
      <c r="A2295">
        <v>651901</v>
      </c>
      <c r="B2295" t="s">
        <v>4642</v>
      </c>
      <c r="C2295" t="s">
        <v>1855</v>
      </c>
      <c r="D2295" t="s">
        <v>4643</v>
      </c>
      <c r="E2295" t="s">
        <v>4644</v>
      </c>
      <c r="G2295" t="str">
        <f>HYPERLINK(_xlfn.CONCAT("https://tablet.otzar.org/",CHAR(35),"/book/651901/p/-1/t/1/fs/0/start/0/end/0/c"),"מחאת סופרים")</f>
        <v>מחאת סופרים</v>
      </c>
      <c r="H2295" t="str">
        <f>_xlfn.CONCAT("https://tablet.otzar.org/",CHAR(35),"/book/651901/p/-1/t/1/fs/0/start/0/end/0/c")</f>
        <v>https://tablet.otzar.org/#/book/651901/p/-1/t/1/fs/0/start/0/end/0/c</v>
      </c>
    </row>
    <row r="2296" spans="1:8" x14ac:dyDescent="0.25">
      <c r="A2296">
        <v>651909</v>
      </c>
      <c r="B2296" t="s">
        <v>4645</v>
      </c>
      <c r="C2296" t="s">
        <v>4646</v>
      </c>
      <c r="D2296" t="s">
        <v>10</v>
      </c>
      <c r="E2296">
        <v>1943</v>
      </c>
      <c r="G2296" t="str">
        <f>HYPERLINK(_xlfn.CONCAT("https://tablet.otzar.org/",CHAR(35),"/book/651909/p/-1/t/1/fs/0/start/0/end/0/c"),"מחברת הגאון והגדולה")</f>
        <v>מחברת הגאון והגדולה</v>
      </c>
      <c r="H2296" t="str">
        <f>_xlfn.CONCAT("https://tablet.otzar.org/",CHAR(35),"/book/651909/p/-1/t/1/fs/0/start/0/end/0/c")</f>
        <v>https://tablet.otzar.org/#/book/651909/p/-1/t/1/fs/0/start/0/end/0/c</v>
      </c>
    </row>
    <row r="2297" spans="1:8" x14ac:dyDescent="0.25">
      <c r="A2297">
        <v>650178</v>
      </c>
      <c r="B2297" t="s">
        <v>4647</v>
      </c>
      <c r="C2297" t="s">
        <v>4648</v>
      </c>
      <c r="D2297" t="s">
        <v>39</v>
      </c>
      <c r="E2297" t="s">
        <v>40</v>
      </c>
      <c r="G2297" t="str">
        <f>HYPERLINK(_xlfn.CONCAT("https://tablet.otzar.org/",CHAR(35),"/book/650178/p/-1/t/1/fs/0/start/0/end/0/c"),"מחברת לעבודה בתלמוד")</f>
        <v>מחברת לעבודה בתלמוד</v>
      </c>
      <c r="H2297" t="str">
        <f>_xlfn.CONCAT("https://tablet.otzar.org/",CHAR(35),"/book/650178/p/-1/t/1/fs/0/start/0/end/0/c")</f>
        <v>https://tablet.otzar.org/#/book/650178/p/-1/t/1/fs/0/start/0/end/0/c</v>
      </c>
    </row>
    <row r="2298" spans="1:8" x14ac:dyDescent="0.25">
      <c r="A2298">
        <v>647716</v>
      </c>
      <c r="B2298" t="s">
        <v>4649</v>
      </c>
      <c r="C2298" t="s">
        <v>4650</v>
      </c>
      <c r="D2298" t="s">
        <v>10</v>
      </c>
      <c r="E2298" t="s">
        <v>35</v>
      </c>
      <c r="G2298" t="str">
        <f>HYPERLINK(_xlfn.CONCAT("https://tablet.otzar.org/",CHAR(35),"/book/647716/p/-1/t/1/fs/0/start/0/end/0/c"),"מחברת שיעורים - בבא מציעא")</f>
        <v>מחברת שיעורים - בבא מציעא</v>
      </c>
      <c r="H2298" t="str">
        <f>_xlfn.CONCAT("https://tablet.otzar.org/",CHAR(35),"/book/647716/p/-1/t/1/fs/0/start/0/end/0/c")</f>
        <v>https://tablet.otzar.org/#/book/647716/p/-1/t/1/fs/0/start/0/end/0/c</v>
      </c>
    </row>
    <row r="2299" spans="1:8" x14ac:dyDescent="0.25">
      <c r="A2299">
        <v>652800</v>
      </c>
      <c r="B2299" t="s">
        <v>4651</v>
      </c>
      <c r="C2299" t="s">
        <v>4652</v>
      </c>
      <c r="D2299" t="s">
        <v>4320</v>
      </c>
      <c r="E2299" t="s">
        <v>4653</v>
      </c>
      <c r="G2299" t="str">
        <f>HYPERLINK(_xlfn.CONCAT("https://tablet.otzar.org/",CHAR(35),"/book/652800/p/-1/t/1/fs/0/start/0/end/0/c"),"מחברת תופת והעדן ומחברת פורים")</f>
        <v>מחברת תופת והעדן ומחברת פורים</v>
      </c>
      <c r="H2299" t="str">
        <f>_xlfn.CONCAT("https://tablet.otzar.org/",CHAR(35),"/book/652800/p/-1/t/1/fs/0/start/0/end/0/c")</f>
        <v>https://tablet.otzar.org/#/book/652800/p/-1/t/1/fs/0/start/0/end/0/c</v>
      </c>
    </row>
    <row r="2300" spans="1:8" x14ac:dyDescent="0.25">
      <c r="A2300">
        <v>654441</v>
      </c>
      <c r="B2300" t="s">
        <v>4654</v>
      </c>
      <c r="C2300" t="s">
        <v>3266</v>
      </c>
      <c r="D2300" t="s">
        <v>3267</v>
      </c>
      <c r="E2300" t="s">
        <v>11</v>
      </c>
      <c r="G2300" t="str">
        <f>HYPERLINK(_xlfn.CONCAT("https://tablet.otzar.org/",CHAR(35),"/book/654441/p/-1/t/1/fs/0/start/0/end/0/c"),"מחודדים בפיך")</f>
        <v>מחודדים בפיך</v>
      </c>
      <c r="H2300" t="str">
        <f>_xlfn.CONCAT("https://tablet.otzar.org/",CHAR(35),"/book/654441/p/-1/t/1/fs/0/start/0/end/0/c")</f>
        <v>https://tablet.otzar.org/#/book/654441/p/-1/t/1/fs/0/start/0/end/0/c</v>
      </c>
    </row>
    <row r="2301" spans="1:8" x14ac:dyDescent="0.25">
      <c r="A2301">
        <v>654697</v>
      </c>
      <c r="B2301" t="s">
        <v>4655</v>
      </c>
      <c r="C2301" t="s">
        <v>4656</v>
      </c>
      <c r="D2301" t="s">
        <v>10</v>
      </c>
      <c r="E2301" t="s">
        <v>45</v>
      </c>
      <c r="G2301" t="str">
        <f>HYPERLINK(_xlfn.CONCAT("https://tablet.otzar.org/",CHAR(35),"/book/654697/p/-1/t/1/fs/0/start/0/end/0/c"),"מחזה אליהו - ג")</f>
        <v>מחזה אליהו - ג</v>
      </c>
      <c r="H2301" t="str">
        <f>_xlfn.CONCAT("https://tablet.otzar.org/",CHAR(35),"/book/654697/p/-1/t/1/fs/0/start/0/end/0/c")</f>
        <v>https://tablet.otzar.org/#/book/654697/p/-1/t/1/fs/0/start/0/end/0/c</v>
      </c>
    </row>
    <row r="2302" spans="1:8" x14ac:dyDescent="0.25">
      <c r="A2302">
        <v>655388</v>
      </c>
      <c r="B2302" t="s">
        <v>4657</v>
      </c>
      <c r="C2302" t="s">
        <v>1475</v>
      </c>
      <c r="D2302" t="s">
        <v>10</v>
      </c>
      <c r="E2302" t="s">
        <v>11</v>
      </c>
      <c r="G2302" t="str">
        <f>HYPERLINK(_xlfn.CONCAT("https://tablet.otzar.org/",CHAR(35),"/book/655388/p/-1/t/1/fs/0/start/0/end/0/c"),"מחזה עובדיה")</f>
        <v>מחזה עובדיה</v>
      </c>
      <c r="H2302" t="str">
        <f>_xlfn.CONCAT("https://tablet.otzar.org/",CHAR(35),"/book/655388/p/-1/t/1/fs/0/start/0/end/0/c")</f>
        <v>https://tablet.otzar.org/#/book/655388/p/-1/t/1/fs/0/start/0/end/0/c</v>
      </c>
    </row>
    <row r="2303" spans="1:8" x14ac:dyDescent="0.25">
      <c r="A2303">
        <v>650259</v>
      </c>
      <c r="B2303" t="s">
        <v>4658</v>
      </c>
      <c r="C2303" t="s">
        <v>4659</v>
      </c>
      <c r="D2303" t="s">
        <v>463</v>
      </c>
      <c r="E2303" t="s">
        <v>35</v>
      </c>
      <c r="G2303" t="str">
        <f>HYPERLINK(_xlfn.CONCAT("https://tablet.otzar.org/",CHAR(35),"/book/650259/p/-1/t/1/fs/0/start/0/end/0/c"),"מחזור לראש השנה")</f>
        <v>מחזור לראש השנה</v>
      </c>
      <c r="H2303" t="str">
        <f>_xlfn.CONCAT("https://tablet.otzar.org/",CHAR(35),"/book/650259/p/-1/t/1/fs/0/start/0/end/0/c")</f>
        <v>https://tablet.otzar.org/#/book/650259/p/-1/t/1/fs/0/start/0/end/0/c</v>
      </c>
    </row>
    <row r="2304" spans="1:8" x14ac:dyDescent="0.25">
      <c r="A2304">
        <v>650022</v>
      </c>
      <c r="B2304" t="s">
        <v>4660</v>
      </c>
      <c r="C2304" t="s">
        <v>4661</v>
      </c>
      <c r="D2304" t="s">
        <v>10</v>
      </c>
      <c r="E2304" t="s">
        <v>237</v>
      </c>
      <c r="G2304" t="str">
        <f>HYPERLINK(_xlfn.CONCAT("https://tablet.otzar.org/",CHAR(35),"/book/650022/p/-1/t/1/fs/0/start/0/end/0/c"),"מחזור מקראי קודש &lt;אהל צירל נחמה&gt; - יום כיפור, אשכנז")</f>
        <v>מחזור מקראי קודש &lt;אהל צירל נחמה&gt; - יום כיפור, אשכנז</v>
      </c>
      <c r="H2304" t="str">
        <f>_xlfn.CONCAT("https://tablet.otzar.org/",CHAR(35),"/book/650022/p/-1/t/1/fs/0/start/0/end/0/c")</f>
        <v>https://tablet.otzar.org/#/book/650022/p/-1/t/1/fs/0/start/0/end/0/c</v>
      </c>
    </row>
    <row r="2305" spans="1:8" x14ac:dyDescent="0.25">
      <c r="A2305">
        <v>655379</v>
      </c>
      <c r="B2305" t="s">
        <v>4662</v>
      </c>
      <c r="C2305" t="s">
        <v>1900</v>
      </c>
      <c r="D2305" t="s">
        <v>10</v>
      </c>
      <c r="E2305" t="s">
        <v>402</v>
      </c>
      <c r="G2305" t="str">
        <f>HYPERLINK(_xlfn.CONCAT("https://tablet.otzar.org/",CHAR(35),"/exKotar/655379"),"מחזור ניב שפתים - 2 כרכים")</f>
        <v>מחזור ניב שפתים - 2 כרכים</v>
      </c>
      <c r="H2305" t="str">
        <f>_xlfn.CONCAT("https://tablet.otzar.org/",CHAR(35),"/exKotar/655379")</f>
        <v>https://tablet.otzar.org/#/exKotar/655379</v>
      </c>
    </row>
    <row r="2306" spans="1:8" x14ac:dyDescent="0.25">
      <c r="A2306">
        <v>647232</v>
      </c>
      <c r="B2306" t="s">
        <v>4663</v>
      </c>
      <c r="C2306" t="s">
        <v>4021</v>
      </c>
      <c r="D2306" t="s">
        <v>10</v>
      </c>
      <c r="E2306" t="s">
        <v>117</v>
      </c>
      <c r="G2306" t="str">
        <f>HYPERLINK(_xlfn.CONCAT("https://tablet.otzar.org/",CHAR(35),"/book/647232/p/-1/t/1/fs/0/start/0/end/0/c"),"מחיה מתים א")</f>
        <v>מחיה מתים א</v>
      </c>
      <c r="H2306" t="str">
        <f>_xlfn.CONCAT("https://tablet.otzar.org/",CHAR(35),"/book/647232/p/-1/t/1/fs/0/start/0/end/0/c")</f>
        <v>https://tablet.otzar.org/#/book/647232/p/-1/t/1/fs/0/start/0/end/0/c</v>
      </c>
    </row>
    <row r="2307" spans="1:8" x14ac:dyDescent="0.25">
      <c r="A2307">
        <v>647233</v>
      </c>
      <c r="B2307" t="s">
        <v>4664</v>
      </c>
      <c r="C2307" t="s">
        <v>4021</v>
      </c>
      <c r="D2307" t="s">
        <v>10</v>
      </c>
      <c r="E2307" t="s">
        <v>35</v>
      </c>
      <c r="G2307" t="str">
        <f>HYPERLINK(_xlfn.CONCAT("https://tablet.otzar.org/",CHAR(35),"/book/647233/p/-1/t/1/fs/0/start/0/end/0/c"),"מחיה מתים ב")</f>
        <v>מחיה מתים ב</v>
      </c>
      <c r="H2307" t="str">
        <f>_xlfn.CONCAT("https://tablet.otzar.org/",CHAR(35),"/book/647233/p/-1/t/1/fs/0/start/0/end/0/c")</f>
        <v>https://tablet.otzar.org/#/book/647233/p/-1/t/1/fs/0/start/0/end/0/c</v>
      </c>
    </row>
    <row r="2308" spans="1:8" x14ac:dyDescent="0.25">
      <c r="A2308">
        <v>650725</v>
      </c>
      <c r="B2308" t="s">
        <v>4665</v>
      </c>
      <c r="C2308" t="s">
        <v>3375</v>
      </c>
      <c r="D2308" t="s">
        <v>10</v>
      </c>
      <c r="E2308" t="s">
        <v>84</v>
      </c>
      <c r="G2308" t="str">
        <f>HYPERLINK(_xlfn.CONCAT("https://tablet.otzar.org/",CHAR(35),"/exKotar/650725"),"מחיי הלוי - 6 כרכים")</f>
        <v>מחיי הלוי - 6 כרכים</v>
      </c>
      <c r="H2308" t="str">
        <f>_xlfn.CONCAT("https://tablet.otzar.org/",CHAR(35),"/exKotar/650725")</f>
        <v>https://tablet.otzar.org/#/exKotar/650725</v>
      </c>
    </row>
    <row r="2309" spans="1:8" x14ac:dyDescent="0.25">
      <c r="A2309">
        <v>650641</v>
      </c>
      <c r="B2309" t="s">
        <v>4666</v>
      </c>
      <c r="C2309" t="s">
        <v>4667</v>
      </c>
      <c r="D2309" t="s">
        <v>52</v>
      </c>
      <c r="E2309" t="s">
        <v>763</v>
      </c>
      <c r="G2309" t="str">
        <f>HYPERLINK(_xlfn.CONCAT("https://tablet.otzar.org/",CHAR(35),"/book/650641/p/-1/t/1/fs/0/start/0/end/0/c"),"מחנה אברהם - מנחות")</f>
        <v>מחנה אברהם - מנחות</v>
      </c>
      <c r="H2309" t="str">
        <f>_xlfn.CONCAT("https://tablet.otzar.org/",CHAR(35),"/book/650641/p/-1/t/1/fs/0/start/0/end/0/c")</f>
        <v>https://tablet.otzar.org/#/book/650641/p/-1/t/1/fs/0/start/0/end/0/c</v>
      </c>
    </row>
    <row r="2310" spans="1:8" x14ac:dyDescent="0.25">
      <c r="A2310">
        <v>655466</v>
      </c>
      <c r="B2310" t="s">
        <v>4668</v>
      </c>
      <c r="C2310" t="s">
        <v>1678</v>
      </c>
      <c r="D2310" t="s">
        <v>10</v>
      </c>
      <c r="E2310" t="s">
        <v>45</v>
      </c>
      <c r="G2310" t="str">
        <f>HYPERLINK(_xlfn.CONCAT("https://tablet.otzar.org/",CHAR(35),"/book/655466/p/-1/t/1/fs/0/start/0/end/0/c"),"מחנה יהודה ושכנותיה - השטעטלאך - שערי חסד")</f>
        <v>מחנה יהודה ושכנותיה - השטעטלאך - שערי חסד</v>
      </c>
      <c r="H2310" t="str">
        <f>_xlfn.CONCAT("https://tablet.otzar.org/",CHAR(35),"/book/655466/p/-1/t/1/fs/0/start/0/end/0/c")</f>
        <v>https://tablet.otzar.org/#/book/655466/p/-1/t/1/fs/0/start/0/end/0/c</v>
      </c>
    </row>
    <row r="2311" spans="1:8" x14ac:dyDescent="0.25">
      <c r="A2311">
        <v>655398</v>
      </c>
      <c r="B2311" t="s">
        <v>4669</v>
      </c>
      <c r="C2311" t="s">
        <v>4670</v>
      </c>
      <c r="D2311" t="s">
        <v>10</v>
      </c>
      <c r="E2311" t="s">
        <v>45</v>
      </c>
      <c r="G2311" t="str">
        <f>HYPERLINK(_xlfn.CONCAT("https://tablet.otzar.org/",CHAR(35),"/book/655398/p/-1/t/1/fs/0/start/0/end/0/c"),"מחנה לויה")</f>
        <v>מחנה לויה</v>
      </c>
      <c r="H2311" t="str">
        <f>_xlfn.CONCAT("https://tablet.otzar.org/",CHAR(35),"/book/655398/p/-1/t/1/fs/0/start/0/end/0/c")</f>
        <v>https://tablet.otzar.org/#/book/655398/p/-1/t/1/fs/0/start/0/end/0/c</v>
      </c>
    </row>
    <row r="2312" spans="1:8" x14ac:dyDescent="0.25">
      <c r="A2312">
        <v>647984</v>
      </c>
      <c r="B2312" t="s">
        <v>4671</v>
      </c>
      <c r="C2312" t="s">
        <v>4570</v>
      </c>
      <c r="D2312" t="s">
        <v>34</v>
      </c>
      <c r="E2312" t="s">
        <v>11</v>
      </c>
      <c r="G2312" t="str">
        <f>HYPERLINK(_xlfn.CONCAT("https://tablet.otzar.org/",CHAR(35),"/book/647984/p/-1/t/1/fs/0/start/0/end/0/c"),"מחפש ליהנות")</f>
        <v>מחפש ליהנות</v>
      </c>
      <c r="H2312" t="str">
        <f>_xlfn.CONCAT("https://tablet.otzar.org/",CHAR(35),"/book/647984/p/-1/t/1/fs/0/start/0/end/0/c")</f>
        <v>https://tablet.otzar.org/#/book/647984/p/-1/t/1/fs/0/start/0/end/0/c</v>
      </c>
    </row>
    <row r="2313" spans="1:8" x14ac:dyDescent="0.25">
      <c r="A2313">
        <v>639892</v>
      </c>
      <c r="B2313" t="s">
        <v>4672</v>
      </c>
      <c r="C2313" t="s">
        <v>4570</v>
      </c>
      <c r="D2313" t="s">
        <v>34</v>
      </c>
      <c r="E2313" t="s">
        <v>70</v>
      </c>
      <c r="G2313" t="str">
        <f>HYPERLINK(_xlfn.CONCAT("https://tablet.otzar.org/",CHAR(35),"/book/639892/p/-1/t/1/fs/0/start/0/end/0/c"),"מחפשת ליהנות")</f>
        <v>מחפשת ליהנות</v>
      </c>
      <c r="H2313" t="str">
        <f>_xlfn.CONCAT("https://tablet.otzar.org/",CHAR(35),"/book/639892/p/-1/t/1/fs/0/start/0/end/0/c")</f>
        <v>https://tablet.otzar.org/#/book/639892/p/-1/t/1/fs/0/start/0/end/0/c</v>
      </c>
    </row>
    <row r="2314" spans="1:8" x14ac:dyDescent="0.25">
      <c r="A2314">
        <v>647415</v>
      </c>
      <c r="B2314" t="s">
        <v>4673</v>
      </c>
      <c r="C2314" t="s">
        <v>4674</v>
      </c>
      <c r="D2314" t="s">
        <v>10</v>
      </c>
      <c r="E2314" t="s">
        <v>804</v>
      </c>
      <c r="G2314" t="str">
        <f>HYPERLINK(_xlfn.CONCAT("https://tablet.otzar.org/",CHAR(35),"/book/647415/p/-1/t/1/fs/0/start/0/end/0/c"),"מחצבת")</f>
        <v>מחצבת</v>
      </c>
      <c r="H2314" t="str">
        <f>_xlfn.CONCAT("https://tablet.otzar.org/",CHAR(35),"/book/647415/p/-1/t/1/fs/0/start/0/end/0/c")</f>
        <v>https://tablet.otzar.org/#/book/647415/p/-1/t/1/fs/0/start/0/end/0/c</v>
      </c>
    </row>
    <row r="2315" spans="1:8" x14ac:dyDescent="0.25">
      <c r="A2315">
        <v>654377</v>
      </c>
      <c r="B2315" t="s">
        <v>4675</v>
      </c>
      <c r="C2315" t="s">
        <v>4676</v>
      </c>
      <c r="D2315" t="s">
        <v>4677</v>
      </c>
      <c r="E2315" t="s">
        <v>35</v>
      </c>
      <c r="G2315" t="str">
        <f>HYPERLINK(_xlfn.CONCAT("https://tablet.otzar.org/",CHAR(35),"/book/654377/p/-1/t/1/fs/0/start/0/end/0/c"),"מחצתי ואני ארפא")</f>
        <v>מחצתי ואני ארפא</v>
      </c>
      <c r="H2315" t="str">
        <f>_xlfn.CONCAT("https://tablet.otzar.org/",CHAR(35),"/book/654377/p/-1/t/1/fs/0/start/0/end/0/c")</f>
        <v>https://tablet.otzar.org/#/book/654377/p/-1/t/1/fs/0/start/0/end/0/c</v>
      </c>
    </row>
    <row r="2316" spans="1:8" x14ac:dyDescent="0.25">
      <c r="A2316">
        <v>649234</v>
      </c>
      <c r="B2316" t="s">
        <v>4678</v>
      </c>
      <c r="C2316" t="s">
        <v>4679</v>
      </c>
      <c r="D2316" t="s">
        <v>10</v>
      </c>
      <c r="E2316" t="s">
        <v>11</v>
      </c>
      <c r="G2316" t="str">
        <f>HYPERLINK(_xlfn.CONCAT("https://tablet.otzar.org/",CHAR(35),"/book/649234/p/-1/t/1/fs/0/start/0/end/0/c"),"מחקרי ארץ &lt;שו""""ת&gt; - ט")</f>
        <v>מחקרי ארץ &lt;שו""ת&gt; - ט</v>
      </c>
      <c r="H2316" t="str">
        <f>_xlfn.CONCAT("https://tablet.otzar.org/",CHAR(35),"/book/649234/p/-1/t/1/fs/0/start/0/end/0/c")</f>
        <v>https://tablet.otzar.org/#/book/649234/p/-1/t/1/fs/0/start/0/end/0/c</v>
      </c>
    </row>
    <row r="2317" spans="1:8" x14ac:dyDescent="0.25">
      <c r="A2317">
        <v>619701</v>
      </c>
      <c r="B2317" t="s">
        <v>4680</v>
      </c>
      <c r="C2317" t="s">
        <v>4681</v>
      </c>
      <c r="D2317" t="s">
        <v>347</v>
      </c>
      <c r="E2317" t="s">
        <v>574</v>
      </c>
      <c r="G2317" t="str">
        <f>HYPERLINK(_xlfn.CONCAT("https://tablet.otzar.org/",CHAR(35),"/exKotar/619701"),"מחקרי ארץ - 2 כרכים")</f>
        <v>מחקרי ארץ - 2 כרכים</v>
      </c>
      <c r="H2317" t="str">
        <f>_xlfn.CONCAT("https://tablet.otzar.org/",CHAR(35),"/exKotar/619701")</f>
        <v>https://tablet.otzar.org/#/exKotar/619701</v>
      </c>
    </row>
    <row r="2318" spans="1:8" x14ac:dyDescent="0.25">
      <c r="A2318">
        <v>650567</v>
      </c>
      <c r="B2318" t="s">
        <v>4682</v>
      </c>
      <c r="C2318" t="s">
        <v>2680</v>
      </c>
      <c r="D2318" t="s">
        <v>10</v>
      </c>
      <c r="E2318" t="s">
        <v>184</v>
      </c>
      <c r="G2318" t="str">
        <f>HYPERLINK(_xlfn.CONCAT("https://tablet.otzar.org/",CHAR(35),"/book/650567/p/-1/t/1/fs/0/start/0/end/0/c"),"מחקרי מערב ומזרח")</f>
        <v>מחקרי מערב ומזרח</v>
      </c>
      <c r="H2318" t="str">
        <f>_xlfn.CONCAT("https://tablet.otzar.org/",CHAR(35),"/book/650567/p/-1/t/1/fs/0/start/0/end/0/c")</f>
        <v>https://tablet.otzar.org/#/book/650567/p/-1/t/1/fs/0/start/0/end/0/c</v>
      </c>
    </row>
    <row r="2319" spans="1:8" x14ac:dyDescent="0.25">
      <c r="A2319">
        <v>650570</v>
      </c>
      <c r="B2319" t="s">
        <v>4683</v>
      </c>
      <c r="C2319" t="s">
        <v>2680</v>
      </c>
      <c r="D2319" t="s">
        <v>10</v>
      </c>
      <c r="E2319" t="s">
        <v>246</v>
      </c>
      <c r="G2319" t="str">
        <f>HYPERLINK(_xlfn.CONCAT("https://tablet.otzar.org/",CHAR(35),"/exKotar/650570"),"מחקרים בחסידות - 2 כרכים")</f>
        <v>מחקרים בחסידות - 2 כרכים</v>
      </c>
      <c r="H2319" t="str">
        <f>_xlfn.CONCAT("https://tablet.otzar.org/",CHAR(35),"/exKotar/650570")</f>
        <v>https://tablet.otzar.org/#/exKotar/650570</v>
      </c>
    </row>
    <row r="2320" spans="1:8" x14ac:dyDescent="0.25">
      <c r="A2320">
        <v>653408</v>
      </c>
      <c r="B2320" t="s">
        <v>4684</v>
      </c>
      <c r="C2320" t="s">
        <v>614</v>
      </c>
      <c r="E2320" t="s">
        <v>306</v>
      </c>
      <c r="G2320" t="str">
        <f>HYPERLINK(_xlfn.CONCAT("https://tablet.otzar.org/",CHAR(35),"/book/653408/p/-1/t/1/fs/0/start/0/end/0/c"),"מחשבה של תודה")</f>
        <v>מחשבה של תודה</v>
      </c>
      <c r="H2320" t="str">
        <f>_xlfn.CONCAT("https://tablet.otzar.org/",CHAR(35),"/book/653408/p/-1/t/1/fs/0/start/0/end/0/c")</f>
        <v>https://tablet.otzar.org/#/book/653408/p/-1/t/1/fs/0/start/0/end/0/c</v>
      </c>
    </row>
    <row r="2321" spans="1:8" x14ac:dyDescent="0.25">
      <c r="A2321">
        <v>648817</v>
      </c>
      <c r="B2321" t="s">
        <v>4685</v>
      </c>
      <c r="C2321" t="s">
        <v>614</v>
      </c>
      <c r="D2321" t="s">
        <v>1053</v>
      </c>
      <c r="E2321" t="s">
        <v>11</v>
      </c>
      <c r="G2321" t="str">
        <f>HYPERLINK(_xlfn.CONCAT("https://tablet.otzar.org/",CHAR(35),"/book/648817/p/-1/t/1/fs/0/start/0/end/0/c"),"מחשבות והצעות - תפילת י""""ח")</f>
        <v>מחשבות והצעות - תפילת י""ח</v>
      </c>
      <c r="H2321" t="str">
        <f>_xlfn.CONCAT("https://tablet.otzar.org/",CHAR(35),"/book/648817/p/-1/t/1/fs/0/start/0/end/0/c")</f>
        <v>https://tablet.otzar.org/#/book/648817/p/-1/t/1/fs/0/start/0/end/0/c</v>
      </c>
    </row>
    <row r="2322" spans="1:8" x14ac:dyDescent="0.25">
      <c r="A2322">
        <v>650788</v>
      </c>
      <c r="B2322" t="s">
        <v>4686</v>
      </c>
      <c r="C2322" t="s">
        <v>4687</v>
      </c>
      <c r="D2322" t="s">
        <v>1162</v>
      </c>
      <c r="E2322" t="s">
        <v>11</v>
      </c>
      <c r="G2322" t="str">
        <f>HYPERLINK(_xlfn.CONCAT("https://tablet.otzar.org/",CHAR(35),"/book/650788/p/-1/t/1/fs/0/start/0/end/0/c"),"מחשבת אברהם - א")</f>
        <v>מחשבת אברהם - א</v>
      </c>
      <c r="H2322" t="str">
        <f>_xlfn.CONCAT("https://tablet.otzar.org/",CHAR(35),"/book/650788/p/-1/t/1/fs/0/start/0/end/0/c")</f>
        <v>https://tablet.otzar.org/#/book/650788/p/-1/t/1/fs/0/start/0/end/0/c</v>
      </c>
    </row>
    <row r="2323" spans="1:8" x14ac:dyDescent="0.25">
      <c r="A2323">
        <v>647260</v>
      </c>
      <c r="B2323" t="s">
        <v>4688</v>
      </c>
      <c r="C2323" t="s">
        <v>617</v>
      </c>
      <c r="D2323" t="s">
        <v>10</v>
      </c>
      <c r="E2323" t="s">
        <v>710</v>
      </c>
      <c r="G2323" t="str">
        <f>HYPERLINK(_xlfn.CONCAT("https://tablet.otzar.org/",CHAR(35),"/exKotar/647260"),"מחשבת הדור - 2 כרכים")</f>
        <v>מחשבת הדור - 2 כרכים</v>
      </c>
      <c r="H2323" t="str">
        <f>_xlfn.CONCAT("https://tablet.otzar.org/",CHAR(35),"/exKotar/647260")</f>
        <v>https://tablet.otzar.org/#/exKotar/647260</v>
      </c>
    </row>
    <row r="2324" spans="1:8" x14ac:dyDescent="0.25">
      <c r="A2324">
        <v>652387</v>
      </c>
      <c r="B2324" t="s">
        <v>4689</v>
      </c>
      <c r="C2324" t="s">
        <v>4690</v>
      </c>
      <c r="D2324" t="s">
        <v>10</v>
      </c>
      <c r="E2324" t="s">
        <v>11</v>
      </c>
      <c r="G2324" t="str">
        <f>HYPERLINK(_xlfn.CONCAT("https://tablet.otzar.org/",CHAR(35),"/book/652387/p/-1/t/1/fs/0/start/0/end/0/c"),"מחשבת יהודה - ענייני מוקצה")</f>
        <v>מחשבת יהודה - ענייני מוקצה</v>
      </c>
      <c r="H2324" t="str">
        <f>_xlfn.CONCAT("https://tablet.otzar.org/",CHAR(35),"/book/652387/p/-1/t/1/fs/0/start/0/end/0/c")</f>
        <v>https://tablet.otzar.org/#/book/652387/p/-1/t/1/fs/0/start/0/end/0/c</v>
      </c>
    </row>
    <row r="2325" spans="1:8" x14ac:dyDescent="0.25">
      <c r="A2325">
        <v>649232</v>
      </c>
      <c r="B2325" t="s">
        <v>4691</v>
      </c>
      <c r="C2325" t="s">
        <v>3873</v>
      </c>
      <c r="E2325" t="s">
        <v>405</v>
      </c>
      <c r="G2325" t="str">
        <f>HYPERLINK(_xlfn.CONCAT("https://tablet.otzar.org/",CHAR(35),"/book/649232/p/-1/t/1/fs/0/start/0/end/0/c"),"מחשף הלבן")</f>
        <v>מחשף הלבן</v>
      </c>
      <c r="H2325" t="str">
        <f>_xlfn.CONCAT("https://tablet.otzar.org/",CHAR(35),"/book/649232/p/-1/t/1/fs/0/start/0/end/0/c")</f>
        <v>https://tablet.otzar.org/#/book/649232/p/-1/t/1/fs/0/start/0/end/0/c</v>
      </c>
    </row>
    <row r="2326" spans="1:8" x14ac:dyDescent="0.25">
      <c r="A2326">
        <v>647435</v>
      </c>
      <c r="B2326" t="s">
        <v>4692</v>
      </c>
      <c r="C2326" t="s">
        <v>4693</v>
      </c>
      <c r="D2326" t="s">
        <v>858</v>
      </c>
      <c r="E2326" t="s">
        <v>126</v>
      </c>
      <c r="G2326" t="str">
        <f>HYPERLINK(_xlfn.CONCAT("https://tablet.otzar.org/",CHAR(35),"/exKotar/647435"),"מטבע שטבעו חכמים - 3 כרכים")</f>
        <v>מטבע שטבעו חכמים - 3 כרכים</v>
      </c>
      <c r="H2326" t="str">
        <f>_xlfn.CONCAT("https://tablet.otzar.org/",CHAR(35),"/exKotar/647435")</f>
        <v>https://tablet.otzar.org/#/exKotar/647435</v>
      </c>
    </row>
    <row r="2327" spans="1:8" x14ac:dyDescent="0.25">
      <c r="A2327">
        <v>651784</v>
      </c>
      <c r="B2327" t="s">
        <v>4694</v>
      </c>
      <c r="C2327" t="s">
        <v>4693</v>
      </c>
      <c r="D2327" t="s">
        <v>858</v>
      </c>
      <c r="E2327" t="s">
        <v>11</v>
      </c>
      <c r="G2327" t="str">
        <f>HYPERLINK(_xlfn.CONCAT("https://tablet.otzar.org/",CHAR(35),"/book/651784/p/-1/t/1/fs/0/start/0/end/0/c"),"מטבע של אש")</f>
        <v>מטבע של אש</v>
      </c>
      <c r="H2327" t="str">
        <f>_xlfn.CONCAT("https://tablet.otzar.org/",CHAR(35),"/book/651784/p/-1/t/1/fs/0/start/0/end/0/c")</f>
        <v>https://tablet.otzar.org/#/book/651784/p/-1/t/1/fs/0/start/0/end/0/c</v>
      </c>
    </row>
    <row r="2328" spans="1:8" x14ac:dyDescent="0.25">
      <c r="A2328">
        <v>654428</v>
      </c>
      <c r="B2328" t="s">
        <v>4695</v>
      </c>
      <c r="C2328" t="s">
        <v>4696</v>
      </c>
      <c r="D2328" t="s">
        <v>52</v>
      </c>
      <c r="E2328" t="s">
        <v>35</v>
      </c>
      <c r="G2328" t="str">
        <f>HYPERLINK(_xlfn.CONCAT("https://tablet.otzar.org/",CHAR(35),"/book/654428/p/-1/t/1/fs/0/start/0/end/0/c"),"מטה אהרן")</f>
        <v>מטה אהרן</v>
      </c>
      <c r="H2328" t="str">
        <f>_xlfn.CONCAT("https://tablet.otzar.org/",CHAR(35),"/book/654428/p/-1/t/1/fs/0/start/0/end/0/c")</f>
        <v>https://tablet.otzar.org/#/book/654428/p/-1/t/1/fs/0/start/0/end/0/c</v>
      </c>
    </row>
    <row r="2329" spans="1:8" x14ac:dyDescent="0.25">
      <c r="A2329">
        <v>647475</v>
      </c>
      <c r="B2329" t="s">
        <v>4697</v>
      </c>
      <c r="C2329" t="s">
        <v>4698</v>
      </c>
      <c r="D2329" t="s">
        <v>34</v>
      </c>
      <c r="E2329" t="s">
        <v>293</v>
      </c>
      <c r="G2329" t="str">
        <f>HYPERLINK(_xlfn.CONCAT("https://tablet.otzar.org/",CHAR(35),"/book/647475/p/-1/t/1/fs/0/start/0/end/0/c"),"מטה בנימין - 20")</f>
        <v>מטה בנימין - 20</v>
      </c>
      <c r="H2329" t="str">
        <f>_xlfn.CONCAT("https://tablet.otzar.org/",CHAR(35),"/book/647475/p/-1/t/1/fs/0/start/0/end/0/c")</f>
        <v>https://tablet.otzar.org/#/book/647475/p/-1/t/1/fs/0/start/0/end/0/c</v>
      </c>
    </row>
    <row r="2330" spans="1:8" x14ac:dyDescent="0.25">
      <c r="A2330">
        <v>652588</v>
      </c>
      <c r="B2330" t="s">
        <v>4699</v>
      </c>
      <c r="C2330" t="s">
        <v>4700</v>
      </c>
      <c r="D2330" t="s">
        <v>3577</v>
      </c>
      <c r="E2330" t="s">
        <v>4701</v>
      </c>
      <c r="G2330" t="str">
        <f>HYPERLINK(_xlfn.CONCAT("https://tablet.otzar.org/",CHAR(35),"/book/652588/p/-1/t/1/fs/0/start/0/end/0/c"),"מטה בנימין")</f>
        <v>מטה בנימין</v>
      </c>
      <c r="H2330" t="str">
        <f>_xlfn.CONCAT("https://tablet.otzar.org/",CHAR(35),"/book/652588/p/-1/t/1/fs/0/start/0/end/0/c")</f>
        <v>https://tablet.otzar.org/#/book/652588/p/-1/t/1/fs/0/start/0/end/0/c</v>
      </c>
    </row>
    <row r="2331" spans="1:8" x14ac:dyDescent="0.25">
      <c r="A2331">
        <v>649708</v>
      </c>
      <c r="B2331" t="s">
        <v>4702</v>
      </c>
      <c r="C2331" t="s">
        <v>4703</v>
      </c>
      <c r="D2331" t="s">
        <v>4704</v>
      </c>
      <c r="E2331" t="s">
        <v>59</v>
      </c>
      <c r="G2331" t="str">
        <f>HYPERLINK(_xlfn.CONCAT("https://tablet.otzar.org/",CHAR(35),"/book/649708/p/-1/t/1/fs/0/start/0/end/0/c"),"מטה יששכר")</f>
        <v>מטה יששכר</v>
      </c>
      <c r="H2331" t="str">
        <f>_xlfn.CONCAT("https://tablet.otzar.org/",CHAR(35),"/book/649708/p/-1/t/1/fs/0/start/0/end/0/c")</f>
        <v>https://tablet.otzar.org/#/book/649708/p/-1/t/1/fs/0/start/0/end/0/c</v>
      </c>
    </row>
    <row r="2332" spans="1:8" x14ac:dyDescent="0.25">
      <c r="A2332">
        <v>651005</v>
      </c>
      <c r="B2332" t="s">
        <v>4705</v>
      </c>
      <c r="C2332" t="s">
        <v>4706</v>
      </c>
      <c r="D2332" t="s">
        <v>34</v>
      </c>
      <c r="E2332" t="s">
        <v>213</v>
      </c>
      <c r="G2332" t="str">
        <f>HYPERLINK(_xlfn.CONCAT("https://tablet.otzar.org/",CHAR(35),"/exKotar/651005"),"מטה לוי - 2 כרכים")</f>
        <v>מטה לוי - 2 כרכים</v>
      </c>
      <c r="H2332" t="str">
        <f>_xlfn.CONCAT("https://tablet.otzar.org/",CHAR(35),"/exKotar/651005")</f>
        <v>https://tablet.otzar.org/#/exKotar/651005</v>
      </c>
    </row>
    <row r="2333" spans="1:8" x14ac:dyDescent="0.25">
      <c r="A2333">
        <v>656861</v>
      </c>
      <c r="B2333" t="s">
        <v>4707</v>
      </c>
      <c r="C2333" t="s">
        <v>4708</v>
      </c>
      <c r="D2333" t="s">
        <v>10</v>
      </c>
      <c r="E2333" t="s">
        <v>35</v>
      </c>
      <c r="G2333" t="str">
        <f>HYPERLINK(_xlfn.CONCAT("https://tablet.otzar.org/",CHAR(35),"/book/656861/p/-1/t/1/fs/0/start/0/end/0/c"),"מטה עז - ערכין, זבחים")</f>
        <v>מטה עז - ערכין, זבחים</v>
      </c>
      <c r="H2333" t="str">
        <f>_xlfn.CONCAT("https://tablet.otzar.org/",CHAR(35),"/book/656861/p/-1/t/1/fs/0/start/0/end/0/c")</f>
        <v>https://tablet.otzar.org/#/book/656861/p/-1/t/1/fs/0/start/0/end/0/c</v>
      </c>
    </row>
    <row r="2334" spans="1:8" x14ac:dyDescent="0.25">
      <c r="A2334">
        <v>651337</v>
      </c>
      <c r="B2334" t="s">
        <v>4709</v>
      </c>
      <c r="C2334" t="s">
        <v>4710</v>
      </c>
      <c r="D2334" t="s">
        <v>10</v>
      </c>
      <c r="E2334" t="s">
        <v>2648</v>
      </c>
      <c r="G2334" t="str">
        <f>HYPERLINK(_xlfn.CONCAT("https://tablet.otzar.org/",CHAR(35),"/book/651337/p/-1/t/1/fs/0/start/0/end/0/c"),"מי אני")</f>
        <v>מי אני</v>
      </c>
      <c r="H2334" t="str">
        <f>_xlfn.CONCAT("https://tablet.otzar.org/",CHAR(35),"/book/651337/p/-1/t/1/fs/0/start/0/end/0/c")</f>
        <v>https://tablet.otzar.org/#/book/651337/p/-1/t/1/fs/0/start/0/end/0/c</v>
      </c>
    </row>
    <row r="2335" spans="1:8" x14ac:dyDescent="0.25">
      <c r="A2335">
        <v>656199</v>
      </c>
      <c r="B2335" t="s">
        <v>4711</v>
      </c>
      <c r="C2335" t="s">
        <v>4712</v>
      </c>
      <c r="D2335" t="s">
        <v>52</v>
      </c>
      <c r="E2335" t="s">
        <v>1240</v>
      </c>
      <c r="G2335" t="str">
        <f>HYPERLINK(_xlfn.CONCAT("https://tablet.otzar.org/",CHAR(35),"/exKotar/656199"),"מי באר - 3 כרכים")</f>
        <v>מי באר - 3 כרכים</v>
      </c>
      <c r="H2335" t="str">
        <f>_xlfn.CONCAT("https://tablet.otzar.org/",CHAR(35),"/exKotar/656199")</f>
        <v>https://tablet.otzar.org/#/exKotar/656199</v>
      </c>
    </row>
    <row r="2336" spans="1:8" x14ac:dyDescent="0.25">
      <c r="A2336">
        <v>650711</v>
      </c>
      <c r="B2336" t="s">
        <v>4713</v>
      </c>
      <c r="C2336" t="s">
        <v>4714</v>
      </c>
      <c r="D2336" t="s">
        <v>10</v>
      </c>
      <c r="E2336" t="s">
        <v>89</v>
      </c>
      <c r="G2336" t="str">
        <f>HYPERLINK(_xlfn.CONCAT("https://tablet.otzar.org/",CHAR(35),"/book/650711/p/-1/t/1/fs/0/start/0/end/0/c"),"מי הבאר - חצי שיעור")</f>
        <v>מי הבאר - חצי שיעור</v>
      </c>
      <c r="H2336" t="str">
        <f>_xlfn.CONCAT("https://tablet.otzar.org/",CHAR(35),"/book/650711/p/-1/t/1/fs/0/start/0/end/0/c")</f>
        <v>https://tablet.otzar.org/#/book/650711/p/-1/t/1/fs/0/start/0/end/0/c</v>
      </c>
    </row>
    <row r="2337" spans="1:8" x14ac:dyDescent="0.25">
      <c r="A2337">
        <v>654304</v>
      </c>
      <c r="B2337" t="s">
        <v>4715</v>
      </c>
      <c r="C2337" t="s">
        <v>382</v>
      </c>
      <c r="D2337" t="s">
        <v>28</v>
      </c>
      <c r="E2337" t="s">
        <v>11</v>
      </c>
      <c r="G2337" t="str">
        <f>HYPERLINK(_xlfn.CONCAT("https://tablet.otzar.org/",CHAR(35),"/book/654304/p/-1/t/1/fs/0/start/0/end/0/c"),"מי הבאר")</f>
        <v>מי הבאר</v>
      </c>
      <c r="H2337" t="str">
        <f>_xlfn.CONCAT("https://tablet.otzar.org/",CHAR(35),"/book/654304/p/-1/t/1/fs/0/start/0/end/0/c")</f>
        <v>https://tablet.otzar.org/#/book/654304/p/-1/t/1/fs/0/start/0/end/0/c</v>
      </c>
    </row>
    <row r="2338" spans="1:8" x14ac:dyDescent="0.25">
      <c r="A2338">
        <v>652839</v>
      </c>
      <c r="B2338" t="s">
        <v>4716</v>
      </c>
      <c r="C2338" t="s">
        <v>4717</v>
      </c>
      <c r="D2338" t="s">
        <v>10</v>
      </c>
      <c r="E2338" t="s">
        <v>383</v>
      </c>
      <c r="G2338" t="str">
        <f>HYPERLINK(_xlfn.CONCAT("https://tablet.otzar.org/",CHAR(35),"/book/652839/p/-1/t/1/fs/0/start/0/end/0/c"),"מי הדעת - ביטול ברוב, טעם כעיקר")</f>
        <v>מי הדעת - ביטול ברוב, טעם כעיקר</v>
      </c>
      <c r="H2338" t="str">
        <f>_xlfn.CONCAT("https://tablet.otzar.org/",CHAR(35),"/book/652839/p/-1/t/1/fs/0/start/0/end/0/c")</f>
        <v>https://tablet.otzar.org/#/book/652839/p/-1/t/1/fs/0/start/0/end/0/c</v>
      </c>
    </row>
    <row r="2339" spans="1:8" x14ac:dyDescent="0.25">
      <c r="A2339">
        <v>647742</v>
      </c>
      <c r="B2339" t="s">
        <v>4718</v>
      </c>
      <c r="C2339" t="s">
        <v>4719</v>
      </c>
      <c r="D2339" t="s">
        <v>10</v>
      </c>
      <c r="E2339" t="s">
        <v>237</v>
      </c>
      <c r="G2339" t="str">
        <f>HYPERLINK(_xlfn.CONCAT("https://tablet.otzar.org/",CHAR(35),"/book/647742/p/-1/t/1/fs/0/start/0/end/0/c"),"מי השילוח &lt;מקור נפתח&gt; - הל' מקוואות &lt;מהדורת שערי המים-שיעורי דעת&gt;")</f>
        <v>מי השילוח &lt;מקור נפתח&gt; - הל' מקוואות &lt;מהדורת שערי המים-שיעורי דעת&gt;</v>
      </c>
      <c r="H2339" t="str">
        <f>_xlfn.CONCAT("https://tablet.otzar.org/",CHAR(35),"/book/647742/p/-1/t/1/fs/0/start/0/end/0/c")</f>
        <v>https://tablet.otzar.org/#/book/647742/p/-1/t/1/fs/0/start/0/end/0/c</v>
      </c>
    </row>
    <row r="2340" spans="1:8" x14ac:dyDescent="0.25">
      <c r="A2340">
        <v>656244</v>
      </c>
      <c r="B2340" t="s">
        <v>4720</v>
      </c>
      <c r="C2340" t="s">
        <v>1164</v>
      </c>
      <c r="D2340" t="s">
        <v>10</v>
      </c>
      <c r="E2340" t="s">
        <v>45</v>
      </c>
      <c r="G2340" t="str">
        <f>HYPERLINK(_xlfn.CONCAT("https://tablet.otzar.org/",CHAR(35),"/book/656244/p/-1/t/1/fs/0/start/0/end/0/c"),"מי זאת עלה מן המדבר")</f>
        <v>מי זאת עלה מן המדבר</v>
      </c>
      <c r="H2340" t="str">
        <f>_xlfn.CONCAT("https://tablet.otzar.org/",CHAR(35),"/book/656244/p/-1/t/1/fs/0/start/0/end/0/c")</f>
        <v>https://tablet.otzar.org/#/book/656244/p/-1/t/1/fs/0/start/0/end/0/c</v>
      </c>
    </row>
    <row r="2341" spans="1:8" x14ac:dyDescent="0.25">
      <c r="A2341">
        <v>647602</v>
      </c>
      <c r="B2341" t="s">
        <v>4721</v>
      </c>
      <c r="C2341" t="s">
        <v>4722</v>
      </c>
      <c r="D2341" t="s">
        <v>10</v>
      </c>
      <c r="E2341" t="s">
        <v>224</v>
      </c>
      <c r="G2341" t="str">
        <f>HYPERLINK(_xlfn.CONCAT("https://tablet.otzar.org/",CHAR(35),"/book/647602/p/-1/t/1/fs/0/start/0/end/0/c"),"מי מנוחות - חולין פ""""ז")</f>
        <v>מי מנוחות - חולין פ""ז</v>
      </c>
      <c r="H2341" t="str">
        <f>_xlfn.CONCAT("https://tablet.otzar.org/",CHAR(35),"/book/647602/p/-1/t/1/fs/0/start/0/end/0/c")</f>
        <v>https://tablet.otzar.org/#/book/647602/p/-1/t/1/fs/0/start/0/end/0/c</v>
      </c>
    </row>
    <row r="2342" spans="1:8" x14ac:dyDescent="0.25">
      <c r="A2342">
        <v>653782</v>
      </c>
      <c r="B2342" t="s">
        <v>4723</v>
      </c>
      <c r="C2342" t="s">
        <v>3734</v>
      </c>
      <c r="D2342" t="s">
        <v>424</v>
      </c>
      <c r="E2342" t="s">
        <v>70</v>
      </c>
      <c r="G2342" t="str">
        <f>HYPERLINK(_xlfn.CONCAT("https://tablet.otzar.org/",CHAR(35),"/book/653782/p/-1/t/1/fs/0/start/0/end/0/c"),"מי נפתוח")</f>
        <v>מי נפתוח</v>
      </c>
      <c r="H2342" t="str">
        <f>_xlfn.CONCAT("https://tablet.otzar.org/",CHAR(35),"/book/653782/p/-1/t/1/fs/0/start/0/end/0/c")</f>
        <v>https://tablet.otzar.org/#/book/653782/p/-1/t/1/fs/0/start/0/end/0/c</v>
      </c>
    </row>
    <row r="2343" spans="1:8" x14ac:dyDescent="0.25">
      <c r="A2343">
        <v>655469</v>
      </c>
      <c r="B2343" t="s">
        <v>4724</v>
      </c>
      <c r="C2343" t="s">
        <v>4725</v>
      </c>
      <c r="D2343" t="s">
        <v>573</v>
      </c>
      <c r="E2343" t="s">
        <v>4236</v>
      </c>
      <c r="G2343" t="str">
        <f>HYPERLINK(_xlfn.CONCAT("https://tablet.otzar.org/",CHAR(35),"/book/655469/p/-1/t/1/fs/0/start/0/end/0/c"),"מיין לעבנעס געשיכטע")</f>
        <v>מיין לעבנעס געשיכטע</v>
      </c>
      <c r="H2343" t="str">
        <f>_xlfn.CONCAT("https://tablet.otzar.org/",CHAR(35),"/book/655469/p/-1/t/1/fs/0/start/0/end/0/c")</f>
        <v>https://tablet.otzar.org/#/book/655469/p/-1/t/1/fs/0/start/0/end/0/c</v>
      </c>
    </row>
    <row r="2344" spans="1:8" x14ac:dyDescent="0.25">
      <c r="A2344">
        <v>641824</v>
      </c>
      <c r="B2344" t="s">
        <v>4726</v>
      </c>
      <c r="C2344" t="s">
        <v>4727</v>
      </c>
      <c r="E2344" t="s">
        <v>1958</v>
      </c>
      <c r="G2344" t="str">
        <f>HYPERLINK(_xlfn.CONCAT("https://tablet.otzar.org/",CHAR(35),"/book/641824/p/-1/t/1/fs/0/start/0/end/0/c"),"מיין רייזע אין ארץ ישראל")</f>
        <v>מיין רייזע אין ארץ ישראל</v>
      </c>
      <c r="H2344" t="str">
        <f>_xlfn.CONCAT("https://tablet.otzar.org/",CHAR(35),"/book/641824/p/-1/t/1/fs/0/start/0/end/0/c")</f>
        <v>https://tablet.otzar.org/#/book/641824/p/-1/t/1/fs/0/start/0/end/0/c</v>
      </c>
    </row>
    <row r="2345" spans="1:8" x14ac:dyDescent="0.25">
      <c r="A2345">
        <v>610048</v>
      </c>
      <c r="B2345" t="s">
        <v>4728</v>
      </c>
      <c r="C2345" t="s">
        <v>4729</v>
      </c>
      <c r="D2345" t="s">
        <v>133</v>
      </c>
      <c r="E2345" t="s">
        <v>117</v>
      </c>
      <c r="G2345" t="str">
        <f>HYPERLINK(_xlfn.CONCAT("https://tablet.otzar.org/",CHAR(35),"/exKotar/610048"),"מילואים לאפוד - 3 כרכים")</f>
        <v>מילואים לאפוד - 3 כרכים</v>
      </c>
      <c r="H2345" t="str">
        <f>_xlfn.CONCAT("https://tablet.otzar.org/",CHAR(35),"/exKotar/610048")</f>
        <v>https://tablet.otzar.org/#/exKotar/610048</v>
      </c>
    </row>
    <row r="2346" spans="1:8" x14ac:dyDescent="0.25">
      <c r="A2346">
        <v>646947</v>
      </c>
      <c r="B2346" t="s">
        <v>4730</v>
      </c>
      <c r="C2346" t="s">
        <v>4731</v>
      </c>
      <c r="E2346" t="s">
        <v>507</v>
      </c>
      <c r="G2346" t="str">
        <f>HYPERLINK(_xlfn.CONCAT("https://tablet.otzar.org/",CHAR(35),"/book/646947/p/-1/t/1/fs/0/start/0/end/0/c"),"מילון אידיש עברי")</f>
        <v>מילון אידיש עברי</v>
      </c>
      <c r="H2346" t="str">
        <f>_xlfn.CONCAT("https://tablet.otzar.org/",CHAR(35),"/book/646947/p/-1/t/1/fs/0/start/0/end/0/c")</f>
        <v>https://tablet.otzar.org/#/book/646947/p/-1/t/1/fs/0/start/0/end/0/c</v>
      </c>
    </row>
    <row r="2347" spans="1:8" x14ac:dyDescent="0.25">
      <c r="A2347">
        <v>651949</v>
      </c>
      <c r="B2347" t="s">
        <v>4732</v>
      </c>
      <c r="C2347" t="s">
        <v>314</v>
      </c>
      <c r="E2347" t="s">
        <v>507</v>
      </c>
      <c r="G2347" t="str">
        <f>HYPERLINK(_xlfn.CONCAT("https://tablet.otzar.org/",CHAR(35),"/book/651949/p/-1/t/1/fs/0/start/0/end/0/c"),"מילון מושגים בקרשים")</f>
        <v>מילון מושגים בקרשים</v>
      </c>
      <c r="H2347" t="str">
        <f>_xlfn.CONCAT("https://tablet.otzar.org/",CHAR(35),"/book/651949/p/-1/t/1/fs/0/start/0/end/0/c")</f>
        <v>https://tablet.otzar.org/#/book/651949/p/-1/t/1/fs/0/start/0/end/0/c</v>
      </c>
    </row>
    <row r="2348" spans="1:8" x14ac:dyDescent="0.25">
      <c r="A2348">
        <v>649179</v>
      </c>
      <c r="B2348" t="s">
        <v>4733</v>
      </c>
      <c r="C2348" t="s">
        <v>4734</v>
      </c>
      <c r="D2348" t="s">
        <v>347</v>
      </c>
      <c r="E2348" t="s">
        <v>84</v>
      </c>
      <c r="G2348" t="str">
        <f>HYPERLINK(_xlfn.CONCAT("https://tablet.otzar.org/",CHAR(35),"/exKotar/649179"),"מילי דאגרות - 3 כרכים")</f>
        <v>מילי דאגרות - 3 כרכים</v>
      </c>
      <c r="H2348" t="str">
        <f>_xlfn.CONCAT("https://tablet.otzar.org/",CHAR(35),"/exKotar/649179")</f>
        <v>https://tablet.otzar.org/#/exKotar/649179</v>
      </c>
    </row>
    <row r="2349" spans="1:8" x14ac:dyDescent="0.25">
      <c r="A2349">
        <v>647430</v>
      </c>
      <c r="B2349" t="s">
        <v>4735</v>
      </c>
      <c r="C2349" t="s">
        <v>4736</v>
      </c>
      <c r="D2349" t="s">
        <v>10</v>
      </c>
      <c r="E2349" t="s">
        <v>352</v>
      </c>
      <c r="G2349" t="str">
        <f>HYPERLINK(_xlfn.CONCAT("https://tablet.otzar.org/",CHAR(35),"/book/647430/p/-1/t/1/fs/0/start/0/end/0/c"),"מילי דברכות")</f>
        <v>מילי דברכות</v>
      </c>
      <c r="H2349" t="str">
        <f>_xlfn.CONCAT("https://tablet.otzar.org/",CHAR(35),"/book/647430/p/-1/t/1/fs/0/start/0/end/0/c")</f>
        <v>https://tablet.otzar.org/#/book/647430/p/-1/t/1/fs/0/start/0/end/0/c</v>
      </c>
    </row>
    <row r="2350" spans="1:8" x14ac:dyDescent="0.25">
      <c r="A2350">
        <v>647733</v>
      </c>
      <c r="B2350" t="s">
        <v>4735</v>
      </c>
      <c r="C2350" t="s">
        <v>4737</v>
      </c>
      <c r="E2350" t="s">
        <v>35</v>
      </c>
      <c r="G2350" t="str">
        <f>HYPERLINK(_xlfn.CONCAT("https://tablet.otzar.org/",CHAR(35),"/book/647733/p/-1/t/1/fs/0/start/0/end/0/c"),"מילי דברכות")</f>
        <v>מילי דברכות</v>
      </c>
      <c r="H2350" t="str">
        <f>_xlfn.CONCAT("https://tablet.otzar.org/",CHAR(35),"/book/647733/p/-1/t/1/fs/0/start/0/end/0/c")</f>
        <v>https://tablet.otzar.org/#/book/647733/p/-1/t/1/fs/0/start/0/end/0/c</v>
      </c>
    </row>
    <row r="2351" spans="1:8" x14ac:dyDescent="0.25">
      <c r="A2351">
        <v>650772</v>
      </c>
      <c r="B2351" t="s">
        <v>4735</v>
      </c>
      <c r="C2351" t="s">
        <v>4738</v>
      </c>
      <c r="D2351" t="s">
        <v>4739</v>
      </c>
      <c r="E2351" t="s">
        <v>35</v>
      </c>
      <c r="G2351" t="str">
        <f>HYPERLINK(_xlfn.CONCAT("https://tablet.otzar.org/",CHAR(35),"/book/650772/p/-1/t/1/fs/0/start/0/end/0/c"),"מילי דברכות")</f>
        <v>מילי דברכות</v>
      </c>
      <c r="H2351" t="str">
        <f>_xlfn.CONCAT("https://tablet.otzar.org/",CHAR(35),"/book/650772/p/-1/t/1/fs/0/start/0/end/0/c")</f>
        <v>https://tablet.otzar.org/#/book/650772/p/-1/t/1/fs/0/start/0/end/0/c</v>
      </c>
    </row>
    <row r="2352" spans="1:8" x14ac:dyDescent="0.25">
      <c r="A2352">
        <v>650608</v>
      </c>
      <c r="B2352" t="s">
        <v>4740</v>
      </c>
      <c r="C2352" t="s">
        <v>4741</v>
      </c>
      <c r="D2352" t="s">
        <v>34</v>
      </c>
      <c r="E2352" t="s">
        <v>11</v>
      </c>
      <c r="G2352" t="str">
        <f>HYPERLINK(_xlfn.CONCAT("https://tablet.otzar.org/",CHAR(35),"/book/650608/p/-1/t/1/fs/0/start/0/end/0/c"),"מילי דזכרון")</f>
        <v>מילי דזכרון</v>
      </c>
      <c r="H2352" t="str">
        <f>_xlfn.CONCAT("https://tablet.otzar.org/",CHAR(35),"/book/650608/p/-1/t/1/fs/0/start/0/end/0/c")</f>
        <v>https://tablet.otzar.org/#/book/650608/p/-1/t/1/fs/0/start/0/end/0/c</v>
      </c>
    </row>
    <row r="2353" spans="1:8" x14ac:dyDescent="0.25">
      <c r="A2353">
        <v>653265</v>
      </c>
      <c r="B2353" t="s">
        <v>4742</v>
      </c>
      <c r="C2353" t="s">
        <v>4285</v>
      </c>
      <c r="D2353" t="s">
        <v>52</v>
      </c>
      <c r="E2353" t="s">
        <v>574</v>
      </c>
      <c r="G2353" t="str">
        <f>HYPERLINK(_xlfn.CONCAT("https://tablet.otzar.org/",CHAR(35),"/book/653265/p/-1/t/1/fs/0/start/0/end/0/c"),"מילי דמעליותא")</f>
        <v>מילי דמעליותא</v>
      </c>
      <c r="H2353" t="str">
        <f>_xlfn.CONCAT("https://tablet.otzar.org/",CHAR(35),"/book/653265/p/-1/t/1/fs/0/start/0/end/0/c")</f>
        <v>https://tablet.otzar.org/#/book/653265/p/-1/t/1/fs/0/start/0/end/0/c</v>
      </c>
    </row>
    <row r="2354" spans="1:8" x14ac:dyDescent="0.25">
      <c r="A2354">
        <v>652711</v>
      </c>
      <c r="B2354" t="s">
        <v>4743</v>
      </c>
      <c r="C2354" t="s">
        <v>4744</v>
      </c>
      <c r="D2354" t="s">
        <v>221</v>
      </c>
      <c r="E2354" t="s">
        <v>352</v>
      </c>
      <c r="G2354" t="str">
        <f>HYPERLINK(_xlfn.CONCAT("https://tablet.otzar.org/",CHAR(35),"/book/652711/p/-1/t/1/fs/0/start/0/end/0/c"),"מילי דעזרא")</f>
        <v>מילי דעזרא</v>
      </c>
      <c r="H2354" t="str">
        <f>_xlfn.CONCAT("https://tablet.otzar.org/",CHAR(35),"/book/652711/p/-1/t/1/fs/0/start/0/end/0/c")</f>
        <v>https://tablet.otzar.org/#/book/652711/p/-1/t/1/fs/0/start/0/end/0/c</v>
      </c>
    </row>
    <row r="2355" spans="1:8" x14ac:dyDescent="0.25">
      <c r="A2355">
        <v>651597</v>
      </c>
      <c r="B2355" t="s">
        <v>4745</v>
      </c>
      <c r="C2355" t="s">
        <v>4746</v>
      </c>
      <c r="D2355" t="s">
        <v>10</v>
      </c>
      <c r="E2355" t="s">
        <v>84</v>
      </c>
      <c r="G2355" t="str">
        <f>HYPERLINK(_xlfn.CONCAT("https://tablet.otzar.org/",CHAR(35),"/book/651597/p/-1/t/1/fs/0/start/0/end/0/c"),"מים חיים - ב""""ק, ב""""ב")</f>
        <v>מים חיים - ב""ק, ב""ב</v>
      </c>
      <c r="H2355" t="str">
        <f>_xlfn.CONCAT("https://tablet.otzar.org/",CHAR(35),"/book/651597/p/-1/t/1/fs/0/start/0/end/0/c")</f>
        <v>https://tablet.otzar.org/#/book/651597/p/-1/t/1/fs/0/start/0/end/0/c</v>
      </c>
    </row>
    <row r="2356" spans="1:8" x14ac:dyDescent="0.25">
      <c r="A2356">
        <v>650626</v>
      </c>
      <c r="B2356" t="s">
        <v>4747</v>
      </c>
      <c r="C2356" t="s">
        <v>4748</v>
      </c>
      <c r="D2356" t="s">
        <v>347</v>
      </c>
      <c r="E2356" t="s">
        <v>405</v>
      </c>
      <c r="G2356" t="str">
        <f>HYPERLINK(_xlfn.CONCAT("https://tablet.otzar.org/",CHAR(35),"/book/650626/p/-1/t/1/fs/0/start/0/end/0/c"),"מים טהורים - שבת")</f>
        <v>מים טהורים - שבת</v>
      </c>
      <c r="H2356" t="str">
        <f>_xlfn.CONCAT("https://tablet.otzar.org/",CHAR(35),"/book/650626/p/-1/t/1/fs/0/start/0/end/0/c")</f>
        <v>https://tablet.otzar.org/#/book/650626/p/-1/t/1/fs/0/start/0/end/0/c</v>
      </c>
    </row>
    <row r="2357" spans="1:8" x14ac:dyDescent="0.25">
      <c r="A2357">
        <v>652581</v>
      </c>
      <c r="B2357" t="s">
        <v>4749</v>
      </c>
      <c r="C2357" t="s">
        <v>4750</v>
      </c>
      <c r="E2357" t="s">
        <v>4751</v>
      </c>
      <c r="G2357" t="str">
        <f>HYPERLINK(_xlfn.CONCAT("https://tablet.otzar.org/",CHAR(35),"/book/652581/p/-1/t/1/fs/0/start/0/end/0/c"),"מים מדליו - תשנ""""ח")</f>
        <v>מים מדליו - תשנ""ח</v>
      </c>
      <c r="H2357" t="str">
        <f>_xlfn.CONCAT("https://tablet.otzar.org/",CHAR(35),"/book/652581/p/-1/t/1/fs/0/start/0/end/0/c")</f>
        <v>https://tablet.otzar.org/#/book/652581/p/-1/t/1/fs/0/start/0/end/0/c</v>
      </c>
    </row>
    <row r="2358" spans="1:8" x14ac:dyDescent="0.25">
      <c r="A2358">
        <v>647919</v>
      </c>
      <c r="B2358" t="s">
        <v>4752</v>
      </c>
      <c r="C2358" t="s">
        <v>4753</v>
      </c>
      <c r="D2358" t="s">
        <v>328</v>
      </c>
      <c r="E2358" t="s">
        <v>11</v>
      </c>
      <c r="G2358" t="str">
        <f>HYPERLINK(_xlfn.CONCAT("https://tablet.otzar.org/",CHAR(35),"/book/647919/p/-1/t/1/fs/0/start/0/end/0/c"),"מים מדליו - בבא מציעא")</f>
        <v>מים מדליו - בבא מציעא</v>
      </c>
      <c r="H2358" t="str">
        <f>_xlfn.CONCAT("https://tablet.otzar.org/",CHAR(35),"/book/647919/p/-1/t/1/fs/0/start/0/end/0/c")</f>
        <v>https://tablet.otzar.org/#/book/647919/p/-1/t/1/fs/0/start/0/end/0/c</v>
      </c>
    </row>
    <row r="2359" spans="1:8" x14ac:dyDescent="0.25">
      <c r="A2359">
        <v>654656</v>
      </c>
      <c r="B2359" t="s">
        <v>4754</v>
      </c>
      <c r="C2359" t="s">
        <v>4755</v>
      </c>
      <c r="D2359" t="s">
        <v>10</v>
      </c>
      <c r="E2359" t="s">
        <v>1240</v>
      </c>
      <c r="G2359" t="str">
        <f>HYPERLINK(_xlfn.CONCAT("https://tablet.otzar.org/",CHAR(35),"/exKotar/654656"),"מים עמוקים - 6 כרכים")</f>
        <v>מים עמוקים - 6 כרכים</v>
      </c>
      <c r="H2359" t="str">
        <f>_xlfn.CONCAT("https://tablet.otzar.org/",CHAR(35),"/exKotar/654656")</f>
        <v>https://tablet.otzar.org/#/exKotar/654656</v>
      </c>
    </row>
    <row r="2360" spans="1:8" x14ac:dyDescent="0.25">
      <c r="A2360">
        <v>653694</v>
      </c>
      <c r="B2360" t="s">
        <v>4756</v>
      </c>
      <c r="C2360" t="s">
        <v>4757</v>
      </c>
      <c r="D2360" t="s">
        <v>10</v>
      </c>
      <c r="E2360" t="s">
        <v>11</v>
      </c>
      <c r="G2360" t="str">
        <f>HYPERLINK(_xlfn.CONCAT("https://tablet.otzar.org/",CHAR(35),"/exKotar/653694"),"מים רבים - 2 כרכים")</f>
        <v>מים רבים - 2 כרכים</v>
      </c>
      <c r="H2360" t="str">
        <f>_xlfn.CONCAT("https://tablet.otzar.org/",CHAR(35),"/exKotar/653694")</f>
        <v>https://tablet.otzar.org/#/exKotar/653694</v>
      </c>
    </row>
    <row r="2361" spans="1:8" x14ac:dyDescent="0.25">
      <c r="A2361">
        <v>649090</v>
      </c>
      <c r="B2361" t="s">
        <v>4758</v>
      </c>
      <c r="C2361" t="s">
        <v>4759</v>
      </c>
      <c r="D2361" t="s">
        <v>4760</v>
      </c>
      <c r="E2361" t="s">
        <v>1881</v>
      </c>
      <c r="G2361" t="str">
        <f>HYPERLINK(_xlfn.CONCAT("https://tablet.otzar.org/",CHAR(35),"/book/649090/p/-1/t/1/fs/0/start/0/end/0/c"),"מימי קדם")</f>
        <v>מימי קדם</v>
      </c>
      <c r="H2361" t="str">
        <f>_xlfn.CONCAT("https://tablet.otzar.org/",CHAR(35),"/book/649090/p/-1/t/1/fs/0/start/0/end/0/c")</f>
        <v>https://tablet.otzar.org/#/book/649090/p/-1/t/1/fs/0/start/0/end/0/c</v>
      </c>
    </row>
    <row r="2362" spans="1:8" x14ac:dyDescent="0.25">
      <c r="A2362">
        <v>649911</v>
      </c>
      <c r="B2362" t="s">
        <v>4761</v>
      </c>
      <c r="C2362" t="s">
        <v>4762</v>
      </c>
      <c r="D2362" t="s">
        <v>10</v>
      </c>
      <c r="E2362" t="s">
        <v>84</v>
      </c>
      <c r="G2362" t="str">
        <f>HYPERLINK(_xlfn.CONCAT("https://tablet.otzar.org/",CHAR(35),"/book/649911/p/-1/t/1/fs/0/start/0/end/0/c"),"מימים ימימה - ימים נוראים")</f>
        <v>מימים ימימה - ימים נוראים</v>
      </c>
      <c r="H2362" t="str">
        <f>_xlfn.CONCAT("https://tablet.otzar.org/",CHAR(35),"/book/649911/p/-1/t/1/fs/0/start/0/end/0/c")</f>
        <v>https://tablet.otzar.org/#/book/649911/p/-1/t/1/fs/0/start/0/end/0/c</v>
      </c>
    </row>
    <row r="2363" spans="1:8" x14ac:dyDescent="0.25">
      <c r="A2363">
        <v>654160</v>
      </c>
      <c r="B2363" t="s">
        <v>4763</v>
      </c>
      <c r="C2363" t="s">
        <v>215</v>
      </c>
      <c r="D2363" t="s">
        <v>52</v>
      </c>
      <c r="E2363" t="s">
        <v>11</v>
      </c>
      <c r="G2363" t="str">
        <f>HYPERLINK(_xlfn.CONCAT("https://tablet.otzar.org/",CHAR(35),"/book/654160/p/-1/t/1/fs/0/start/0/end/0/c"),"מכבדי אכבד")</f>
        <v>מכבדי אכבד</v>
      </c>
      <c r="H2363" t="str">
        <f>_xlfn.CONCAT("https://tablet.otzar.org/",CHAR(35),"/book/654160/p/-1/t/1/fs/0/start/0/end/0/c")</f>
        <v>https://tablet.otzar.org/#/book/654160/p/-1/t/1/fs/0/start/0/end/0/c</v>
      </c>
    </row>
    <row r="2364" spans="1:8" x14ac:dyDescent="0.25">
      <c r="A2364">
        <v>650051</v>
      </c>
      <c r="B2364" t="s">
        <v>4764</v>
      </c>
      <c r="C2364" t="s">
        <v>3980</v>
      </c>
      <c r="E2364" t="s">
        <v>405</v>
      </c>
      <c r="G2364" t="str">
        <f>HYPERLINK(_xlfn.CONCAT("https://tablet.otzar.org/",CHAR(35),"/exKotar/650051"),"מכון פועה - 5 כרכים")</f>
        <v>מכון פועה - 5 כרכים</v>
      </c>
      <c r="H2364" t="str">
        <f>_xlfn.CONCAT("https://tablet.otzar.org/",CHAR(35),"/exKotar/650051")</f>
        <v>https://tablet.otzar.org/#/exKotar/650051</v>
      </c>
    </row>
    <row r="2365" spans="1:8" x14ac:dyDescent="0.25">
      <c r="A2365">
        <v>651061</v>
      </c>
      <c r="B2365" t="s">
        <v>4765</v>
      </c>
      <c r="C2365" t="s">
        <v>2569</v>
      </c>
      <c r="D2365" t="s">
        <v>52</v>
      </c>
      <c r="E2365" t="s">
        <v>70</v>
      </c>
      <c r="G2365" t="str">
        <f>HYPERLINK(_xlfn.CONCAT("https://tablet.otzar.org/",CHAR(35),"/book/651061/p/-1/t/1/fs/0/start/0/end/0/c"),"מכונות הגילוח בהלכה")</f>
        <v>מכונות הגילוח בהלכה</v>
      </c>
      <c r="H2365" t="str">
        <f>_xlfn.CONCAT("https://tablet.otzar.org/",CHAR(35),"/book/651061/p/-1/t/1/fs/0/start/0/end/0/c")</f>
        <v>https://tablet.otzar.org/#/book/651061/p/-1/t/1/fs/0/start/0/end/0/c</v>
      </c>
    </row>
    <row r="2366" spans="1:8" x14ac:dyDescent="0.25">
      <c r="A2366">
        <v>651440</v>
      </c>
      <c r="B2366" t="s">
        <v>4766</v>
      </c>
      <c r="C2366" t="s">
        <v>4767</v>
      </c>
      <c r="D2366" t="s">
        <v>328</v>
      </c>
      <c r="E2366" t="s">
        <v>35</v>
      </c>
      <c r="G2366" t="str">
        <f>HYPERLINK(_xlfn.CONCAT("https://tablet.otzar.org/",CHAR(35),"/book/651440/p/-1/t/1/fs/0/start/0/end/0/c"),"מכירת היתר הקרקעות בשמיטה")</f>
        <v>מכירת היתר הקרקעות בשמיטה</v>
      </c>
      <c r="H2366" t="str">
        <f>_xlfn.CONCAT("https://tablet.otzar.org/",CHAR(35),"/book/651440/p/-1/t/1/fs/0/start/0/end/0/c")</f>
        <v>https://tablet.otzar.org/#/book/651440/p/-1/t/1/fs/0/start/0/end/0/c</v>
      </c>
    </row>
    <row r="2367" spans="1:8" x14ac:dyDescent="0.25">
      <c r="A2367">
        <v>652713</v>
      </c>
      <c r="B2367" t="s">
        <v>4768</v>
      </c>
      <c r="C2367" t="s">
        <v>4769</v>
      </c>
      <c r="D2367" t="s">
        <v>606</v>
      </c>
      <c r="E2367" t="s">
        <v>763</v>
      </c>
      <c r="G2367" t="str">
        <f>HYPERLINK(_xlfn.CONCAT("https://tablet.otzar.org/",CHAR(35),"/book/652713/p/-1/t/1/fs/0/start/0/end/0/c"),"מכל מלמדי - א")</f>
        <v>מכל מלמדי - א</v>
      </c>
      <c r="H2367" t="str">
        <f>_xlfn.CONCAT("https://tablet.otzar.org/",CHAR(35),"/book/652713/p/-1/t/1/fs/0/start/0/end/0/c")</f>
        <v>https://tablet.otzar.org/#/book/652713/p/-1/t/1/fs/0/start/0/end/0/c</v>
      </c>
    </row>
    <row r="2368" spans="1:8" x14ac:dyDescent="0.25">
      <c r="A2368">
        <v>647573</v>
      </c>
      <c r="B2368" t="s">
        <v>4770</v>
      </c>
      <c r="C2368" t="s">
        <v>4771</v>
      </c>
      <c r="D2368" t="s">
        <v>10</v>
      </c>
      <c r="E2368" t="s">
        <v>184</v>
      </c>
      <c r="G2368" t="str">
        <f>HYPERLINK(_xlfn.CONCAT("https://tablet.otzar.org/",CHAR(35),"/book/647573/p/-1/t/1/fs/0/start/0/end/0/c"),"מכלול - כג-כד")</f>
        <v>מכלול - כג-כד</v>
      </c>
      <c r="H2368" t="str">
        <f>_xlfn.CONCAT("https://tablet.otzar.org/",CHAR(35),"/book/647573/p/-1/t/1/fs/0/start/0/end/0/c")</f>
        <v>https://tablet.otzar.org/#/book/647573/p/-1/t/1/fs/0/start/0/end/0/c</v>
      </c>
    </row>
    <row r="2369" spans="1:8" x14ac:dyDescent="0.25">
      <c r="A2369">
        <v>647745</v>
      </c>
      <c r="B2369" t="s">
        <v>4772</v>
      </c>
      <c r="C2369" t="s">
        <v>4773</v>
      </c>
      <c r="E2369" t="s">
        <v>4774</v>
      </c>
      <c r="G2369" t="str">
        <f>HYPERLINK(_xlfn.CONCAT("https://tablet.otzar.org/",CHAR(35),"/book/647745/p/-1/t/1/fs/0/start/0/end/0/c"),"מכלול יעקב")</f>
        <v>מכלול יעקב</v>
      </c>
      <c r="H2369" t="str">
        <f>_xlfn.CONCAT("https://tablet.otzar.org/",CHAR(35),"/book/647745/p/-1/t/1/fs/0/start/0/end/0/c")</f>
        <v>https://tablet.otzar.org/#/book/647745/p/-1/t/1/fs/0/start/0/end/0/c</v>
      </c>
    </row>
    <row r="2370" spans="1:8" x14ac:dyDescent="0.25">
      <c r="A2370">
        <v>654309</v>
      </c>
      <c r="B2370" t="s">
        <v>4775</v>
      </c>
      <c r="C2370" t="s">
        <v>4776</v>
      </c>
      <c r="D2370" t="s">
        <v>34</v>
      </c>
      <c r="E2370" t="s">
        <v>35</v>
      </c>
      <c r="G2370" t="str">
        <f>HYPERLINK(_xlfn.CONCAT("https://tablet.otzar.org/",CHAR(35),"/book/654309/p/-1/t/1/fs/0/start/0/end/0/c"),"מכרה אברהם")</f>
        <v>מכרה אברהם</v>
      </c>
      <c r="H2370" t="str">
        <f>_xlfn.CONCAT("https://tablet.otzar.org/",CHAR(35),"/book/654309/p/-1/t/1/fs/0/start/0/end/0/c")</f>
        <v>https://tablet.otzar.org/#/book/654309/p/-1/t/1/fs/0/start/0/end/0/c</v>
      </c>
    </row>
    <row r="2371" spans="1:8" x14ac:dyDescent="0.25">
      <c r="A2371">
        <v>649261</v>
      </c>
      <c r="B2371" t="s">
        <v>4777</v>
      </c>
      <c r="C2371" t="s">
        <v>171</v>
      </c>
      <c r="D2371" t="s">
        <v>58</v>
      </c>
      <c r="E2371" t="s">
        <v>4644</v>
      </c>
      <c r="G2371" t="str">
        <f>HYPERLINK(_xlfn.CONCAT("https://tablet.otzar.org/",CHAR(35),"/book/649261/p/-1/t/1/fs/0/start/0/end/0/c"),"מכתב גלוי")</f>
        <v>מכתב גלוי</v>
      </c>
      <c r="H2371" t="str">
        <f>_xlfn.CONCAT("https://tablet.otzar.org/",CHAR(35),"/book/649261/p/-1/t/1/fs/0/start/0/end/0/c")</f>
        <v>https://tablet.otzar.org/#/book/649261/p/-1/t/1/fs/0/start/0/end/0/c</v>
      </c>
    </row>
    <row r="2372" spans="1:8" x14ac:dyDescent="0.25">
      <c r="A2372">
        <v>651915</v>
      </c>
      <c r="B2372" t="s">
        <v>4777</v>
      </c>
      <c r="C2372" t="s">
        <v>4778</v>
      </c>
      <c r="D2372" t="s">
        <v>4760</v>
      </c>
      <c r="E2372" t="s">
        <v>903</v>
      </c>
      <c r="G2372" t="str">
        <f>HYPERLINK(_xlfn.CONCAT("https://tablet.otzar.org/",CHAR(35),"/book/651915/p/-1/t/1/fs/0/start/0/end/0/c"),"מכתב גלוי")</f>
        <v>מכתב גלוי</v>
      </c>
      <c r="H2372" t="str">
        <f>_xlfn.CONCAT("https://tablet.otzar.org/",CHAR(35),"/book/651915/p/-1/t/1/fs/0/start/0/end/0/c")</f>
        <v>https://tablet.otzar.org/#/book/651915/p/-1/t/1/fs/0/start/0/end/0/c</v>
      </c>
    </row>
    <row r="2373" spans="1:8" x14ac:dyDescent="0.25">
      <c r="A2373">
        <v>652108</v>
      </c>
      <c r="B2373" t="s">
        <v>4779</v>
      </c>
      <c r="C2373" t="s">
        <v>4780</v>
      </c>
      <c r="D2373" t="s">
        <v>70</v>
      </c>
      <c r="E2373" t="s">
        <v>1693</v>
      </c>
      <c r="G2373" t="str">
        <f>HYPERLINK(_xlfn.CONCAT("https://tablet.otzar.org/",CHAR(35),"/book/652108/p/-1/t/1/fs/0/start/0/end/0/c"),"מכתב לחזקיה")</f>
        <v>מכתב לחזקיה</v>
      </c>
      <c r="H2373" t="str">
        <f>_xlfn.CONCAT("https://tablet.otzar.org/",CHAR(35),"/book/652108/p/-1/t/1/fs/0/start/0/end/0/c")</f>
        <v>https://tablet.otzar.org/#/book/652108/p/-1/t/1/fs/0/start/0/end/0/c</v>
      </c>
    </row>
    <row r="2374" spans="1:8" x14ac:dyDescent="0.25">
      <c r="A2374">
        <v>649437</v>
      </c>
      <c r="B2374" t="s">
        <v>4781</v>
      </c>
      <c r="C2374" t="s">
        <v>4782</v>
      </c>
      <c r="D2374" t="s">
        <v>10</v>
      </c>
      <c r="E2374" t="s">
        <v>1919</v>
      </c>
      <c r="G2374" t="str">
        <f>HYPERLINK(_xlfn.CONCAT("https://tablet.otzar.org/",CHAR(35),"/book/649437/p/-1/t/1/fs/0/start/0/end/0/c"),"מכתב מהגאון ר""""י בעל פאת השולחן")</f>
        <v>מכתב מהגאון ר""י בעל פאת השולחן</v>
      </c>
      <c r="H2374" t="str">
        <f>_xlfn.CONCAT("https://tablet.otzar.org/",CHAR(35),"/book/649437/p/-1/t/1/fs/0/start/0/end/0/c")</f>
        <v>https://tablet.otzar.org/#/book/649437/p/-1/t/1/fs/0/start/0/end/0/c</v>
      </c>
    </row>
    <row r="2375" spans="1:8" x14ac:dyDescent="0.25">
      <c r="A2375">
        <v>649268</v>
      </c>
      <c r="B2375" t="s">
        <v>4783</v>
      </c>
      <c r="C2375" t="s">
        <v>4784</v>
      </c>
      <c r="D2375" t="s">
        <v>4785</v>
      </c>
      <c r="E2375" t="s">
        <v>4786</v>
      </c>
      <c r="G2375" t="str">
        <f>HYPERLINK(_xlfn.CONCAT("https://tablet.otzar.org/",CHAR(35),"/book/649268/p/-1/t/1/fs/0/start/0/end/0/c"),"מכתב מרבי שמואל ב""""ר שמשון")</f>
        <v>מכתב מרבי שמואל ב""ר שמשון</v>
      </c>
      <c r="H2375" t="str">
        <f>_xlfn.CONCAT("https://tablet.otzar.org/",CHAR(35),"/book/649268/p/-1/t/1/fs/0/start/0/end/0/c")</f>
        <v>https://tablet.otzar.org/#/book/649268/p/-1/t/1/fs/0/start/0/end/0/c</v>
      </c>
    </row>
    <row r="2376" spans="1:8" x14ac:dyDescent="0.25">
      <c r="A2376">
        <v>652453</v>
      </c>
      <c r="B2376" t="s">
        <v>4787</v>
      </c>
      <c r="C2376" t="s">
        <v>557</v>
      </c>
      <c r="D2376" t="s">
        <v>52</v>
      </c>
      <c r="E2376" t="s">
        <v>574</v>
      </c>
      <c r="G2376" t="str">
        <f>HYPERLINK(_xlfn.CONCAT("https://tablet.otzar.org/",CHAR(35),"/book/652453/p/-1/t/1/fs/0/start/0/end/0/c"),"מכתבי קהלות הקדש")</f>
        <v>מכתבי קהלות הקדש</v>
      </c>
      <c r="H2376" t="str">
        <f>_xlfn.CONCAT("https://tablet.otzar.org/",CHAR(35),"/book/652453/p/-1/t/1/fs/0/start/0/end/0/c")</f>
        <v>https://tablet.otzar.org/#/book/652453/p/-1/t/1/fs/0/start/0/end/0/c</v>
      </c>
    </row>
    <row r="2377" spans="1:8" x14ac:dyDescent="0.25">
      <c r="A2377">
        <v>652609</v>
      </c>
      <c r="B2377" t="s">
        <v>4788</v>
      </c>
      <c r="C2377" t="s">
        <v>4789</v>
      </c>
      <c r="D2377" t="s">
        <v>34</v>
      </c>
      <c r="E2377" t="s">
        <v>19</v>
      </c>
      <c r="G2377" t="str">
        <f>HYPERLINK(_xlfn.CONCAT("https://tablet.otzar.org/",CHAR(35),"/book/652609/p/-1/t/1/fs/0/start/0/end/0/c"),"מכתבי רבי אברהם אזולאי")</f>
        <v>מכתבי רבי אברהם אזולאי</v>
      </c>
      <c r="H2377" t="str">
        <f>_xlfn.CONCAT("https://tablet.otzar.org/",CHAR(35),"/book/652609/p/-1/t/1/fs/0/start/0/end/0/c")</f>
        <v>https://tablet.otzar.org/#/book/652609/p/-1/t/1/fs/0/start/0/end/0/c</v>
      </c>
    </row>
    <row r="2378" spans="1:8" x14ac:dyDescent="0.25">
      <c r="A2378">
        <v>657044</v>
      </c>
      <c r="B2378" t="s">
        <v>4790</v>
      </c>
      <c r="C2378" t="s">
        <v>4791</v>
      </c>
      <c r="D2378" t="s">
        <v>4792</v>
      </c>
      <c r="E2378" t="s">
        <v>11</v>
      </c>
      <c r="G2378" t="str">
        <f>HYPERLINK(_xlfn.CONCAT("https://tablet.otzar.org/",CHAR(35),"/book/657044/p/-1/t/1/fs/0/start/0/end/0/c"),"מכתם לדוד - קידושין")</f>
        <v>מכתם לדוד - קידושין</v>
      </c>
      <c r="H2378" t="str">
        <f>_xlfn.CONCAT("https://tablet.otzar.org/",CHAR(35),"/book/657044/p/-1/t/1/fs/0/start/0/end/0/c")</f>
        <v>https://tablet.otzar.org/#/book/657044/p/-1/t/1/fs/0/start/0/end/0/c</v>
      </c>
    </row>
    <row r="2379" spans="1:8" x14ac:dyDescent="0.25">
      <c r="A2379">
        <v>655658</v>
      </c>
      <c r="B2379" t="s">
        <v>4793</v>
      </c>
      <c r="C2379" t="s">
        <v>1695</v>
      </c>
      <c r="D2379" t="s">
        <v>88</v>
      </c>
      <c r="E2379" t="s">
        <v>35</v>
      </c>
      <c r="G2379" t="str">
        <f>HYPERLINK(_xlfn.CONCAT("https://tablet.otzar.org/",CHAR(35),"/exKotar/655658"),"מלא העומר &lt;מהדורה חדשה&gt; א בראשית שמות - 4 כרכים")</f>
        <v>מלא העומר &lt;מהדורה חדשה&gt; א בראשית שמות - 4 כרכים</v>
      </c>
      <c r="H2379" t="str">
        <f>_xlfn.CONCAT("https://tablet.otzar.org/",CHAR(35),"/exKotar/655658")</f>
        <v>https://tablet.otzar.org/#/exKotar/655658</v>
      </c>
    </row>
    <row r="2380" spans="1:8" x14ac:dyDescent="0.25">
      <c r="A2380">
        <v>646943</v>
      </c>
      <c r="B2380" t="s">
        <v>4794</v>
      </c>
      <c r="C2380" t="s">
        <v>4795</v>
      </c>
      <c r="E2380" t="s">
        <v>2534</v>
      </c>
      <c r="G2380" t="str">
        <f>HYPERLINK(_xlfn.CONCAT("https://tablet.otzar.org/",CHAR(35),"/book/646943/p/-1/t/1/fs/0/start/0/end/0/c"),"מלאה קטרת - ציונים לתורה")</f>
        <v>מלאה קטרת - ציונים לתורה</v>
      </c>
      <c r="H2380" t="str">
        <f>_xlfn.CONCAT("https://tablet.otzar.org/",CHAR(35),"/book/646943/p/-1/t/1/fs/0/start/0/end/0/c")</f>
        <v>https://tablet.otzar.org/#/book/646943/p/-1/t/1/fs/0/start/0/end/0/c</v>
      </c>
    </row>
    <row r="2381" spans="1:8" x14ac:dyDescent="0.25">
      <c r="A2381">
        <v>655880</v>
      </c>
      <c r="B2381" t="s">
        <v>4796</v>
      </c>
      <c r="C2381" t="s">
        <v>4797</v>
      </c>
      <c r="D2381" t="s">
        <v>34</v>
      </c>
      <c r="E2381" t="s">
        <v>11</v>
      </c>
      <c r="G2381" t="str">
        <f>HYPERLINK(_xlfn.CONCAT("https://tablet.otzar.org/",CHAR(35),"/book/655880/p/-1/t/1/fs/0/start/0/end/0/c"),"מלאך ה' - תולדות רבי ישראל עזירי")</f>
        <v>מלאך ה' - תולדות רבי ישראל עזירי</v>
      </c>
      <c r="H2381" t="str">
        <f>_xlfn.CONCAT("https://tablet.otzar.org/",CHAR(35),"/book/655880/p/-1/t/1/fs/0/start/0/end/0/c")</f>
        <v>https://tablet.otzar.org/#/book/655880/p/-1/t/1/fs/0/start/0/end/0/c</v>
      </c>
    </row>
    <row r="2382" spans="1:8" x14ac:dyDescent="0.25">
      <c r="A2382">
        <v>649044</v>
      </c>
      <c r="B2382" t="s">
        <v>4798</v>
      </c>
      <c r="C2382" t="s">
        <v>4799</v>
      </c>
      <c r="D2382" t="s">
        <v>52</v>
      </c>
      <c r="E2382" t="s">
        <v>11</v>
      </c>
      <c r="G2382" t="str">
        <f>HYPERLINK(_xlfn.CONCAT("https://tablet.otzar.org/",CHAR(35),"/book/649044/p/-1/t/1/fs/0/start/0/end/0/c"),"מלאכת בורר")</f>
        <v>מלאכת בורר</v>
      </c>
      <c r="H2382" t="str">
        <f>_xlfn.CONCAT("https://tablet.otzar.org/",CHAR(35),"/book/649044/p/-1/t/1/fs/0/start/0/end/0/c")</f>
        <v>https://tablet.otzar.org/#/book/649044/p/-1/t/1/fs/0/start/0/end/0/c</v>
      </c>
    </row>
    <row r="2383" spans="1:8" x14ac:dyDescent="0.25">
      <c r="A2383">
        <v>651596</v>
      </c>
      <c r="B2383" t="s">
        <v>4800</v>
      </c>
      <c r="C2383" t="s">
        <v>4801</v>
      </c>
      <c r="D2383" t="s">
        <v>10</v>
      </c>
      <c r="E2383" t="s">
        <v>84</v>
      </c>
      <c r="G2383" t="str">
        <f>HYPERLINK(_xlfn.CONCAT("https://tablet.otzar.org/",CHAR(35),"/book/651596/p/-1/t/1/fs/0/start/0/end/0/c"),"מלאכת חשב - מנחות, הוריות")</f>
        <v>מלאכת חשב - מנחות, הוריות</v>
      </c>
      <c r="H2383" t="str">
        <f>_xlfn.CONCAT("https://tablet.otzar.org/",CHAR(35),"/book/651596/p/-1/t/1/fs/0/start/0/end/0/c")</f>
        <v>https://tablet.otzar.org/#/book/651596/p/-1/t/1/fs/0/start/0/end/0/c</v>
      </c>
    </row>
    <row r="2384" spans="1:8" x14ac:dyDescent="0.25">
      <c r="A2384">
        <v>649406</v>
      </c>
      <c r="B2384" t="s">
        <v>4802</v>
      </c>
      <c r="C2384" t="s">
        <v>4801</v>
      </c>
      <c r="D2384" t="s">
        <v>10</v>
      </c>
      <c r="E2384" t="s">
        <v>35</v>
      </c>
      <c r="G2384" t="str">
        <f>HYPERLINK(_xlfn.CONCAT("https://tablet.otzar.org/",CHAR(35),"/book/649406/p/-1/t/1/fs/0/start/0/end/0/c"),"מלאכת חשב על שבע סוגיות")</f>
        <v>מלאכת חשב על שבע סוגיות</v>
      </c>
      <c r="H2384" t="str">
        <f>_xlfn.CONCAT("https://tablet.otzar.org/",CHAR(35),"/book/649406/p/-1/t/1/fs/0/start/0/end/0/c")</f>
        <v>https://tablet.otzar.org/#/book/649406/p/-1/t/1/fs/0/start/0/end/0/c</v>
      </c>
    </row>
    <row r="2385" spans="1:8" x14ac:dyDescent="0.25">
      <c r="A2385">
        <v>650886</v>
      </c>
      <c r="B2385" t="s">
        <v>4803</v>
      </c>
      <c r="C2385" t="s">
        <v>4804</v>
      </c>
      <c r="D2385" t="s">
        <v>34</v>
      </c>
      <c r="E2385" t="s">
        <v>405</v>
      </c>
      <c r="G2385" t="str">
        <f>HYPERLINK(_xlfn.CONCAT("https://tablet.otzar.org/",CHAR(35),"/book/650886/p/-1/t/1/fs/0/start/0/end/0/c"),"מלאכת מחשבת")</f>
        <v>מלאכת מחשבת</v>
      </c>
      <c r="H2385" t="str">
        <f>_xlfn.CONCAT("https://tablet.otzar.org/",CHAR(35),"/book/650886/p/-1/t/1/fs/0/start/0/end/0/c")</f>
        <v>https://tablet.otzar.org/#/book/650886/p/-1/t/1/fs/0/start/0/end/0/c</v>
      </c>
    </row>
    <row r="2386" spans="1:8" x14ac:dyDescent="0.25">
      <c r="A2386">
        <v>656176</v>
      </c>
      <c r="B2386" t="s">
        <v>4803</v>
      </c>
      <c r="C2386" t="s">
        <v>4805</v>
      </c>
      <c r="D2386" t="s">
        <v>1586</v>
      </c>
      <c r="E2386" t="s">
        <v>29</v>
      </c>
      <c r="G2386" t="str">
        <f>HYPERLINK(_xlfn.CONCAT("https://tablet.otzar.org/",CHAR(35),"/book/656176/p/-1/t/1/fs/0/start/0/end/0/c"),"מלאכת מחשבת")</f>
        <v>מלאכת מחשבת</v>
      </c>
      <c r="H2386" t="str">
        <f>_xlfn.CONCAT("https://tablet.otzar.org/",CHAR(35),"/book/656176/p/-1/t/1/fs/0/start/0/end/0/c")</f>
        <v>https://tablet.otzar.org/#/book/656176/p/-1/t/1/fs/0/start/0/end/0/c</v>
      </c>
    </row>
    <row r="2387" spans="1:8" x14ac:dyDescent="0.25">
      <c r="A2387">
        <v>649578</v>
      </c>
      <c r="B2387" t="s">
        <v>4806</v>
      </c>
      <c r="C2387" t="s">
        <v>3288</v>
      </c>
      <c r="D2387" t="s">
        <v>10</v>
      </c>
      <c r="E2387" t="s">
        <v>45</v>
      </c>
      <c r="G2387" t="str">
        <f>HYPERLINK(_xlfn.CONCAT("https://tablet.otzar.org/",CHAR(35),"/book/649578/p/-1/t/1/fs/0/start/0/end/0/c"),"מלאכת עבודה")</f>
        <v>מלאכת עבודה</v>
      </c>
      <c r="H2387" t="str">
        <f>_xlfn.CONCAT("https://tablet.otzar.org/",CHAR(35),"/book/649578/p/-1/t/1/fs/0/start/0/end/0/c")</f>
        <v>https://tablet.otzar.org/#/book/649578/p/-1/t/1/fs/0/start/0/end/0/c</v>
      </c>
    </row>
    <row r="2388" spans="1:8" x14ac:dyDescent="0.25">
      <c r="A2388">
        <v>655399</v>
      </c>
      <c r="B2388" t="s">
        <v>4807</v>
      </c>
      <c r="C2388" t="s">
        <v>4808</v>
      </c>
      <c r="D2388" t="s">
        <v>139</v>
      </c>
      <c r="E2388" t="s">
        <v>84</v>
      </c>
      <c r="G2388" t="str">
        <f>HYPERLINK(_xlfn.CONCAT("https://tablet.otzar.org/",CHAR(35),"/exKotar/655399"),"מלבוש לשבת ויום טוב &lt;מהדורה חדשה&gt; - 2 כרכים")</f>
        <v>מלבוש לשבת ויום טוב &lt;מהדורה חדשה&gt; - 2 כרכים</v>
      </c>
      <c r="H2388" t="str">
        <f>_xlfn.CONCAT("https://tablet.otzar.org/",CHAR(35),"/exKotar/655399")</f>
        <v>https://tablet.otzar.org/#/exKotar/655399</v>
      </c>
    </row>
    <row r="2389" spans="1:8" x14ac:dyDescent="0.25">
      <c r="A2389">
        <v>651946</v>
      </c>
      <c r="B2389" t="s">
        <v>4809</v>
      </c>
      <c r="C2389" t="s">
        <v>314</v>
      </c>
      <c r="E2389" t="s">
        <v>84</v>
      </c>
      <c r="G2389" t="str">
        <f>HYPERLINK(_xlfn.CONCAT("https://tablet.otzar.org/",CHAR(35),"/book/651946/p/-1/t/1/fs/0/start/0/end/0/c"),"מלבי""""ם על מזמורי התפילה של חול ושבת")</f>
        <v>מלבי""ם על מזמורי התפילה של חול ושבת</v>
      </c>
      <c r="H2389" t="str">
        <f>_xlfn.CONCAT("https://tablet.otzar.org/",CHAR(35),"/book/651946/p/-1/t/1/fs/0/start/0/end/0/c")</f>
        <v>https://tablet.otzar.org/#/book/651946/p/-1/t/1/fs/0/start/0/end/0/c</v>
      </c>
    </row>
    <row r="2390" spans="1:8" x14ac:dyDescent="0.25">
      <c r="A2390">
        <v>651047</v>
      </c>
      <c r="B2390" t="s">
        <v>4810</v>
      </c>
      <c r="C2390" t="s">
        <v>1923</v>
      </c>
      <c r="D2390" t="s">
        <v>52</v>
      </c>
      <c r="E2390" t="s">
        <v>84</v>
      </c>
      <c r="G2390" t="str">
        <f>HYPERLINK(_xlfn.CONCAT("https://tablet.otzar.org/",CHAR(35),"/book/651047/p/-1/t/1/fs/0/start/0/end/0/c"),"מלביש ערומים")</f>
        <v>מלביש ערומים</v>
      </c>
      <c r="H2390" t="str">
        <f>_xlfn.CONCAT("https://tablet.otzar.org/",CHAR(35),"/book/651047/p/-1/t/1/fs/0/start/0/end/0/c")</f>
        <v>https://tablet.otzar.org/#/book/651047/p/-1/t/1/fs/0/start/0/end/0/c</v>
      </c>
    </row>
    <row r="2391" spans="1:8" x14ac:dyDescent="0.25">
      <c r="A2391">
        <v>651344</v>
      </c>
      <c r="B2391" t="s">
        <v>4811</v>
      </c>
      <c r="C2391" t="s">
        <v>4812</v>
      </c>
      <c r="D2391" t="s">
        <v>424</v>
      </c>
      <c r="E2391">
        <v>1967</v>
      </c>
      <c r="G2391" t="str">
        <f>HYPERLINK(_xlfn.CONCAT("https://tablet.otzar.org/",CHAR(35),"/book/651344/p/-1/t/1/fs/0/start/0/end/0/c"),"מלון הארמית החיה")</f>
        <v>מלון הארמית החיה</v>
      </c>
      <c r="H2391" t="str">
        <f>_xlfn.CONCAT("https://tablet.otzar.org/",CHAR(35),"/book/651344/p/-1/t/1/fs/0/start/0/end/0/c")</f>
        <v>https://tablet.otzar.org/#/book/651344/p/-1/t/1/fs/0/start/0/end/0/c</v>
      </c>
    </row>
    <row r="2392" spans="1:8" x14ac:dyDescent="0.25">
      <c r="A2392">
        <v>647887</v>
      </c>
      <c r="B2392" t="s">
        <v>4813</v>
      </c>
      <c r="C2392" t="s">
        <v>1855</v>
      </c>
      <c r="D2392" t="s">
        <v>4814</v>
      </c>
      <c r="E2392" t="s">
        <v>4815</v>
      </c>
      <c r="G2392" t="str">
        <f>HYPERLINK(_xlfn.CONCAT("https://tablet.otzar.org/",CHAR(35),"/book/647887/p/-1/t/1/fs/0/start/0/end/0/c"),"מלחמה לד' בעמלק")</f>
        <v>מלחמה לד' בעמלק</v>
      </c>
      <c r="H2392" t="str">
        <f>_xlfn.CONCAT("https://tablet.otzar.org/",CHAR(35),"/book/647887/p/-1/t/1/fs/0/start/0/end/0/c")</f>
        <v>https://tablet.otzar.org/#/book/647887/p/-1/t/1/fs/0/start/0/end/0/c</v>
      </c>
    </row>
    <row r="2393" spans="1:8" x14ac:dyDescent="0.25">
      <c r="A2393">
        <v>651499</v>
      </c>
      <c r="B2393" t="s">
        <v>4816</v>
      </c>
      <c r="C2393" t="s">
        <v>4817</v>
      </c>
      <c r="D2393" t="s">
        <v>34</v>
      </c>
      <c r="E2393" t="s">
        <v>45</v>
      </c>
      <c r="G2393" t="str">
        <f>HYPERLINK(_xlfn.CONCAT("https://tablet.otzar.org/",CHAR(35),"/book/651499/p/-1/t/1/fs/0/start/0/end/0/c"),"מלחמת יהושע")</f>
        <v>מלחמת יהושע</v>
      </c>
      <c r="H2393" t="str">
        <f>_xlfn.CONCAT("https://tablet.otzar.org/",CHAR(35),"/book/651499/p/-1/t/1/fs/0/start/0/end/0/c")</f>
        <v>https://tablet.otzar.org/#/book/651499/p/-1/t/1/fs/0/start/0/end/0/c</v>
      </c>
    </row>
    <row r="2394" spans="1:8" x14ac:dyDescent="0.25">
      <c r="A2394">
        <v>648926</v>
      </c>
      <c r="B2394" t="s">
        <v>4818</v>
      </c>
      <c r="C2394" t="s">
        <v>4819</v>
      </c>
      <c r="D2394" t="s">
        <v>39</v>
      </c>
      <c r="E2394" t="s">
        <v>526</v>
      </c>
      <c r="G2394" t="str">
        <f>HYPERLINK(_xlfn.CONCAT("https://tablet.otzar.org/",CHAR(35),"/book/648926/p/-1/t/1/fs/0/start/0/end/0/c"),"מלין דרבנן")</f>
        <v>מלין דרבנן</v>
      </c>
      <c r="H2394" t="str">
        <f>_xlfn.CONCAT("https://tablet.otzar.org/",CHAR(35),"/book/648926/p/-1/t/1/fs/0/start/0/end/0/c")</f>
        <v>https://tablet.otzar.org/#/book/648926/p/-1/t/1/fs/0/start/0/end/0/c</v>
      </c>
    </row>
    <row r="2395" spans="1:8" x14ac:dyDescent="0.25">
      <c r="A2395">
        <v>647726</v>
      </c>
      <c r="B2395" t="s">
        <v>4820</v>
      </c>
      <c r="C2395" t="s">
        <v>4821</v>
      </c>
      <c r="D2395" t="s">
        <v>52</v>
      </c>
      <c r="E2395" t="s">
        <v>574</v>
      </c>
      <c r="G2395" t="str">
        <f>HYPERLINK(_xlfn.CONCAT("https://tablet.otzar.org/",CHAR(35),"/exKotar/647726"),"מלכות דוד - 2 כרכים")</f>
        <v>מלכות דוד - 2 כרכים</v>
      </c>
      <c r="H2395" t="str">
        <f>_xlfn.CONCAT("https://tablet.otzar.org/",CHAR(35),"/exKotar/647726")</f>
        <v>https://tablet.otzar.org/#/exKotar/647726</v>
      </c>
    </row>
    <row r="2396" spans="1:8" x14ac:dyDescent="0.25">
      <c r="A2396">
        <v>649894</v>
      </c>
      <c r="B2396" t="s">
        <v>4820</v>
      </c>
      <c r="C2396" t="s">
        <v>4822</v>
      </c>
      <c r="E2396" t="s">
        <v>1082</v>
      </c>
      <c r="G2396" t="str">
        <f>HYPERLINK(_xlfn.CONCAT("https://tablet.otzar.org/",CHAR(35),"/exKotar/649894"),"מלכות דוד - 2 כרכים")</f>
        <v>מלכות דוד - 2 כרכים</v>
      </c>
      <c r="H2396" t="str">
        <f>_xlfn.CONCAT("https://tablet.otzar.org/",CHAR(35),"/exKotar/649894")</f>
        <v>https://tablet.otzar.org/#/exKotar/649894</v>
      </c>
    </row>
    <row r="2397" spans="1:8" x14ac:dyDescent="0.25">
      <c r="A2397">
        <v>647824</v>
      </c>
      <c r="B2397" t="s">
        <v>4823</v>
      </c>
      <c r="C2397" t="s">
        <v>4824</v>
      </c>
      <c r="D2397" t="s">
        <v>139</v>
      </c>
      <c r="E2397" t="s">
        <v>77</v>
      </c>
      <c r="G2397" t="str">
        <f>HYPERLINK(_xlfn.CONCAT("https://tablet.otzar.org/",CHAR(35),"/exKotar/647824"),"מלכי צדק - 8 כרכים")</f>
        <v>מלכי צדק - 8 כרכים</v>
      </c>
      <c r="H2397" t="str">
        <f>_xlfn.CONCAT("https://tablet.otzar.org/",CHAR(35),"/exKotar/647824")</f>
        <v>https://tablet.otzar.org/#/exKotar/647824</v>
      </c>
    </row>
    <row r="2398" spans="1:8" x14ac:dyDescent="0.25">
      <c r="A2398">
        <v>648515</v>
      </c>
      <c r="B2398" t="s">
        <v>4825</v>
      </c>
      <c r="C2398" t="s">
        <v>2131</v>
      </c>
      <c r="D2398" t="s">
        <v>34</v>
      </c>
      <c r="E2398" t="s">
        <v>45</v>
      </c>
      <c r="G2398" t="str">
        <f>HYPERLINK(_xlfn.CONCAT("https://tablet.otzar.org/",CHAR(35),"/book/648515/p/-1/t/1/fs/0/start/0/end/0/c"),"ממדבר מתנה")</f>
        <v>ממדבר מתנה</v>
      </c>
      <c r="H2398" t="str">
        <f>_xlfn.CONCAT("https://tablet.otzar.org/",CHAR(35),"/book/648515/p/-1/t/1/fs/0/start/0/end/0/c")</f>
        <v>https://tablet.otzar.org/#/book/648515/p/-1/t/1/fs/0/start/0/end/0/c</v>
      </c>
    </row>
    <row r="2399" spans="1:8" x14ac:dyDescent="0.25">
      <c r="A2399">
        <v>654260</v>
      </c>
      <c r="B2399" t="s">
        <v>4826</v>
      </c>
      <c r="C2399" t="s">
        <v>4827</v>
      </c>
      <c r="D2399" t="s">
        <v>52</v>
      </c>
      <c r="E2399" t="s">
        <v>117</v>
      </c>
      <c r="G2399" t="str">
        <f>HYPERLINK(_xlfn.CONCAT("https://tablet.otzar.org/",CHAR(35),"/exKotar/654260"),"ממה שנאמר בשמחה - 4 כרכים")</f>
        <v>ממה שנאמר בשמחה - 4 כרכים</v>
      </c>
      <c r="H2399" t="str">
        <f>_xlfn.CONCAT("https://tablet.otzar.org/",CHAR(35),"/exKotar/654260")</f>
        <v>https://tablet.otzar.org/#/exKotar/654260</v>
      </c>
    </row>
    <row r="2400" spans="1:8" x14ac:dyDescent="0.25">
      <c r="A2400">
        <v>656831</v>
      </c>
      <c r="B2400" t="s">
        <v>4828</v>
      </c>
      <c r="C2400" t="s">
        <v>4829</v>
      </c>
      <c r="D2400" t="s">
        <v>10</v>
      </c>
      <c r="E2400" t="s">
        <v>817</v>
      </c>
      <c r="G2400" t="str">
        <f>HYPERLINK(_xlfn.CONCAT("https://tablet.otzar.org/",CHAR(35),"/book/656831/p/-1/t/1/fs/0/start/0/end/0/c"),"ממזרח שמש - קו התאריך")</f>
        <v>ממזרח שמש - קו התאריך</v>
      </c>
      <c r="H2400" t="str">
        <f>_xlfn.CONCAT("https://tablet.otzar.org/",CHAR(35),"/book/656831/p/-1/t/1/fs/0/start/0/end/0/c")</f>
        <v>https://tablet.otzar.org/#/book/656831/p/-1/t/1/fs/0/start/0/end/0/c</v>
      </c>
    </row>
    <row r="2401" spans="1:8" x14ac:dyDescent="0.25">
      <c r="A2401">
        <v>648319</v>
      </c>
      <c r="B2401" t="s">
        <v>4830</v>
      </c>
      <c r="C2401" t="s">
        <v>4831</v>
      </c>
      <c r="D2401" t="s">
        <v>34</v>
      </c>
      <c r="E2401" t="s">
        <v>89</v>
      </c>
      <c r="G2401" t="str">
        <f>HYPERLINK(_xlfn.CONCAT("https://tablet.otzar.org/",CHAR(35),"/book/648319/p/-1/t/1/fs/0/start/0/end/0/c"),"ממחרת השבת")</f>
        <v>ממחרת השבת</v>
      </c>
      <c r="H2401" t="str">
        <f>_xlfn.CONCAT("https://tablet.otzar.org/",CHAR(35),"/book/648319/p/-1/t/1/fs/0/start/0/end/0/c")</f>
        <v>https://tablet.otzar.org/#/book/648319/p/-1/t/1/fs/0/start/0/end/0/c</v>
      </c>
    </row>
    <row r="2402" spans="1:8" x14ac:dyDescent="0.25">
      <c r="A2402">
        <v>651407</v>
      </c>
      <c r="B2402" t="s">
        <v>4832</v>
      </c>
      <c r="C2402" t="s">
        <v>4833</v>
      </c>
      <c r="D2402" t="s">
        <v>4834</v>
      </c>
      <c r="E2402" t="s">
        <v>558</v>
      </c>
      <c r="G2402" t="str">
        <f>HYPERLINK(_xlfn.CONCAT("https://tablet.otzar.org/",CHAR(35),"/book/651407/p/-1/t/1/fs/0/start/0/end/0/c"),"ממעין מחולה - 12")</f>
        <v>ממעין מחולה - 12</v>
      </c>
      <c r="H2402" t="str">
        <f>_xlfn.CONCAT("https://tablet.otzar.org/",CHAR(35),"/book/651407/p/-1/t/1/fs/0/start/0/end/0/c")</f>
        <v>https://tablet.otzar.org/#/book/651407/p/-1/t/1/fs/0/start/0/end/0/c</v>
      </c>
    </row>
    <row r="2403" spans="1:8" x14ac:dyDescent="0.25">
      <c r="A2403">
        <v>655415</v>
      </c>
      <c r="B2403" t="s">
        <v>4835</v>
      </c>
      <c r="C2403" t="s">
        <v>4836</v>
      </c>
      <c r="D2403" t="s">
        <v>4837</v>
      </c>
      <c r="E2403" t="s">
        <v>84</v>
      </c>
      <c r="G2403" t="str">
        <f>HYPERLINK(_xlfn.CONCAT("https://tablet.otzar.org/",CHAR(35),"/book/655415/p/-1/t/1/fs/0/start/0/end/0/c"),"ממעיני הישועה")</f>
        <v>ממעיני הישועה</v>
      </c>
      <c r="H2403" t="str">
        <f>_xlfn.CONCAT("https://tablet.otzar.org/",CHAR(35),"/book/655415/p/-1/t/1/fs/0/start/0/end/0/c")</f>
        <v>https://tablet.otzar.org/#/book/655415/p/-1/t/1/fs/0/start/0/end/0/c</v>
      </c>
    </row>
    <row r="2404" spans="1:8" x14ac:dyDescent="0.25">
      <c r="A2404">
        <v>647474</v>
      </c>
      <c r="B2404" t="s">
        <v>4838</v>
      </c>
      <c r="C2404" t="s">
        <v>4839</v>
      </c>
      <c r="D2404" t="s">
        <v>88</v>
      </c>
      <c r="E2404" t="s">
        <v>495</v>
      </c>
      <c r="G2404" t="str">
        <f>HYPERLINK(_xlfn.CONCAT("https://tablet.otzar.org/",CHAR(35),"/book/647474/p/-1/t/1/fs/0/start/0/end/0/c"),"ממשנתן של סופרים - א")</f>
        <v>ממשנתן של סופרים - א</v>
      </c>
      <c r="H2404" t="str">
        <f>_xlfn.CONCAT("https://tablet.otzar.org/",CHAR(35),"/book/647474/p/-1/t/1/fs/0/start/0/end/0/c")</f>
        <v>https://tablet.otzar.org/#/book/647474/p/-1/t/1/fs/0/start/0/end/0/c</v>
      </c>
    </row>
    <row r="2405" spans="1:8" x14ac:dyDescent="0.25">
      <c r="A2405">
        <v>648821</v>
      </c>
      <c r="B2405" t="s">
        <v>4840</v>
      </c>
      <c r="C2405" t="s">
        <v>4841</v>
      </c>
      <c r="D2405" t="s">
        <v>10</v>
      </c>
      <c r="E2405" t="s">
        <v>35</v>
      </c>
      <c r="G2405" t="str">
        <f>HYPERLINK(_xlfn.CONCAT("https://tablet.otzar.org/",CHAR(35),"/book/648821/p/-1/t/1/fs/0/start/0/end/0/c"),"ממשקה ישראל למנחה")</f>
        <v>ממשקה ישראל למנחה</v>
      </c>
      <c r="H2405" t="str">
        <f>_xlfn.CONCAT("https://tablet.otzar.org/",CHAR(35),"/book/648821/p/-1/t/1/fs/0/start/0/end/0/c")</f>
        <v>https://tablet.otzar.org/#/book/648821/p/-1/t/1/fs/0/start/0/end/0/c</v>
      </c>
    </row>
    <row r="2406" spans="1:8" x14ac:dyDescent="0.25">
      <c r="A2406">
        <v>647638</v>
      </c>
      <c r="B2406" t="s">
        <v>4842</v>
      </c>
      <c r="C2406" t="s">
        <v>4843</v>
      </c>
      <c r="D2406" t="s">
        <v>10</v>
      </c>
      <c r="E2406" t="s">
        <v>495</v>
      </c>
      <c r="G2406" t="str">
        <f>HYPERLINK(_xlfn.CONCAT("https://tablet.otzar.org/",CHAR(35),"/book/647638/p/-1/t/1/fs/0/start/0/end/0/c"),"מן הבאר")</f>
        <v>מן הבאר</v>
      </c>
      <c r="H2406" t="str">
        <f>_xlfn.CONCAT("https://tablet.otzar.org/",CHAR(35),"/book/647638/p/-1/t/1/fs/0/start/0/end/0/c")</f>
        <v>https://tablet.otzar.org/#/book/647638/p/-1/t/1/fs/0/start/0/end/0/c</v>
      </c>
    </row>
    <row r="2407" spans="1:8" x14ac:dyDescent="0.25">
      <c r="A2407">
        <v>654819</v>
      </c>
      <c r="B2407" t="s">
        <v>4844</v>
      </c>
      <c r="C2407" t="s">
        <v>4845</v>
      </c>
      <c r="D2407" t="s">
        <v>340</v>
      </c>
      <c r="E2407" t="s">
        <v>11</v>
      </c>
      <c r="G2407" t="str">
        <f>HYPERLINK(_xlfn.CONCAT("https://tablet.otzar.org/",CHAR(35),"/book/654819/p/-1/t/1/fs/0/start/0/end/0/c"),"מן הגנזים - טו")</f>
        <v>מן הגנזים - טו</v>
      </c>
      <c r="H2407" t="str">
        <f>_xlfn.CONCAT("https://tablet.otzar.org/",CHAR(35),"/book/654819/p/-1/t/1/fs/0/start/0/end/0/c")</f>
        <v>https://tablet.otzar.org/#/book/654819/p/-1/t/1/fs/0/start/0/end/0/c</v>
      </c>
    </row>
    <row r="2408" spans="1:8" x14ac:dyDescent="0.25">
      <c r="A2408">
        <v>655172</v>
      </c>
      <c r="B2408" t="s">
        <v>4846</v>
      </c>
      <c r="C2408" t="s">
        <v>4847</v>
      </c>
      <c r="D2408" t="s">
        <v>52</v>
      </c>
      <c r="E2408" t="s">
        <v>11</v>
      </c>
      <c r="G2408" t="str">
        <f>HYPERLINK(_xlfn.CONCAT("https://tablet.otzar.org/",CHAR(35),"/book/655172/p/-1/t/1/fs/0/start/0/end/0/c"),"מן המים - ראש השנה")</f>
        <v>מן המים - ראש השנה</v>
      </c>
      <c r="H2408" t="str">
        <f>_xlfn.CONCAT("https://tablet.otzar.org/",CHAR(35),"/book/655172/p/-1/t/1/fs/0/start/0/end/0/c")</f>
        <v>https://tablet.otzar.org/#/book/655172/p/-1/t/1/fs/0/start/0/end/0/c</v>
      </c>
    </row>
    <row r="2409" spans="1:8" x14ac:dyDescent="0.25">
      <c r="A2409">
        <v>655446</v>
      </c>
      <c r="B2409" t="s">
        <v>4848</v>
      </c>
      <c r="C2409" t="s">
        <v>4849</v>
      </c>
      <c r="D2409" t="s">
        <v>4850</v>
      </c>
      <c r="E2409" t="s">
        <v>224</v>
      </c>
      <c r="G2409" t="str">
        <f>HYPERLINK(_xlfn.CONCAT("https://tablet.otzar.org/",CHAR(35),"/book/655446/p/-1/t/1/fs/0/start/0/end/0/c"),"מנהגי בית אבי")</f>
        <v>מנהגי בית אבי</v>
      </c>
      <c r="H2409" t="str">
        <f>_xlfn.CONCAT("https://tablet.otzar.org/",CHAR(35),"/book/655446/p/-1/t/1/fs/0/start/0/end/0/c")</f>
        <v>https://tablet.otzar.org/#/book/655446/p/-1/t/1/fs/0/start/0/end/0/c</v>
      </c>
    </row>
    <row r="2410" spans="1:8" x14ac:dyDescent="0.25">
      <c r="A2410">
        <v>655096</v>
      </c>
      <c r="B2410" t="s">
        <v>4851</v>
      </c>
      <c r="C2410" t="s">
        <v>4852</v>
      </c>
      <c r="D2410" t="s">
        <v>52</v>
      </c>
      <c r="E2410" t="s">
        <v>1476</v>
      </c>
      <c r="G2410" t="str">
        <f>HYPERLINK(_xlfn.CONCAT("https://tablet.otzar.org/",CHAR(35),"/book/655096/p/-1/t/1/fs/0/start/0/end/0/c"),"מנהגי בית הכנסת לבני אשכנז - תשפ""""ג")</f>
        <v>מנהגי בית הכנסת לבני אשכנז - תשפ""ג</v>
      </c>
      <c r="H2410" t="str">
        <f>_xlfn.CONCAT("https://tablet.otzar.org/",CHAR(35),"/book/655096/p/-1/t/1/fs/0/start/0/end/0/c")</f>
        <v>https://tablet.otzar.org/#/book/655096/p/-1/t/1/fs/0/start/0/end/0/c</v>
      </c>
    </row>
    <row r="2411" spans="1:8" x14ac:dyDescent="0.25">
      <c r="A2411">
        <v>650417</v>
      </c>
      <c r="B2411" t="s">
        <v>4853</v>
      </c>
      <c r="C2411" t="s">
        <v>4854</v>
      </c>
      <c r="D2411" t="s">
        <v>193</v>
      </c>
      <c r="E2411" t="s">
        <v>70</v>
      </c>
      <c r="G2411" t="str">
        <f>HYPERLINK(_xlfn.CONCAT("https://tablet.otzar.org/",CHAR(35),"/book/650417/p/-1/t/1/fs/0/start/0/end/0/c"),"מנהגי החלאקה")</f>
        <v>מנהגי החלאקה</v>
      </c>
      <c r="H2411" t="str">
        <f>_xlfn.CONCAT("https://tablet.otzar.org/",CHAR(35),"/book/650417/p/-1/t/1/fs/0/start/0/end/0/c")</f>
        <v>https://tablet.otzar.org/#/book/650417/p/-1/t/1/fs/0/start/0/end/0/c</v>
      </c>
    </row>
    <row r="2412" spans="1:8" x14ac:dyDescent="0.25">
      <c r="A2412">
        <v>655101</v>
      </c>
      <c r="B2412" t="s">
        <v>4855</v>
      </c>
      <c r="C2412" t="s">
        <v>4856</v>
      </c>
      <c r="D2412" t="s">
        <v>10</v>
      </c>
      <c r="E2412" t="s">
        <v>11</v>
      </c>
      <c r="G2412" t="str">
        <f>HYPERLINK(_xlfn.CONCAT("https://tablet.otzar.org/",CHAR(35),"/book/655101/p/-1/t/1/fs/0/start/0/end/0/c"),"מנהגי מהרי""""צ הלוי - שבת קודש")</f>
        <v>מנהגי מהרי""צ הלוי - שבת קודש</v>
      </c>
      <c r="H2412" t="str">
        <f>_xlfn.CONCAT("https://tablet.otzar.org/",CHAR(35),"/book/655101/p/-1/t/1/fs/0/start/0/end/0/c")</f>
        <v>https://tablet.otzar.org/#/book/655101/p/-1/t/1/fs/0/start/0/end/0/c</v>
      </c>
    </row>
    <row r="2413" spans="1:8" x14ac:dyDescent="0.25">
      <c r="A2413">
        <v>649195</v>
      </c>
      <c r="B2413" t="s">
        <v>4857</v>
      </c>
      <c r="C2413" t="s">
        <v>4858</v>
      </c>
      <c r="E2413" t="s">
        <v>19</v>
      </c>
      <c r="G2413" t="str">
        <f>HYPERLINK(_xlfn.CONCAT("https://tablet.otzar.org/",CHAR(35),"/book/649195/p/-1/t/1/fs/0/start/0/end/0/c"),"מנהגי מהריי""""ו סוליצא &lt;מהדורה חדשה&gt;")</f>
        <v>מנהגי מהריי""ו סוליצא &lt;מהדורה חדשה&gt;</v>
      </c>
      <c r="H2413" t="str">
        <f>_xlfn.CONCAT("https://tablet.otzar.org/",CHAR(35),"/book/649195/p/-1/t/1/fs/0/start/0/end/0/c")</f>
        <v>https://tablet.otzar.org/#/book/649195/p/-1/t/1/fs/0/start/0/end/0/c</v>
      </c>
    </row>
    <row r="2414" spans="1:8" x14ac:dyDescent="0.25">
      <c r="A2414">
        <v>652946</v>
      </c>
      <c r="B2414" t="s">
        <v>4859</v>
      </c>
      <c r="C2414" t="s">
        <v>1622</v>
      </c>
      <c r="D2414" t="s">
        <v>10</v>
      </c>
      <c r="E2414" t="s">
        <v>246</v>
      </c>
      <c r="G2414" t="str">
        <f>HYPERLINK(_xlfn.CONCAT("https://tablet.otzar.org/",CHAR(35),"/book/652946/p/-1/t/1/fs/0/start/0/end/0/c"),"מנהגי נשואין")</f>
        <v>מנהגי נשואין</v>
      </c>
      <c r="H2414" t="str">
        <f>_xlfn.CONCAT("https://tablet.otzar.org/",CHAR(35),"/book/652946/p/-1/t/1/fs/0/start/0/end/0/c")</f>
        <v>https://tablet.otzar.org/#/book/652946/p/-1/t/1/fs/0/start/0/end/0/c</v>
      </c>
    </row>
    <row r="2415" spans="1:8" x14ac:dyDescent="0.25">
      <c r="A2415">
        <v>648021</v>
      </c>
      <c r="B2415" t="s">
        <v>4860</v>
      </c>
      <c r="C2415" t="s">
        <v>4861</v>
      </c>
      <c r="D2415" t="s">
        <v>10</v>
      </c>
      <c r="E2415" t="s">
        <v>649</v>
      </c>
      <c r="G2415" t="str">
        <f>HYPERLINK(_xlfn.CONCAT("https://tablet.otzar.org/",CHAR(35),"/book/648021/p/-1/t/1/fs/0/start/0/end/0/c"),"מנוחה וקדושה")</f>
        <v>מנוחה וקדושה</v>
      </c>
      <c r="H2415" t="str">
        <f>_xlfn.CONCAT("https://tablet.otzar.org/",CHAR(35),"/book/648021/p/-1/t/1/fs/0/start/0/end/0/c")</f>
        <v>https://tablet.otzar.org/#/book/648021/p/-1/t/1/fs/0/start/0/end/0/c</v>
      </c>
    </row>
    <row r="2416" spans="1:8" x14ac:dyDescent="0.25">
      <c r="A2416">
        <v>649132</v>
      </c>
      <c r="B2416" t="s">
        <v>4862</v>
      </c>
      <c r="C2416" t="s">
        <v>1327</v>
      </c>
      <c r="D2416" t="s">
        <v>10</v>
      </c>
      <c r="E2416" t="s">
        <v>62</v>
      </c>
      <c r="G2416" t="str">
        <f>HYPERLINK(_xlfn.CONCAT("https://tablet.otzar.org/",CHAR(35),"/book/649132/p/-1/t/1/fs/0/start/0/end/0/c"),"מנוחה ושמחה - מנוחת שלום")</f>
        <v>מנוחה ושמחה - מנוחת שלום</v>
      </c>
      <c r="H2416" t="str">
        <f>_xlfn.CONCAT("https://tablet.otzar.org/",CHAR(35),"/book/649132/p/-1/t/1/fs/0/start/0/end/0/c")</f>
        <v>https://tablet.otzar.org/#/book/649132/p/-1/t/1/fs/0/start/0/end/0/c</v>
      </c>
    </row>
    <row r="2417" spans="1:8" x14ac:dyDescent="0.25">
      <c r="A2417">
        <v>654069</v>
      </c>
      <c r="B2417" t="s">
        <v>4863</v>
      </c>
      <c r="C2417" t="s">
        <v>4864</v>
      </c>
      <c r="D2417" t="s">
        <v>10</v>
      </c>
      <c r="E2417" t="s">
        <v>11</v>
      </c>
      <c r="G2417" t="str">
        <f>HYPERLINK(_xlfn.CONCAT("https://tablet.otzar.org/",CHAR(35),"/book/654069/p/-1/t/1/fs/0/start/0/end/0/c"),"מנוחת ארץ")</f>
        <v>מנוחת ארץ</v>
      </c>
      <c r="H2417" t="str">
        <f>_xlfn.CONCAT("https://tablet.otzar.org/",CHAR(35),"/book/654069/p/-1/t/1/fs/0/start/0/end/0/c")</f>
        <v>https://tablet.otzar.org/#/book/654069/p/-1/t/1/fs/0/start/0/end/0/c</v>
      </c>
    </row>
    <row r="2418" spans="1:8" x14ac:dyDescent="0.25">
      <c r="A2418">
        <v>655204</v>
      </c>
      <c r="B2418" t="s">
        <v>4865</v>
      </c>
      <c r="C2418" t="s">
        <v>928</v>
      </c>
      <c r="D2418" t="s">
        <v>287</v>
      </c>
      <c r="E2418" t="s">
        <v>45</v>
      </c>
      <c r="G2418" t="str">
        <f>HYPERLINK(_xlfn.CONCAT("https://tablet.otzar.org/",CHAR(35),"/book/655204/p/-1/t/1/fs/0/start/0/end/0/c"),"מנוחת הסופר")</f>
        <v>מנוחת הסופר</v>
      </c>
      <c r="H2418" t="str">
        <f>_xlfn.CONCAT("https://tablet.otzar.org/",CHAR(35),"/book/655204/p/-1/t/1/fs/0/start/0/end/0/c")</f>
        <v>https://tablet.otzar.org/#/book/655204/p/-1/t/1/fs/0/start/0/end/0/c</v>
      </c>
    </row>
    <row r="2419" spans="1:8" x14ac:dyDescent="0.25">
      <c r="A2419">
        <v>61599</v>
      </c>
      <c r="B2419" t="s">
        <v>4866</v>
      </c>
      <c r="C2419" t="s">
        <v>4867</v>
      </c>
      <c r="E2419" t="s">
        <v>146</v>
      </c>
      <c r="G2419" t="str">
        <f>HYPERLINK(_xlfn.CONCAT("https://tablet.otzar.org/",CHAR(35),"/exKotar/61599"),"מנורה הטהורה &lt;מהדורה חדשה&gt;  - 2 כרכים")</f>
        <v>מנורה הטהורה &lt;מהדורה חדשה&gt;  - 2 כרכים</v>
      </c>
      <c r="H2419" t="str">
        <f>_xlfn.CONCAT("https://tablet.otzar.org/",CHAR(35),"/exKotar/61599")</f>
        <v>https://tablet.otzar.org/#/exKotar/61599</v>
      </c>
    </row>
    <row r="2420" spans="1:8" x14ac:dyDescent="0.25">
      <c r="A2420">
        <v>649563</v>
      </c>
      <c r="B2420" t="s">
        <v>4868</v>
      </c>
      <c r="C2420" t="s">
        <v>4869</v>
      </c>
      <c r="D2420" t="s">
        <v>10</v>
      </c>
      <c r="E2420" t="s">
        <v>4390</v>
      </c>
      <c r="G2420" t="str">
        <f>HYPERLINK(_xlfn.CONCAT("https://tablet.otzar.org/",CHAR(35),"/book/649563/p/-1/t/1/fs/0/start/0/end/0/c"),"מנורת זהב")</f>
        <v>מנורת זהב</v>
      </c>
      <c r="H2420" t="str">
        <f>_xlfn.CONCAT("https://tablet.otzar.org/",CHAR(35),"/book/649563/p/-1/t/1/fs/0/start/0/end/0/c")</f>
        <v>https://tablet.otzar.org/#/book/649563/p/-1/t/1/fs/0/start/0/end/0/c</v>
      </c>
    </row>
    <row r="2421" spans="1:8" x14ac:dyDescent="0.25">
      <c r="A2421">
        <v>654652</v>
      </c>
      <c r="B2421" t="s">
        <v>4868</v>
      </c>
      <c r="C2421" t="s">
        <v>219</v>
      </c>
      <c r="D2421" t="s">
        <v>10</v>
      </c>
      <c r="E2421" t="s">
        <v>35</v>
      </c>
      <c r="G2421" t="str">
        <f>HYPERLINK(_xlfn.CONCAT("https://tablet.otzar.org/",CHAR(35),"/book/654652/p/-1/t/1/fs/0/start/0/end/0/c"),"מנורת זהב")</f>
        <v>מנורת זהב</v>
      </c>
      <c r="H2421" t="str">
        <f>_xlfn.CONCAT("https://tablet.otzar.org/",CHAR(35),"/book/654652/p/-1/t/1/fs/0/start/0/end/0/c")</f>
        <v>https://tablet.otzar.org/#/book/654652/p/-1/t/1/fs/0/start/0/end/0/c</v>
      </c>
    </row>
    <row r="2422" spans="1:8" x14ac:dyDescent="0.25">
      <c r="A2422">
        <v>655078</v>
      </c>
      <c r="B2422" t="s">
        <v>4870</v>
      </c>
      <c r="C2422" t="s">
        <v>614</v>
      </c>
      <c r="D2422" t="s">
        <v>10</v>
      </c>
      <c r="E2422" t="s">
        <v>29</v>
      </c>
      <c r="G2422" t="str">
        <f>HYPERLINK(_xlfn.CONCAT("https://tablet.otzar.org/",CHAR(35),"/book/655078/p/-1/t/1/fs/0/start/0/end/0/c"),"מנחה טהורה")</f>
        <v>מנחה טהורה</v>
      </c>
      <c r="H2422" t="str">
        <f>_xlfn.CONCAT("https://tablet.otzar.org/",CHAR(35),"/book/655078/p/-1/t/1/fs/0/start/0/end/0/c")</f>
        <v>https://tablet.otzar.org/#/book/655078/p/-1/t/1/fs/0/start/0/end/0/c</v>
      </c>
    </row>
    <row r="2423" spans="1:8" x14ac:dyDescent="0.25">
      <c r="A2423">
        <v>14787</v>
      </c>
      <c r="B2423" t="s">
        <v>4871</v>
      </c>
      <c r="C2423" t="s">
        <v>4872</v>
      </c>
      <c r="D2423" t="s">
        <v>10</v>
      </c>
      <c r="E2423" t="s">
        <v>270</v>
      </c>
      <c r="G2423" t="str">
        <f>HYPERLINK(_xlfn.CONCAT("https://tablet.otzar.org/",CHAR(35),"/book/14787/p/-1/t/1/fs/0/start/0/end/0/c"),"מנחה לאברהם")</f>
        <v>מנחה לאברהם</v>
      </c>
      <c r="H2423" t="str">
        <f>_xlfn.CONCAT("https://tablet.otzar.org/",CHAR(35),"/book/14787/p/-1/t/1/fs/0/start/0/end/0/c")</f>
        <v>https://tablet.otzar.org/#/book/14787/p/-1/t/1/fs/0/start/0/end/0/c</v>
      </c>
    </row>
    <row r="2424" spans="1:8" x14ac:dyDescent="0.25">
      <c r="A2424">
        <v>647447</v>
      </c>
      <c r="B2424" t="s">
        <v>4873</v>
      </c>
      <c r="C2424" t="s">
        <v>4874</v>
      </c>
      <c r="D2424" t="s">
        <v>10</v>
      </c>
      <c r="E2424" t="s">
        <v>293</v>
      </c>
      <c r="G2424" t="str">
        <f>HYPERLINK(_xlfn.CONCAT("https://tablet.otzar.org/",CHAR(35),"/book/647447/p/-1/t/1/fs/0/start/0/end/0/c"),"מנחה ליעקב")</f>
        <v>מנחה ליעקב</v>
      </c>
      <c r="H2424" t="str">
        <f>_xlfn.CONCAT("https://tablet.otzar.org/",CHAR(35),"/book/647447/p/-1/t/1/fs/0/start/0/end/0/c")</f>
        <v>https://tablet.otzar.org/#/book/647447/p/-1/t/1/fs/0/start/0/end/0/c</v>
      </c>
    </row>
    <row r="2425" spans="1:8" x14ac:dyDescent="0.25">
      <c r="A2425">
        <v>656801</v>
      </c>
      <c r="B2425" t="s">
        <v>4875</v>
      </c>
      <c r="C2425" t="s">
        <v>4437</v>
      </c>
      <c r="E2425" t="s">
        <v>11</v>
      </c>
      <c r="G2425" t="str">
        <f>HYPERLINK(_xlfn.CONCAT("https://tablet.otzar.org/",CHAR(35),"/book/656801/p/-1/t/1/fs/0/start/0/end/0/c"),"מנחם ציון - ב")</f>
        <v>מנחם ציון - ב</v>
      </c>
      <c r="H2425" t="str">
        <f>_xlfn.CONCAT("https://tablet.otzar.org/",CHAR(35),"/book/656801/p/-1/t/1/fs/0/start/0/end/0/c")</f>
        <v>https://tablet.otzar.org/#/book/656801/p/-1/t/1/fs/0/start/0/end/0/c</v>
      </c>
    </row>
    <row r="2426" spans="1:8" x14ac:dyDescent="0.25">
      <c r="A2426">
        <v>649390</v>
      </c>
      <c r="B2426" t="s">
        <v>4876</v>
      </c>
      <c r="C2426" t="s">
        <v>4877</v>
      </c>
      <c r="D2426" t="s">
        <v>693</v>
      </c>
      <c r="E2426" t="s">
        <v>558</v>
      </c>
      <c r="G2426" t="str">
        <f>HYPERLINK(_xlfn.CONCAT("https://tablet.otzar.org/",CHAR(35),"/book/649390/p/-1/t/1/fs/0/start/0/end/0/c"),"מנחת אב")</f>
        <v>מנחת אב</v>
      </c>
      <c r="H2426" t="str">
        <f>_xlfn.CONCAT("https://tablet.otzar.org/",CHAR(35),"/book/649390/p/-1/t/1/fs/0/start/0/end/0/c")</f>
        <v>https://tablet.otzar.org/#/book/649390/p/-1/t/1/fs/0/start/0/end/0/c</v>
      </c>
    </row>
    <row r="2427" spans="1:8" x14ac:dyDescent="0.25">
      <c r="A2427">
        <v>650697</v>
      </c>
      <c r="B2427" t="s">
        <v>4878</v>
      </c>
      <c r="C2427" t="s">
        <v>4879</v>
      </c>
      <c r="D2427" t="s">
        <v>34</v>
      </c>
      <c r="E2427" t="s">
        <v>70</v>
      </c>
      <c r="G2427" t="str">
        <f>HYPERLINK(_xlfn.CONCAT("https://tablet.otzar.org/",CHAR(35),"/book/650697/p/-1/t/1/fs/0/start/0/end/0/c"),"מנחת אדם")</f>
        <v>מנחת אדם</v>
      </c>
      <c r="H2427" t="str">
        <f>_xlfn.CONCAT("https://tablet.otzar.org/",CHAR(35),"/book/650697/p/-1/t/1/fs/0/start/0/end/0/c")</f>
        <v>https://tablet.otzar.org/#/book/650697/p/-1/t/1/fs/0/start/0/end/0/c</v>
      </c>
    </row>
    <row r="2428" spans="1:8" x14ac:dyDescent="0.25">
      <c r="A2428">
        <v>652921</v>
      </c>
      <c r="B2428" t="s">
        <v>4880</v>
      </c>
      <c r="C2428" t="s">
        <v>4881</v>
      </c>
      <c r="D2428" t="s">
        <v>573</v>
      </c>
      <c r="E2428" t="s">
        <v>574</v>
      </c>
      <c r="G2428" t="str">
        <f>HYPERLINK(_xlfn.CONCAT("https://tablet.otzar.org/",CHAR(35),"/book/652921/p/-1/t/1/fs/0/start/0/end/0/c"),"מנחת איל")</f>
        <v>מנחת איל</v>
      </c>
      <c r="H2428" t="str">
        <f>_xlfn.CONCAT("https://tablet.otzar.org/",CHAR(35),"/book/652921/p/-1/t/1/fs/0/start/0/end/0/c")</f>
        <v>https://tablet.otzar.org/#/book/652921/p/-1/t/1/fs/0/start/0/end/0/c</v>
      </c>
    </row>
    <row r="2429" spans="1:8" x14ac:dyDescent="0.25">
      <c r="A2429">
        <v>652920</v>
      </c>
      <c r="B2429" t="s">
        <v>4882</v>
      </c>
      <c r="C2429" t="s">
        <v>4883</v>
      </c>
      <c r="D2429" t="s">
        <v>573</v>
      </c>
      <c r="E2429" t="s">
        <v>77</v>
      </c>
      <c r="G2429" t="str">
        <f>HYPERLINK(_xlfn.CONCAT("https://tablet.otzar.org/",CHAR(35),"/book/652920/p/-1/t/1/fs/0/start/0/end/0/c"),"מנחת אליהו - בראשית")</f>
        <v>מנחת אליהו - בראשית</v>
      </c>
      <c r="H2429" t="str">
        <f>_xlfn.CONCAT("https://tablet.otzar.org/",CHAR(35),"/book/652920/p/-1/t/1/fs/0/start/0/end/0/c")</f>
        <v>https://tablet.otzar.org/#/book/652920/p/-1/t/1/fs/0/start/0/end/0/c</v>
      </c>
    </row>
    <row r="2430" spans="1:8" x14ac:dyDescent="0.25">
      <c r="A2430">
        <v>655376</v>
      </c>
      <c r="B2430" t="s">
        <v>4884</v>
      </c>
      <c r="C2430" t="s">
        <v>4885</v>
      </c>
      <c r="D2430" t="s">
        <v>10</v>
      </c>
      <c r="E2430" t="s">
        <v>657</v>
      </c>
      <c r="G2430" t="str">
        <f>HYPERLINK(_xlfn.CONCAT("https://tablet.otzar.org/",CHAR(35),"/book/655376/p/-1/t/1/fs/0/start/0/end/0/c"),"מנחת אלימלך - נדה א")</f>
        <v>מנחת אלימלך - נדה א</v>
      </c>
      <c r="H2430" t="str">
        <f>_xlfn.CONCAT("https://tablet.otzar.org/",CHAR(35),"/book/655376/p/-1/t/1/fs/0/start/0/end/0/c")</f>
        <v>https://tablet.otzar.org/#/book/655376/p/-1/t/1/fs/0/start/0/end/0/c</v>
      </c>
    </row>
    <row r="2431" spans="1:8" x14ac:dyDescent="0.25">
      <c r="A2431">
        <v>648820</v>
      </c>
      <c r="B2431" t="s">
        <v>4886</v>
      </c>
      <c r="C2431" t="s">
        <v>4887</v>
      </c>
      <c r="D2431" t="s">
        <v>34</v>
      </c>
      <c r="E2431" t="s">
        <v>11</v>
      </c>
      <c r="G2431" t="str">
        <f>HYPERLINK(_xlfn.CONCAT("https://tablet.otzar.org/",CHAR(35),"/book/648820/p/-1/t/1/fs/0/start/0/end/0/c"),"מנחת אליעזר - ענייני 'לא ילבש'")</f>
        <v>מנחת אליעזר - ענייני 'לא ילבש'</v>
      </c>
      <c r="H2431" t="str">
        <f>_xlfn.CONCAT("https://tablet.otzar.org/",CHAR(35),"/book/648820/p/-1/t/1/fs/0/start/0/end/0/c")</f>
        <v>https://tablet.otzar.org/#/book/648820/p/-1/t/1/fs/0/start/0/end/0/c</v>
      </c>
    </row>
    <row r="2432" spans="1:8" x14ac:dyDescent="0.25">
      <c r="A2432">
        <v>650789</v>
      </c>
      <c r="B2432" t="s">
        <v>4888</v>
      </c>
      <c r="C2432" t="s">
        <v>4889</v>
      </c>
      <c r="D2432" t="s">
        <v>139</v>
      </c>
      <c r="E2432" t="s">
        <v>11</v>
      </c>
      <c r="G2432" t="str">
        <f>HYPERLINK(_xlfn.CONCAT("https://tablet.otzar.org/",CHAR(35),"/book/650789/p/-1/t/1/fs/0/start/0/end/0/c"),"מנחת אפרים - פורים קטן")</f>
        <v>מנחת אפרים - פורים קטן</v>
      </c>
      <c r="H2432" t="str">
        <f>_xlfn.CONCAT("https://tablet.otzar.org/",CHAR(35),"/book/650789/p/-1/t/1/fs/0/start/0/end/0/c")</f>
        <v>https://tablet.otzar.org/#/book/650789/p/-1/t/1/fs/0/start/0/end/0/c</v>
      </c>
    </row>
    <row r="2433" spans="1:8" x14ac:dyDescent="0.25">
      <c r="A2433">
        <v>649770</v>
      </c>
      <c r="B2433" t="s">
        <v>4890</v>
      </c>
      <c r="C2433" t="s">
        <v>4891</v>
      </c>
      <c r="D2433" t="s">
        <v>34</v>
      </c>
      <c r="E2433" t="s">
        <v>11</v>
      </c>
      <c r="G2433" t="str">
        <f>HYPERLINK(_xlfn.CONCAT("https://tablet.otzar.org/",CHAR(35),"/book/649770/p/-1/t/1/fs/0/start/0/end/0/c"),"מנחת אריה")</f>
        <v>מנחת אריה</v>
      </c>
      <c r="H2433" t="str">
        <f>_xlfn.CONCAT("https://tablet.otzar.org/",CHAR(35),"/book/649770/p/-1/t/1/fs/0/start/0/end/0/c")</f>
        <v>https://tablet.otzar.org/#/book/649770/p/-1/t/1/fs/0/start/0/end/0/c</v>
      </c>
    </row>
    <row r="2434" spans="1:8" x14ac:dyDescent="0.25">
      <c r="A2434">
        <v>652668</v>
      </c>
      <c r="B2434" t="s">
        <v>4892</v>
      </c>
      <c r="C2434" t="s">
        <v>4893</v>
      </c>
      <c r="D2434" t="s">
        <v>606</v>
      </c>
      <c r="E2434" t="s">
        <v>184</v>
      </c>
      <c r="G2434" t="str">
        <f>HYPERLINK(_xlfn.CONCAT("https://tablet.otzar.org/",CHAR(35),"/book/652668/p/-1/t/1/fs/0/start/0/end/0/c"),"מנחת ביכורים")</f>
        <v>מנחת ביכורים</v>
      </c>
      <c r="H2434" t="str">
        <f>_xlfn.CONCAT("https://tablet.otzar.org/",CHAR(35),"/book/652668/p/-1/t/1/fs/0/start/0/end/0/c")</f>
        <v>https://tablet.otzar.org/#/book/652668/p/-1/t/1/fs/0/start/0/end/0/c</v>
      </c>
    </row>
    <row r="2435" spans="1:8" x14ac:dyDescent="0.25">
      <c r="A2435">
        <v>654379</v>
      </c>
      <c r="B2435" t="s">
        <v>4894</v>
      </c>
      <c r="C2435" t="s">
        <v>4895</v>
      </c>
      <c r="D2435" t="s">
        <v>52</v>
      </c>
      <c r="E2435" t="s">
        <v>11</v>
      </c>
      <c r="G2435" t="str">
        <f>HYPERLINK(_xlfn.CONCAT("https://tablet.otzar.org/",CHAR(35),"/book/654379/p/-1/t/1/fs/0/start/0/end/0/c"),"מנחת בנימין - זרעים - שמיטת כספים")</f>
        <v>מנחת בנימין - זרעים - שמיטת כספים</v>
      </c>
      <c r="H2435" t="str">
        <f>_xlfn.CONCAT("https://tablet.otzar.org/",CHAR(35),"/book/654379/p/-1/t/1/fs/0/start/0/end/0/c")</f>
        <v>https://tablet.otzar.org/#/book/654379/p/-1/t/1/fs/0/start/0/end/0/c</v>
      </c>
    </row>
    <row r="2436" spans="1:8" x14ac:dyDescent="0.25">
      <c r="A2436">
        <v>647609</v>
      </c>
      <c r="B2436" t="s">
        <v>4896</v>
      </c>
      <c r="C2436" t="s">
        <v>4897</v>
      </c>
      <c r="E2436" t="s">
        <v>357</v>
      </c>
      <c r="G2436" t="str">
        <f>HYPERLINK(_xlfn.CONCAT("https://tablet.otzar.org/",CHAR(35),"/book/647609/p/-1/t/1/fs/0/start/0/end/0/c"),"מנחת דוד - א")</f>
        <v>מנחת דוד - א</v>
      </c>
      <c r="H2436" t="str">
        <f>_xlfn.CONCAT("https://tablet.otzar.org/",CHAR(35),"/book/647609/p/-1/t/1/fs/0/start/0/end/0/c")</f>
        <v>https://tablet.otzar.org/#/book/647609/p/-1/t/1/fs/0/start/0/end/0/c</v>
      </c>
    </row>
    <row r="2437" spans="1:8" x14ac:dyDescent="0.25">
      <c r="A2437">
        <v>647622</v>
      </c>
      <c r="B2437" t="s">
        <v>4898</v>
      </c>
      <c r="C2437" t="s">
        <v>4899</v>
      </c>
      <c r="E2437" t="s">
        <v>35</v>
      </c>
      <c r="G2437" t="str">
        <f>HYPERLINK(_xlfn.CONCAT("https://tablet.otzar.org/",CHAR(35),"/book/647622/p/-1/t/1/fs/0/start/0/end/0/c"),"מנחת דוד - בבא בתרא")</f>
        <v>מנחת דוד - בבא בתרא</v>
      </c>
      <c r="H2437" t="str">
        <f>_xlfn.CONCAT("https://tablet.otzar.org/",CHAR(35),"/book/647622/p/-1/t/1/fs/0/start/0/end/0/c")</f>
        <v>https://tablet.otzar.org/#/book/647622/p/-1/t/1/fs/0/start/0/end/0/c</v>
      </c>
    </row>
    <row r="2438" spans="1:8" x14ac:dyDescent="0.25">
      <c r="A2438">
        <v>647970</v>
      </c>
      <c r="B2438" t="s">
        <v>4900</v>
      </c>
      <c r="C2438" t="s">
        <v>4901</v>
      </c>
      <c r="D2438" t="s">
        <v>1660</v>
      </c>
      <c r="E2438" t="s">
        <v>690</v>
      </c>
      <c r="G2438" t="str">
        <f>HYPERLINK(_xlfn.CONCAT("https://tablet.otzar.org/",CHAR(35),"/exKotar/647970"),"מנחת דוד - 2 כרכים")</f>
        <v>מנחת דוד - 2 כרכים</v>
      </c>
      <c r="H2438" t="str">
        <f>_xlfn.CONCAT("https://tablet.otzar.org/",CHAR(35),"/exKotar/647970")</f>
        <v>https://tablet.otzar.org/#/exKotar/647970</v>
      </c>
    </row>
    <row r="2439" spans="1:8" x14ac:dyDescent="0.25">
      <c r="A2439">
        <v>651430</v>
      </c>
      <c r="B2439" t="s">
        <v>4902</v>
      </c>
      <c r="C2439" t="s">
        <v>4903</v>
      </c>
      <c r="D2439" t="s">
        <v>139</v>
      </c>
      <c r="E2439" t="s">
        <v>11</v>
      </c>
      <c r="G2439" t="str">
        <f>HYPERLINK(_xlfn.CONCAT("https://tablet.otzar.org/",CHAR(35),"/book/651430/p/-1/t/1/fs/0/start/0/end/0/c"),"מנחת הבאר - גיטין")</f>
        <v>מנחת הבאר - גיטין</v>
      </c>
      <c r="H2439" t="str">
        <f>_xlfn.CONCAT("https://tablet.otzar.org/",CHAR(35),"/book/651430/p/-1/t/1/fs/0/start/0/end/0/c")</f>
        <v>https://tablet.otzar.org/#/book/651430/p/-1/t/1/fs/0/start/0/end/0/c</v>
      </c>
    </row>
    <row r="2440" spans="1:8" x14ac:dyDescent="0.25">
      <c r="A2440">
        <v>649885</v>
      </c>
      <c r="B2440" t="s">
        <v>4904</v>
      </c>
      <c r="C2440" t="s">
        <v>4905</v>
      </c>
      <c r="D2440" t="s">
        <v>347</v>
      </c>
      <c r="E2440" t="s">
        <v>11</v>
      </c>
      <c r="G2440" t="str">
        <f>HYPERLINK(_xlfn.CONCAT("https://tablet.otzar.org/",CHAR(35),"/book/649885/p/-1/t/1/fs/0/start/0/end/0/c"),"מנחת הלוי - ברכת המזון")</f>
        <v>מנחת הלוי - ברכת המזון</v>
      </c>
      <c r="H2440" t="str">
        <f>_xlfn.CONCAT("https://tablet.otzar.org/",CHAR(35),"/book/649885/p/-1/t/1/fs/0/start/0/end/0/c")</f>
        <v>https://tablet.otzar.org/#/book/649885/p/-1/t/1/fs/0/start/0/end/0/c</v>
      </c>
    </row>
    <row r="2441" spans="1:8" x14ac:dyDescent="0.25">
      <c r="A2441">
        <v>654783</v>
      </c>
      <c r="B2441" t="s">
        <v>4906</v>
      </c>
      <c r="C2441" t="s">
        <v>4907</v>
      </c>
      <c r="D2441" t="s">
        <v>347</v>
      </c>
      <c r="E2441" t="s">
        <v>84</v>
      </c>
      <c r="G2441" t="str">
        <f>HYPERLINK(_xlfn.CONCAT("https://tablet.otzar.org/",CHAR(35),"/book/654783/p/-1/t/1/fs/0/start/0/end/0/c"),"מנחת חיים")</f>
        <v>מנחת חיים</v>
      </c>
      <c r="H2441" t="str">
        <f>_xlfn.CONCAT("https://tablet.otzar.org/",CHAR(35),"/book/654783/p/-1/t/1/fs/0/start/0/end/0/c")</f>
        <v>https://tablet.otzar.org/#/book/654783/p/-1/t/1/fs/0/start/0/end/0/c</v>
      </c>
    </row>
    <row r="2442" spans="1:8" x14ac:dyDescent="0.25">
      <c r="A2442">
        <v>653285</v>
      </c>
      <c r="B2442" t="s">
        <v>4908</v>
      </c>
      <c r="C2442" t="s">
        <v>4909</v>
      </c>
      <c r="D2442" t="s">
        <v>52</v>
      </c>
      <c r="E2442" t="s">
        <v>11</v>
      </c>
      <c r="G2442" t="str">
        <f>HYPERLINK(_xlfn.CONCAT("https://tablet.otzar.org/",CHAR(35),"/book/653285/p/-1/t/1/fs/0/start/0/end/0/c"),"מנחת חיים - פסחים")</f>
        <v>מנחת חיים - פסחים</v>
      </c>
      <c r="H2442" t="str">
        <f>_xlfn.CONCAT("https://tablet.otzar.org/",CHAR(35),"/book/653285/p/-1/t/1/fs/0/start/0/end/0/c")</f>
        <v>https://tablet.otzar.org/#/book/653285/p/-1/t/1/fs/0/start/0/end/0/c</v>
      </c>
    </row>
    <row r="2443" spans="1:8" x14ac:dyDescent="0.25">
      <c r="A2443">
        <v>654635</v>
      </c>
      <c r="B2443" t="s">
        <v>4910</v>
      </c>
      <c r="C2443" t="s">
        <v>4911</v>
      </c>
      <c r="D2443" t="s">
        <v>10</v>
      </c>
      <c r="E2443" t="s">
        <v>320</v>
      </c>
      <c r="G2443" t="str">
        <f>HYPERLINK(_xlfn.CONCAT("https://tablet.otzar.org/",CHAR(35),"/book/654635/p/-1/t/1/fs/0/start/0/end/0/c"),"מנחת חן - שו""""ת ג")</f>
        <v>מנחת חן - שו""ת ג</v>
      </c>
      <c r="H2443" t="str">
        <f>_xlfn.CONCAT("https://tablet.otzar.org/",CHAR(35),"/book/654635/p/-1/t/1/fs/0/start/0/end/0/c")</f>
        <v>https://tablet.otzar.org/#/book/654635/p/-1/t/1/fs/0/start/0/end/0/c</v>
      </c>
    </row>
    <row r="2444" spans="1:8" x14ac:dyDescent="0.25">
      <c r="A2444">
        <v>654782</v>
      </c>
      <c r="B2444" t="s">
        <v>4912</v>
      </c>
      <c r="C2444" t="s">
        <v>4907</v>
      </c>
      <c r="D2444" t="s">
        <v>347</v>
      </c>
      <c r="E2444" t="s">
        <v>45</v>
      </c>
      <c r="G2444" t="str">
        <f>HYPERLINK(_xlfn.CONCAT("https://tablet.otzar.org/",CHAR(35),"/book/654782/p/-1/t/1/fs/0/start/0/end/0/c"),"מנחת יהודה - א - ב")</f>
        <v>מנחת יהודה - א - ב</v>
      </c>
      <c r="H2444" t="str">
        <f>_xlfn.CONCAT("https://tablet.otzar.org/",CHAR(35),"/book/654782/p/-1/t/1/fs/0/start/0/end/0/c")</f>
        <v>https://tablet.otzar.org/#/book/654782/p/-1/t/1/fs/0/start/0/end/0/c</v>
      </c>
    </row>
    <row r="2445" spans="1:8" x14ac:dyDescent="0.25">
      <c r="A2445">
        <v>650443</v>
      </c>
      <c r="B2445" t="s">
        <v>4913</v>
      </c>
      <c r="C2445" t="s">
        <v>1699</v>
      </c>
      <c r="D2445" t="s">
        <v>4914</v>
      </c>
      <c r="E2445" t="s">
        <v>4915</v>
      </c>
      <c r="G2445" t="str">
        <f>HYPERLINK(_xlfn.CONCAT("https://tablet.otzar.org/",CHAR(35),"/book/650443/p/-1/t/1/fs/0/start/0/end/0/c"),"מנחת יהודה")</f>
        <v>מנחת יהודה</v>
      </c>
      <c r="H2445" t="str">
        <f>_xlfn.CONCAT("https://tablet.otzar.org/",CHAR(35),"/book/650443/p/-1/t/1/fs/0/start/0/end/0/c")</f>
        <v>https://tablet.otzar.org/#/book/650443/p/-1/t/1/fs/0/start/0/end/0/c</v>
      </c>
    </row>
    <row r="2446" spans="1:8" x14ac:dyDescent="0.25">
      <c r="A2446">
        <v>651589</v>
      </c>
      <c r="B2446" t="s">
        <v>4916</v>
      </c>
      <c r="C2446" t="s">
        <v>4917</v>
      </c>
      <c r="D2446" t="s">
        <v>10</v>
      </c>
      <c r="E2446" t="s">
        <v>405</v>
      </c>
      <c r="G2446" t="str">
        <f>HYPERLINK(_xlfn.CONCAT("https://tablet.otzar.org/",CHAR(35),"/book/651589/p/-1/t/1/fs/0/start/0/end/0/c"),"מנחת יוסף")</f>
        <v>מנחת יוסף</v>
      </c>
      <c r="H2446" t="str">
        <f>_xlfn.CONCAT("https://tablet.otzar.org/",CHAR(35),"/book/651589/p/-1/t/1/fs/0/start/0/end/0/c")</f>
        <v>https://tablet.otzar.org/#/book/651589/p/-1/t/1/fs/0/start/0/end/0/c</v>
      </c>
    </row>
    <row r="2447" spans="1:8" x14ac:dyDescent="0.25">
      <c r="A2447">
        <v>654071</v>
      </c>
      <c r="B2447" t="s">
        <v>4916</v>
      </c>
      <c r="C2447" t="s">
        <v>1358</v>
      </c>
      <c r="D2447" t="s">
        <v>510</v>
      </c>
      <c r="E2447" t="s">
        <v>224</v>
      </c>
      <c r="G2447" t="str">
        <f>HYPERLINK(_xlfn.CONCAT("https://tablet.otzar.org/",CHAR(35),"/book/654071/p/-1/t/1/fs/0/start/0/end/0/c"),"מנחת יוסף")</f>
        <v>מנחת יוסף</v>
      </c>
      <c r="H2447" t="str">
        <f>_xlfn.CONCAT("https://tablet.otzar.org/",CHAR(35),"/book/654071/p/-1/t/1/fs/0/start/0/end/0/c")</f>
        <v>https://tablet.otzar.org/#/book/654071/p/-1/t/1/fs/0/start/0/end/0/c</v>
      </c>
    </row>
    <row r="2448" spans="1:8" x14ac:dyDescent="0.25">
      <c r="A2448">
        <v>652657</v>
      </c>
      <c r="B2448" t="s">
        <v>4918</v>
      </c>
      <c r="C2448" t="s">
        <v>4919</v>
      </c>
      <c r="E2448" t="s">
        <v>11</v>
      </c>
      <c r="G2448" t="str">
        <f>HYPERLINK(_xlfn.CONCAT("https://tablet.otzar.org/",CHAR(35),"/book/652657/p/-1/t/1/fs/0/start/0/end/0/c"),"מנחת יחיאל - סוכה")</f>
        <v>מנחת יחיאל - סוכה</v>
      </c>
      <c r="H2448" t="str">
        <f>_xlfn.CONCAT("https://tablet.otzar.org/",CHAR(35),"/book/652657/p/-1/t/1/fs/0/start/0/end/0/c")</f>
        <v>https://tablet.otzar.org/#/book/652657/p/-1/t/1/fs/0/start/0/end/0/c</v>
      </c>
    </row>
    <row r="2449" spans="1:8" x14ac:dyDescent="0.25">
      <c r="A2449">
        <v>654570</v>
      </c>
      <c r="B2449" t="s">
        <v>4920</v>
      </c>
      <c r="C2449" t="s">
        <v>4921</v>
      </c>
      <c r="D2449" t="s">
        <v>52</v>
      </c>
      <c r="E2449" t="s">
        <v>11</v>
      </c>
      <c r="G2449" t="str">
        <f>HYPERLINK(_xlfn.CONCAT("https://tablet.otzar.org/",CHAR(35),"/book/654570/p/-1/t/1/fs/0/start/0/end/0/c"),"מנחת כהן - מכות")</f>
        <v>מנחת כהן - מכות</v>
      </c>
      <c r="H2449" t="str">
        <f>_xlfn.CONCAT("https://tablet.otzar.org/",CHAR(35),"/book/654570/p/-1/t/1/fs/0/start/0/end/0/c")</f>
        <v>https://tablet.otzar.org/#/book/654570/p/-1/t/1/fs/0/start/0/end/0/c</v>
      </c>
    </row>
    <row r="2450" spans="1:8" x14ac:dyDescent="0.25">
      <c r="A2450">
        <v>647545</v>
      </c>
      <c r="B2450" t="s">
        <v>4922</v>
      </c>
      <c r="C2450" t="s">
        <v>4923</v>
      </c>
      <c r="D2450" t="s">
        <v>34</v>
      </c>
      <c r="E2450" t="s">
        <v>574</v>
      </c>
      <c r="G2450" t="str">
        <f>HYPERLINK(_xlfn.CONCAT("https://tablet.otzar.org/",CHAR(35),"/exKotar/647545"),"מנחת כהן מבוא השמש &lt;תורת המנחה&gt; - 2 כרכים")</f>
        <v>מנחת כהן מבוא השמש &lt;תורת המנחה&gt; - 2 כרכים</v>
      </c>
      <c r="H2450" t="str">
        <f>_xlfn.CONCAT("https://tablet.otzar.org/",CHAR(35),"/exKotar/647545")</f>
        <v>https://tablet.otzar.org/#/exKotar/647545</v>
      </c>
    </row>
    <row r="2451" spans="1:8" x14ac:dyDescent="0.25">
      <c r="A2451">
        <v>652102</v>
      </c>
      <c r="B2451" t="s">
        <v>4924</v>
      </c>
      <c r="C2451" t="s">
        <v>1546</v>
      </c>
      <c r="D2451" t="s">
        <v>1547</v>
      </c>
      <c r="E2451" t="s">
        <v>45</v>
      </c>
      <c r="G2451" t="str">
        <f>HYPERLINK(_xlfn.CONCAT("https://tablet.otzar.org/",CHAR(35),"/book/652102/p/-1/t/1/fs/0/start/0/end/0/c"),"מנחת מיכאל - א")</f>
        <v>מנחת מיכאל - א</v>
      </c>
      <c r="H2451" t="str">
        <f>_xlfn.CONCAT("https://tablet.otzar.org/",CHAR(35),"/book/652102/p/-1/t/1/fs/0/start/0/end/0/c")</f>
        <v>https://tablet.otzar.org/#/book/652102/p/-1/t/1/fs/0/start/0/end/0/c</v>
      </c>
    </row>
    <row r="2452" spans="1:8" x14ac:dyDescent="0.25">
      <c r="A2452">
        <v>650614</v>
      </c>
      <c r="B2452" t="s">
        <v>4925</v>
      </c>
      <c r="C2452" t="s">
        <v>3742</v>
      </c>
      <c r="D2452" t="s">
        <v>1707</v>
      </c>
      <c r="E2452" t="s">
        <v>558</v>
      </c>
      <c r="G2452" t="str">
        <f>HYPERLINK(_xlfn.CONCAT("https://tablet.otzar.org/",CHAR(35),"/book/650614/p/-1/t/1/fs/0/start/0/end/0/c"),"מנחת מרדכי - במדבר, דברים")</f>
        <v>מנחת מרדכי - במדבר, דברים</v>
      </c>
      <c r="H2452" t="str">
        <f>_xlfn.CONCAT("https://tablet.otzar.org/",CHAR(35),"/book/650614/p/-1/t/1/fs/0/start/0/end/0/c")</f>
        <v>https://tablet.otzar.org/#/book/650614/p/-1/t/1/fs/0/start/0/end/0/c</v>
      </c>
    </row>
    <row r="2453" spans="1:8" x14ac:dyDescent="0.25">
      <c r="A2453">
        <v>654979</v>
      </c>
      <c r="B2453" t="s">
        <v>4926</v>
      </c>
      <c r="C2453" t="s">
        <v>3687</v>
      </c>
      <c r="D2453" t="s">
        <v>440</v>
      </c>
      <c r="E2453" t="s">
        <v>312</v>
      </c>
      <c r="G2453" t="str">
        <f>HYPERLINK(_xlfn.CONCAT("https://tablet.otzar.org/",CHAR(35),"/book/654979/p/-1/t/1/fs/0/start/0/end/0/c"),"מנחת עומר, מנחה חדשה &lt;מכון ממלכת כהנים&gt;")</f>
        <v>מנחת עומר, מנחה חדשה &lt;מכון ממלכת כהנים&gt;</v>
      </c>
      <c r="H2453" t="str">
        <f>_xlfn.CONCAT("https://tablet.otzar.org/",CHAR(35),"/book/654979/p/-1/t/1/fs/0/start/0/end/0/c")</f>
        <v>https://tablet.otzar.org/#/book/654979/p/-1/t/1/fs/0/start/0/end/0/c</v>
      </c>
    </row>
    <row r="2454" spans="1:8" x14ac:dyDescent="0.25">
      <c r="A2454">
        <v>650163</v>
      </c>
      <c r="B2454" t="s">
        <v>4927</v>
      </c>
      <c r="C2454" t="s">
        <v>4928</v>
      </c>
      <c r="D2454" t="s">
        <v>52</v>
      </c>
      <c r="E2454" t="s">
        <v>710</v>
      </c>
      <c r="G2454" t="str">
        <f>HYPERLINK(_xlfn.CONCAT("https://tablet.otzar.org/",CHAR(35),"/book/650163/p/-1/t/1/fs/0/start/0/end/0/c"),"מנחת עני")</f>
        <v>מנחת עני</v>
      </c>
      <c r="H2454" t="str">
        <f>_xlfn.CONCAT("https://tablet.otzar.org/",CHAR(35),"/book/650163/p/-1/t/1/fs/0/start/0/end/0/c")</f>
        <v>https://tablet.otzar.org/#/book/650163/p/-1/t/1/fs/0/start/0/end/0/c</v>
      </c>
    </row>
    <row r="2455" spans="1:8" x14ac:dyDescent="0.25">
      <c r="A2455">
        <v>655591</v>
      </c>
      <c r="B2455" t="s">
        <v>4929</v>
      </c>
      <c r="C2455" t="s">
        <v>4930</v>
      </c>
      <c r="D2455" t="s">
        <v>10</v>
      </c>
      <c r="E2455" t="s">
        <v>84</v>
      </c>
      <c r="G2455" t="str">
        <f>HYPERLINK(_xlfn.CONCAT("https://tablet.otzar.org/",CHAR(35),"/book/655591/p/-1/t/1/fs/0/start/0/end/0/c"),"מנחת צבי - הלכות סת""""ם")</f>
        <v>מנחת צבי - הלכות סת""ם</v>
      </c>
      <c r="H2455" t="str">
        <f>_xlfn.CONCAT("https://tablet.otzar.org/",CHAR(35),"/book/655591/p/-1/t/1/fs/0/start/0/end/0/c")</f>
        <v>https://tablet.otzar.org/#/book/655591/p/-1/t/1/fs/0/start/0/end/0/c</v>
      </c>
    </row>
    <row r="2456" spans="1:8" x14ac:dyDescent="0.25">
      <c r="A2456">
        <v>650079</v>
      </c>
      <c r="B2456" t="s">
        <v>4931</v>
      </c>
      <c r="C2456" t="s">
        <v>4932</v>
      </c>
      <c r="E2456" t="s">
        <v>11</v>
      </c>
      <c r="G2456" t="str">
        <f>HYPERLINK(_xlfn.CONCAT("https://tablet.otzar.org/",CHAR(35),"/book/650079/p/-1/t/1/fs/0/start/0/end/0/c"),"מנחת רפאל")</f>
        <v>מנחת רפאל</v>
      </c>
      <c r="H2456" t="str">
        <f>_xlfn.CONCAT("https://tablet.otzar.org/",CHAR(35),"/book/650079/p/-1/t/1/fs/0/start/0/end/0/c")</f>
        <v>https://tablet.otzar.org/#/book/650079/p/-1/t/1/fs/0/start/0/end/0/c</v>
      </c>
    </row>
    <row r="2457" spans="1:8" x14ac:dyDescent="0.25">
      <c r="A2457">
        <v>653380</v>
      </c>
      <c r="B2457" t="s">
        <v>4933</v>
      </c>
      <c r="C2457" t="s">
        <v>4934</v>
      </c>
      <c r="D2457" t="s">
        <v>34</v>
      </c>
      <c r="E2457" t="s">
        <v>11</v>
      </c>
      <c r="G2457" t="str">
        <f>HYPERLINK(_xlfn.CONCAT("https://tablet.otzar.org/",CHAR(35),"/exKotar/653380"),"מנחת שאול - 3 כרכים")</f>
        <v>מנחת שאול - 3 כרכים</v>
      </c>
      <c r="H2457" t="str">
        <f>_xlfn.CONCAT("https://tablet.otzar.org/",CHAR(35),"/exKotar/653380")</f>
        <v>https://tablet.otzar.org/#/exKotar/653380</v>
      </c>
    </row>
    <row r="2458" spans="1:8" x14ac:dyDescent="0.25">
      <c r="A2458">
        <v>652369</v>
      </c>
      <c r="B2458" t="s">
        <v>4935</v>
      </c>
      <c r="C2458" t="s">
        <v>4936</v>
      </c>
      <c r="D2458" t="s">
        <v>10</v>
      </c>
      <c r="E2458" t="s">
        <v>213</v>
      </c>
      <c r="G2458" t="str">
        <f>HYPERLINK(_xlfn.CONCAT("https://tablet.otzar.org/",CHAR(35),"/exKotar/652369"),"מנחת שלמה &lt;על הש""""ס&gt;  - 2 כרכים")</f>
        <v>מנחת שלמה &lt;על הש""ס&gt;  - 2 כרכים</v>
      </c>
      <c r="H2458" t="str">
        <f>_xlfn.CONCAT("https://tablet.otzar.org/",CHAR(35),"/exKotar/652369")</f>
        <v>https://tablet.otzar.org/#/exKotar/652369</v>
      </c>
    </row>
    <row r="2459" spans="1:8" x14ac:dyDescent="0.25">
      <c r="A2459">
        <v>650959</v>
      </c>
      <c r="B2459" t="s">
        <v>4937</v>
      </c>
      <c r="C2459" t="s">
        <v>4938</v>
      </c>
      <c r="D2459" t="s">
        <v>10</v>
      </c>
      <c r="E2459" t="s">
        <v>117</v>
      </c>
      <c r="G2459" t="str">
        <f>HYPERLINK(_xlfn.CONCAT("https://tablet.otzar.org/",CHAR(35),"/book/650959/p/-1/t/1/fs/0/start/0/end/0/c"),"מנחתי בידי")</f>
        <v>מנחתי בידי</v>
      </c>
      <c r="H2459" t="str">
        <f>_xlfn.CONCAT("https://tablet.otzar.org/",CHAR(35),"/book/650959/p/-1/t/1/fs/0/start/0/end/0/c")</f>
        <v>https://tablet.otzar.org/#/book/650959/p/-1/t/1/fs/0/start/0/end/0/c</v>
      </c>
    </row>
    <row r="2460" spans="1:8" x14ac:dyDescent="0.25">
      <c r="A2460">
        <v>651947</v>
      </c>
      <c r="B2460" t="s">
        <v>4939</v>
      </c>
      <c r="C2460" t="s">
        <v>314</v>
      </c>
      <c r="E2460" t="s">
        <v>84</v>
      </c>
      <c r="G2460" t="str">
        <f>HYPERLINK(_xlfn.CONCAT("https://tablet.otzar.org/",CHAR(35),"/book/651947/p/-1/t/1/fs/0/start/0/end/0/c"),"מסורת הדורות  דרשות ואגדות חז""""ל")</f>
        <v>מסורת הדורות  דרשות ואגדות חז""ל</v>
      </c>
      <c r="H2460" t="str">
        <f>_xlfn.CONCAT("https://tablet.otzar.org/",CHAR(35),"/book/651947/p/-1/t/1/fs/0/start/0/end/0/c")</f>
        <v>https://tablet.otzar.org/#/book/651947/p/-1/t/1/fs/0/start/0/end/0/c</v>
      </c>
    </row>
    <row r="2461" spans="1:8" x14ac:dyDescent="0.25">
      <c r="A2461">
        <v>651512</v>
      </c>
      <c r="B2461" t="s">
        <v>4940</v>
      </c>
      <c r="C2461" t="s">
        <v>4941</v>
      </c>
      <c r="D2461" t="s">
        <v>10</v>
      </c>
      <c r="E2461" t="s">
        <v>35</v>
      </c>
      <c r="G2461" t="str">
        <f>HYPERLINK(_xlfn.CONCAT("https://tablet.otzar.org/",CHAR(35),"/book/651512/p/-1/t/1/fs/0/start/0/end/0/c"),"מסורת משה - ד")</f>
        <v>מסורת משה - ד</v>
      </c>
      <c r="H2461" t="str">
        <f>_xlfn.CONCAT("https://tablet.otzar.org/",CHAR(35),"/book/651512/p/-1/t/1/fs/0/start/0/end/0/c")</f>
        <v>https://tablet.otzar.org/#/book/651512/p/-1/t/1/fs/0/start/0/end/0/c</v>
      </c>
    </row>
    <row r="2462" spans="1:8" x14ac:dyDescent="0.25">
      <c r="A2462">
        <v>643466</v>
      </c>
      <c r="B2462" t="s">
        <v>4942</v>
      </c>
      <c r="C2462" t="s">
        <v>275</v>
      </c>
      <c r="D2462" t="s">
        <v>10</v>
      </c>
      <c r="E2462" t="s">
        <v>70</v>
      </c>
      <c r="G2462" t="str">
        <f>HYPERLINK(_xlfn.CONCAT("https://tablet.otzar.org/",CHAR(35),"/book/643466/p/-1/t/1/fs/0/start/0/end/0/c"),"מסורת צורת האותיות")</f>
        <v>מסורת צורת האותיות</v>
      </c>
      <c r="H2462" t="str">
        <f>_xlfn.CONCAT("https://tablet.otzar.org/",CHAR(35),"/book/643466/p/-1/t/1/fs/0/start/0/end/0/c")</f>
        <v>https://tablet.otzar.org/#/book/643466/p/-1/t/1/fs/0/start/0/end/0/c</v>
      </c>
    </row>
    <row r="2463" spans="1:8" x14ac:dyDescent="0.25">
      <c r="A2463">
        <v>642557</v>
      </c>
      <c r="B2463" t="s">
        <v>4943</v>
      </c>
      <c r="C2463" t="s">
        <v>4944</v>
      </c>
      <c r="D2463" t="s">
        <v>2314</v>
      </c>
      <c r="E2463" t="s">
        <v>405</v>
      </c>
      <c r="G2463" t="str">
        <f>HYPERLINK(_xlfn.CONCAT("https://tablet.otzar.org/",CHAR(35),"/book/642557/p/-1/t/1/fs/0/start/0/end/0/c"),"מסחר ועסקים כהלכה - א")</f>
        <v>מסחר ועסקים כהלכה - א</v>
      </c>
      <c r="H2463" t="str">
        <f>_xlfn.CONCAT("https://tablet.otzar.org/",CHAR(35),"/book/642557/p/-1/t/1/fs/0/start/0/end/0/c")</f>
        <v>https://tablet.otzar.org/#/book/642557/p/-1/t/1/fs/0/start/0/end/0/c</v>
      </c>
    </row>
    <row r="2464" spans="1:8" x14ac:dyDescent="0.25">
      <c r="A2464">
        <v>647251</v>
      </c>
      <c r="B2464" t="s">
        <v>4945</v>
      </c>
      <c r="C2464" t="s">
        <v>4946</v>
      </c>
      <c r="E2464" t="s">
        <v>35</v>
      </c>
      <c r="G2464" t="str">
        <f>HYPERLINK(_xlfn.CONCAT("https://tablet.otzar.org/",CHAR(35),"/book/647251/p/-1/t/1/fs/0/start/0/end/0/c"),"מסילות - ב")</f>
        <v>מסילות - ב</v>
      </c>
      <c r="H2464" t="str">
        <f>_xlfn.CONCAT("https://tablet.otzar.org/",CHAR(35),"/book/647251/p/-1/t/1/fs/0/start/0/end/0/c")</f>
        <v>https://tablet.otzar.org/#/book/647251/p/-1/t/1/fs/0/start/0/end/0/c</v>
      </c>
    </row>
    <row r="2465" spans="1:8" x14ac:dyDescent="0.25">
      <c r="A2465">
        <v>649315</v>
      </c>
      <c r="B2465" t="s">
        <v>4947</v>
      </c>
      <c r="C2465" t="s">
        <v>1038</v>
      </c>
      <c r="D2465" t="s">
        <v>52</v>
      </c>
      <c r="E2465" t="s">
        <v>11</v>
      </c>
      <c r="G2465" t="str">
        <f>HYPERLINK(_xlfn.CONCAT("https://tablet.otzar.org/",CHAR(35),"/book/649315/p/-1/t/1/fs/0/start/0/end/0/c"),"מסילות חיים - א-סא")</f>
        <v>מסילות חיים - א-סא</v>
      </c>
      <c r="H2465" t="str">
        <f>_xlfn.CONCAT("https://tablet.otzar.org/",CHAR(35),"/book/649315/p/-1/t/1/fs/0/start/0/end/0/c")</f>
        <v>https://tablet.otzar.org/#/book/649315/p/-1/t/1/fs/0/start/0/end/0/c</v>
      </c>
    </row>
    <row r="2466" spans="1:8" x14ac:dyDescent="0.25">
      <c r="A2466">
        <v>653642</v>
      </c>
      <c r="B2466" t="s">
        <v>4948</v>
      </c>
      <c r="C2466" t="s">
        <v>4949</v>
      </c>
      <c r="D2466" t="s">
        <v>52</v>
      </c>
      <c r="E2466" t="s">
        <v>11</v>
      </c>
      <c r="G2466" t="str">
        <f>HYPERLINK(_xlfn.CONCAT("https://tablet.otzar.org/",CHAR(35),"/book/653642/p/-1/t/1/fs/0/start/0/end/0/c"),"מסילות חכמה ומוסר - שבועות")</f>
        <v>מסילות חכמה ומוסר - שבועות</v>
      </c>
      <c r="H2466" t="str">
        <f>_xlfn.CONCAT("https://tablet.otzar.org/",CHAR(35),"/book/653642/p/-1/t/1/fs/0/start/0/end/0/c")</f>
        <v>https://tablet.otzar.org/#/book/653642/p/-1/t/1/fs/0/start/0/end/0/c</v>
      </c>
    </row>
    <row r="2467" spans="1:8" x14ac:dyDescent="0.25">
      <c r="A2467">
        <v>651878</v>
      </c>
      <c r="B2467" t="s">
        <v>4950</v>
      </c>
      <c r="C2467" t="s">
        <v>4951</v>
      </c>
      <c r="E2467" t="s">
        <v>35</v>
      </c>
      <c r="G2467" t="str">
        <f>HYPERLINK(_xlfn.CONCAT("https://tablet.otzar.org/",CHAR(35),"/book/651878/p/-1/t/1/fs/0/start/0/end/0/c"),"מסכת אבות &lt;המשנה שלמה&gt;")</f>
        <v>מסכת אבות &lt;המשנה שלמה&gt;</v>
      </c>
      <c r="H2467" t="str">
        <f>_xlfn.CONCAT("https://tablet.otzar.org/",CHAR(35),"/book/651878/p/-1/t/1/fs/0/start/0/end/0/c")</f>
        <v>https://tablet.otzar.org/#/book/651878/p/-1/t/1/fs/0/start/0/end/0/c</v>
      </c>
    </row>
    <row r="2468" spans="1:8" x14ac:dyDescent="0.25">
      <c r="A2468">
        <v>652850</v>
      </c>
      <c r="B2468" t="s">
        <v>4952</v>
      </c>
      <c r="C2468" t="s">
        <v>4953</v>
      </c>
      <c r="D2468" t="s">
        <v>4954</v>
      </c>
      <c r="E2468" t="s">
        <v>2520</v>
      </c>
      <c r="G2468" t="str">
        <f>HYPERLINK(_xlfn.CONCAT("https://tablet.otzar.org/",CHAR(35),"/book/652850/p/-1/t/1/fs/0/start/0/end/0/c"),"מסכת אבות &lt;ע""""פ כת""""י עתיקים&gt;")</f>
        <v>מסכת אבות &lt;ע""פ כת""י עתיקים&gt;</v>
      </c>
      <c r="H2468" t="str">
        <f>_xlfn.CONCAT("https://tablet.otzar.org/",CHAR(35),"/book/652850/p/-1/t/1/fs/0/start/0/end/0/c")</f>
        <v>https://tablet.otzar.org/#/book/652850/p/-1/t/1/fs/0/start/0/end/0/c</v>
      </c>
    </row>
    <row r="2469" spans="1:8" x14ac:dyDescent="0.25">
      <c r="A2469">
        <v>655157</v>
      </c>
      <c r="B2469" t="s">
        <v>4955</v>
      </c>
      <c r="D2469" t="s">
        <v>10</v>
      </c>
      <c r="E2469" t="s">
        <v>200</v>
      </c>
      <c r="G2469" t="str">
        <f>HYPERLINK(_xlfn.CONCAT("https://tablet.otzar.org/",CHAR(35),"/book/655157/p/-1/t/1/fs/0/start/0/end/0/c"),"מסכת אבות &lt;כלי יקר&gt;")</f>
        <v>מסכת אבות &lt;כלי יקר&gt;</v>
      </c>
      <c r="H2469" t="str">
        <f>_xlfn.CONCAT("https://tablet.otzar.org/",CHAR(35),"/book/655157/p/-1/t/1/fs/0/start/0/end/0/c")</f>
        <v>https://tablet.otzar.org/#/book/655157/p/-1/t/1/fs/0/start/0/end/0/c</v>
      </c>
    </row>
    <row r="2470" spans="1:8" x14ac:dyDescent="0.25">
      <c r="A2470">
        <v>648539</v>
      </c>
      <c r="B2470" t="s">
        <v>4956</v>
      </c>
      <c r="C2470" t="s">
        <v>928</v>
      </c>
      <c r="E2470" t="s">
        <v>4751</v>
      </c>
      <c r="G2470" t="str">
        <f>HYPERLINK(_xlfn.CONCAT("https://tablet.otzar.org/",CHAR(35),"/book/648539/p/-1/t/1/fs/0/start/0/end/0/c"),"מסכת אבות עם פירוש חתם סופר")</f>
        <v>מסכת אבות עם פירוש חתם סופר</v>
      </c>
      <c r="H2470" t="str">
        <f>_xlfn.CONCAT("https://tablet.otzar.org/",CHAR(35),"/book/648539/p/-1/t/1/fs/0/start/0/end/0/c")</f>
        <v>https://tablet.otzar.org/#/book/648539/p/-1/t/1/fs/0/start/0/end/0/c</v>
      </c>
    </row>
    <row r="2471" spans="1:8" x14ac:dyDescent="0.25">
      <c r="A2471">
        <v>654695</v>
      </c>
      <c r="B2471" t="s">
        <v>4957</v>
      </c>
      <c r="C2471" t="s">
        <v>160</v>
      </c>
      <c r="D2471" t="s">
        <v>10</v>
      </c>
      <c r="E2471" t="s">
        <v>676</v>
      </c>
      <c r="G2471" t="str">
        <f>HYPERLINK(_xlfn.CONCAT("https://tablet.otzar.org/",CHAR(35),"/book/654695/p/-1/t/1/fs/0/start/0/end/0/c"),"מסכת אבות עם פירושי רבינו יונה &lt;מהדורת תושיה&gt;")</f>
        <v>מסכת אבות עם פירושי רבינו יונה &lt;מהדורת תושיה&gt;</v>
      </c>
      <c r="H2471" t="str">
        <f>_xlfn.CONCAT("https://tablet.otzar.org/",CHAR(35),"/book/654695/p/-1/t/1/fs/0/start/0/end/0/c")</f>
        <v>https://tablet.otzar.org/#/book/654695/p/-1/t/1/fs/0/start/0/end/0/c</v>
      </c>
    </row>
    <row r="2472" spans="1:8" x14ac:dyDescent="0.25">
      <c r="A2472">
        <v>655392</v>
      </c>
      <c r="B2472" t="s">
        <v>4958</v>
      </c>
      <c r="C2472" t="s">
        <v>4959</v>
      </c>
      <c r="D2472" t="s">
        <v>10</v>
      </c>
      <c r="E2472" t="s">
        <v>1336</v>
      </c>
      <c r="G2472" t="str">
        <f>HYPERLINK(_xlfn.CONCAT("https://tablet.otzar.org/",CHAR(35),"/book/655392/p/-1/t/1/fs/0/start/0/end/0/c"),"מסכת אבות תפארת שלמה השלם")</f>
        <v>מסכת אבות תפארת שלמה השלם</v>
      </c>
      <c r="H2472" t="str">
        <f>_xlfn.CONCAT("https://tablet.otzar.org/",CHAR(35),"/book/655392/p/-1/t/1/fs/0/start/0/end/0/c")</f>
        <v>https://tablet.otzar.org/#/book/655392/p/-1/t/1/fs/0/start/0/end/0/c</v>
      </c>
    </row>
    <row r="2473" spans="1:8" x14ac:dyDescent="0.25">
      <c r="A2473">
        <v>649900</v>
      </c>
      <c r="B2473" t="s">
        <v>4960</v>
      </c>
      <c r="C2473" t="s">
        <v>4961</v>
      </c>
      <c r="D2473" t="s">
        <v>10</v>
      </c>
      <c r="E2473" t="s">
        <v>11</v>
      </c>
      <c r="G2473" t="str">
        <f>HYPERLINK(_xlfn.CONCAT("https://tablet.otzar.org/",CHAR(35),"/book/649900/p/-1/t/1/fs/0/start/0/end/0/c"),"מסכת אצילות &lt;גנזי מרומים&gt;")</f>
        <v>מסכת אצילות &lt;גנזי מרומים&gt;</v>
      </c>
      <c r="H2473" t="str">
        <f>_xlfn.CONCAT("https://tablet.otzar.org/",CHAR(35),"/book/649900/p/-1/t/1/fs/0/start/0/end/0/c")</f>
        <v>https://tablet.otzar.org/#/book/649900/p/-1/t/1/fs/0/start/0/end/0/c</v>
      </c>
    </row>
    <row r="2474" spans="1:8" x14ac:dyDescent="0.25">
      <c r="A2474">
        <v>652796</v>
      </c>
      <c r="B2474" t="s">
        <v>4962</v>
      </c>
      <c r="C2474" t="s">
        <v>4963</v>
      </c>
      <c r="D2474" t="s">
        <v>4964</v>
      </c>
      <c r="E2474" t="s">
        <v>4815</v>
      </c>
      <c r="G2474" t="str">
        <f>HYPERLINK(_xlfn.CONCAT("https://tablet.otzar.org/",CHAR(35),"/book/652796/p/-1/t/1/fs/0/start/0/end/0/c"),"מסכת פורים")</f>
        <v>מסכת פורים</v>
      </c>
      <c r="H2474" t="str">
        <f>_xlfn.CONCAT("https://tablet.otzar.org/",CHAR(35),"/book/652796/p/-1/t/1/fs/0/start/0/end/0/c")</f>
        <v>https://tablet.otzar.org/#/book/652796/p/-1/t/1/fs/0/start/0/end/0/c</v>
      </c>
    </row>
    <row r="2475" spans="1:8" x14ac:dyDescent="0.25">
      <c r="A2475">
        <v>650197</v>
      </c>
      <c r="B2475" t="s">
        <v>4965</v>
      </c>
      <c r="C2475" t="s">
        <v>4966</v>
      </c>
      <c r="D2475" t="s">
        <v>10</v>
      </c>
      <c r="E2475" t="s">
        <v>45</v>
      </c>
      <c r="G2475" t="str">
        <f>HYPERLINK(_xlfn.CONCAT("https://tablet.otzar.org/",CHAR(35),"/book/650197/p/-1/t/1/fs/0/start/0/end/0/c"),"מסכת קינים עם פירוש מגיש מנחה")</f>
        <v>מסכת קינים עם פירוש מגיש מנחה</v>
      </c>
      <c r="H2475" t="str">
        <f>_xlfn.CONCAT("https://tablet.otzar.org/",CHAR(35),"/book/650197/p/-1/t/1/fs/0/start/0/end/0/c")</f>
        <v>https://tablet.otzar.org/#/book/650197/p/-1/t/1/fs/0/start/0/end/0/c</v>
      </c>
    </row>
    <row r="2476" spans="1:8" x14ac:dyDescent="0.25">
      <c r="A2476">
        <v>654845</v>
      </c>
      <c r="B2476" t="s">
        <v>4967</v>
      </c>
      <c r="C2476" t="s">
        <v>3298</v>
      </c>
      <c r="D2476" t="s">
        <v>10</v>
      </c>
      <c r="E2476" t="s">
        <v>11</v>
      </c>
      <c r="G2476" t="str">
        <f>HYPERLINK(_xlfn.CONCAT("https://tablet.otzar.org/",CHAR(35),"/book/654845/p/-1/t/1/fs/0/start/0/end/0/c"),"מסכת תמורות")</f>
        <v>מסכת תמורות</v>
      </c>
      <c r="H2476" t="str">
        <f>_xlfn.CONCAT("https://tablet.otzar.org/",CHAR(35),"/book/654845/p/-1/t/1/fs/0/start/0/end/0/c")</f>
        <v>https://tablet.otzar.org/#/book/654845/p/-1/t/1/fs/0/start/0/end/0/c</v>
      </c>
    </row>
    <row r="2477" spans="1:8" x14ac:dyDescent="0.25">
      <c r="A2477">
        <v>652795</v>
      </c>
      <c r="B2477" t="s">
        <v>4968</v>
      </c>
      <c r="C2477" t="s">
        <v>4969</v>
      </c>
      <c r="D2477" t="s">
        <v>4970</v>
      </c>
      <c r="E2477" t="s">
        <v>4971</v>
      </c>
      <c r="G2477" t="str">
        <f>HYPERLINK(_xlfn.CONCAT("https://tablet.otzar.org/",CHAR(35),"/book/652795/p/-1/t/1/fs/0/start/0/end/0/c"),"מסכתות פורים - מסכת פורים")</f>
        <v>מסכתות פורים - מסכת פורים</v>
      </c>
      <c r="H2477" t="str">
        <f>_xlfn.CONCAT("https://tablet.otzar.org/",CHAR(35),"/book/652795/p/-1/t/1/fs/0/start/0/end/0/c")</f>
        <v>https://tablet.otzar.org/#/book/652795/p/-1/t/1/fs/0/start/0/end/0/c</v>
      </c>
    </row>
    <row r="2478" spans="1:8" x14ac:dyDescent="0.25">
      <c r="A2478">
        <v>650594</v>
      </c>
      <c r="B2478" t="s">
        <v>4972</v>
      </c>
      <c r="C2478" t="s">
        <v>4973</v>
      </c>
      <c r="D2478" t="s">
        <v>52</v>
      </c>
      <c r="E2478" t="s">
        <v>1169</v>
      </c>
      <c r="G2478" t="str">
        <f>HYPERLINK(_xlfn.CONCAT("https://tablet.otzar.org/",CHAR(35),"/book/650594/p/-1/t/1/fs/0/start/0/end/0/c"),"מסלות ים - בבא קמא מה""""ק  ומה""""ב")</f>
        <v>מסלות ים - בבא קמא מה""ק  ומה""ב</v>
      </c>
      <c r="H2478" t="str">
        <f>_xlfn.CONCAT("https://tablet.otzar.org/",CHAR(35),"/book/650594/p/-1/t/1/fs/0/start/0/end/0/c")</f>
        <v>https://tablet.otzar.org/#/book/650594/p/-1/t/1/fs/0/start/0/end/0/c</v>
      </c>
    </row>
    <row r="2479" spans="1:8" x14ac:dyDescent="0.25">
      <c r="A2479">
        <v>651535</v>
      </c>
      <c r="B2479" t="s">
        <v>4974</v>
      </c>
      <c r="C2479" t="s">
        <v>1855</v>
      </c>
      <c r="D2479" t="s">
        <v>4975</v>
      </c>
      <c r="E2479" t="s">
        <v>3523</v>
      </c>
      <c r="G2479" t="str">
        <f>HYPERLINK(_xlfn.CONCAT("https://tablet.otzar.org/",CHAR(35),"/book/651535/p/-1/t/1/fs/0/start/0/end/0/c"),"מסע בארץ הקדם")</f>
        <v>מסע בארץ הקדם</v>
      </c>
      <c r="H2479" t="str">
        <f>_xlfn.CONCAT("https://tablet.otzar.org/",CHAR(35),"/book/651535/p/-1/t/1/fs/0/start/0/end/0/c")</f>
        <v>https://tablet.otzar.org/#/book/651535/p/-1/t/1/fs/0/start/0/end/0/c</v>
      </c>
    </row>
    <row r="2480" spans="1:8" x14ac:dyDescent="0.25">
      <c r="A2480">
        <v>649427</v>
      </c>
      <c r="B2480" t="s">
        <v>4976</v>
      </c>
      <c r="C2480" t="s">
        <v>4977</v>
      </c>
      <c r="D2480" t="s">
        <v>4978</v>
      </c>
      <c r="E2480" t="s">
        <v>2097</v>
      </c>
      <c r="G2480" t="str">
        <f>HYPERLINK(_xlfn.CONCAT("https://tablet.otzar.org/",CHAR(35),"/book/649427/p/-1/t/1/fs/0/start/0/end/0/c"),"מסע בהודו")</f>
        <v>מסע בהודו</v>
      </c>
      <c r="H2480" t="str">
        <f>_xlfn.CONCAT("https://tablet.otzar.org/",CHAR(35),"/book/649427/p/-1/t/1/fs/0/start/0/end/0/c")</f>
        <v>https://tablet.otzar.org/#/book/649427/p/-1/t/1/fs/0/start/0/end/0/c</v>
      </c>
    </row>
    <row r="2481" spans="1:8" x14ac:dyDescent="0.25">
      <c r="A2481">
        <v>648853</v>
      </c>
      <c r="B2481" t="s">
        <v>4979</v>
      </c>
      <c r="C2481" t="s">
        <v>4980</v>
      </c>
      <c r="D2481" t="s">
        <v>340</v>
      </c>
      <c r="E2481" t="s">
        <v>45</v>
      </c>
      <c r="G2481" t="str">
        <f>HYPERLINK(_xlfn.CONCAT("https://tablet.otzar.org/",CHAR(35),"/book/648853/p/-1/t/1/fs/0/start/0/end/0/c"),"מסע בעקבות הגמרא")</f>
        <v>מסע בעקבות הגמרא</v>
      </c>
      <c r="H2481" t="str">
        <f>_xlfn.CONCAT("https://tablet.otzar.org/",CHAR(35),"/book/648853/p/-1/t/1/fs/0/start/0/end/0/c")</f>
        <v>https://tablet.otzar.org/#/book/648853/p/-1/t/1/fs/0/start/0/end/0/c</v>
      </c>
    </row>
    <row r="2482" spans="1:8" x14ac:dyDescent="0.25">
      <c r="A2482">
        <v>641231</v>
      </c>
      <c r="B2482" t="s">
        <v>4981</v>
      </c>
      <c r="C2482" t="s">
        <v>4982</v>
      </c>
      <c r="D2482" t="s">
        <v>4983</v>
      </c>
      <c r="E2482" t="s">
        <v>4984</v>
      </c>
      <c r="G2482" t="str">
        <f>HYPERLINK(_xlfn.CONCAT("https://tablet.otzar.org/",CHAR(35),"/book/641231/p/-1/t/1/fs/0/start/0/end/0/c"),"מסעי בני ישראל")</f>
        <v>מסעי בני ישראל</v>
      </c>
      <c r="H2482" t="str">
        <f>_xlfn.CONCAT("https://tablet.otzar.org/",CHAR(35),"/book/641231/p/-1/t/1/fs/0/start/0/end/0/c")</f>
        <v>https://tablet.otzar.org/#/book/641231/p/-1/t/1/fs/0/start/0/end/0/c</v>
      </c>
    </row>
    <row r="2483" spans="1:8" x14ac:dyDescent="0.25">
      <c r="A2483">
        <v>651914</v>
      </c>
      <c r="B2483" t="s">
        <v>4985</v>
      </c>
      <c r="C2483" t="s">
        <v>4986</v>
      </c>
      <c r="D2483" t="s">
        <v>58</v>
      </c>
      <c r="E2483" t="s">
        <v>2051</v>
      </c>
      <c r="G2483" t="str">
        <f>HYPERLINK(_xlfn.CONCAT("https://tablet.otzar.org/",CHAR(35),"/book/651914/p/-1/t/1/fs/0/start/0/end/0/c"),"מספד בירושלם")</f>
        <v>מספד בירושלם</v>
      </c>
      <c r="H2483" t="str">
        <f>_xlfn.CONCAT("https://tablet.otzar.org/",CHAR(35),"/book/651914/p/-1/t/1/fs/0/start/0/end/0/c")</f>
        <v>https://tablet.otzar.org/#/book/651914/p/-1/t/1/fs/0/start/0/end/0/c</v>
      </c>
    </row>
    <row r="2484" spans="1:8" x14ac:dyDescent="0.25">
      <c r="A2484">
        <v>649807</v>
      </c>
      <c r="B2484" t="s">
        <v>4987</v>
      </c>
      <c r="C2484" t="s">
        <v>4988</v>
      </c>
      <c r="D2484" t="s">
        <v>3577</v>
      </c>
      <c r="E2484" t="s">
        <v>4989</v>
      </c>
      <c r="G2484" t="str">
        <f>HYPERLINK(_xlfn.CONCAT("https://tablet.otzar.org/",CHAR(35),"/book/649807/p/-1/t/1/fs/0/start/0/end/0/c"),"מספד תמרורים")</f>
        <v>מספד תמרורים</v>
      </c>
      <c r="H2484" t="str">
        <f>_xlfn.CONCAT("https://tablet.otzar.org/",CHAR(35),"/book/649807/p/-1/t/1/fs/0/start/0/end/0/c")</f>
        <v>https://tablet.otzar.org/#/book/649807/p/-1/t/1/fs/0/start/0/end/0/c</v>
      </c>
    </row>
    <row r="2485" spans="1:8" x14ac:dyDescent="0.25">
      <c r="A2485">
        <v>652540</v>
      </c>
      <c r="B2485" t="s">
        <v>4990</v>
      </c>
      <c r="C2485" t="s">
        <v>4991</v>
      </c>
      <c r="D2485" t="s">
        <v>52</v>
      </c>
      <c r="E2485" t="s">
        <v>1056</v>
      </c>
      <c r="G2485" t="str">
        <f>HYPERLINK(_xlfn.CONCAT("https://tablet.otzar.org/",CHAR(35),"/book/652540/p/-1/t/1/fs/0/start/0/end/0/c"),"מעגלי צדק החדש - ירח האיתנים")</f>
        <v>מעגלי צדק החדש - ירח האיתנים</v>
      </c>
      <c r="H2485" t="str">
        <f>_xlfn.CONCAT("https://tablet.otzar.org/",CHAR(35),"/book/652540/p/-1/t/1/fs/0/start/0/end/0/c")</f>
        <v>https://tablet.otzar.org/#/book/652540/p/-1/t/1/fs/0/start/0/end/0/c</v>
      </c>
    </row>
    <row r="2486" spans="1:8" x14ac:dyDescent="0.25">
      <c r="A2486">
        <v>651679</v>
      </c>
      <c r="B2486" t="s">
        <v>4992</v>
      </c>
      <c r="C2486" t="s">
        <v>4993</v>
      </c>
      <c r="D2486" t="s">
        <v>139</v>
      </c>
      <c r="E2486" t="s">
        <v>11</v>
      </c>
      <c r="G2486" t="str">
        <f>HYPERLINK(_xlfn.CONCAT("https://tablet.otzar.org/",CHAR(35),"/book/651679/p/-1/t/1/fs/0/start/0/end/0/c"),"מעדני אשר - נישואין בהלכה ובאגדה")</f>
        <v>מעדני אשר - נישואין בהלכה ובאגדה</v>
      </c>
      <c r="H2486" t="str">
        <f>_xlfn.CONCAT("https://tablet.otzar.org/",CHAR(35),"/book/651679/p/-1/t/1/fs/0/start/0/end/0/c")</f>
        <v>https://tablet.otzar.org/#/book/651679/p/-1/t/1/fs/0/start/0/end/0/c</v>
      </c>
    </row>
    <row r="2487" spans="1:8" x14ac:dyDescent="0.25">
      <c r="A2487">
        <v>654666</v>
      </c>
      <c r="B2487" t="s">
        <v>4994</v>
      </c>
      <c r="C2487" t="s">
        <v>2145</v>
      </c>
      <c r="D2487" t="s">
        <v>10</v>
      </c>
      <c r="E2487" t="s">
        <v>2536</v>
      </c>
      <c r="G2487" t="str">
        <f>HYPERLINK(_xlfn.CONCAT("https://tablet.otzar.org/",CHAR(35),"/exKotar/654666"),"מעדני המלך - 4 כרכים")</f>
        <v>מעדני המלך - 4 כרכים</v>
      </c>
      <c r="H2487" t="str">
        <f>_xlfn.CONCAT("https://tablet.otzar.org/",CHAR(35),"/exKotar/654666")</f>
        <v>https://tablet.otzar.org/#/exKotar/654666</v>
      </c>
    </row>
    <row r="2488" spans="1:8" x14ac:dyDescent="0.25">
      <c r="A2488">
        <v>654868</v>
      </c>
      <c r="B2488" t="s">
        <v>4995</v>
      </c>
      <c r="C2488" t="s">
        <v>3246</v>
      </c>
      <c r="D2488" t="s">
        <v>52</v>
      </c>
      <c r="E2488" t="s">
        <v>11</v>
      </c>
      <c r="G2488" t="str">
        <f>HYPERLINK(_xlfn.CONCAT("https://tablet.otzar.org/",CHAR(35),"/book/654868/p/-1/t/1/fs/0/start/0/end/0/c"),"מעדני שבת")</f>
        <v>מעדני שבת</v>
      </c>
      <c r="H2488" t="str">
        <f>_xlfn.CONCAT("https://tablet.otzar.org/",CHAR(35),"/book/654868/p/-1/t/1/fs/0/start/0/end/0/c")</f>
        <v>https://tablet.otzar.org/#/book/654868/p/-1/t/1/fs/0/start/0/end/0/c</v>
      </c>
    </row>
    <row r="2489" spans="1:8" x14ac:dyDescent="0.25">
      <c r="A2489">
        <v>652667</v>
      </c>
      <c r="B2489" t="s">
        <v>4996</v>
      </c>
      <c r="C2489" t="s">
        <v>4997</v>
      </c>
      <c r="D2489" t="s">
        <v>606</v>
      </c>
      <c r="E2489" t="s">
        <v>70</v>
      </c>
      <c r="G2489" t="str">
        <f>HYPERLINK(_xlfn.CONCAT("https://tablet.otzar.org/",CHAR(35),"/book/652667/p/-1/t/1/fs/0/start/0/end/0/c"),"מעדני שולחן או מטבע של אברהם ג")</f>
        <v>מעדני שולחן או מטבע של אברהם ג</v>
      </c>
      <c r="H2489" t="str">
        <f>_xlfn.CONCAT("https://tablet.otzar.org/",CHAR(35),"/book/652667/p/-1/t/1/fs/0/start/0/end/0/c")</f>
        <v>https://tablet.otzar.org/#/book/652667/p/-1/t/1/fs/0/start/0/end/0/c</v>
      </c>
    </row>
    <row r="2490" spans="1:8" x14ac:dyDescent="0.25">
      <c r="A2490">
        <v>655097</v>
      </c>
      <c r="B2490" t="s">
        <v>4998</v>
      </c>
      <c r="C2490" t="s">
        <v>4999</v>
      </c>
      <c r="E2490" t="s">
        <v>84</v>
      </c>
      <c r="G2490" t="str">
        <f>HYPERLINK(_xlfn.CONCAT("https://tablet.otzar.org/",CHAR(35),"/exKotar/655097"),"מעדני שלמה - 2 כרכים")</f>
        <v>מעדני שלמה - 2 כרכים</v>
      </c>
      <c r="H2490" t="str">
        <f>_xlfn.CONCAT("https://tablet.otzar.org/",CHAR(35),"/exKotar/655097")</f>
        <v>https://tablet.otzar.org/#/exKotar/655097</v>
      </c>
    </row>
    <row r="2491" spans="1:8" x14ac:dyDescent="0.25">
      <c r="A2491">
        <v>651333</v>
      </c>
      <c r="B2491" t="s">
        <v>5000</v>
      </c>
      <c r="C2491" t="s">
        <v>5001</v>
      </c>
      <c r="D2491" t="s">
        <v>52</v>
      </c>
      <c r="E2491" t="s">
        <v>769</v>
      </c>
      <c r="G2491" t="str">
        <f>HYPERLINK(_xlfn.CONCAT("https://tablet.otzar.org/",CHAR(35),"/book/651333/p/-1/t/1/fs/0/start/0/end/0/c"),"מעוז ראשי")</f>
        <v>מעוז ראשי</v>
      </c>
      <c r="H2491" t="str">
        <f>_xlfn.CONCAT("https://tablet.otzar.org/",CHAR(35),"/book/651333/p/-1/t/1/fs/0/start/0/end/0/c")</f>
        <v>https://tablet.otzar.org/#/book/651333/p/-1/t/1/fs/0/start/0/end/0/c</v>
      </c>
    </row>
    <row r="2492" spans="1:8" x14ac:dyDescent="0.25">
      <c r="A2492">
        <v>651410</v>
      </c>
      <c r="B2492" t="s">
        <v>5002</v>
      </c>
      <c r="C2492" t="s">
        <v>5003</v>
      </c>
      <c r="D2492" t="s">
        <v>10</v>
      </c>
      <c r="E2492" t="s">
        <v>117</v>
      </c>
      <c r="G2492" t="str">
        <f>HYPERLINK(_xlfn.CONCAT("https://tablet.otzar.org/",CHAR(35),"/book/651410/p/-1/t/1/fs/0/start/0/end/0/c"),"מעולפת סיפורים")</f>
        <v>מעולפת סיפורים</v>
      </c>
      <c r="H2492" t="str">
        <f>_xlfn.CONCAT("https://tablet.otzar.org/",CHAR(35),"/book/651410/p/-1/t/1/fs/0/start/0/end/0/c")</f>
        <v>https://tablet.otzar.org/#/book/651410/p/-1/t/1/fs/0/start/0/end/0/c</v>
      </c>
    </row>
    <row r="2493" spans="1:8" x14ac:dyDescent="0.25">
      <c r="A2493">
        <v>656180</v>
      </c>
      <c r="B2493" t="s">
        <v>5004</v>
      </c>
      <c r="C2493" t="s">
        <v>5005</v>
      </c>
      <c r="D2493" t="s">
        <v>10</v>
      </c>
      <c r="E2493" t="s">
        <v>84</v>
      </c>
      <c r="G2493" t="str">
        <f>HYPERLINK(_xlfn.CONCAT("https://tablet.otzar.org/",CHAR(35),"/book/656180/p/-1/t/1/fs/0/start/0/end/0/c"),"מעט מהרבה - נדה")</f>
        <v>מעט מהרבה - נדה</v>
      </c>
      <c r="H2493" t="str">
        <f>_xlfn.CONCAT("https://tablet.otzar.org/",CHAR(35),"/book/656180/p/-1/t/1/fs/0/start/0/end/0/c")</f>
        <v>https://tablet.otzar.org/#/book/656180/p/-1/t/1/fs/0/start/0/end/0/c</v>
      </c>
    </row>
    <row r="2494" spans="1:8" x14ac:dyDescent="0.25">
      <c r="A2494">
        <v>652533</v>
      </c>
      <c r="B2494" t="s">
        <v>5006</v>
      </c>
      <c r="C2494" t="s">
        <v>5007</v>
      </c>
      <c r="D2494" t="s">
        <v>10</v>
      </c>
      <c r="E2494" t="s">
        <v>84</v>
      </c>
      <c r="G2494" t="str">
        <f>HYPERLINK(_xlfn.CONCAT("https://tablet.otzar.org/",CHAR(35),"/exKotar/652533"),"מעט צרי - 7 כרכים")</f>
        <v>מעט צרי - 7 כרכים</v>
      </c>
      <c r="H2494" t="str">
        <f>_xlfn.CONCAT("https://tablet.otzar.org/",CHAR(35),"/exKotar/652533")</f>
        <v>https://tablet.otzar.org/#/exKotar/652533</v>
      </c>
    </row>
    <row r="2495" spans="1:8" x14ac:dyDescent="0.25">
      <c r="A2495">
        <v>647594</v>
      </c>
      <c r="B2495" t="s">
        <v>5008</v>
      </c>
      <c r="C2495" t="s">
        <v>614</v>
      </c>
      <c r="D2495" t="s">
        <v>34</v>
      </c>
      <c r="E2495" t="s">
        <v>70</v>
      </c>
      <c r="G2495" t="str">
        <f>HYPERLINK(_xlfn.CONCAT("https://tablet.otzar.org/",CHAR(35),"/book/647594/p/-1/t/1/fs/0/start/0/end/0/c"),"מעט קווים מזעיר על הגרב""""צ אבא שאול")</f>
        <v>מעט קווים מזעיר על הגרב""צ אבא שאול</v>
      </c>
      <c r="H2495" t="str">
        <f>_xlfn.CONCAT("https://tablet.otzar.org/",CHAR(35),"/book/647594/p/-1/t/1/fs/0/start/0/end/0/c")</f>
        <v>https://tablet.otzar.org/#/book/647594/p/-1/t/1/fs/0/start/0/end/0/c</v>
      </c>
    </row>
    <row r="2496" spans="1:8" x14ac:dyDescent="0.25">
      <c r="A2496">
        <v>648789</v>
      </c>
      <c r="B2496" t="s">
        <v>5009</v>
      </c>
      <c r="C2496" t="s">
        <v>382</v>
      </c>
      <c r="D2496" t="s">
        <v>34</v>
      </c>
      <c r="E2496" t="s">
        <v>70</v>
      </c>
      <c r="G2496" t="str">
        <f>HYPERLINK(_xlfn.CONCAT("https://tablet.otzar.org/",CHAR(35),"/book/648789/p/-1/t/1/fs/0/start/0/end/0/c"),"מעיין הברכה")</f>
        <v>מעיין הברכה</v>
      </c>
      <c r="H2496" t="str">
        <f>_xlfn.CONCAT("https://tablet.otzar.org/",CHAR(35),"/book/648789/p/-1/t/1/fs/0/start/0/end/0/c")</f>
        <v>https://tablet.otzar.org/#/book/648789/p/-1/t/1/fs/0/start/0/end/0/c</v>
      </c>
    </row>
    <row r="2497" spans="1:8" x14ac:dyDescent="0.25">
      <c r="A2497">
        <v>650764</v>
      </c>
      <c r="B2497" t="s">
        <v>5010</v>
      </c>
      <c r="C2497" t="s">
        <v>2322</v>
      </c>
      <c r="D2497" t="s">
        <v>34</v>
      </c>
      <c r="E2497" t="s">
        <v>11</v>
      </c>
      <c r="G2497" t="str">
        <f>HYPERLINK(_xlfn.CONCAT("https://tablet.otzar.org/",CHAR(35),"/book/650764/p/-1/t/1/fs/0/start/0/end/0/c"),"מעיין שבת")</f>
        <v>מעיין שבת</v>
      </c>
      <c r="H2497" t="str">
        <f>_xlfn.CONCAT("https://tablet.otzar.org/",CHAR(35),"/book/650764/p/-1/t/1/fs/0/start/0/end/0/c")</f>
        <v>https://tablet.otzar.org/#/book/650764/p/-1/t/1/fs/0/start/0/end/0/c</v>
      </c>
    </row>
    <row r="2498" spans="1:8" x14ac:dyDescent="0.25">
      <c r="A2498">
        <v>647476</v>
      </c>
      <c r="B2498" t="s">
        <v>5011</v>
      </c>
      <c r="C2498" t="s">
        <v>5012</v>
      </c>
      <c r="D2498" t="s">
        <v>424</v>
      </c>
      <c r="E2498" t="s">
        <v>1189</v>
      </c>
      <c r="G2498" t="str">
        <f>HYPERLINK(_xlfn.CONCAT("https://tablet.otzar.org/",CHAR(35),"/book/647476/p/-1/t/1/fs/0/start/0/end/0/c"),"מעיין שחרב")</f>
        <v>מעיין שחרב</v>
      </c>
      <c r="H2498" t="str">
        <f>_xlfn.CONCAT("https://tablet.otzar.org/",CHAR(35),"/book/647476/p/-1/t/1/fs/0/start/0/end/0/c")</f>
        <v>https://tablet.otzar.org/#/book/647476/p/-1/t/1/fs/0/start/0/end/0/c</v>
      </c>
    </row>
    <row r="2499" spans="1:8" x14ac:dyDescent="0.25">
      <c r="A2499">
        <v>654866</v>
      </c>
      <c r="B2499" t="s">
        <v>5013</v>
      </c>
      <c r="C2499" t="s">
        <v>5014</v>
      </c>
      <c r="D2499" t="s">
        <v>34</v>
      </c>
      <c r="E2499" t="s">
        <v>205</v>
      </c>
      <c r="G2499" t="str">
        <f>HYPERLINK(_xlfn.CONCAT("https://tablet.otzar.org/",CHAR(35),"/exKotar/654866"),"מעיינות התלמוד - 2 כרכים")</f>
        <v>מעיינות התלמוד - 2 כרכים</v>
      </c>
      <c r="H2499" t="str">
        <f>_xlfn.CONCAT("https://tablet.otzar.org/",CHAR(35),"/exKotar/654866")</f>
        <v>https://tablet.otzar.org/#/exKotar/654866</v>
      </c>
    </row>
    <row r="2500" spans="1:8" x14ac:dyDescent="0.25">
      <c r="A2500">
        <v>651991</v>
      </c>
      <c r="B2500" t="s">
        <v>5015</v>
      </c>
      <c r="C2500" t="s">
        <v>465</v>
      </c>
      <c r="E2500" t="s">
        <v>35</v>
      </c>
      <c r="G2500" t="str">
        <f>HYPERLINK(_xlfn.CONCAT("https://tablet.otzar.org/",CHAR(35),"/exKotar/651991"),"מעיינותיך - 2 כרכים")</f>
        <v>מעיינותיך - 2 כרכים</v>
      </c>
      <c r="H2500" t="str">
        <f>_xlfn.CONCAT("https://tablet.otzar.org/",CHAR(35),"/exKotar/651991")</f>
        <v>https://tablet.otzar.org/#/exKotar/651991</v>
      </c>
    </row>
    <row r="2501" spans="1:8" x14ac:dyDescent="0.25">
      <c r="A2501">
        <v>655770</v>
      </c>
      <c r="B2501" t="s">
        <v>5016</v>
      </c>
      <c r="C2501" t="s">
        <v>5017</v>
      </c>
      <c r="D2501" t="s">
        <v>10</v>
      </c>
      <c r="E2501" t="s">
        <v>11</v>
      </c>
      <c r="G2501" t="str">
        <f>HYPERLINK(_xlfn.CONCAT("https://tablet.otzar.org/",CHAR(35),"/book/655770/p/-1/t/1/fs/0/start/0/end/0/c"),"מעייני המשפט")</f>
        <v>מעייני המשפט</v>
      </c>
      <c r="H2501" t="str">
        <f>_xlfn.CONCAT("https://tablet.otzar.org/",CHAR(35),"/book/655770/p/-1/t/1/fs/0/start/0/end/0/c")</f>
        <v>https://tablet.otzar.org/#/book/655770/p/-1/t/1/fs/0/start/0/end/0/c</v>
      </c>
    </row>
    <row r="2502" spans="1:8" x14ac:dyDescent="0.25">
      <c r="A2502">
        <v>655771</v>
      </c>
      <c r="B2502" t="s">
        <v>5018</v>
      </c>
      <c r="C2502" t="s">
        <v>5019</v>
      </c>
      <c r="D2502" t="s">
        <v>34</v>
      </c>
      <c r="E2502" t="s">
        <v>402</v>
      </c>
      <c r="G2502" t="str">
        <f>HYPERLINK(_xlfn.CONCAT("https://tablet.otzar.org/",CHAR(35),"/book/655771/p/-1/t/1/fs/0/start/0/end/0/c"),"מעייני השלוח - חנוכה")</f>
        <v>מעייני השלוח - חנוכה</v>
      </c>
      <c r="H2502" t="str">
        <f>_xlfn.CONCAT("https://tablet.otzar.org/",CHAR(35),"/book/655771/p/-1/t/1/fs/0/start/0/end/0/c")</f>
        <v>https://tablet.otzar.org/#/book/655771/p/-1/t/1/fs/0/start/0/end/0/c</v>
      </c>
    </row>
    <row r="2503" spans="1:8" x14ac:dyDescent="0.25">
      <c r="A2503">
        <v>174406</v>
      </c>
      <c r="B2503" t="s">
        <v>5020</v>
      </c>
      <c r="C2503" t="s">
        <v>5021</v>
      </c>
      <c r="D2503" t="s">
        <v>10</v>
      </c>
      <c r="E2503" t="s">
        <v>366</v>
      </c>
      <c r="G2503" t="str">
        <f>HYPERLINK(_xlfn.CONCAT("https://tablet.otzar.org/",CHAR(35),"/book/174406/p/-1/t/1/fs/0/start/0/end/0/c"),"מעייני מקרא")</f>
        <v>מעייני מקרא</v>
      </c>
      <c r="H2503" t="str">
        <f>_xlfn.CONCAT("https://tablet.otzar.org/",CHAR(35),"/book/174406/p/-1/t/1/fs/0/start/0/end/0/c")</f>
        <v>https://tablet.otzar.org/#/book/174406/p/-1/t/1/fs/0/start/0/end/0/c</v>
      </c>
    </row>
    <row r="2504" spans="1:8" x14ac:dyDescent="0.25">
      <c r="A2504">
        <v>651532</v>
      </c>
      <c r="B2504" t="s">
        <v>5022</v>
      </c>
      <c r="C2504" t="s">
        <v>5023</v>
      </c>
      <c r="D2504" t="s">
        <v>347</v>
      </c>
      <c r="E2504" t="s">
        <v>11</v>
      </c>
      <c r="G2504" t="str">
        <f>HYPERLINK(_xlfn.CONCAT("https://tablet.otzar.org/",CHAR(35),"/book/651532/p/-1/t/1/fs/0/start/0/end/0/c"),"מעיל יהודה - מעילה")</f>
        <v>מעיל יהודה - מעילה</v>
      </c>
      <c r="H2504" t="str">
        <f>_xlfn.CONCAT("https://tablet.otzar.org/",CHAR(35),"/book/651532/p/-1/t/1/fs/0/start/0/end/0/c")</f>
        <v>https://tablet.otzar.org/#/book/651532/p/-1/t/1/fs/0/start/0/end/0/c</v>
      </c>
    </row>
    <row r="2505" spans="1:8" x14ac:dyDescent="0.25">
      <c r="A2505">
        <v>651548</v>
      </c>
      <c r="B2505" t="s">
        <v>5024</v>
      </c>
      <c r="C2505" t="s">
        <v>5025</v>
      </c>
      <c r="D2505" t="s">
        <v>10</v>
      </c>
      <c r="E2505" t="s">
        <v>45</v>
      </c>
      <c r="G2505" t="str">
        <f>HYPERLINK(_xlfn.CONCAT("https://tablet.otzar.org/",CHAR(35),"/exKotar/651548"),"מעיל קודש - 2 כרכים")</f>
        <v>מעיל קודש - 2 כרכים</v>
      </c>
      <c r="H2505" t="str">
        <f>_xlfn.CONCAT("https://tablet.otzar.org/",CHAR(35),"/exKotar/651548")</f>
        <v>https://tablet.otzar.org/#/exKotar/651548</v>
      </c>
    </row>
    <row r="2506" spans="1:8" x14ac:dyDescent="0.25">
      <c r="A2506">
        <v>648214</v>
      </c>
      <c r="B2506" t="s">
        <v>5026</v>
      </c>
      <c r="C2506" t="s">
        <v>5027</v>
      </c>
      <c r="D2506" t="s">
        <v>10</v>
      </c>
      <c r="E2506" t="s">
        <v>114</v>
      </c>
      <c r="G2506" t="str">
        <f>HYPERLINK(_xlfn.CONCAT("https://tablet.otzar.org/",CHAR(35),"/book/648214/p/-1/t/1/fs/0/start/0/end/0/c"),"מעין החסידות - שנה א ספר א")</f>
        <v>מעין החסידות - שנה א ספר א</v>
      </c>
      <c r="H2506" t="str">
        <f>_xlfn.CONCAT("https://tablet.otzar.org/",CHAR(35),"/book/648214/p/-1/t/1/fs/0/start/0/end/0/c")</f>
        <v>https://tablet.otzar.org/#/book/648214/p/-1/t/1/fs/0/start/0/end/0/c</v>
      </c>
    </row>
    <row r="2507" spans="1:8" x14ac:dyDescent="0.25">
      <c r="A2507">
        <v>647381</v>
      </c>
      <c r="B2507" t="s">
        <v>5028</v>
      </c>
      <c r="C2507" t="s">
        <v>5029</v>
      </c>
      <c r="E2507" t="s">
        <v>804</v>
      </c>
      <c r="G2507" t="str">
        <f>HYPERLINK(_xlfn.CONCAT("https://tablet.otzar.org/",CHAR(35),"/book/647381/p/-1/t/1/fs/0/start/0/end/0/c"),"מעינות אברהם - ערב פסח שחל בשבת")</f>
        <v>מעינות אברהם - ערב פסח שחל בשבת</v>
      </c>
      <c r="H2507" t="str">
        <f>_xlfn.CONCAT("https://tablet.otzar.org/",CHAR(35),"/book/647381/p/-1/t/1/fs/0/start/0/end/0/c")</f>
        <v>https://tablet.otzar.org/#/book/647381/p/-1/t/1/fs/0/start/0/end/0/c</v>
      </c>
    </row>
    <row r="2508" spans="1:8" x14ac:dyDescent="0.25">
      <c r="A2508">
        <v>648098</v>
      </c>
      <c r="B2508" t="s">
        <v>5030</v>
      </c>
      <c r="C2508" t="s">
        <v>5014</v>
      </c>
      <c r="D2508" t="s">
        <v>52</v>
      </c>
      <c r="E2508" t="s">
        <v>146</v>
      </c>
      <c r="G2508" t="str">
        <f>HYPERLINK(_xlfn.CONCAT("https://tablet.otzar.org/",CHAR(35),"/book/648098/p/-1/t/1/fs/0/start/0/end/0/c"),"מעינות התורה")</f>
        <v>מעינות התורה</v>
      </c>
      <c r="H2508" t="str">
        <f>_xlfn.CONCAT("https://tablet.otzar.org/",CHAR(35),"/book/648098/p/-1/t/1/fs/0/start/0/end/0/c")</f>
        <v>https://tablet.otzar.org/#/book/648098/p/-1/t/1/fs/0/start/0/end/0/c</v>
      </c>
    </row>
    <row r="2509" spans="1:8" x14ac:dyDescent="0.25">
      <c r="A2509">
        <v>647372</v>
      </c>
      <c r="B2509" t="s">
        <v>5031</v>
      </c>
      <c r="C2509" t="s">
        <v>5032</v>
      </c>
      <c r="D2509" t="s">
        <v>3577</v>
      </c>
      <c r="E2509" t="s">
        <v>3335</v>
      </c>
      <c r="G2509" t="str">
        <f>HYPERLINK(_xlfn.CONCAT("https://tablet.otzar.org/",CHAR(35),"/book/647372/p/-1/t/1/fs/0/start/0/end/0/c"),"מעיני הישועה")</f>
        <v>מעיני הישועה</v>
      </c>
      <c r="H2509" t="str">
        <f>_xlfn.CONCAT("https://tablet.otzar.org/",CHAR(35),"/book/647372/p/-1/t/1/fs/0/start/0/end/0/c")</f>
        <v>https://tablet.otzar.org/#/book/647372/p/-1/t/1/fs/0/start/0/end/0/c</v>
      </c>
    </row>
    <row r="2510" spans="1:8" x14ac:dyDescent="0.25">
      <c r="A2510">
        <v>649241</v>
      </c>
      <c r="B2510" t="s">
        <v>5033</v>
      </c>
      <c r="C2510" t="s">
        <v>5034</v>
      </c>
      <c r="D2510" t="s">
        <v>10</v>
      </c>
      <c r="E2510" t="s">
        <v>11</v>
      </c>
      <c r="G2510" t="str">
        <f>HYPERLINK(_xlfn.CONCAT("https://tablet.otzar.org/",CHAR(35),"/book/649241/p/-1/t/1/fs/0/start/0/end/0/c"),"מעלות ארץ ישראל בהלכה ובאגדה")</f>
        <v>מעלות ארץ ישראל בהלכה ובאגדה</v>
      </c>
      <c r="H2510" t="str">
        <f>_xlfn.CONCAT("https://tablet.otzar.org/",CHAR(35),"/book/649241/p/-1/t/1/fs/0/start/0/end/0/c")</f>
        <v>https://tablet.otzar.org/#/book/649241/p/-1/t/1/fs/0/start/0/end/0/c</v>
      </c>
    </row>
    <row r="2511" spans="1:8" x14ac:dyDescent="0.25">
      <c r="A2511">
        <v>647774</v>
      </c>
      <c r="B2511" t="s">
        <v>5035</v>
      </c>
      <c r="C2511" t="s">
        <v>5036</v>
      </c>
      <c r="D2511" t="s">
        <v>5037</v>
      </c>
      <c r="E2511" t="s">
        <v>117</v>
      </c>
      <c r="G2511" t="str">
        <f>HYPERLINK(_xlfn.CONCAT("https://tablet.otzar.org/",CHAR(35),"/book/647774/p/-1/t/1/fs/0/start/0/end/0/c"),"מעלות המקוה")</f>
        <v>מעלות המקוה</v>
      </c>
      <c r="H2511" t="str">
        <f>_xlfn.CONCAT("https://tablet.otzar.org/",CHAR(35),"/book/647774/p/-1/t/1/fs/0/start/0/end/0/c")</f>
        <v>https://tablet.otzar.org/#/book/647774/p/-1/t/1/fs/0/start/0/end/0/c</v>
      </c>
    </row>
    <row r="2512" spans="1:8" x14ac:dyDescent="0.25">
      <c r="A2512">
        <v>649365</v>
      </c>
      <c r="B2512" t="s">
        <v>5038</v>
      </c>
      <c r="C2512" t="s">
        <v>5039</v>
      </c>
      <c r="E2512" t="s">
        <v>2368</v>
      </c>
      <c r="G2512" t="str">
        <f>HYPERLINK(_xlfn.CONCAT("https://tablet.otzar.org/",CHAR(35),"/book/649365/p/-1/t/1/fs/0/start/0/end/0/c"),"מעלות התורה")</f>
        <v>מעלות התורה</v>
      </c>
      <c r="H2512" t="str">
        <f>_xlfn.CONCAT("https://tablet.otzar.org/",CHAR(35),"/book/649365/p/-1/t/1/fs/0/start/0/end/0/c")</f>
        <v>https://tablet.otzar.org/#/book/649365/p/-1/t/1/fs/0/start/0/end/0/c</v>
      </c>
    </row>
    <row r="2513" spans="1:8" x14ac:dyDescent="0.25">
      <c r="A2513">
        <v>649425</v>
      </c>
      <c r="B2513" t="s">
        <v>5040</v>
      </c>
      <c r="C2513" t="s">
        <v>5041</v>
      </c>
      <c r="D2513" t="s">
        <v>5042</v>
      </c>
      <c r="E2513" t="s">
        <v>5043</v>
      </c>
      <c r="G2513" t="str">
        <f>HYPERLINK(_xlfn.CONCAT("https://tablet.otzar.org/",CHAR(35),"/book/649425/p/-1/t/1/fs/0/start/0/end/0/c"),"מעלפת ספירים")</f>
        <v>מעלפת ספירים</v>
      </c>
      <c r="H2513" t="str">
        <f>_xlfn.CONCAT("https://tablet.otzar.org/",CHAR(35),"/book/649425/p/-1/t/1/fs/0/start/0/end/0/c")</f>
        <v>https://tablet.otzar.org/#/book/649425/p/-1/t/1/fs/0/start/0/end/0/c</v>
      </c>
    </row>
    <row r="2514" spans="1:8" x14ac:dyDescent="0.25">
      <c r="A2514">
        <v>651629</v>
      </c>
      <c r="B2514" t="s">
        <v>5044</v>
      </c>
      <c r="C2514" t="s">
        <v>614</v>
      </c>
      <c r="D2514" t="s">
        <v>10</v>
      </c>
      <c r="E2514" t="s">
        <v>11</v>
      </c>
      <c r="G2514" t="str">
        <f>HYPERLINK(_xlfn.CONCAT("https://tablet.otzar.org/",CHAR(35),"/book/651629/p/-1/t/1/fs/0/start/0/end/0/c"),"מעמק עכור לפתח תקוה")</f>
        <v>מעמק עכור לפתח תקוה</v>
      </c>
      <c r="H2514" t="str">
        <f>_xlfn.CONCAT("https://tablet.otzar.org/",CHAR(35),"/book/651629/p/-1/t/1/fs/0/start/0/end/0/c")</f>
        <v>https://tablet.otzar.org/#/book/651629/p/-1/t/1/fs/0/start/0/end/0/c</v>
      </c>
    </row>
    <row r="2515" spans="1:8" x14ac:dyDescent="0.25">
      <c r="A2515">
        <v>647263</v>
      </c>
      <c r="B2515" t="s">
        <v>5045</v>
      </c>
      <c r="C2515" t="s">
        <v>5046</v>
      </c>
      <c r="D2515" t="s">
        <v>5047</v>
      </c>
      <c r="E2515" t="s">
        <v>237</v>
      </c>
      <c r="G2515" t="str">
        <f>HYPERLINK(_xlfn.CONCAT("https://tablet.otzar.org/",CHAR(35),"/book/647263/p/-1/t/1/fs/0/start/0/end/0/c"),"מענבי הכרם - בראשית")</f>
        <v>מענבי הכרם - בראשית</v>
      </c>
      <c r="H2515" t="str">
        <f>_xlfn.CONCAT("https://tablet.otzar.org/",CHAR(35),"/book/647263/p/-1/t/1/fs/0/start/0/end/0/c")</f>
        <v>https://tablet.otzar.org/#/book/647263/p/-1/t/1/fs/0/start/0/end/0/c</v>
      </c>
    </row>
    <row r="2516" spans="1:8" x14ac:dyDescent="0.25">
      <c r="A2516">
        <v>637813</v>
      </c>
      <c r="B2516" t="s">
        <v>5048</v>
      </c>
      <c r="C2516" t="s">
        <v>998</v>
      </c>
      <c r="D2516" t="s">
        <v>999</v>
      </c>
      <c r="E2516" t="s">
        <v>45</v>
      </c>
      <c r="G2516" t="str">
        <f>HYPERLINK(_xlfn.CONCAT("https://tablet.otzar.org/",CHAR(35),"/book/637813/p/-1/t/1/fs/0/start/0/end/0/c"),"מענה לשון - ז")</f>
        <v>מענה לשון - ז</v>
      </c>
      <c r="H2516" t="str">
        <f>_xlfn.CONCAT("https://tablet.otzar.org/",CHAR(35),"/book/637813/p/-1/t/1/fs/0/start/0/end/0/c")</f>
        <v>https://tablet.otzar.org/#/book/637813/p/-1/t/1/fs/0/start/0/end/0/c</v>
      </c>
    </row>
    <row r="2517" spans="1:8" x14ac:dyDescent="0.25">
      <c r="A2517">
        <v>653314</v>
      </c>
      <c r="B2517" t="s">
        <v>5049</v>
      </c>
      <c r="C2517" t="s">
        <v>5050</v>
      </c>
      <c r="D2517" t="s">
        <v>34</v>
      </c>
      <c r="E2517" t="s">
        <v>45</v>
      </c>
      <c r="G2517" t="str">
        <f>HYPERLINK(_xlfn.CONCAT("https://tablet.otzar.org/",CHAR(35),"/book/653314/p/-1/t/1/fs/0/start/0/end/0/c"),"מעפר קומי - חנוכה")</f>
        <v>מעפר קומי - חנוכה</v>
      </c>
      <c r="H2517" t="str">
        <f>_xlfn.CONCAT("https://tablet.otzar.org/",CHAR(35),"/book/653314/p/-1/t/1/fs/0/start/0/end/0/c")</f>
        <v>https://tablet.otzar.org/#/book/653314/p/-1/t/1/fs/0/start/0/end/0/c</v>
      </c>
    </row>
    <row r="2518" spans="1:8" x14ac:dyDescent="0.25">
      <c r="A2518">
        <v>648324</v>
      </c>
      <c r="B2518" t="s">
        <v>5051</v>
      </c>
      <c r="C2518" t="s">
        <v>5052</v>
      </c>
      <c r="D2518" t="s">
        <v>5053</v>
      </c>
      <c r="E2518" t="s">
        <v>2057</v>
      </c>
      <c r="G2518" t="str">
        <f>HYPERLINK(_xlfn.CONCAT("https://tablet.otzar.org/",CHAR(35),"/book/648324/p/-1/t/1/fs/0/start/0/end/0/c"),"מערכי אד""""ם")</f>
        <v>מערכי אד""ם</v>
      </c>
      <c r="H2518" t="str">
        <f>_xlfn.CONCAT("https://tablet.otzar.org/",CHAR(35),"/book/648324/p/-1/t/1/fs/0/start/0/end/0/c")</f>
        <v>https://tablet.otzar.org/#/book/648324/p/-1/t/1/fs/0/start/0/end/0/c</v>
      </c>
    </row>
    <row r="2519" spans="1:8" x14ac:dyDescent="0.25">
      <c r="A2519">
        <v>647833</v>
      </c>
      <c r="B2519" t="s">
        <v>5054</v>
      </c>
      <c r="C2519" t="s">
        <v>5055</v>
      </c>
      <c r="D2519" t="s">
        <v>951</v>
      </c>
      <c r="E2519" t="s">
        <v>35</v>
      </c>
      <c r="G2519" t="str">
        <f>HYPERLINK(_xlfn.CONCAT("https://tablet.otzar.org/",CHAR(35),"/book/647833/p/-1/t/1/fs/0/start/0/end/0/c"),"מערכי השלחן - א")</f>
        <v>מערכי השלחן - א</v>
      </c>
      <c r="H2519" t="str">
        <f>_xlfn.CONCAT("https://tablet.otzar.org/",CHAR(35),"/book/647833/p/-1/t/1/fs/0/start/0/end/0/c")</f>
        <v>https://tablet.otzar.org/#/book/647833/p/-1/t/1/fs/0/start/0/end/0/c</v>
      </c>
    </row>
    <row r="2520" spans="1:8" x14ac:dyDescent="0.25">
      <c r="A2520">
        <v>650096</v>
      </c>
      <c r="B2520" t="s">
        <v>5056</v>
      </c>
      <c r="C2520" t="s">
        <v>998</v>
      </c>
      <c r="D2520" t="s">
        <v>999</v>
      </c>
      <c r="E2520" t="s">
        <v>213</v>
      </c>
      <c r="G2520" t="str">
        <f>HYPERLINK(_xlfn.CONCAT("https://tablet.otzar.org/",CHAR(35),"/book/650096/p/-1/t/1/fs/0/start/0/end/0/c"),"מערכי לב - מגילה, מכות, שמעתתא ז")</f>
        <v>מערכי לב - מגילה, מכות, שמעתתא ז</v>
      </c>
      <c r="H2520" t="str">
        <f>_xlfn.CONCAT("https://tablet.otzar.org/",CHAR(35),"/book/650096/p/-1/t/1/fs/0/start/0/end/0/c")</f>
        <v>https://tablet.otzar.org/#/book/650096/p/-1/t/1/fs/0/start/0/end/0/c</v>
      </c>
    </row>
    <row r="2521" spans="1:8" x14ac:dyDescent="0.25">
      <c r="A2521">
        <v>652632</v>
      </c>
      <c r="B2521" t="s">
        <v>5057</v>
      </c>
      <c r="C2521" t="s">
        <v>5058</v>
      </c>
      <c r="D2521" t="s">
        <v>58</v>
      </c>
      <c r="E2521" t="s">
        <v>636</v>
      </c>
      <c r="G2521" t="str">
        <f>HYPERLINK(_xlfn.CONCAT("https://tablet.otzar.org/",CHAR(35),"/book/652632/p/-1/t/1/fs/0/start/0/end/0/c"),"מעשה אבות")</f>
        <v>מעשה אבות</v>
      </c>
      <c r="H2521" t="str">
        <f>_xlfn.CONCAT("https://tablet.otzar.org/",CHAR(35),"/book/652632/p/-1/t/1/fs/0/start/0/end/0/c")</f>
        <v>https://tablet.otzar.org/#/book/652632/p/-1/t/1/fs/0/start/0/end/0/c</v>
      </c>
    </row>
    <row r="2522" spans="1:8" x14ac:dyDescent="0.25">
      <c r="A2522">
        <v>649561</v>
      </c>
      <c r="B2522" t="s">
        <v>5059</v>
      </c>
      <c r="C2522" t="s">
        <v>5060</v>
      </c>
      <c r="D2522" t="s">
        <v>58</v>
      </c>
      <c r="E2522" t="s">
        <v>673</v>
      </c>
      <c r="G2522" t="str">
        <f>HYPERLINK(_xlfn.CONCAT("https://tablet.otzar.org/",CHAR(35),"/book/649561/p/-1/t/1/fs/0/start/0/end/0/c"),"מעשה די לה אורמיגה")</f>
        <v>מעשה די לה אורמיגה</v>
      </c>
      <c r="H2522" t="str">
        <f>_xlfn.CONCAT("https://tablet.otzar.org/",CHAR(35),"/book/649561/p/-1/t/1/fs/0/start/0/end/0/c")</f>
        <v>https://tablet.otzar.org/#/book/649561/p/-1/t/1/fs/0/start/0/end/0/c</v>
      </c>
    </row>
    <row r="2523" spans="1:8" x14ac:dyDescent="0.25">
      <c r="A2523">
        <v>649292</v>
      </c>
      <c r="B2523" t="s">
        <v>5061</v>
      </c>
      <c r="C2523" t="s">
        <v>4413</v>
      </c>
      <c r="D2523" t="s">
        <v>10</v>
      </c>
      <c r="E2523" t="s">
        <v>4815</v>
      </c>
      <c r="G2523" t="str">
        <f>HYPERLINK(_xlfn.CONCAT("https://tablet.otzar.org/",CHAR(35),"/book/649292/p/-1/t/1/fs/0/start/0/end/0/c"),"מעשה השם - מעשה הצדיקים - כללי דאורייתא")</f>
        <v>מעשה השם - מעשה הצדיקים - כללי דאורייתא</v>
      </c>
      <c r="H2523" t="str">
        <f>_xlfn.CONCAT("https://tablet.otzar.org/",CHAR(35),"/book/649292/p/-1/t/1/fs/0/start/0/end/0/c")</f>
        <v>https://tablet.otzar.org/#/book/649292/p/-1/t/1/fs/0/start/0/end/0/c</v>
      </c>
    </row>
    <row r="2524" spans="1:8" x14ac:dyDescent="0.25">
      <c r="A2524">
        <v>656245</v>
      </c>
      <c r="B2524" t="s">
        <v>5062</v>
      </c>
      <c r="C2524" t="s">
        <v>5063</v>
      </c>
      <c r="D2524" t="s">
        <v>34</v>
      </c>
      <c r="E2524" t="s">
        <v>84</v>
      </c>
      <c r="G2524" t="str">
        <f>HYPERLINK(_xlfn.CONCAT("https://tablet.otzar.org/",CHAR(35),"/book/656245/p/-1/t/1/fs/0/start/0/end/0/c"),"מעשה חושב")</f>
        <v>מעשה חושב</v>
      </c>
      <c r="H2524" t="str">
        <f>_xlfn.CONCAT("https://tablet.otzar.org/",CHAR(35),"/book/656245/p/-1/t/1/fs/0/start/0/end/0/c")</f>
        <v>https://tablet.otzar.org/#/book/656245/p/-1/t/1/fs/0/start/0/end/0/c</v>
      </c>
    </row>
    <row r="2525" spans="1:8" x14ac:dyDescent="0.25">
      <c r="A2525">
        <v>650634</v>
      </c>
      <c r="B2525" t="s">
        <v>5064</v>
      </c>
      <c r="C2525" t="s">
        <v>2339</v>
      </c>
      <c r="D2525" t="s">
        <v>52</v>
      </c>
      <c r="E2525" t="s">
        <v>11</v>
      </c>
      <c r="G2525" t="str">
        <f>HYPERLINK(_xlfn.CONCAT("https://tablet.otzar.org/",CHAR(35),"/book/650634/p/-1/t/1/fs/0/start/0/end/0/c"),"מעשה שיח")</f>
        <v>מעשה שיח</v>
      </c>
      <c r="H2525" t="str">
        <f>_xlfn.CONCAT("https://tablet.otzar.org/",CHAR(35),"/book/650634/p/-1/t/1/fs/0/start/0/end/0/c")</f>
        <v>https://tablet.otzar.org/#/book/650634/p/-1/t/1/fs/0/start/0/end/0/c</v>
      </c>
    </row>
    <row r="2526" spans="1:8" x14ac:dyDescent="0.25">
      <c r="A2526">
        <v>647914</v>
      </c>
      <c r="B2526" t="s">
        <v>5065</v>
      </c>
      <c r="C2526" t="s">
        <v>5066</v>
      </c>
      <c r="D2526" t="s">
        <v>52</v>
      </c>
      <c r="E2526" t="s">
        <v>574</v>
      </c>
      <c r="G2526" t="str">
        <f>HYPERLINK(_xlfn.CONCAT("https://tablet.otzar.org/",CHAR(35),"/book/647914/p/-1/t/1/fs/0/start/0/end/0/c"),"מפי כהן הלכות שבת &lt;סימנים שי""""ג-שכ""""א&gt;")</f>
        <v>מפי כהן הלכות שבת &lt;סימנים שי""ג-שכ""א&gt;</v>
      </c>
      <c r="H2526" t="str">
        <f>_xlfn.CONCAT("https://tablet.otzar.org/",CHAR(35),"/book/647914/p/-1/t/1/fs/0/start/0/end/0/c")</f>
        <v>https://tablet.otzar.org/#/book/647914/p/-1/t/1/fs/0/start/0/end/0/c</v>
      </c>
    </row>
    <row r="2527" spans="1:8" x14ac:dyDescent="0.25">
      <c r="A2527">
        <v>653620</v>
      </c>
      <c r="B2527" t="s">
        <v>5067</v>
      </c>
      <c r="C2527" t="s">
        <v>2357</v>
      </c>
      <c r="E2527" t="s">
        <v>45</v>
      </c>
      <c r="G2527" t="str">
        <f>HYPERLINK(_xlfn.CONCAT("https://tablet.otzar.org/",CHAR(35),"/exKotar/653620"),"מפי כהן - 2 כרכים")</f>
        <v>מפי כהן - 2 כרכים</v>
      </c>
      <c r="H2527" t="str">
        <f>_xlfn.CONCAT("https://tablet.otzar.org/",CHAR(35),"/exKotar/653620")</f>
        <v>https://tablet.otzar.org/#/exKotar/653620</v>
      </c>
    </row>
    <row r="2528" spans="1:8" x14ac:dyDescent="0.25">
      <c r="A2528">
        <v>651933</v>
      </c>
      <c r="B2528" t="s">
        <v>5068</v>
      </c>
      <c r="C2528" t="s">
        <v>5069</v>
      </c>
      <c r="D2528" t="s">
        <v>5070</v>
      </c>
      <c r="E2528" t="s">
        <v>1203</v>
      </c>
      <c r="G2528" t="str">
        <f>HYPERLINK(_xlfn.CONCAT("https://tablet.otzar.org/",CHAR(35),"/book/651933/p/-1/t/1/fs/0/start/0/end/0/c"),"מפלת עיר הצדק")</f>
        <v>מפלת עיר הצדק</v>
      </c>
      <c r="H2528" t="str">
        <f>_xlfn.CONCAT("https://tablet.otzar.org/",CHAR(35),"/book/651933/p/-1/t/1/fs/0/start/0/end/0/c")</f>
        <v>https://tablet.otzar.org/#/book/651933/p/-1/t/1/fs/0/start/0/end/0/c</v>
      </c>
    </row>
    <row r="2529" spans="1:8" x14ac:dyDescent="0.25">
      <c r="A2529">
        <v>647949</v>
      </c>
      <c r="B2529" t="s">
        <v>5071</v>
      </c>
      <c r="C2529" t="s">
        <v>614</v>
      </c>
      <c r="D2529" t="s">
        <v>34</v>
      </c>
      <c r="E2529" t="s">
        <v>84</v>
      </c>
      <c r="G2529" t="str">
        <f>HYPERLINK(_xlfn.CONCAT("https://tablet.otzar.org/",CHAR(35),"/book/647949/p/-1/t/1/fs/0/start/0/end/0/c"),"מפנקסו של תלמיד")</f>
        <v>מפנקסו של תלמיד</v>
      </c>
      <c r="H2529" t="str">
        <f>_xlfn.CONCAT("https://tablet.otzar.org/",CHAR(35),"/book/647949/p/-1/t/1/fs/0/start/0/end/0/c")</f>
        <v>https://tablet.otzar.org/#/book/647949/p/-1/t/1/fs/0/start/0/end/0/c</v>
      </c>
    </row>
    <row r="2530" spans="1:8" x14ac:dyDescent="0.25">
      <c r="A2530">
        <v>647714</v>
      </c>
      <c r="B2530" t="s">
        <v>5072</v>
      </c>
      <c r="C2530" t="s">
        <v>5073</v>
      </c>
      <c r="D2530" t="s">
        <v>10</v>
      </c>
      <c r="E2530" t="s">
        <v>11</v>
      </c>
      <c r="G2530" t="str">
        <f>HYPERLINK(_xlfn.CONCAT("https://tablet.otzar.org/",CHAR(35),"/exKotar/647714"),"מפסקי משנה ברורה - 6 כרכים")</f>
        <v>מפסקי משנה ברורה - 6 כרכים</v>
      </c>
      <c r="H2530" t="str">
        <f>_xlfn.CONCAT("https://tablet.otzar.org/",CHAR(35),"/exKotar/647714")</f>
        <v>https://tablet.otzar.org/#/exKotar/647714</v>
      </c>
    </row>
    <row r="2531" spans="1:8" x14ac:dyDescent="0.25">
      <c r="A2531">
        <v>651642</v>
      </c>
      <c r="B2531" t="s">
        <v>5074</v>
      </c>
      <c r="C2531" t="s">
        <v>5075</v>
      </c>
      <c r="D2531" t="s">
        <v>340</v>
      </c>
      <c r="E2531" t="s">
        <v>35</v>
      </c>
      <c r="G2531" t="str">
        <f>HYPERLINK(_xlfn.CONCAT("https://tablet.otzar.org/",CHAR(35),"/exKotar/651642"),"מפרי עץ הגן - 2 כרכים")</f>
        <v>מפרי עץ הגן - 2 כרכים</v>
      </c>
      <c r="H2531" t="str">
        <f>_xlfn.CONCAT("https://tablet.otzar.org/",CHAR(35),"/exKotar/651642")</f>
        <v>https://tablet.otzar.org/#/exKotar/651642</v>
      </c>
    </row>
    <row r="2532" spans="1:8" x14ac:dyDescent="0.25">
      <c r="A2532">
        <v>654022</v>
      </c>
      <c r="B2532" t="s">
        <v>5076</v>
      </c>
      <c r="C2532" t="s">
        <v>1748</v>
      </c>
      <c r="D2532" t="s">
        <v>34</v>
      </c>
      <c r="E2532" t="s">
        <v>45</v>
      </c>
      <c r="G2532" t="str">
        <f>HYPERLINK(_xlfn.CONCAT("https://tablet.otzar.org/",CHAR(35),"/book/654022/p/-1/t/1/fs/0/start/0/end/0/c"),"מפתח שערי גאולה")</f>
        <v>מפתח שערי גאולה</v>
      </c>
      <c r="H2532" t="str">
        <f>_xlfn.CONCAT("https://tablet.otzar.org/",CHAR(35),"/book/654022/p/-1/t/1/fs/0/start/0/end/0/c")</f>
        <v>https://tablet.otzar.org/#/book/654022/p/-1/t/1/fs/0/start/0/end/0/c</v>
      </c>
    </row>
    <row r="2533" spans="1:8" x14ac:dyDescent="0.25">
      <c r="A2533">
        <v>647698</v>
      </c>
      <c r="B2533" t="s">
        <v>5077</v>
      </c>
      <c r="C2533" t="s">
        <v>5078</v>
      </c>
      <c r="E2533" t="s">
        <v>191</v>
      </c>
      <c r="G2533" t="str">
        <f>HYPERLINK(_xlfn.CONCAT("https://tablet.otzar.org/",CHAR(35),"/book/647698/p/-1/t/1/fs/0/start/0/end/0/c"),"מפתח תוכן ענינים למאמרי הרבי מליובאוויטש")</f>
        <v>מפתח תוכן ענינים למאמרי הרבי מליובאוויטש</v>
      </c>
      <c r="H2533" t="str">
        <f>_xlfn.CONCAT("https://tablet.otzar.org/",CHAR(35),"/book/647698/p/-1/t/1/fs/0/start/0/end/0/c")</f>
        <v>https://tablet.otzar.org/#/book/647698/p/-1/t/1/fs/0/start/0/end/0/c</v>
      </c>
    </row>
    <row r="2534" spans="1:8" x14ac:dyDescent="0.25">
      <c r="A2534">
        <v>648532</v>
      </c>
      <c r="B2534" t="s">
        <v>5079</v>
      </c>
      <c r="C2534" t="s">
        <v>5080</v>
      </c>
      <c r="D2534" t="s">
        <v>52</v>
      </c>
      <c r="E2534" t="s">
        <v>70</v>
      </c>
      <c r="G2534" t="str">
        <f>HYPERLINK(_xlfn.CONCAT("https://tablet.otzar.org/",CHAR(35),"/exKotar/648532"),"מפתחות הש""""ס - 7 כרכים")</f>
        <v>מפתחות הש""ס - 7 כרכים</v>
      </c>
      <c r="H2534" t="str">
        <f>_xlfn.CONCAT("https://tablet.otzar.org/",CHAR(35),"/exKotar/648532")</f>
        <v>https://tablet.otzar.org/#/exKotar/648532</v>
      </c>
    </row>
    <row r="2535" spans="1:8" x14ac:dyDescent="0.25">
      <c r="A2535">
        <v>655954</v>
      </c>
      <c r="B2535" t="s">
        <v>5081</v>
      </c>
      <c r="C2535" t="s">
        <v>3425</v>
      </c>
      <c r="D2535" t="s">
        <v>10</v>
      </c>
      <c r="E2535" t="s">
        <v>312</v>
      </c>
      <c r="G2535" t="str">
        <f>HYPERLINK(_xlfn.CONCAT("https://tablet.otzar.org/",CHAR(35),"/book/655954/p/-1/t/1/fs/0/start/0/end/0/c"),"מצא חן")</f>
        <v>מצא חן</v>
      </c>
      <c r="H2535" t="str">
        <f>_xlfn.CONCAT("https://tablet.otzar.org/",CHAR(35),"/book/655954/p/-1/t/1/fs/0/start/0/end/0/c")</f>
        <v>https://tablet.otzar.org/#/book/655954/p/-1/t/1/fs/0/start/0/end/0/c</v>
      </c>
    </row>
    <row r="2536" spans="1:8" x14ac:dyDescent="0.25">
      <c r="A2536">
        <v>654095</v>
      </c>
      <c r="B2536" t="s">
        <v>5082</v>
      </c>
      <c r="C2536" t="s">
        <v>5083</v>
      </c>
      <c r="E2536" t="s">
        <v>11</v>
      </c>
      <c r="G2536" t="str">
        <f>HYPERLINK(_xlfn.CONCAT("https://tablet.otzar.org/",CHAR(35),"/exKotar/654095"),"מצא טוב - 2 כרכים")</f>
        <v>מצא טוב - 2 כרכים</v>
      </c>
      <c r="H2536" t="str">
        <f>_xlfn.CONCAT("https://tablet.otzar.org/",CHAR(35),"/exKotar/654095")</f>
        <v>https://tablet.otzar.org/#/exKotar/654095</v>
      </c>
    </row>
    <row r="2537" spans="1:8" x14ac:dyDescent="0.25">
      <c r="A2537">
        <v>654429</v>
      </c>
      <c r="B2537" t="s">
        <v>5084</v>
      </c>
      <c r="C2537" t="s">
        <v>614</v>
      </c>
      <c r="D2537" t="s">
        <v>34</v>
      </c>
      <c r="E2537" t="s">
        <v>11</v>
      </c>
      <c r="G2537" t="str">
        <f>HYPERLINK(_xlfn.CONCAT("https://tablet.otzar.org/",CHAR(35),"/book/654429/p/-1/t/1/fs/0/start/0/end/0/c"),"מצבת חיים")</f>
        <v>מצבת חיים</v>
      </c>
      <c r="H2537" t="str">
        <f>_xlfn.CONCAT("https://tablet.otzar.org/",CHAR(35),"/book/654429/p/-1/t/1/fs/0/start/0/end/0/c")</f>
        <v>https://tablet.otzar.org/#/book/654429/p/-1/t/1/fs/0/start/0/end/0/c</v>
      </c>
    </row>
    <row r="2538" spans="1:8" x14ac:dyDescent="0.25">
      <c r="A2538">
        <v>655870</v>
      </c>
      <c r="B2538" t="s">
        <v>5085</v>
      </c>
      <c r="C2538" t="s">
        <v>3871</v>
      </c>
      <c r="D2538" t="s">
        <v>10</v>
      </c>
      <c r="E2538" t="s">
        <v>657</v>
      </c>
      <c r="G2538" t="str">
        <f>HYPERLINK(_xlfn.CONCAT("https://tablet.otzar.org/",CHAR(35),"/exKotar/655870"),"מצוות הארץ כהלכתן - 2 כרכים")</f>
        <v>מצוות הארץ כהלכתן - 2 כרכים</v>
      </c>
      <c r="H2538" t="str">
        <f>_xlfn.CONCAT("https://tablet.otzar.org/",CHAR(35),"/exKotar/655870")</f>
        <v>https://tablet.otzar.org/#/exKotar/655870</v>
      </c>
    </row>
    <row r="2539" spans="1:8" x14ac:dyDescent="0.25">
      <c r="A2539">
        <v>647371</v>
      </c>
      <c r="B2539" t="s">
        <v>5086</v>
      </c>
      <c r="C2539" t="s">
        <v>2409</v>
      </c>
      <c r="D2539" t="s">
        <v>39</v>
      </c>
      <c r="E2539" t="s">
        <v>903</v>
      </c>
      <c r="G2539" t="str">
        <f>HYPERLINK(_xlfn.CONCAT("https://tablet.otzar.org/",CHAR(35),"/book/647371/p/-1/t/1/fs/0/start/0/end/0/c"),"מצוות למה ניתנו")</f>
        <v>מצוות למה ניתנו</v>
      </c>
      <c r="H2539" t="str">
        <f>_xlfn.CONCAT("https://tablet.otzar.org/",CHAR(35),"/book/647371/p/-1/t/1/fs/0/start/0/end/0/c")</f>
        <v>https://tablet.otzar.org/#/book/647371/p/-1/t/1/fs/0/start/0/end/0/c</v>
      </c>
    </row>
    <row r="2540" spans="1:8" x14ac:dyDescent="0.25">
      <c r="A2540">
        <v>648516</v>
      </c>
      <c r="B2540" t="s">
        <v>5087</v>
      </c>
      <c r="C2540" t="s">
        <v>2131</v>
      </c>
      <c r="D2540" t="s">
        <v>34</v>
      </c>
      <c r="E2540" t="s">
        <v>35</v>
      </c>
      <c r="G2540" t="str">
        <f>HYPERLINK(_xlfn.CONCAT("https://tablet.otzar.org/",CHAR(35),"/exKotar/648516"),"מצוותיך אמונה - 2 כרכים")</f>
        <v>מצוותיך אמונה - 2 כרכים</v>
      </c>
      <c r="H2540" t="str">
        <f>_xlfn.CONCAT("https://tablet.otzar.org/",CHAR(35),"/exKotar/648516")</f>
        <v>https://tablet.otzar.org/#/exKotar/648516</v>
      </c>
    </row>
    <row r="2541" spans="1:8" x14ac:dyDescent="0.25">
      <c r="A2541">
        <v>655909</v>
      </c>
      <c r="B2541" t="s">
        <v>5088</v>
      </c>
      <c r="C2541" t="s">
        <v>1314</v>
      </c>
      <c r="D2541" t="s">
        <v>340</v>
      </c>
      <c r="E2541" t="s">
        <v>312</v>
      </c>
      <c r="G2541" t="str">
        <f>HYPERLINK(_xlfn.CONCAT("https://tablet.otzar.org/",CHAR(35),"/exKotar/655909"),"מצוותיך חפצתי - 4 כרכים")</f>
        <v>מצוותיך חפצתי - 4 כרכים</v>
      </c>
      <c r="H2541" t="str">
        <f>_xlfn.CONCAT("https://tablet.otzar.org/",CHAR(35),"/exKotar/655909")</f>
        <v>https://tablet.otzar.org/#/exKotar/655909</v>
      </c>
    </row>
    <row r="2542" spans="1:8" x14ac:dyDescent="0.25">
      <c r="A2542">
        <v>654228</v>
      </c>
      <c r="B2542" t="s">
        <v>5089</v>
      </c>
      <c r="C2542" t="s">
        <v>614</v>
      </c>
      <c r="E2542" t="s">
        <v>45</v>
      </c>
      <c r="G2542" t="str">
        <f>HYPERLINK(_xlfn.CONCAT("https://tablet.otzar.org/",CHAR(35),"/book/654228/p/-1/t/1/fs/0/start/0/end/0/c"),"מצולה בלב ימים")</f>
        <v>מצולה בלב ימים</v>
      </c>
      <c r="H2542" t="str">
        <f>_xlfn.CONCAT("https://tablet.otzar.org/",CHAR(35),"/book/654228/p/-1/t/1/fs/0/start/0/end/0/c")</f>
        <v>https://tablet.otzar.org/#/book/654228/p/-1/t/1/fs/0/start/0/end/0/c</v>
      </c>
    </row>
    <row r="2543" spans="1:8" x14ac:dyDescent="0.25">
      <c r="A2543">
        <v>654302</v>
      </c>
      <c r="B2543" t="s">
        <v>5090</v>
      </c>
      <c r="C2543" t="s">
        <v>5091</v>
      </c>
      <c r="E2543" t="s">
        <v>11</v>
      </c>
      <c r="G2543" t="str">
        <f>HYPERLINK(_xlfn.CONCAT("https://tablet.otzar.org/",CHAR(35),"/book/654302/p/-1/t/1/fs/0/start/0/end/0/c"),"מצות ה' &lt;מהדורה חדשה&gt;")</f>
        <v>מצות ה' &lt;מהדורה חדשה&gt;</v>
      </c>
      <c r="H2543" t="str">
        <f>_xlfn.CONCAT("https://tablet.otzar.org/",CHAR(35),"/book/654302/p/-1/t/1/fs/0/start/0/end/0/c")</f>
        <v>https://tablet.otzar.org/#/book/654302/p/-1/t/1/fs/0/start/0/end/0/c</v>
      </c>
    </row>
    <row r="2544" spans="1:8" x14ac:dyDescent="0.25">
      <c r="A2544">
        <v>648929</v>
      </c>
      <c r="B2544" t="s">
        <v>5092</v>
      </c>
      <c r="C2544" t="s">
        <v>125</v>
      </c>
      <c r="E2544" t="s">
        <v>704</v>
      </c>
      <c r="G2544" t="str">
        <f>HYPERLINK(_xlfn.CONCAT("https://tablet.otzar.org/",CHAR(35),"/book/648929/p/-1/t/1/fs/0/start/0/end/0/c"),"מצות כיבוד הורים")</f>
        <v>מצות כיבוד הורים</v>
      </c>
      <c r="H2544" t="str">
        <f>_xlfn.CONCAT("https://tablet.otzar.org/",CHAR(35),"/book/648929/p/-1/t/1/fs/0/start/0/end/0/c")</f>
        <v>https://tablet.otzar.org/#/book/648929/p/-1/t/1/fs/0/start/0/end/0/c</v>
      </c>
    </row>
    <row r="2545" spans="1:8" x14ac:dyDescent="0.25">
      <c r="A2545">
        <v>649825</v>
      </c>
      <c r="B2545" t="s">
        <v>5093</v>
      </c>
      <c r="C2545" t="s">
        <v>614</v>
      </c>
      <c r="D2545" t="s">
        <v>34</v>
      </c>
      <c r="E2545" t="s">
        <v>35</v>
      </c>
      <c r="G2545" t="str">
        <f>HYPERLINK(_xlfn.CONCAT("https://tablet.otzar.org/",CHAR(35),"/book/649825/p/-1/t/1/fs/0/start/0/end/0/c"),"מציץ מן החרכים")</f>
        <v>מציץ מן החרכים</v>
      </c>
      <c r="H2545" t="str">
        <f>_xlfn.CONCAT("https://tablet.otzar.org/",CHAR(35),"/book/649825/p/-1/t/1/fs/0/start/0/end/0/c")</f>
        <v>https://tablet.otzar.org/#/book/649825/p/-1/t/1/fs/0/start/0/end/0/c</v>
      </c>
    </row>
    <row r="2546" spans="1:8" x14ac:dyDescent="0.25">
      <c r="A2546">
        <v>649194</v>
      </c>
      <c r="B2546" t="s">
        <v>5094</v>
      </c>
      <c r="C2546" t="s">
        <v>5095</v>
      </c>
      <c r="D2546" t="s">
        <v>1195</v>
      </c>
      <c r="E2546" t="s">
        <v>11</v>
      </c>
      <c r="G2546" t="str">
        <f>HYPERLINK(_xlfn.CONCAT("https://tablet.otzar.org/",CHAR(35),"/book/649194/p/-1/t/1/fs/0/start/0/end/0/c"),"מקדמי ארץ - י (בבא מציעא - ב)")</f>
        <v>מקדמי ארץ - י (בבא מציעא - ב)</v>
      </c>
      <c r="H2546" t="str">
        <f>_xlfn.CONCAT("https://tablet.otzar.org/",CHAR(35),"/book/649194/p/-1/t/1/fs/0/start/0/end/0/c")</f>
        <v>https://tablet.otzar.org/#/book/649194/p/-1/t/1/fs/0/start/0/end/0/c</v>
      </c>
    </row>
    <row r="2547" spans="1:8" x14ac:dyDescent="0.25">
      <c r="A2547">
        <v>650887</v>
      </c>
      <c r="B2547" t="s">
        <v>5096</v>
      </c>
      <c r="C2547" t="s">
        <v>2939</v>
      </c>
      <c r="E2547" t="s">
        <v>11</v>
      </c>
      <c r="G2547" t="str">
        <f>HYPERLINK(_xlfn.CONCAT("https://tablet.otzar.org/",CHAR(35),"/exKotar/650887"),"מקדש ישראל - 5 כרכים")</f>
        <v>מקדש ישראל - 5 כרכים</v>
      </c>
      <c r="H2547" t="str">
        <f>_xlfn.CONCAT("https://tablet.otzar.org/",CHAR(35),"/exKotar/650887")</f>
        <v>https://tablet.otzar.org/#/exKotar/650887</v>
      </c>
    </row>
    <row r="2548" spans="1:8" x14ac:dyDescent="0.25">
      <c r="A2548">
        <v>648069</v>
      </c>
      <c r="B2548" t="s">
        <v>5097</v>
      </c>
      <c r="C2548" t="s">
        <v>2104</v>
      </c>
      <c r="D2548" t="s">
        <v>52</v>
      </c>
      <c r="E2548" t="s">
        <v>146</v>
      </c>
      <c r="G2548" t="str">
        <f>HYPERLINK(_xlfn.CONCAT("https://tablet.otzar.org/",CHAR(35),"/book/648069/p/-1/t/1/fs/0/start/0/end/0/c"),"מקום הדלקת נר חנוכה במשנת הדבר יהושע")</f>
        <v>מקום הדלקת נר חנוכה במשנת הדבר יהושע</v>
      </c>
      <c r="H2548" t="str">
        <f>_xlfn.CONCAT("https://tablet.otzar.org/",CHAR(35),"/book/648069/p/-1/t/1/fs/0/start/0/end/0/c")</f>
        <v>https://tablet.otzar.org/#/book/648069/p/-1/t/1/fs/0/start/0/end/0/c</v>
      </c>
    </row>
    <row r="2549" spans="1:8" x14ac:dyDescent="0.25">
      <c r="A2549">
        <v>649066</v>
      </c>
      <c r="B2549" t="s">
        <v>5098</v>
      </c>
      <c r="C2549" t="s">
        <v>5099</v>
      </c>
      <c r="D2549" t="s">
        <v>340</v>
      </c>
      <c r="E2549" t="s">
        <v>11</v>
      </c>
      <c r="G2549" t="str">
        <f>HYPERLINK(_xlfn.CONCAT("https://tablet.otzar.org/",CHAR(35),"/exKotar/649066"),"מקומות התורה - 3 כרכים")</f>
        <v>מקומות התורה - 3 כרכים</v>
      </c>
      <c r="H2549" t="str">
        <f>_xlfn.CONCAT("https://tablet.otzar.org/",CHAR(35),"/exKotar/649066")</f>
        <v>https://tablet.otzar.org/#/exKotar/649066</v>
      </c>
    </row>
    <row r="2550" spans="1:8" x14ac:dyDescent="0.25">
      <c r="A2550">
        <v>653480</v>
      </c>
      <c r="B2550" t="s">
        <v>5100</v>
      </c>
      <c r="C2550" t="s">
        <v>5101</v>
      </c>
      <c r="D2550" t="s">
        <v>10</v>
      </c>
      <c r="E2550" t="s">
        <v>89</v>
      </c>
      <c r="G2550" t="str">
        <f>HYPERLINK(_xlfn.CONCAT("https://tablet.otzar.org/",CHAR(35),"/exKotar/653480"),"מקומות קדושים וקברי צדיקים בגליל - 2 כרכים")</f>
        <v>מקומות קדושים וקברי צדיקים בגליל - 2 כרכים</v>
      </c>
      <c r="H2550" t="str">
        <f>_xlfn.CONCAT("https://tablet.otzar.org/",CHAR(35),"/exKotar/653480")</f>
        <v>https://tablet.otzar.org/#/exKotar/653480</v>
      </c>
    </row>
    <row r="2551" spans="1:8" x14ac:dyDescent="0.25">
      <c r="A2551">
        <v>651090</v>
      </c>
      <c r="B2551" t="s">
        <v>5102</v>
      </c>
      <c r="C2551" t="s">
        <v>2417</v>
      </c>
      <c r="D2551" t="s">
        <v>10</v>
      </c>
      <c r="E2551" t="s">
        <v>84</v>
      </c>
      <c r="G2551" t="str">
        <f>HYPERLINK(_xlfn.CONCAT("https://tablet.otzar.org/",CHAR(35),"/book/651090/p/-1/t/1/fs/0/start/0/end/0/c"),"מקור החיים")</f>
        <v>מקור החיים</v>
      </c>
      <c r="H2551" t="str">
        <f>_xlfn.CONCAT("https://tablet.otzar.org/",CHAR(35),"/book/651090/p/-1/t/1/fs/0/start/0/end/0/c")</f>
        <v>https://tablet.otzar.org/#/book/651090/p/-1/t/1/fs/0/start/0/end/0/c</v>
      </c>
    </row>
    <row r="2552" spans="1:8" x14ac:dyDescent="0.25">
      <c r="A2552">
        <v>655079</v>
      </c>
      <c r="B2552" t="s">
        <v>5103</v>
      </c>
      <c r="C2552" t="s">
        <v>5104</v>
      </c>
      <c r="D2552" t="s">
        <v>796</v>
      </c>
      <c r="E2552" t="s">
        <v>1336</v>
      </c>
      <c r="G2552" t="str">
        <f>HYPERLINK(_xlfn.CONCAT("https://tablet.otzar.org/",CHAR(35),"/book/655079/p/-1/t/1/fs/0/start/0/end/0/c"),"מקור חיים &lt;מהדורה חדשה&gt; - הלכות נדה")</f>
        <v>מקור חיים &lt;מהדורה חדשה&gt; - הלכות נדה</v>
      </c>
      <c r="H2552" t="str">
        <f>_xlfn.CONCAT("https://tablet.otzar.org/",CHAR(35),"/book/655079/p/-1/t/1/fs/0/start/0/end/0/c")</f>
        <v>https://tablet.otzar.org/#/book/655079/p/-1/t/1/fs/0/start/0/end/0/c</v>
      </c>
    </row>
    <row r="2553" spans="1:8" x14ac:dyDescent="0.25">
      <c r="A2553">
        <v>649785</v>
      </c>
      <c r="B2553" t="s">
        <v>5105</v>
      </c>
      <c r="C2553" t="s">
        <v>5106</v>
      </c>
      <c r="D2553" t="s">
        <v>52</v>
      </c>
      <c r="E2553" t="s">
        <v>146</v>
      </c>
      <c r="G2553" t="str">
        <f>HYPERLINK(_xlfn.CONCAT("https://tablet.otzar.org/",CHAR(35),"/book/649785/p/-1/t/1/fs/0/start/0/end/0/c"),"מקור ישראל")</f>
        <v>מקור ישראל</v>
      </c>
      <c r="H2553" t="str">
        <f>_xlfn.CONCAT("https://tablet.otzar.org/",CHAR(35),"/book/649785/p/-1/t/1/fs/0/start/0/end/0/c")</f>
        <v>https://tablet.otzar.org/#/book/649785/p/-1/t/1/fs/0/start/0/end/0/c</v>
      </c>
    </row>
    <row r="2554" spans="1:8" x14ac:dyDescent="0.25">
      <c r="A2554">
        <v>652629</v>
      </c>
      <c r="B2554" t="s">
        <v>5107</v>
      </c>
      <c r="C2554" t="s">
        <v>5108</v>
      </c>
      <c r="D2554" t="s">
        <v>39</v>
      </c>
      <c r="E2554" t="s">
        <v>2645</v>
      </c>
      <c r="G2554" t="str">
        <f>HYPERLINK(_xlfn.CONCAT("https://tablet.otzar.org/",CHAR(35),"/book/652629/p/-1/t/1/fs/0/start/0/end/0/c"),"מקורות לפסקי הרמב""""ם")</f>
        <v>מקורות לפסקי הרמב""ם</v>
      </c>
      <c r="H2554" t="str">
        <f>_xlfn.CONCAT("https://tablet.otzar.org/",CHAR(35),"/book/652629/p/-1/t/1/fs/0/start/0/end/0/c")</f>
        <v>https://tablet.otzar.org/#/book/652629/p/-1/t/1/fs/0/start/0/end/0/c</v>
      </c>
    </row>
    <row r="2555" spans="1:8" x14ac:dyDescent="0.25">
      <c r="A2555">
        <v>650686</v>
      </c>
      <c r="B2555" t="s">
        <v>5109</v>
      </c>
      <c r="C2555" t="s">
        <v>5110</v>
      </c>
      <c r="D2555" t="s">
        <v>5111</v>
      </c>
      <c r="E2555" t="s">
        <v>126</v>
      </c>
      <c r="G2555" t="str">
        <f>HYPERLINK(_xlfn.CONCAT("https://tablet.otzar.org/",CHAR(35),"/exKotar/650686"),"מקורות לתולדות החנוך בישראל &lt;מהדורה חדשה&gt;  - 6 כרכים")</f>
        <v>מקורות לתולדות החנוך בישראל &lt;מהדורה חדשה&gt;  - 6 כרכים</v>
      </c>
      <c r="H2555" t="str">
        <f>_xlfn.CONCAT("https://tablet.otzar.org/",CHAR(35),"/exKotar/650686")</f>
        <v>https://tablet.otzar.org/#/exKotar/650686</v>
      </c>
    </row>
    <row r="2556" spans="1:8" x14ac:dyDescent="0.25">
      <c r="A2556">
        <v>632476</v>
      </c>
      <c r="B2556" t="s">
        <v>5112</v>
      </c>
      <c r="C2556" t="s">
        <v>5113</v>
      </c>
      <c r="D2556" t="s">
        <v>10</v>
      </c>
      <c r="E2556" t="s">
        <v>1077</v>
      </c>
      <c r="G2556" t="str">
        <f>HYPERLINK(_xlfn.CONCAT("https://tablet.otzar.org/",CHAR(35),"/book/632476/p/-1/t/1/fs/0/start/0/end/0/c"),"מקורות רש""""י - משלי")</f>
        <v>מקורות רש""י - משלי</v>
      </c>
      <c r="H2556" t="str">
        <f>_xlfn.CONCAT("https://tablet.otzar.org/",CHAR(35),"/book/632476/p/-1/t/1/fs/0/start/0/end/0/c")</f>
        <v>https://tablet.otzar.org/#/book/632476/p/-1/t/1/fs/0/start/0/end/0/c</v>
      </c>
    </row>
    <row r="2557" spans="1:8" x14ac:dyDescent="0.25">
      <c r="A2557">
        <v>648169</v>
      </c>
      <c r="B2557" t="s">
        <v>5114</v>
      </c>
      <c r="C2557" t="s">
        <v>5115</v>
      </c>
      <c r="D2557" t="s">
        <v>10</v>
      </c>
      <c r="E2557" t="s">
        <v>11</v>
      </c>
      <c r="G2557" t="str">
        <f>HYPERLINK(_xlfn.CONCAT("https://tablet.otzar.org/",CHAR(35),"/book/648169/p/-1/t/1/fs/0/start/0/end/0/c"),"מקרא העדה - דברים א")</f>
        <v>מקרא העדה - דברים א</v>
      </c>
      <c r="H2557" t="str">
        <f>_xlfn.CONCAT("https://tablet.otzar.org/",CHAR(35),"/book/648169/p/-1/t/1/fs/0/start/0/end/0/c")</f>
        <v>https://tablet.otzar.org/#/book/648169/p/-1/t/1/fs/0/start/0/end/0/c</v>
      </c>
    </row>
    <row r="2558" spans="1:8" x14ac:dyDescent="0.25">
      <c r="A2558">
        <v>649187</v>
      </c>
      <c r="B2558" t="s">
        <v>5116</v>
      </c>
      <c r="C2558" t="s">
        <v>69</v>
      </c>
      <c r="D2558" t="s">
        <v>34</v>
      </c>
      <c r="E2558" t="s">
        <v>11</v>
      </c>
      <c r="G2558" t="str">
        <f>HYPERLINK(_xlfn.CONCAT("https://tablet.otzar.org/",CHAR(35),"/book/649187/p/-1/t/1/fs/0/start/0/end/0/c"),"מקרא קודש")</f>
        <v>מקרא קודש</v>
      </c>
      <c r="H2558" t="str">
        <f>_xlfn.CONCAT("https://tablet.otzar.org/",CHAR(35),"/book/649187/p/-1/t/1/fs/0/start/0/end/0/c")</f>
        <v>https://tablet.otzar.org/#/book/649187/p/-1/t/1/fs/0/start/0/end/0/c</v>
      </c>
    </row>
    <row r="2559" spans="1:8" x14ac:dyDescent="0.25">
      <c r="A2559">
        <v>650563</v>
      </c>
      <c r="B2559" t="s">
        <v>5117</v>
      </c>
      <c r="C2559" t="s">
        <v>5118</v>
      </c>
      <c r="D2559" t="s">
        <v>10</v>
      </c>
      <c r="E2559" t="s">
        <v>77</v>
      </c>
      <c r="G2559" t="str">
        <f>HYPERLINK(_xlfn.CONCAT("https://tablet.otzar.org/",CHAR(35),"/exKotar/650563"),"מקראי קודש - 2 כרכים")</f>
        <v>מקראי קודש - 2 כרכים</v>
      </c>
      <c r="H2559" t="str">
        <f>_xlfn.CONCAT("https://tablet.otzar.org/",CHAR(35),"/exKotar/650563")</f>
        <v>https://tablet.otzar.org/#/exKotar/650563</v>
      </c>
    </row>
    <row r="2560" spans="1:8" x14ac:dyDescent="0.25">
      <c r="A2560">
        <v>647856</v>
      </c>
      <c r="B2560" t="s">
        <v>5119</v>
      </c>
      <c r="C2560" t="s">
        <v>5120</v>
      </c>
      <c r="D2560" t="s">
        <v>10</v>
      </c>
      <c r="E2560" t="s">
        <v>73</v>
      </c>
      <c r="G2560" t="str">
        <f>HYPERLINK(_xlfn.CONCAT("https://tablet.otzar.org/",CHAR(35),"/exKotar/647856"),"מקראי קודש &lt;מהדורה ישנה&gt;  - 8 כרכים")</f>
        <v>מקראי קודש &lt;מהדורה ישנה&gt;  - 8 כרכים</v>
      </c>
      <c r="H2560" t="str">
        <f>_xlfn.CONCAT("https://tablet.otzar.org/",CHAR(35),"/exKotar/647856")</f>
        <v>https://tablet.otzar.org/#/exKotar/647856</v>
      </c>
    </row>
    <row r="2561" spans="1:8" x14ac:dyDescent="0.25">
      <c r="A2561">
        <v>656022</v>
      </c>
      <c r="B2561" t="s">
        <v>5121</v>
      </c>
      <c r="C2561" t="s">
        <v>5122</v>
      </c>
      <c r="D2561" t="s">
        <v>52</v>
      </c>
      <c r="E2561" t="s">
        <v>29</v>
      </c>
      <c r="G2561" t="str">
        <f>HYPERLINK(_xlfn.CONCAT("https://tablet.otzar.org/",CHAR(35),"/book/656022/p/-1/t/1/fs/0/start/0/end/0/c"),"מר דרור")</f>
        <v>מר דרור</v>
      </c>
      <c r="H2561" t="str">
        <f>_xlfn.CONCAT("https://tablet.otzar.org/",CHAR(35),"/book/656022/p/-1/t/1/fs/0/start/0/end/0/c")</f>
        <v>https://tablet.otzar.org/#/book/656022/p/-1/t/1/fs/0/start/0/end/0/c</v>
      </c>
    </row>
    <row r="2562" spans="1:8" x14ac:dyDescent="0.25">
      <c r="A2562">
        <v>650464</v>
      </c>
      <c r="B2562" t="s">
        <v>5123</v>
      </c>
      <c r="C2562" t="s">
        <v>5124</v>
      </c>
      <c r="D2562" t="s">
        <v>10</v>
      </c>
      <c r="E2562" t="s">
        <v>11</v>
      </c>
      <c r="G2562" t="str">
        <f>HYPERLINK(_xlfn.CONCAT("https://tablet.otzar.org/",CHAR(35),"/book/650464/p/-1/t/1/fs/0/start/0/end/0/c"),"מראה אפרים - כלאי הכרם")</f>
        <v>מראה אפרים - כלאי הכרם</v>
      </c>
      <c r="H2562" t="str">
        <f>_xlfn.CONCAT("https://tablet.otzar.org/",CHAR(35),"/book/650464/p/-1/t/1/fs/0/start/0/end/0/c")</f>
        <v>https://tablet.otzar.org/#/book/650464/p/-1/t/1/fs/0/start/0/end/0/c</v>
      </c>
    </row>
    <row r="2563" spans="1:8" x14ac:dyDescent="0.25">
      <c r="A2563">
        <v>651416</v>
      </c>
      <c r="B2563" t="s">
        <v>5125</v>
      </c>
      <c r="C2563" t="s">
        <v>614</v>
      </c>
      <c r="D2563" t="s">
        <v>52</v>
      </c>
      <c r="E2563" t="s">
        <v>70</v>
      </c>
      <c r="G2563" t="str">
        <f>HYPERLINK(_xlfn.CONCAT("https://tablet.otzar.org/",CHAR(35),"/book/651416/p/-1/t/1/fs/0/start/0/end/0/c"),"מראה אש לילה - חולין")</f>
        <v>מראה אש לילה - חולין</v>
      </c>
      <c r="H2563" t="str">
        <f>_xlfn.CONCAT("https://tablet.otzar.org/",CHAR(35),"/book/651416/p/-1/t/1/fs/0/start/0/end/0/c")</f>
        <v>https://tablet.otzar.org/#/book/651416/p/-1/t/1/fs/0/start/0/end/0/c</v>
      </c>
    </row>
    <row r="2564" spans="1:8" x14ac:dyDescent="0.25">
      <c r="A2564">
        <v>650374</v>
      </c>
      <c r="B2564" t="s">
        <v>5126</v>
      </c>
      <c r="C2564" t="s">
        <v>5127</v>
      </c>
      <c r="D2564" t="s">
        <v>52</v>
      </c>
      <c r="E2564" t="s">
        <v>45</v>
      </c>
      <c r="G2564" t="str">
        <f>HYPERLINK(_xlfn.CONCAT("https://tablet.otzar.org/",CHAR(35),"/exKotar/650374"),"מראה יחזקאל &lt;המבואר&gt;  - 2 כרכים")</f>
        <v>מראה יחזקאל &lt;המבואר&gt;  - 2 כרכים</v>
      </c>
      <c r="H2564" t="str">
        <f>_xlfn.CONCAT("https://tablet.otzar.org/",CHAR(35),"/exKotar/650374")</f>
        <v>https://tablet.otzar.org/#/exKotar/650374</v>
      </c>
    </row>
    <row r="2565" spans="1:8" x14ac:dyDescent="0.25">
      <c r="A2565">
        <v>653241</v>
      </c>
      <c r="B2565" t="s">
        <v>5128</v>
      </c>
      <c r="C2565" t="s">
        <v>5129</v>
      </c>
      <c r="E2565" t="s">
        <v>574</v>
      </c>
      <c r="G2565" t="str">
        <f>HYPERLINK(_xlfn.CONCAT("https://tablet.otzar.org/",CHAR(35),"/book/653241/p/-1/t/1/fs/0/start/0/end/0/c"),"מראה כהן")</f>
        <v>מראה כהן</v>
      </c>
      <c r="H2565" t="str">
        <f>_xlfn.CONCAT("https://tablet.otzar.org/",CHAR(35),"/book/653241/p/-1/t/1/fs/0/start/0/end/0/c")</f>
        <v>https://tablet.otzar.org/#/book/653241/p/-1/t/1/fs/0/start/0/end/0/c</v>
      </c>
    </row>
    <row r="2566" spans="1:8" x14ac:dyDescent="0.25">
      <c r="A2566">
        <v>647710</v>
      </c>
      <c r="B2566" t="s">
        <v>5130</v>
      </c>
      <c r="C2566" t="s">
        <v>5131</v>
      </c>
      <c r="D2566" t="s">
        <v>340</v>
      </c>
      <c r="E2566" t="s">
        <v>11</v>
      </c>
      <c r="G2566" t="str">
        <f>HYPERLINK(_xlfn.CONCAT("https://tablet.otzar.org/",CHAR(35),"/book/647710/p/-1/t/1/fs/0/start/0/end/0/c"),"מראה מקומות - הלכות השכמת הבוקר וציצית")</f>
        <v>מראה מקומות - הלכות השכמת הבוקר וציצית</v>
      </c>
      <c r="H2566" t="str">
        <f>_xlfn.CONCAT("https://tablet.otzar.org/",CHAR(35),"/book/647710/p/-1/t/1/fs/0/start/0/end/0/c")</f>
        <v>https://tablet.otzar.org/#/book/647710/p/-1/t/1/fs/0/start/0/end/0/c</v>
      </c>
    </row>
    <row r="2567" spans="1:8" x14ac:dyDescent="0.25">
      <c r="A2567">
        <v>649154</v>
      </c>
      <c r="B2567" t="s">
        <v>5132</v>
      </c>
      <c r="C2567" t="s">
        <v>5133</v>
      </c>
      <c r="E2567" t="s">
        <v>3082</v>
      </c>
      <c r="G2567" t="str">
        <f>HYPERLINK(_xlfn.CONCAT("https://tablet.otzar.org/",CHAR(35),"/book/649154/p/-1/t/1/fs/0/start/0/end/0/c"),"מראה מקומות - סוכה")</f>
        <v>מראה מקומות - סוכה</v>
      </c>
      <c r="H2567" t="str">
        <f>_xlfn.CONCAT("https://tablet.otzar.org/",CHAR(35),"/book/649154/p/-1/t/1/fs/0/start/0/end/0/c")</f>
        <v>https://tablet.otzar.org/#/book/649154/p/-1/t/1/fs/0/start/0/end/0/c</v>
      </c>
    </row>
    <row r="2568" spans="1:8" x14ac:dyDescent="0.25">
      <c r="A2568">
        <v>650091</v>
      </c>
      <c r="B2568" t="s">
        <v>5134</v>
      </c>
      <c r="C2568" t="s">
        <v>5135</v>
      </c>
      <c r="E2568" t="s">
        <v>817</v>
      </c>
      <c r="G2568" t="str">
        <f>HYPERLINK(_xlfn.CONCAT("https://tablet.otzar.org/",CHAR(35),"/book/650091/p/-1/t/1/fs/0/start/0/end/0/c"),"מראה עוז - שחיטה, בהמה המקשה")</f>
        <v>מראה עוז - שחיטה, בהמה המקשה</v>
      </c>
      <c r="H2568" t="str">
        <f>_xlfn.CONCAT("https://tablet.otzar.org/",CHAR(35),"/book/650091/p/-1/t/1/fs/0/start/0/end/0/c")</f>
        <v>https://tablet.otzar.org/#/book/650091/p/-1/t/1/fs/0/start/0/end/0/c</v>
      </c>
    </row>
    <row r="2569" spans="1:8" x14ac:dyDescent="0.25">
      <c r="A2569">
        <v>656804</v>
      </c>
      <c r="B2569" t="s">
        <v>5136</v>
      </c>
      <c r="C2569" t="s">
        <v>5137</v>
      </c>
      <c r="D2569" t="s">
        <v>52</v>
      </c>
      <c r="E2569" t="s">
        <v>11</v>
      </c>
      <c r="G2569" t="str">
        <f>HYPERLINK(_xlfn.CONCAT("https://tablet.otzar.org/",CHAR(35),"/exKotar/656804"),"מראות הצובאות - 3 כרכים")</f>
        <v>מראות הצובאות - 3 כרכים</v>
      </c>
      <c r="H2569" t="str">
        <f>_xlfn.CONCAT("https://tablet.otzar.org/",CHAR(35),"/exKotar/656804")</f>
        <v>https://tablet.otzar.org/#/exKotar/656804</v>
      </c>
    </row>
    <row r="2570" spans="1:8" x14ac:dyDescent="0.25">
      <c r="A2570">
        <v>655893</v>
      </c>
      <c r="B2570" t="s">
        <v>5138</v>
      </c>
      <c r="C2570" t="s">
        <v>614</v>
      </c>
      <c r="D2570" t="s">
        <v>10</v>
      </c>
      <c r="E2570" t="s">
        <v>35</v>
      </c>
      <c r="G2570" t="str">
        <f>HYPERLINK(_xlfn.CONCAT("https://tablet.otzar.org/",CHAR(35),"/book/655893/p/-1/t/1/fs/0/start/0/end/0/c"),"מראי מקומות בדיני מוקצה")</f>
        <v>מראי מקומות בדיני מוקצה</v>
      </c>
      <c r="H2570" t="str">
        <f>_xlfn.CONCAT("https://tablet.otzar.org/",CHAR(35),"/book/655893/p/-1/t/1/fs/0/start/0/end/0/c")</f>
        <v>https://tablet.otzar.org/#/book/655893/p/-1/t/1/fs/0/start/0/end/0/c</v>
      </c>
    </row>
    <row r="2571" spans="1:8" x14ac:dyDescent="0.25">
      <c r="A2571">
        <v>653718</v>
      </c>
      <c r="B2571" t="s">
        <v>5139</v>
      </c>
      <c r="C2571" t="s">
        <v>5140</v>
      </c>
      <c r="E2571" t="s">
        <v>507</v>
      </c>
      <c r="G2571" t="str">
        <f>HYPERLINK(_xlfn.CONCAT("https://tablet.otzar.org/",CHAR(35),"/book/653718/p/-1/t/1/fs/0/start/0/end/0/c"),"מראי מקומות ביאורים ועיונים - פאה ביכורים")</f>
        <v>מראי מקומות ביאורים ועיונים - פאה ביכורים</v>
      </c>
      <c r="H2571" t="str">
        <f>_xlfn.CONCAT("https://tablet.otzar.org/",CHAR(35),"/book/653718/p/-1/t/1/fs/0/start/0/end/0/c")</f>
        <v>https://tablet.otzar.org/#/book/653718/p/-1/t/1/fs/0/start/0/end/0/c</v>
      </c>
    </row>
    <row r="2572" spans="1:8" x14ac:dyDescent="0.25">
      <c r="A2572">
        <v>647534</v>
      </c>
      <c r="B2572" t="s">
        <v>5141</v>
      </c>
      <c r="C2572" t="s">
        <v>5142</v>
      </c>
      <c r="D2572" t="s">
        <v>34</v>
      </c>
      <c r="E2572" t="s">
        <v>35</v>
      </c>
      <c r="G2572" t="str">
        <f>HYPERLINK(_xlfn.CONCAT("https://tablet.otzar.org/",CHAR(35),"/book/647534/p/-1/t/1/fs/0/start/0/end/0/c"),"מראי מקומות הלכות ציצית")</f>
        <v>מראי מקומות הלכות ציצית</v>
      </c>
      <c r="H2572" t="str">
        <f>_xlfn.CONCAT("https://tablet.otzar.org/",CHAR(35),"/book/647534/p/-1/t/1/fs/0/start/0/end/0/c")</f>
        <v>https://tablet.otzar.org/#/book/647534/p/-1/t/1/fs/0/start/0/end/0/c</v>
      </c>
    </row>
    <row r="2573" spans="1:8" x14ac:dyDescent="0.25">
      <c r="A2573">
        <v>648476</v>
      </c>
      <c r="B2573" t="s">
        <v>5143</v>
      </c>
      <c r="C2573" t="s">
        <v>5144</v>
      </c>
      <c r="D2573" t="s">
        <v>340</v>
      </c>
      <c r="E2573" t="s">
        <v>507</v>
      </c>
      <c r="G2573" t="str">
        <f>HYPERLINK(_xlfn.CONCAT("https://tablet.otzar.org/",CHAR(35),"/exKotar/648476"),"מראי מקומות הערות וחידושים - 2 כרכים")</f>
        <v>מראי מקומות הערות וחידושים - 2 כרכים</v>
      </c>
      <c r="H2573" t="str">
        <f>_xlfn.CONCAT("https://tablet.otzar.org/",CHAR(35),"/exKotar/648476")</f>
        <v>https://tablet.otzar.org/#/exKotar/648476</v>
      </c>
    </row>
    <row r="2574" spans="1:8" x14ac:dyDescent="0.25">
      <c r="A2574">
        <v>656090</v>
      </c>
      <c r="B2574" t="s">
        <v>5145</v>
      </c>
      <c r="C2574" t="s">
        <v>614</v>
      </c>
      <c r="D2574" t="s">
        <v>193</v>
      </c>
      <c r="E2574" t="s">
        <v>29</v>
      </c>
      <c r="G2574" t="str">
        <f>HYPERLINK(_xlfn.CONCAT("https://tablet.otzar.org/",CHAR(35),"/book/656090/p/-1/t/1/fs/0/start/0/end/0/c"),"מראי מקומות והערות - כתובות")</f>
        <v>מראי מקומות והערות - כתובות</v>
      </c>
      <c r="H2574" t="str">
        <f>_xlfn.CONCAT("https://tablet.otzar.org/",CHAR(35),"/book/656090/p/-1/t/1/fs/0/start/0/end/0/c")</f>
        <v>https://tablet.otzar.org/#/book/656090/p/-1/t/1/fs/0/start/0/end/0/c</v>
      </c>
    </row>
    <row r="2575" spans="1:8" x14ac:dyDescent="0.25">
      <c r="A2575">
        <v>647753</v>
      </c>
      <c r="B2575" t="s">
        <v>5146</v>
      </c>
      <c r="C2575" t="s">
        <v>5147</v>
      </c>
      <c r="D2575" t="s">
        <v>34</v>
      </c>
      <c r="E2575" t="s">
        <v>35</v>
      </c>
      <c r="G2575" t="str">
        <f>HYPERLINK(_xlfn.CONCAT("https://tablet.otzar.org/",CHAR(35),"/book/647753/p/-1/t/1/fs/0/start/0/end/0/c"),"מראי מקומות וסיכומי סוגיות בדרך שו""""ת - בבא קמא")</f>
        <v>מראי מקומות וסיכומי סוגיות בדרך שו""ת - בבא קמא</v>
      </c>
      <c r="H2575" t="str">
        <f>_xlfn.CONCAT("https://tablet.otzar.org/",CHAR(35),"/book/647753/p/-1/t/1/fs/0/start/0/end/0/c")</f>
        <v>https://tablet.otzar.org/#/book/647753/p/-1/t/1/fs/0/start/0/end/0/c</v>
      </c>
    </row>
    <row r="2576" spans="1:8" x14ac:dyDescent="0.25">
      <c r="A2576">
        <v>652967</v>
      </c>
      <c r="B2576" t="s">
        <v>5148</v>
      </c>
      <c r="C2576" t="s">
        <v>5149</v>
      </c>
      <c r="D2576" t="s">
        <v>5150</v>
      </c>
      <c r="E2576" t="s">
        <v>70</v>
      </c>
      <c r="G2576" t="str">
        <f>HYPERLINK(_xlfn.CONCAT("https://tablet.otzar.org/",CHAR(35),"/book/652967/p/-1/t/1/fs/0/start/0/end/0/c"),"מראי מקומות על הרמב""""ם הלכות איסורי מזבח")</f>
        <v>מראי מקומות על הרמב""ם הלכות איסורי מזבח</v>
      </c>
      <c r="H2576" t="str">
        <f>_xlfn.CONCAT("https://tablet.otzar.org/",CHAR(35),"/book/652967/p/-1/t/1/fs/0/start/0/end/0/c")</f>
        <v>https://tablet.otzar.org/#/book/652967/p/-1/t/1/fs/0/start/0/end/0/c</v>
      </c>
    </row>
    <row r="2577" spans="1:8" x14ac:dyDescent="0.25">
      <c r="A2577">
        <v>653175</v>
      </c>
      <c r="B2577" t="s">
        <v>5151</v>
      </c>
      <c r="C2577" t="s">
        <v>5152</v>
      </c>
      <c r="D2577" t="s">
        <v>5153</v>
      </c>
      <c r="E2577" t="s">
        <v>804</v>
      </c>
      <c r="G2577" t="str">
        <f>HYPERLINK(_xlfn.CONCAT("https://tablet.otzar.org/",CHAR(35),"/book/653175/p/-1/t/1/fs/0/start/0/end/0/c"),"מראש צורים")</f>
        <v>מראש צורים</v>
      </c>
      <c r="H2577" t="str">
        <f>_xlfn.CONCAT("https://tablet.otzar.org/",CHAR(35),"/book/653175/p/-1/t/1/fs/0/start/0/end/0/c")</f>
        <v>https://tablet.otzar.org/#/book/653175/p/-1/t/1/fs/0/start/0/end/0/c</v>
      </c>
    </row>
    <row r="2578" spans="1:8" x14ac:dyDescent="0.25">
      <c r="A2578">
        <v>649053</v>
      </c>
      <c r="B2578" t="s">
        <v>5154</v>
      </c>
      <c r="C2578" t="s">
        <v>5155</v>
      </c>
      <c r="D2578" t="s">
        <v>10</v>
      </c>
      <c r="E2578" t="s">
        <v>117</v>
      </c>
      <c r="G2578" t="str">
        <f>HYPERLINK(_xlfn.CONCAT("https://tablet.otzar.org/",CHAR(35),"/exKotar/649053"),"מרבדים - 3 כרכים")</f>
        <v>מרבדים - 3 כרכים</v>
      </c>
      <c r="H2578" t="str">
        <f>_xlfn.CONCAT("https://tablet.otzar.org/",CHAR(35),"/exKotar/649053")</f>
        <v>https://tablet.otzar.org/#/exKotar/649053</v>
      </c>
    </row>
    <row r="2579" spans="1:8" x14ac:dyDescent="0.25">
      <c r="A2579">
        <v>652631</v>
      </c>
      <c r="B2579" t="s">
        <v>5156</v>
      </c>
      <c r="C2579" t="s">
        <v>5157</v>
      </c>
      <c r="D2579" t="s">
        <v>5158</v>
      </c>
      <c r="E2579" t="s">
        <v>514</v>
      </c>
      <c r="G2579" t="str">
        <f>HYPERLINK(_xlfn.CONCAT("https://tablet.otzar.org/",CHAR(35),"/book/652631/p/-1/t/1/fs/0/start/0/end/0/c"),"מרבה ישיבה")</f>
        <v>מרבה ישיבה</v>
      </c>
      <c r="H2579" t="str">
        <f>_xlfn.CONCAT("https://tablet.otzar.org/",CHAR(35),"/book/652631/p/-1/t/1/fs/0/start/0/end/0/c")</f>
        <v>https://tablet.otzar.org/#/book/652631/p/-1/t/1/fs/0/start/0/end/0/c</v>
      </c>
    </row>
    <row r="2580" spans="1:8" x14ac:dyDescent="0.25">
      <c r="A2580">
        <v>650205</v>
      </c>
      <c r="B2580" t="s">
        <v>5159</v>
      </c>
      <c r="C2580" t="s">
        <v>5160</v>
      </c>
      <c r="E2580" t="s">
        <v>2368</v>
      </c>
      <c r="G2580" t="str">
        <f>HYPERLINK(_xlfn.CONCAT("https://tablet.otzar.org/",CHAR(35),"/book/650205/p/-1/t/1/fs/0/start/0/end/0/c"),"מרגלית יקרה")</f>
        <v>מרגלית יקרה</v>
      </c>
      <c r="H2580" t="str">
        <f>_xlfn.CONCAT("https://tablet.otzar.org/",CHAR(35),"/book/650205/p/-1/t/1/fs/0/start/0/end/0/c")</f>
        <v>https://tablet.otzar.org/#/book/650205/p/-1/t/1/fs/0/start/0/end/0/c</v>
      </c>
    </row>
    <row r="2581" spans="1:8" x14ac:dyDescent="0.25">
      <c r="A2581">
        <v>656851</v>
      </c>
      <c r="B2581" t="s">
        <v>5161</v>
      </c>
      <c r="C2581" t="s">
        <v>5162</v>
      </c>
      <c r="D2581" t="s">
        <v>10</v>
      </c>
      <c r="E2581" t="s">
        <v>35</v>
      </c>
      <c r="G2581" t="str">
        <f>HYPERLINK(_xlfn.CONCAT("https://tablet.otzar.org/",CHAR(35),"/exKotar/656851"),"מרדכי השלם - 4 כרכים")</f>
        <v>מרדכי השלם - 4 כרכים</v>
      </c>
      <c r="H2581" t="str">
        <f>_xlfn.CONCAT("https://tablet.otzar.org/",CHAR(35),"/exKotar/656851")</f>
        <v>https://tablet.otzar.org/#/exKotar/656851</v>
      </c>
    </row>
    <row r="2582" spans="1:8" x14ac:dyDescent="0.25">
      <c r="A2582">
        <v>650247</v>
      </c>
      <c r="B2582" t="s">
        <v>5163</v>
      </c>
      <c r="C2582" t="s">
        <v>5164</v>
      </c>
      <c r="D2582" t="s">
        <v>5165</v>
      </c>
      <c r="E2582" t="s">
        <v>11</v>
      </c>
      <c r="G2582" t="str">
        <f>HYPERLINK(_xlfn.CONCAT("https://tablet.otzar.org/",CHAR(35),"/book/650247/p/-1/t/1/fs/0/start/0/end/0/c"),"מרחב - ג")</f>
        <v>מרחב - ג</v>
      </c>
      <c r="H2582" t="str">
        <f>_xlfn.CONCAT("https://tablet.otzar.org/",CHAR(35),"/book/650247/p/-1/t/1/fs/0/start/0/end/0/c")</f>
        <v>https://tablet.otzar.org/#/book/650247/p/-1/t/1/fs/0/start/0/end/0/c</v>
      </c>
    </row>
    <row r="2583" spans="1:8" x14ac:dyDescent="0.25">
      <c r="A2583">
        <v>653270</v>
      </c>
      <c r="B2583" t="s">
        <v>5166</v>
      </c>
      <c r="C2583" t="s">
        <v>5167</v>
      </c>
      <c r="E2583" t="s">
        <v>690</v>
      </c>
      <c r="G2583" t="str">
        <f>HYPERLINK(_xlfn.CONCAT("https://tablet.otzar.org/",CHAR(35),"/book/653270/p/-1/t/1/fs/0/start/0/end/0/c"),"מרן פאר הדור")</f>
        <v>מרן פאר הדור</v>
      </c>
      <c r="H2583" t="str">
        <f>_xlfn.CONCAT("https://tablet.otzar.org/",CHAR(35),"/book/653270/p/-1/t/1/fs/0/start/0/end/0/c")</f>
        <v>https://tablet.otzar.org/#/book/653270/p/-1/t/1/fs/0/start/0/end/0/c</v>
      </c>
    </row>
    <row r="2584" spans="1:8" x14ac:dyDescent="0.25">
      <c r="A2584">
        <v>652647</v>
      </c>
      <c r="B2584" t="s">
        <v>5168</v>
      </c>
      <c r="C2584" t="s">
        <v>5169</v>
      </c>
      <c r="D2584" t="s">
        <v>5170</v>
      </c>
      <c r="E2584" t="s">
        <v>70</v>
      </c>
      <c r="G2584" t="str">
        <f>HYPERLINK(_xlfn.CONCAT("https://tablet.otzar.org/",CHAR(35),"/book/652647/p/-1/t/1/fs/0/start/0/end/0/c"),"מרפא לנפש")</f>
        <v>מרפא לנפש</v>
      </c>
      <c r="H2584" t="str">
        <f>_xlfn.CONCAT("https://tablet.otzar.org/",CHAR(35),"/book/652647/p/-1/t/1/fs/0/start/0/end/0/c")</f>
        <v>https://tablet.otzar.org/#/book/652647/p/-1/t/1/fs/0/start/0/end/0/c</v>
      </c>
    </row>
    <row r="2585" spans="1:8" x14ac:dyDescent="0.25">
      <c r="A2585">
        <v>654764</v>
      </c>
      <c r="B2585" t="s">
        <v>5171</v>
      </c>
      <c r="C2585" t="s">
        <v>5172</v>
      </c>
      <c r="D2585" t="s">
        <v>34</v>
      </c>
      <c r="E2585" t="s">
        <v>657</v>
      </c>
      <c r="G2585" t="str">
        <f>HYPERLINK(_xlfn.CONCAT("https://tablet.otzar.org/",CHAR(35),"/book/654764/p/-1/t/1/fs/0/start/0/end/0/c"),"מרפא לנפש - ג")</f>
        <v>מרפא לנפש - ג</v>
      </c>
      <c r="H2585" t="str">
        <f>_xlfn.CONCAT("https://tablet.otzar.org/",CHAR(35),"/book/654764/p/-1/t/1/fs/0/start/0/end/0/c")</f>
        <v>https://tablet.otzar.org/#/book/654764/p/-1/t/1/fs/0/start/0/end/0/c</v>
      </c>
    </row>
    <row r="2586" spans="1:8" x14ac:dyDescent="0.25">
      <c r="A2586">
        <v>656063</v>
      </c>
      <c r="B2586" t="s">
        <v>5173</v>
      </c>
      <c r="C2586" t="s">
        <v>5174</v>
      </c>
      <c r="D2586" t="s">
        <v>606</v>
      </c>
      <c r="E2586" t="s">
        <v>45</v>
      </c>
      <c r="G2586" t="str">
        <f>HYPERLINK(_xlfn.CONCAT("https://tablet.otzar.org/",CHAR(35),"/exKotar/656063"),"מרפסן איגרי - 3 כרכים")</f>
        <v>מרפסן איגרי - 3 כרכים</v>
      </c>
      <c r="H2586" t="str">
        <f>_xlfn.CONCAT("https://tablet.otzar.org/",CHAR(35),"/exKotar/656063")</f>
        <v>https://tablet.otzar.org/#/exKotar/656063</v>
      </c>
    </row>
    <row r="2587" spans="1:8" x14ac:dyDescent="0.25">
      <c r="A2587">
        <v>637770</v>
      </c>
      <c r="B2587" t="s">
        <v>5175</v>
      </c>
      <c r="C2587" t="s">
        <v>5176</v>
      </c>
      <c r="D2587" t="s">
        <v>52</v>
      </c>
      <c r="E2587" t="s">
        <v>690</v>
      </c>
      <c r="G2587" t="str">
        <f>HYPERLINK(_xlfn.CONCAT("https://tablet.otzar.org/",CHAR(35),"/book/637770/p/-1/t/1/fs/0/start/0/end/0/c"),"משא דעה - איזהו נשך")</f>
        <v>משא דעה - איזהו נשך</v>
      </c>
      <c r="H2587" t="str">
        <f>_xlfn.CONCAT("https://tablet.otzar.org/",CHAR(35),"/book/637770/p/-1/t/1/fs/0/start/0/end/0/c")</f>
        <v>https://tablet.otzar.org/#/book/637770/p/-1/t/1/fs/0/start/0/end/0/c</v>
      </c>
    </row>
    <row r="2588" spans="1:8" x14ac:dyDescent="0.25">
      <c r="A2588">
        <v>647666</v>
      </c>
      <c r="B2588" t="s">
        <v>5177</v>
      </c>
      <c r="C2588" t="s">
        <v>5178</v>
      </c>
      <c r="D2588" t="s">
        <v>34</v>
      </c>
      <c r="E2588" t="s">
        <v>35</v>
      </c>
      <c r="G2588" t="str">
        <f>HYPERLINK(_xlfn.CONCAT("https://tablet.otzar.org/",CHAR(35),"/book/647666/p/-1/t/1/fs/0/start/0/end/0/c"),"משא נחום - לא תעמוד על דם רעך - והשבותו לו")</f>
        <v>משא נחום - לא תעמוד על דם רעך - והשבותו לו</v>
      </c>
      <c r="H2588" t="str">
        <f>_xlfn.CONCAT("https://tablet.otzar.org/",CHAR(35),"/book/647666/p/-1/t/1/fs/0/start/0/end/0/c")</f>
        <v>https://tablet.otzar.org/#/book/647666/p/-1/t/1/fs/0/start/0/end/0/c</v>
      </c>
    </row>
    <row r="2589" spans="1:8" x14ac:dyDescent="0.25">
      <c r="A2589">
        <v>649877</v>
      </c>
      <c r="B2589" t="s">
        <v>5179</v>
      </c>
      <c r="C2589" t="s">
        <v>5180</v>
      </c>
      <c r="D2589" t="s">
        <v>573</v>
      </c>
      <c r="E2589" t="s">
        <v>11</v>
      </c>
      <c r="G2589" t="str">
        <f>HYPERLINK(_xlfn.CONCAT("https://tablet.otzar.org/",CHAR(35),"/book/649877/p/-1/t/1/fs/0/start/0/end/0/c"),"משא עובדיה")</f>
        <v>משא עובדיה</v>
      </c>
      <c r="H2589" t="str">
        <f>_xlfn.CONCAT("https://tablet.otzar.org/",CHAR(35),"/book/649877/p/-1/t/1/fs/0/start/0/end/0/c")</f>
        <v>https://tablet.otzar.org/#/book/649877/p/-1/t/1/fs/0/start/0/end/0/c</v>
      </c>
    </row>
    <row r="2590" spans="1:8" x14ac:dyDescent="0.25">
      <c r="A2590">
        <v>643271</v>
      </c>
      <c r="B2590" t="s">
        <v>5181</v>
      </c>
      <c r="C2590" t="s">
        <v>5181</v>
      </c>
      <c r="D2590" t="s">
        <v>10</v>
      </c>
      <c r="E2590" t="s">
        <v>558</v>
      </c>
      <c r="G2590" t="str">
        <f>HYPERLINK(_xlfn.CONCAT("https://tablet.otzar.org/",CHAR(35),"/book/643271/p/-1/t/1/fs/0/start/0/end/0/c"),"משא קינה")</f>
        <v>משא קינה</v>
      </c>
      <c r="H2590" t="str">
        <f>_xlfn.CONCAT("https://tablet.otzar.org/",CHAR(35),"/book/643271/p/-1/t/1/fs/0/start/0/end/0/c")</f>
        <v>https://tablet.otzar.org/#/book/643271/p/-1/t/1/fs/0/start/0/end/0/c</v>
      </c>
    </row>
    <row r="2591" spans="1:8" x14ac:dyDescent="0.25">
      <c r="A2591">
        <v>650890</v>
      </c>
      <c r="B2591" t="s">
        <v>5182</v>
      </c>
      <c r="C2591" t="s">
        <v>5183</v>
      </c>
      <c r="D2591" t="s">
        <v>10</v>
      </c>
      <c r="E2591" t="s">
        <v>70</v>
      </c>
      <c r="G2591" t="str">
        <f>HYPERLINK(_xlfn.CONCAT("https://tablet.otzar.org/",CHAR(35),"/book/650890/p/-1/t/1/fs/0/start/0/end/0/c"),"משאלין דלבא""""י - ב")</f>
        <v>משאלין דלבא""י - ב</v>
      </c>
      <c r="H2591" t="str">
        <f>_xlfn.CONCAT("https://tablet.otzar.org/",CHAR(35),"/book/650890/p/-1/t/1/fs/0/start/0/end/0/c")</f>
        <v>https://tablet.otzar.org/#/book/650890/p/-1/t/1/fs/0/start/0/end/0/c</v>
      </c>
    </row>
    <row r="2592" spans="1:8" x14ac:dyDescent="0.25">
      <c r="A2592">
        <v>639275</v>
      </c>
      <c r="B2592" t="s">
        <v>5184</v>
      </c>
      <c r="C2592" t="s">
        <v>5185</v>
      </c>
      <c r="D2592" t="s">
        <v>5186</v>
      </c>
      <c r="E2592" t="s">
        <v>5187</v>
      </c>
      <c r="G2592" t="str">
        <f>HYPERLINK(_xlfn.CONCAT("https://tablet.otzar.org/",CHAR(35),"/book/639275/p/-1/t/1/fs/0/start/0/end/0/c"),"משאת בנימין")</f>
        <v>משאת בנימין</v>
      </c>
      <c r="H2592" t="str">
        <f>_xlfn.CONCAT("https://tablet.otzar.org/",CHAR(35),"/book/639275/p/-1/t/1/fs/0/start/0/end/0/c")</f>
        <v>https://tablet.otzar.org/#/book/639275/p/-1/t/1/fs/0/start/0/end/0/c</v>
      </c>
    </row>
    <row r="2593" spans="1:8" x14ac:dyDescent="0.25">
      <c r="A2593">
        <v>656347</v>
      </c>
      <c r="B2593" t="s">
        <v>5188</v>
      </c>
      <c r="C2593" t="s">
        <v>5189</v>
      </c>
      <c r="D2593" t="s">
        <v>10</v>
      </c>
      <c r="E2593" t="s">
        <v>11</v>
      </c>
      <c r="G2593" t="str">
        <f>HYPERLINK(_xlfn.CONCAT("https://tablet.otzar.org/",CHAR(35),"/book/656347/p/-1/t/1/fs/0/start/0/end/0/c"),"משאת המלך &lt;על סדר רמב""""ם - מהדורה חדשה&gt; - מדע אהבה זמנים")</f>
        <v>משאת המלך &lt;על סדר רמב""ם - מהדורה חדשה&gt; - מדע אהבה זמנים</v>
      </c>
      <c r="H2593" t="str">
        <f>_xlfn.CONCAT("https://tablet.otzar.org/",CHAR(35),"/book/656347/p/-1/t/1/fs/0/start/0/end/0/c")</f>
        <v>https://tablet.otzar.org/#/book/656347/p/-1/t/1/fs/0/start/0/end/0/c</v>
      </c>
    </row>
    <row r="2594" spans="1:8" x14ac:dyDescent="0.25">
      <c r="A2594">
        <v>643245</v>
      </c>
      <c r="B2594" t="s">
        <v>5190</v>
      </c>
      <c r="C2594" t="s">
        <v>4861</v>
      </c>
      <c r="D2594" t="s">
        <v>10</v>
      </c>
      <c r="E2594" t="s">
        <v>1189</v>
      </c>
      <c r="G2594" t="str">
        <f>HYPERLINK(_xlfn.CONCAT("https://tablet.otzar.org/",CHAR(35),"/book/643245/p/-1/t/1/fs/0/start/0/end/0/c"),"משאת כפי תנינא")</f>
        <v>משאת כפי תנינא</v>
      </c>
      <c r="H2594" t="str">
        <f>_xlfn.CONCAT("https://tablet.otzar.org/",CHAR(35),"/book/643245/p/-1/t/1/fs/0/start/0/end/0/c")</f>
        <v>https://tablet.otzar.org/#/book/643245/p/-1/t/1/fs/0/start/0/end/0/c</v>
      </c>
    </row>
    <row r="2595" spans="1:8" x14ac:dyDescent="0.25">
      <c r="A2595">
        <v>656860</v>
      </c>
      <c r="B2595" t="s">
        <v>5191</v>
      </c>
      <c r="C2595" t="s">
        <v>5192</v>
      </c>
      <c r="D2595" t="s">
        <v>10</v>
      </c>
      <c r="E2595" t="s">
        <v>84</v>
      </c>
      <c r="G2595" t="str">
        <f>HYPERLINK(_xlfn.CONCAT("https://tablet.otzar.org/",CHAR(35),"/book/656860/p/-1/t/1/fs/0/start/0/end/0/c"),"משאת משה &lt;מהדורה חדשה&gt; - בבא קמא")</f>
        <v>משאת משה &lt;מהדורה חדשה&gt; - בבא קמא</v>
      </c>
      <c r="H2595" t="str">
        <f>_xlfn.CONCAT("https://tablet.otzar.org/",CHAR(35),"/book/656860/p/-1/t/1/fs/0/start/0/end/0/c")</f>
        <v>https://tablet.otzar.org/#/book/656860/p/-1/t/1/fs/0/start/0/end/0/c</v>
      </c>
    </row>
    <row r="2596" spans="1:8" x14ac:dyDescent="0.25">
      <c r="A2596">
        <v>657049</v>
      </c>
      <c r="B2596" t="s">
        <v>5193</v>
      </c>
      <c r="C2596" t="s">
        <v>760</v>
      </c>
      <c r="E2596" t="s">
        <v>89</v>
      </c>
      <c r="G2596" t="str">
        <f>HYPERLINK(_xlfn.CONCAT("https://tablet.otzar.org/",CHAR(35),"/exKotar/657049"),"משיב דברים - 2 כרכים")</f>
        <v>משיב דברים - 2 כרכים</v>
      </c>
      <c r="H2596" t="str">
        <f>_xlfn.CONCAT("https://tablet.otzar.org/",CHAR(35),"/exKotar/657049")</f>
        <v>https://tablet.otzar.org/#/exKotar/657049</v>
      </c>
    </row>
    <row r="2597" spans="1:8" x14ac:dyDescent="0.25">
      <c r="A2597">
        <v>650234</v>
      </c>
      <c r="B2597" t="s">
        <v>5194</v>
      </c>
      <c r="C2597" t="s">
        <v>5195</v>
      </c>
      <c r="E2597" t="s">
        <v>5196</v>
      </c>
      <c r="G2597" t="str">
        <f>HYPERLINK(_xlfn.CONCAT("https://tablet.otzar.org/",CHAR(35),"/book/650234/p/-1/t/1/fs/0/start/0/end/0/c"),"משיב כהלכה")</f>
        <v>משיב כהלכה</v>
      </c>
      <c r="H2597" t="str">
        <f>_xlfn.CONCAT("https://tablet.otzar.org/",CHAR(35),"/book/650234/p/-1/t/1/fs/0/start/0/end/0/c")</f>
        <v>https://tablet.otzar.org/#/book/650234/p/-1/t/1/fs/0/start/0/end/0/c</v>
      </c>
    </row>
    <row r="2598" spans="1:8" x14ac:dyDescent="0.25">
      <c r="A2598">
        <v>647989</v>
      </c>
      <c r="B2598" t="s">
        <v>5197</v>
      </c>
      <c r="C2598" t="s">
        <v>5198</v>
      </c>
      <c r="D2598" t="s">
        <v>10</v>
      </c>
      <c r="E2598" t="s">
        <v>84</v>
      </c>
      <c r="G2598" t="str">
        <f>HYPERLINK(_xlfn.CONCAT("https://tablet.otzar.org/",CHAR(35),"/exKotar/647989"),"משיב כהלכה - 3 כרכים")</f>
        <v>משיב כהלכה - 3 כרכים</v>
      </c>
      <c r="H2598" t="str">
        <f>_xlfn.CONCAT("https://tablet.otzar.org/",CHAR(35),"/exKotar/647989")</f>
        <v>https://tablet.otzar.org/#/exKotar/647989</v>
      </c>
    </row>
    <row r="2599" spans="1:8" x14ac:dyDescent="0.25">
      <c r="A2599">
        <v>654278</v>
      </c>
      <c r="B2599" t="s">
        <v>5199</v>
      </c>
      <c r="C2599" t="s">
        <v>5200</v>
      </c>
      <c r="D2599" t="s">
        <v>10</v>
      </c>
      <c r="E2599" t="s">
        <v>11</v>
      </c>
      <c r="G2599" t="str">
        <f>HYPERLINK(_xlfn.CONCAT("https://tablet.otzar.org/",CHAR(35),"/book/654278/p/-1/t/1/fs/0/start/0/end/0/c"),"משיב משפט - מנהג בני חו""""ל הלומדים בארה""""ק")</f>
        <v>משיב משפט - מנהג בני חו""ל הלומדים בארה""ק</v>
      </c>
      <c r="H2599" t="str">
        <f>_xlfn.CONCAT("https://tablet.otzar.org/",CHAR(35),"/book/654278/p/-1/t/1/fs/0/start/0/end/0/c")</f>
        <v>https://tablet.otzar.org/#/book/654278/p/-1/t/1/fs/0/start/0/end/0/c</v>
      </c>
    </row>
    <row r="2600" spans="1:8" x14ac:dyDescent="0.25">
      <c r="A2600">
        <v>654973</v>
      </c>
      <c r="B2600" t="s">
        <v>5201</v>
      </c>
      <c r="C2600" t="s">
        <v>5202</v>
      </c>
      <c r="D2600" t="s">
        <v>463</v>
      </c>
      <c r="E2600" t="s">
        <v>763</v>
      </c>
      <c r="G2600" t="str">
        <f>HYPERLINK(_xlfn.CONCAT("https://tablet.otzar.org/",CHAR(35),"/exKotar/654973"),"משיב נפש - 2 כרכים")</f>
        <v>משיב נפש - 2 כרכים</v>
      </c>
      <c r="H2600" t="str">
        <f>_xlfn.CONCAT("https://tablet.otzar.org/",CHAR(35),"/exKotar/654973")</f>
        <v>https://tablet.otzar.org/#/exKotar/654973</v>
      </c>
    </row>
    <row r="2601" spans="1:8" x14ac:dyDescent="0.25">
      <c r="A2601">
        <v>655371</v>
      </c>
      <c r="B2601" t="s">
        <v>5203</v>
      </c>
      <c r="C2601" t="s">
        <v>5204</v>
      </c>
      <c r="D2601" t="s">
        <v>52</v>
      </c>
      <c r="E2601" t="s">
        <v>11</v>
      </c>
      <c r="G2601" t="str">
        <f>HYPERLINK(_xlfn.CONCAT("https://tablet.otzar.org/",CHAR(35),"/exKotar/655371"),"משך חכמה  עם בינת החכמה - 5 כרכים")</f>
        <v>משך חכמה  עם בינת החכמה - 5 כרכים</v>
      </c>
      <c r="H2601" t="str">
        <f>_xlfn.CONCAT("https://tablet.otzar.org/",CHAR(35),"/exKotar/655371")</f>
        <v>https://tablet.otzar.org/#/exKotar/655371</v>
      </c>
    </row>
    <row r="2602" spans="1:8" x14ac:dyDescent="0.25">
      <c r="A2602">
        <v>649751</v>
      </c>
      <c r="B2602" t="s">
        <v>5205</v>
      </c>
      <c r="C2602" t="s">
        <v>5206</v>
      </c>
      <c r="D2602" t="s">
        <v>424</v>
      </c>
      <c r="E2602" t="s">
        <v>114</v>
      </c>
      <c r="G2602" t="str">
        <f>HYPERLINK(_xlfn.CONCAT("https://tablet.otzar.org/",CHAR(35),"/book/649751/p/-1/t/1/fs/0/start/0/end/0/c"),"משכיל דורש")</f>
        <v>משכיל דורש</v>
      </c>
      <c r="H2602" t="str">
        <f>_xlfn.CONCAT("https://tablet.otzar.org/",CHAR(35),"/book/649751/p/-1/t/1/fs/0/start/0/end/0/c")</f>
        <v>https://tablet.otzar.org/#/book/649751/p/-1/t/1/fs/0/start/0/end/0/c</v>
      </c>
    </row>
    <row r="2603" spans="1:8" x14ac:dyDescent="0.25">
      <c r="A2603">
        <v>651502</v>
      </c>
      <c r="B2603" t="s">
        <v>5207</v>
      </c>
      <c r="C2603" t="s">
        <v>5208</v>
      </c>
      <c r="D2603" t="s">
        <v>10</v>
      </c>
      <c r="E2603" t="s">
        <v>690</v>
      </c>
      <c r="G2603" t="str">
        <f>HYPERLINK(_xlfn.CONCAT("https://tablet.otzar.org/",CHAR(35),"/book/651502/p/-1/t/1/fs/0/start/0/end/0/c"),"משכיל לדוד - שבת")</f>
        <v>משכיל לדוד - שבת</v>
      </c>
      <c r="H2603" t="str">
        <f>_xlfn.CONCAT("https://tablet.otzar.org/",CHAR(35),"/book/651502/p/-1/t/1/fs/0/start/0/end/0/c")</f>
        <v>https://tablet.otzar.org/#/book/651502/p/-1/t/1/fs/0/start/0/end/0/c</v>
      </c>
    </row>
    <row r="2604" spans="1:8" x14ac:dyDescent="0.25">
      <c r="A2604">
        <v>647743</v>
      </c>
      <c r="B2604" t="s">
        <v>5209</v>
      </c>
      <c r="C2604" t="s">
        <v>5210</v>
      </c>
      <c r="D2604" t="s">
        <v>34</v>
      </c>
      <c r="E2604" t="s">
        <v>780</v>
      </c>
      <c r="G2604" t="str">
        <f>HYPERLINK(_xlfn.CONCAT("https://tablet.otzar.org/",CHAR(35),"/book/647743/p/-1/t/1/fs/0/start/0/end/0/c"),"משכיל לדוד - ב")</f>
        <v>משכיל לדוד - ב</v>
      </c>
      <c r="H2604" t="str">
        <f>_xlfn.CONCAT("https://tablet.otzar.org/",CHAR(35),"/book/647743/p/-1/t/1/fs/0/start/0/end/0/c")</f>
        <v>https://tablet.otzar.org/#/book/647743/p/-1/t/1/fs/0/start/0/end/0/c</v>
      </c>
    </row>
    <row r="2605" spans="1:8" x14ac:dyDescent="0.25">
      <c r="A2605">
        <v>648881</v>
      </c>
      <c r="B2605" t="s">
        <v>5211</v>
      </c>
      <c r="C2605" t="s">
        <v>5212</v>
      </c>
      <c r="D2605" t="s">
        <v>10</v>
      </c>
      <c r="E2605" t="s">
        <v>126</v>
      </c>
      <c r="G2605" t="str">
        <f>HYPERLINK(_xlfn.CONCAT("https://tablet.otzar.org/",CHAR(35),"/book/648881/p/-1/t/1/fs/0/start/0/end/0/c"),"משכן דוד - קידושין")</f>
        <v>משכן דוד - קידושין</v>
      </c>
      <c r="H2605" t="str">
        <f>_xlfn.CONCAT("https://tablet.otzar.org/",CHAR(35),"/book/648881/p/-1/t/1/fs/0/start/0/end/0/c")</f>
        <v>https://tablet.otzar.org/#/book/648881/p/-1/t/1/fs/0/start/0/end/0/c</v>
      </c>
    </row>
    <row r="2606" spans="1:8" x14ac:dyDescent="0.25">
      <c r="A2606">
        <v>651546</v>
      </c>
      <c r="B2606" t="s">
        <v>5213</v>
      </c>
      <c r="C2606" t="s">
        <v>5214</v>
      </c>
      <c r="D2606" t="s">
        <v>88</v>
      </c>
      <c r="E2606" t="s">
        <v>11</v>
      </c>
      <c r="G2606" t="str">
        <f>HYPERLINK(_xlfn.CONCAT("https://tablet.otzar.org/",CHAR(35),"/exKotar/651546"),"משכן הנפש - 2 כרכים")</f>
        <v>משכן הנפש - 2 כרכים</v>
      </c>
      <c r="H2606" t="str">
        <f>_xlfn.CONCAT("https://tablet.otzar.org/",CHAR(35),"/exKotar/651546")</f>
        <v>https://tablet.otzar.org/#/exKotar/651546</v>
      </c>
    </row>
    <row r="2607" spans="1:8" x14ac:dyDescent="0.25">
      <c r="A2607">
        <v>657046</v>
      </c>
      <c r="B2607" t="s">
        <v>5215</v>
      </c>
      <c r="C2607" t="s">
        <v>5216</v>
      </c>
      <c r="E2607" t="s">
        <v>1364</v>
      </c>
      <c r="G2607" t="str">
        <f>HYPERLINK(_xlfn.CONCAT("https://tablet.otzar.org/",CHAR(35),"/book/657046/p/-1/t/1/fs/0/start/0/end/0/c"),"משכנות הרועים - ב")</f>
        <v>משכנות הרועים - ב</v>
      </c>
      <c r="H2607" t="str">
        <f>_xlfn.CONCAT("https://tablet.otzar.org/",CHAR(35),"/book/657046/p/-1/t/1/fs/0/start/0/end/0/c")</f>
        <v>https://tablet.otzar.org/#/book/657046/p/-1/t/1/fs/0/start/0/end/0/c</v>
      </c>
    </row>
    <row r="2608" spans="1:8" x14ac:dyDescent="0.25">
      <c r="A2608">
        <v>657674</v>
      </c>
      <c r="B2608" t="s">
        <v>5217</v>
      </c>
      <c r="C2608" t="s">
        <v>5218</v>
      </c>
      <c r="D2608" t="s">
        <v>2460</v>
      </c>
      <c r="E2608" t="s">
        <v>5219</v>
      </c>
      <c r="G2608" t="str">
        <f>HYPERLINK(_xlfn.CONCAT("https://tablet.otzar.org/",CHAR(35),"/book/657674/p/-1/t/1/fs/0/start/0/end/0/c"),"משכנות יעקב")</f>
        <v>משכנות יעקב</v>
      </c>
      <c r="H2608" t="str">
        <f>_xlfn.CONCAT("https://tablet.otzar.org/",CHAR(35),"/book/657674/p/-1/t/1/fs/0/start/0/end/0/c")</f>
        <v>https://tablet.otzar.org/#/book/657674/p/-1/t/1/fs/0/start/0/end/0/c</v>
      </c>
    </row>
    <row r="2609" spans="1:8" x14ac:dyDescent="0.25">
      <c r="A2609">
        <v>651414</v>
      </c>
      <c r="B2609" t="s">
        <v>5220</v>
      </c>
      <c r="C2609" t="s">
        <v>5221</v>
      </c>
      <c r="D2609" t="s">
        <v>34</v>
      </c>
      <c r="E2609" t="s">
        <v>70</v>
      </c>
      <c r="G2609" t="str">
        <f>HYPERLINK(_xlfn.CONCAT("https://tablet.otzar.org/",CHAR(35),"/book/651414/p/-1/t/1/fs/0/start/0/end/0/c"),"משכני")</f>
        <v>משכני</v>
      </c>
      <c r="H2609" t="str">
        <f>_xlfn.CONCAT("https://tablet.otzar.org/",CHAR(35),"/book/651414/p/-1/t/1/fs/0/start/0/end/0/c")</f>
        <v>https://tablet.otzar.org/#/book/651414/p/-1/t/1/fs/0/start/0/end/0/c</v>
      </c>
    </row>
    <row r="2610" spans="1:8" x14ac:dyDescent="0.25">
      <c r="A2610">
        <v>651907</v>
      </c>
      <c r="B2610" t="s">
        <v>5222</v>
      </c>
      <c r="C2610" t="s">
        <v>5223</v>
      </c>
      <c r="D2610" t="s">
        <v>5224</v>
      </c>
      <c r="E2610" t="s">
        <v>5225</v>
      </c>
      <c r="G2610" t="str">
        <f>HYPERLINK(_xlfn.CONCAT("https://tablet.otzar.org/",CHAR(35),"/book/651907/p/-1/t/1/fs/0/start/0/end/0/c"),"משלח מנות")</f>
        <v>משלח מנות</v>
      </c>
      <c r="H2610" t="str">
        <f>_xlfn.CONCAT("https://tablet.otzar.org/",CHAR(35),"/book/651907/p/-1/t/1/fs/0/start/0/end/0/c")</f>
        <v>https://tablet.otzar.org/#/book/651907/p/-1/t/1/fs/0/start/0/end/0/c</v>
      </c>
    </row>
    <row r="2611" spans="1:8" x14ac:dyDescent="0.25">
      <c r="A2611">
        <v>649193</v>
      </c>
      <c r="B2611" t="s">
        <v>5226</v>
      </c>
      <c r="C2611" t="s">
        <v>5227</v>
      </c>
      <c r="D2611" t="s">
        <v>1195</v>
      </c>
      <c r="E2611" t="s">
        <v>77</v>
      </c>
      <c r="G2611" t="str">
        <f>HYPERLINK(_xlfn.CONCAT("https://tablet.otzar.org/",CHAR(35),"/book/649193/p/-1/t/1/fs/0/start/0/end/0/c"),"משלי קדם (י - יב)")</f>
        <v>משלי קדם (י - יב)</v>
      </c>
      <c r="H2611" t="str">
        <f>_xlfn.CONCAT("https://tablet.otzar.org/",CHAR(35),"/book/649193/p/-1/t/1/fs/0/start/0/end/0/c")</f>
        <v>https://tablet.otzar.org/#/book/649193/p/-1/t/1/fs/0/start/0/end/0/c</v>
      </c>
    </row>
    <row r="2612" spans="1:8" x14ac:dyDescent="0.25">
      <c r="A2612">
        <v>651007</v>
      </c>
      <c r="B2612" t="s">
        <v>5228</v>
      </c>
      <c r="C2612" t="s">
        <v>1622</v>
      </c>
      <c r="D2612" t="s">
        <v>10</v>
      </c>
      <c r="E2612" t="s">
        <v>84</v>
      </c>
      <c r="G2612" t="str">
        <f>HYPERLINK(_xlfn.CONCAT("https://tablet.otzar.org/",CHAR(35),"/book/651007/p/-1/t/1/fs/0/start/0/end/0/c"),"משמחי לב")</f>
        <v>משמחי לב</v>
      </c>
      <c r="H2612" t="str">
        <f>_xlfn.CONCAT("https://tablet.otzar.org/",CHAR(35),"/book/651007/p/-1/t/1/fs/0/start/0/end/0/c")</f>
        <v>https://tablet.otzar.org/#/book/651007/p/-1/t/1/fs/0/start/0/end/0/c</v>
      </c>
    </row>
    <row r="2613" spans="1:8" x14ac:dyDescent="0.25">
      <c r="A2613">
        <v>653843</v>
      </c>
      <c r="B2613" t="s">
        <v>5229</v>
      </c>
      <c r="C2613" t="s">
        <v>5230</v>
      </c>
      <c r="E2613" t="s">
        <v>213</v>
      </c>
      <c r="G2613" t="str">
        <f>HYPERLINK(_xlfn.CONCAT("https://tablet.otzar.org/",CHAR(35),"/book/653843/p/-1/t/1/fs/0/start/0/end/0/c"),"משמרת אלעזר &lt;מהדורה חדשה&gt;")</f>
        <v>משמרת אלעזר &lt;מהדורה חדשה&gt;</v>
      </c>
      <c r="H2613" t="str">
        <f>_xlfn.CONCAT("https://tablet.otzar.org/",CHAR(35),"/book/653843/p/-1/t/1/fs/0/start/0/end/0/c")</f>
        <v>https://tablet.otzar.org/#/book/653843/p/-1/t/1/fs/0/start/0/end/0/c</v>
      </c>
    </row>
    <row r="2614" spans="1:8" x14ac:dyDescent="0.25">
      <c r="A2614">
        <v>649332</v>
      </c>
      <c r="B2614" t="s">
        <v>5231</v>
      </c>
      <c r="C2614" t="s">
        <v>3002</v>
      </c>
      <c r="D2614" t="s">
        <v>10</v>
      </c>
      <c r="E2614" t="s">
        <v>11</v>
      </c>
      <c r="G2614" t="str">
        <f>HYPERLINK(_xlfn.CONCAT("https://tablet.otzar.org/",CHAR(35),"/book/649332/p/-1/t/1/fs/0/start/0/end/0/c"),"משמרת הבית - איסורי בשר בחלב")</f>
        <v>משמרת הבית - איסורי בשר בחלב</v>
      </c>
      <c r="H2614" t="str">
        <f>_xlfn.CONCAT("https://tablet.otzar.org/",CHAR(35),"/book/649332/p/-1/t/1/fs/0/start/0/end/0/c")</f>
        <v>https://tablet.otzar.org/#/book/649332/p/-1/t/1/fs/0/start/0/end/0/c</v>
      </c>
    </row>
    <row r="2615" spans="1:8" x14ac:dyDescent="0.25">
      <c r="A2615">
        <v>655412</v>
      </c>
      <c r="B2615" t="s">
        <v>5232</v>
      </c>
      <c r="C2615" t="s">
        <v>5233</v>
      </c>
      <c r="D2615" t="s">
        <v>10</v>
      </c>
      <c r="E2615" t="s">
        <v>35</v>
      </c>
      <c r="G2615" t="str">
        <f>HYPERLINK(_xlfn.CONCAT("https://tablet.otzar.org/",CHAR(35),"/exKotar/655412"),"משמרת המועדות - 2 כרכים")</f>
        <v>משמרת המועדות - 2 כרכים</v>
      </c>
      <c r="H2615" t="str">
        <f>_xlfn.CONCAT("https://tablet.otzar.org/",CHAR(35),"/exKotar/655412")</f>
        <v>https://tablet.otzar.org/#/exKotar/655412</v>
      </c>
    </row>
    <row r="2616" spans="1:8" x14ac:dyDescent="0.25">
      <c r="A2616">
        <v>652095</v>
      </c>
      <c r="B2616" t="s">
        <v>5234</v>
      </c>
      <c r="C2616" t="s">
        <v>5235</v>
      </c>
      <c r="E2616" t="s">
        <v>89</v>
      </c>
      <c r="G2616" t="str">
        <f>HYPERLINK(_xlfn.CONCAT("https://tablet.otzar.org/",CHAR(35),"/book/652095/p/-1/t/1/fs/0/start/0/end/0/c"),"משמרת המנהגים")</f>
        <v>משמרת המנהגים</v>
      </c>
      <c r="H2616" t="str">
        <f>_xlfn.CONCAT("https://tablet.otzar.org/",CHAR(35),"/book/652095/p/-1/t/1/fs/0/start/0/end/0/c")</f>
        <v>https://tablet.otzar.org/#/book/652095/p/-1/t/1/fs/0/start/0/end/0/c</v>
      </c>
    </row>
    <row r="2617" spans="1:8" x14ac:dyDescent="0.25">
      <c r="A2617">
        <v>656862</v>
      </c>
      <c r="B2617" t="s">
        <v>5236</v>
      </c>
      <c r="C2617" t="s">
        <v>5237</v>
      </c>
      <c r="D2617" t="s">
        <v>10</v>
      </c>
      <c r="E2617" t="s">
        <v>84</v>
      </c>
      <c r="G2617" t="str">
        <f>HYPERLINK(_xlfn.CONCAT("https://tablet.otzar.org/",CHAR(35),"/book/656862/p/-1/t/1/fs/0/start/0/end/0/c"),"משנה ברורה &lt;אור המזרח&gt; - ב (ב)")</f>
        <v>משנה ברורה &lt;אור המזרח&gt; - ב (ב)</v>
      </c>
      <c r="H2617" t="str">
        <f>_xlfn.CONCAT("https://tablet.otzar.org/",CHAR(35),"/book/656862/p/-1/t/1/fs/0/start/0/end/0/c")</f>
        <v>https://tablet.otzar.org/#/book/656862/p/-1/t/1/fs/0/start/0/end/0/c</v>
      </c>
    </row>
    <row r="2618" spans="1:8" x14ac:dyDescent="0.25">
      <c r="A2618">
        <v>656791</v>
      </c>
      <c r="B2618" t="s">
        <v>5238</v>
      </c>
      <c r="C2618" t="s">
        <v>226</v>
      </c>
      <c r="E2618" t="s">
        <v>11</v>
      </c>
      <c r="G2618" t="str">
        <f>HYPERLINK(_xlfn.CONCAT("https://tablet.otzar.org/",CHAR(35),"/exKotar/656791"),"משנה ברורה &lt;משנה אחרונה&gt; ו א - 2 כרכים")</f>
        <v>משנה ברורה &lt;משנה אחרונה&gt; ו א - 2 כרכים</v>
      </c>
      <c r="H2618" t="str">
        <f>_xlfn.CONCAT("https://tablet.otzar.org/",CHAR(35),"/exKotar/656791")</f>
        <v>https://tablet.otzar.org/#/exKotar/656791</v>
      </c>
    </row>
    <row r="2619" spans="1:8" x14ac:dyDescent="0.25">
      <c r="A2619">
        <v>654841</v>
      </c>
      <c r="B2619" t="s">
        <v>5239</v>
      </c>
      <c r="C2619" t="s">
        <v>5240</v>
      </c>
      <c r="D2619" t="s">
        <v>10</v>
      </c>
      <c r="E2619" t="s">
        <v>11</v>
      </c>
      <c r="G2619" t="str">
        <f>HYPERLINK(_xlfn.CONCAT("https://tablet.otzar.org/",CHAR(35),"/exKotar/654841"),"משנה ברורה &lt;שינון הלכה - שערי הלכות&gt; - 2 כרכים")</f>
        <v>משנה ברורה &lt;שינון הלכה - שערי הלכות&gt; - 2 כרכים</v>
      </c>
      <c r="H2619" t="str">
        <f>_xlfn.CONCAT("https://tablet.otzar.org/",CHAR(35),"/exKotar/654841")</f>
        <v>https://tablet.otzar.org/#/exKotar/654841</v>
      </c>
    </row>
    <row r="2620" spans="1:8" x14ac:dyDescent="0.25">
      <c r="A2620">
        <v>652106</v>
      </c>
      <c r="B2620" t="s">
        <v>5241</v>
      </c>
      <c r="C2620" t="s">
        <v>614</v>
      </c>
      <c r="D2620" t="s">
        <v>10</v>
      </c>
      <c r="E2620" t="s">
        <v>35</v>
      </c>
      <c r="G2620" t="str">
        <f>HYPERLINK(_xlfn.CONCAT("https://tablet.otzar.org/",CHAR(35),"/exKotar/652106"),"משנה ברורה על אבן העזר - 2 כרכים")</f>
        <v>משנה ברורה על אבן העזר - 2 כרכים</v>
      </c>
      <c r="H2620" t="str">
        <f>_xlfn.CONCAT("https://tablet.otzar.org/",CHAR(35),"/exKotar/652106")</f>
        <v>https://tablet.otzar.org/#/exKotar/652106</v>
      </c>
    </row>
    <row r="2621" spans="1:8" x14ac:dyDescent="0.25">
      <c r="A2621">
        <v>652938</v>
      </c>
      <c r="B2621" t="s">
        <v>5242</v>
      </c>
      <c r="C2621" t="s">
        <v>5243</v>
      </c>
      <c r="D2621" t="s">
        <v>34</v>
      </c>
      <c r="E2621" t="s">
        <v>70</v>
      </c>
      <c r="G2621" t="str">
        <f>HYPERLINK(_xlfn.CONCAT("https://tablet.otzar.org/",CHAR(35),"/book/652938/p/-1/t/1/fs/0/start/0/end/0/c"),"משנה שלמה - שבת")</f>
        <v>משנה שלמה - שבת</v>
      </c>
      <c r="H2621" t="str">
        <f>_xlfn.CONCAT("https://tablet.otzar.org/",CHAR(35),"/book/652938/p/-1/t/1/fs/0/start/0/end/0/c")</f>
        <v>https://tablet.otzar.org/#/book/652938/p/-1/t/1/fs/0/start/0/end/0/c</v>
      </c>
    </row>
    <row r="2622" spans="1:8" x14ac:dyDescent="0.25">
      <c r="A2622">
        <v>640198</v>
      </c>
      <c r="B2622" t="s">
        <v>5244</v>
      </c>
      <c r="C2622" t="s">
        <v>5245</v>
      </c>
      <c r="E2622" t="s">
        <v>5246</v>
      </c>
      <c r="G2622" t="str">
        <f>HYPERLINK(_xlfn.CONCAT("https://tablet.otzar.org/",CHAR(35),"/exKotar/640198"),"משניות &lt;מלא כף נחת&gt;  - 3 כרכים")</f>
        <v>משניות &lt;מלא כף נחת&gt;  - 3 כרכים</v>
      </c>
      <c r="H2622" t="str">
        <f>_xlfn.CONCAT("https://tablet.otzar.org/",CHAR(35),"/exKotar/640198")</f>
        <v>https://tablet.otzar.org/#/exKotar/640198</v>
      </c>
    </row>
    <row r="2623" spans="1:8" x14ac:dyDescent="0.25">
      <c r="A2623">
        <v>656192</v>
      </c>
      <c r="B2623" t="s">
        <v>5247</v>
      </c>
      <c r="C2623" t="s">
        <v>614</v>
      </c>
      <c r="D2623" t="s">
        <v>52</v>
      </c>
      <c r="E2623" t="s">
        <v>84</v>
      </c>
      <c r="G2623" t="str">
        <f>HYPERLINK(_xlfn.CONCAT("https://tablet.otzar.org/",CHAR(35),"/exKotar/656192"),"משניות טוב החיים - 2 כרכים")</f>
        <v>משניות טוב החיים - 2 כרכים</v>
      </c>
      <c r="H2623" t="str">
        <f>_xlfn.CONCAT("https://tablet.otzar.org/",CHAR(35),"/exKotar/656192")</f>
        <v>https://tablet.otzar.org/#/exKotar/656192</v>
      </c>
    </row>
    <row r="2624" spans="1:8" x14ac:dyDescent="0.25">
      <c r="A2624">
        <v>647377</v>
      </c>
      <c r="B2624" t="s">
        <v>5248</v>
      </c>
      <c r="C2624" t="s">
        <v>5249</v>
      </c>
      <c r="D2624" t="s">
        <v>10</v>
      </c>
      <c r="E2624" t="s">
        <v>670</v>
      </c>
      <c r="G2624" t="str">
        <f>HYPERLINK(_xlfn.CONCAT("https://tablet.otzar.org/",CHAR(35),"/book/647377/p/-1/t/1/fs/0/start/0/end/0/c"),"משניות עם ביאורי המשנה - ברכות")</f>
        <v>משניות עם ביאורי המשנה - ברכות</v>
      </c>
      <c r="H2624" t="str">
        <f>_xlfn.CONCAT("https://tablet.otzar.org/",CHAR(35),"/book/647377/p/-1/t/1/fs/0/start/0/end/0/c")</f>
        <v>https://tablet.otzar.org/#/book/647377/p/-1/t/1/fs/0/start/0/end/0/c</v>
      </c>
    </row>
    <row r="2625" spans="1:8" x14ac:dyDescent="0.25">
      <c r="A2625">
        <v>650086</v>
      </c>
      <c r="B2625" t="s">
        <v>5250</v>
      </c>
      <c r="C2625" t="s">
        <v>5251</v>
      </c>
      <c r="D2625" t="s">
        <v>10</v>
      </c>
      <c r="E2625" t="s">
        <v>35</v>
      </c>
      <c r="G2625" t="str">
        <f>HYPERLINK(_xlfn.CONCAT("https://tablet.otzar.org/",CHAR(35),"/exKotar/650086"),"משנת אהרן - 2 כרכים")</f>
        <v>משנת אהרן - 2 כרכים</v>
      </c>
      <c r="H2625" t="str">
        <f>_xlfn.CONCAT("https://tablet.otzar.org/",CHAR(35),"/exKotar/650086")</f>
        <v>https://tablet.otzar.org/#/exKotar/650086</v>
      </c>
    </row>
    <row r="2626" spans="1:8" x14ac:dyDescent="0.25">
      <c r="A2626">
        <v>651525</v>
      </c>
      <c r="B2626" t="s">
        <v>5252</v>
      </c>
      <c r="C2626" t="s">
        <v>5253</v>
      </c>
      <c r="D2626" t="s">
        <v>10</v>
      </c>
      <c r="E2626" t="s">
        <v>84</v>
      </c>
      <c r="G2626" t="str">
        <f>HYPERLINK(_xlfn.CONCAT("https://tablet.otzar.org/",CHAR(35),"/exKotar/651525"),"משנת אפרים - 2 כרכים")</f>
        <v>משנת אפרים - 2 כרכים</v>
      </c>
      <c r="H2626" t="str">
        <f>_xlfn.CONCAT("https://tablet.otzar.org/",CHAR(35),"/exKotar/651525")</f>
        <v>https://tablet.otzar.org/#/exKotar/651525</v>
      </c>
    </row>
    <row r="2627" spans="1:8" x14ac:dyDescent="0.25">
      <c r="A2627">
        <v>650710</v>
      </c>
      <c r="B2627" t="s">
        <v>5254</v>
      </c>
      <c r="C2627" t="s">
        <v>5255</v>
      </c>
      <c r="D2627" t="s">
        <v>10</v>
      </c>
      <c r="E2627" t="s">
        <v>45</v>
      </c>
      <c r="G2627" t="str">
        <f>HYPERLINK(_xlfn.CONCAT("https://tablet.otzar.org/",CHAR(35),"/exKotar/650710"),"משנת ברוך - 3 כרכים")</f>
        <v>משנת ברוך - 3 כרכים</v>
      </c>
      <c r="H2627" t="str">
        <f>_xlfn.CONCAT("https://tablet.otzar.org/",CHAR(35),"/exKotar/650710")</f>
        <v>https://tablet.otzar.org/#/exKotar/650710</v>
      </c>
    </row>
    <row r="2628" spans="1:8" x14ac:dyDescent="0.25">
      <c r="A2628">
        <v>649530</v>
      </c>
      <c r="B2628" t="s">
        <v>5256</v>
      </c>
      <c r="C2628" t="s">
        <v>5257</v>
      </c>
      <c r="D2628" t="s">
        <v>34</v>
      </c>
      <c r="E2628" t="s">
        <v>35</v>
      </c>
      <c r="G2628" t="str">
        <f>HYPERLINK(_xlfn.CONCAT("https://tablet.otzar.org/",CHAR(35),"/book/649530/p/-1/t/1/fs/0/start/0/end/0/c"),"משנת ההזמה")</f>
        <v>משנת ההזמה</v>
      </c>
      <c r="H2628" t="str">
        <f>_xlfn.CONCAT("https://tablet.otzar.org/",CHAR(35),"/book/649530/p/-1/t/1/fs/0/start/0/end/0/c")</f>
        <v>https://tablet.otzar.org/#/book/649530/p/-1/t/1/fs/0/start/0/end/0/c</v>
      </c>
    </row>
    <row r="2629" spans="1:8" x14ac:dyDescent="0.25">
      <c r="A2629">
        <v>649531</v>
      </c>
      <c r="B2629" t="s">
        <v>5258</v>
      </c>
      <c r="C2629" t="s">
        <v>5257</v>
      </c>
      <c r="D2629" t="s">
        <v>34</v>
      </c>
      <c r="E2629" t="s">
        <v>35</v>
      </c>
      <c r="G2629" t="str">
        <f>HYPERLINK(_xlfn.CONCAT("https://tablet.otzar.org/",CHAR(35),"/book/649531/p/-1/t/1/fs/0/start/0/end/0/c"),"משנת ההנחלה")</f>
        <v>משנת ההנחלה</v>
      </c>
      <c r="H2629" t="str">
        <f>_xlfn.CONCAT("https://tablet.otzar.org/",CHAR(35),"/book/649531/p/-1/t/1/fs/0/start/0/end/0/c")</f>
        <v>https://tablet.otzar.org/#/book/649531/p/-1/t/1/fs/0/start/0/end/0/c</v>
      </c>
    </row>
    <row r="2630" spans="1:8" x14ac:dyDescent="0.25">
      <c r="A2630">
        <v>655612</v>
      </c>
      <c r="B2630" t="s">
        <v>5259</v>
      </c>
      <c r="C2630" t="s">
        <v>5260</v>
      </c>
      <c r="D2630" t="s">
        <v>424</v>
      </c>
      <c r="E2630" t="s">
        <v>312</v>
      </c>
      <c r="G2630" t="str">
        <f>HYPERLINK(_xlfn.CONCAT("https://tablet.otzar.org/",CHAR(35),"/book/655612/p/-1/t/1/fs/0/start/0/end/0/c"),"משנת הכשרות")</f>
        <v>משנת הכשרות</v>
      </c>
      <c r="H2630" t="str">
        <f>_xlfn.CONCAT("https://tablet.otzar.org/",CHAR(35),"/book/655612/p/-1/t/1/fs/0/start/0/end/0/c")</f>
        <v>https://tablet.otzar.org/#/book/655612/p/-1/t/1/fs/0/start/0/end/0/c</v>
      </c>
    </row>
    <row r="2631" spans="1:8" x14ac:dyDescent="0.25">
      <c r="A2631">
        <v>655613</v>
      </c>
      <c r="B2631" t="s">
        <v>5261</v>
      </c>
      <c r="C2631" t="s">
        <v>5260</v>
      </c>
      <c r="D2631" t="s">
        <v>424</v>
      </c>
      <c r="E2631" t="s">
        <v>45</v>
      </c>
      <c r="G2631" t="str">
        <f>HYPERLINK(_xlfn.CONCAT("https://tablet.otzar.org/",CHAR(35),"/book/655613/p/-1/t/1/fs/0/start/0/end/0/c"),"משנת המועדים")</f>
        <v>משנת המועדים</v>
      </c>
      <c r="H2631" t="str">
        <f>_xlfn.CONCAT("https://tablet.otzar.org/",CHAR(35),"/book/655613/p/-1/t/1/fs/0/start/0/end/0/c")</f>
        <v>https://tablet.otzar.org/#/book/655613/p/-1/t/1/fs/0/start/0/end/0/c</v>
      </c>
    </row>
    <row r="2632" spans="1:8" x14ac:dyDescent="0.25">
      <c r="A2632">
        <v>656170</v>
      </c>
      <c r="B2632" t="s">
        <v>5262</v>
      </c>
      <c r="C2632" t="s">
        <v>5263</v>
      </c>
      <c r="D2632" t="s">
        <v>193</v>
      </c>
      <c r="E2632" t="s">
        <v>84</v>
      </c>
      <c r="G2632" t="str">
        <f>HYPERLINK(_xlfn.CONCAT("https://tablet.otzar.org/",CHAR(35),"/book/656170/p/-1/t/1/fs/0/start/0/end/0/c"),"משנת המילה")</f>
        <v>משנת המילה</v>
      </c>
      <c r="H2632" t="str">
        <f>_xlfn.CONCAT("https://tablet.otzar.org/",CHAR(35),"/book/656170/p/-1/t/1/fs/0/start/0/end/0/c")</f>
        <v>https://tablet.otzar.org/#/book/656170/p/-1/t/1/fs/0/start/0/end/0/c</v>
      </c>
    </row>
    <row r="2633" spans="1:8" x14ac:dyDescent="0.25">
      <c r="A2633">
        <v>654839</v>
      </c>
      <c r="B2633" t="s">
        <v>5264</v>
      </c>
      <c r="C2633" t="s">
        <v>5265</v>
      </c>
      <c r="D2633" t="s">
        <v>10</v>
      </c>
      <c r="E2633" t="s">
        <v>11</v>
      </c>
      <c r="G2633" t="str">
        <f>HYPERLINK(_xlfn.CONCAT("https://tablet.otzar.org/",CHAR(35),"/book/654839/p/-1/t/1/fs/0/start/0/end/0/c"),"משנת הסת""""ם")</f>
        <v>משנת הסת""ם</v>
      </c>
      <c r="H2633" t="str">
        <f>_xlfn.CONCAT("https://tablet.otzar.org/",CHAR(35),"/book/654839/p/-1/t/1/fs/0/start/0/end/0/c")</f>
        <v>https://tablet.otzar.org/#/book/654839/p/-1/t/1/fs/0/start/0/end/0/c</v>
      </c>
    </row>
    <row r="2634" spans="1:8" x14ac:dyDescent="0.25">
      <c r="A2634">
        <v>651678</v>
      </c>
      <c r="B2634" t="s">
        <v>5266</v>
      </c>
      <c r="C2634" t="s">
        <v>5267</v>
      </c>
      <c r="D2634" t="s">
        <v>52</v>
      </c>
      <c r="E2634" t="s">
        <v>11</v>
      </c>
      <c r="G2634" t="str">
        <f>HYPERLINK(_xlfn.CONCAT("https://tablet.otzar.org/",CHAR(35),"/book/651678/p/-1/t/1/fs/0/start/0/end/0/c"),"משנת הפורים")</f>
        <v>משנת הפורים</v>
      </c>
      <c r="H2634" t="str">
        <f>_xlfn.CONCAT("https://tablet.otzar.org/",CHAR(35),"/book/651678/p/-1/t/1/fs/0/start/0/end/0/c")</f>
        <v>https://tablet.otzar.org/#/book/651678/p/-1/t/1/fs/0/start/0/end/0/c</v>
      </c>
    </row>
    <row r="2635" spans="1:8" x14ac:dyDescent="0.25">
      <c r="A2635">
        <v>656171</v>
      </c>
      <c r="B2635" t="s">
        <v>5266</v>
      </c>
      <c r="C2635" t="s">
        <v>5263</v>
      </c>
      <c r="D2635" t="s">
        <v>193</v>
      </c>
      <c r="E2635" t="s">
        <v>84</v>
      </c>
      <c r="G2635" t="str">
        <f>HYPERLINK(_xlfn.CONCAT("https://tablet.otzar.org/",CHAR(35),"/book/656171/p/-1/t/1/fs/0/start/0/end/0/c"),"משנת הפורים")</f>
        <v>משנת הפורים</v>
      </c>
      <c r="H2635" t="str">
        <f>_xlfn.CONCAT("https://tablet.otzar.org/",CHAR(35),"/book/656171/p/-1/t/1/fs/0/start/0/end/0/c")</f>
        <v>https://tablet.otzar.org/#/book/656171/p/-1/t/1/fs/0/start/0/end/0/c</v>
      </c>
    </row>
    <row r="2636" spans="1:8" x14ac:dyDescent="0.25">
      <c r="A2636">
        <v>656172</v>
      </c>
      <c r="B2636" t="s">
        <v>5268</v>
      </c>
      <c r="C2636" t="s">
        <v>5263</v>
      </c>
      <c r="D2636" t="s">
        <v>193</v>
      </c>
      <c r="E2636" t="s">
        <v>84</v>
      </c>
      <c r="G2636" t="str">
        <f>HYPERLINK(_xlfn.CONCAT("https://tablet.otzar.org/",CHAR(35),"/book/656172/p/-1/t/1/fs/0/start/0/end/0/c"),"משנת הקידושין")</f>
        <v>משנת הקידושין</v>
      </c>
      <c r="H2636" t="str">
        <f>_xlfn.CONCAT("https://tablet.otzar.org/",CHAR(35),"/book/656172/p/-1/t/1/fs/0/start/0/end/0/c")</f>
        <v>https://tablet.otzar.org/#/book/656172/p/-1/t/1/fs/0/start/0/end/0/c</v>
      </c>
    </row>
    <row r="2637" spans="1:8" x14ac:dyDescent="0.25">
      <c r="A2637">
        <v>647967</v>
      </c>
      <c r="B2637" t="s">
        <v>5269</v>
      </c>
      <c r="C2637" t="s">
        <v>5270</v>
      </c>
      <c r="D2637" t="s">
        <v>340</v>
      </c>
      <c r="E2637" t="s">
        <v>11</v>
      </c>
      <c r="G2637" t="str">
        <f>HYPERLINK(_xlfn.CONCAT("https://tablet.otzar.org/",CHAR(35),"/book/647967/p/-1/t/1/fs/0/start/0/end/0/c"),"משנת ויכולו")</f>
        <v>משנת ויכולו</v>
      </c>
      <c r="H2637" t="str">
        <f>_xlfn.CONCAT("https://tablet.otzar.org/",CHAR(35),"/book/647967/p/-1/t/1/fs/0/start/0/end/0/c")</f>
        <v>https://tablet.otzar.org/#/book/647967/p/-1/t/1/fs/0/start/0/end/0/c</v>
      </c>
    </row>
    <row r="2638" spans="1:8" x14ac:dyDescent="0.25">
      <c r="A2638">
        <v>651538</v>
      </c>
      <c r="B2638" t="s">
        <v>5271</v>
      </c>
      <c r="C2638" t="s">
        <v>5272</v>
      </c>
      <c r="D2638" t="s">
        <v>10</v>
      </c>
      <c r="E2638" t="s">
        <v>11</v>
      </c>
      <c r="G2638" t="str">
        <f>HYPERLINK(_xlfn.CONCAT("https://tablet.otzar.org/",CHAR(35),"/book/651538/p/-1/t/1/fs/0/start/0/end/0/c"),"משנת זבים")</f>
        <v>משנת זבים</v>
      </c>
      <c r="H2638" t="str">
        <f>_xlfn.CONCAT("https://tablet.otzar.org/",CHAR(35),"/book/651538/p/-1/t/1/fs/0/start/0/end/0/c")</f>
        <v>https://tablet.otzar.org/#/book/651538/p/-1/t/1/fs/0/start/0/end/0/c</v>
      </c>
    </row>
    <row r="2639" spans="1:8" x14ac:dyDescent="0.25">
      <c r="A2639">
        <v>649055</v>
      </c>
      <c r="B2639" t="s">
        <v>5273</v>
      </c>
      <c r="C2639" t="s">
        <v>5274</v>
      </c>
      <c r="D2639" t="s">
        <v>347</v>
      </c>
      <c r="E2639" t="s">
        <v>35</v>
      </c>
      <c r="G2639" t="str">
        <f>HYPERLINK(_xlfn.CONCAT("https://tablet.otzar.org/",CHAR(35),"/exKotar/649055"),"משנת זרעים - 2 כרכים")</f>
        <v>משנת זרעים - 2 כרכים</v>
      </c>
      <c r="H2639" t="str">
        <f>_xlfn.CONCAT("https://tablet.otzar.org/",CHAR(35),"/exKotar/649055")</f>
        <v>https://tablet.otzar.org/#/exKotar/649055</v>
      </c>
    </row>
    <row r="2640" spans="1:8" x14ac:dyDescent="0.25">
      <c r="A2640">
        <v>647719</v>
      </c>
      <c r="B2640" t="s">
        <v>5275</v>
      </c>
      <c r="C2640" t="s">
        <v>5276</v>
      </c>
      <c r="D2640" t="s">
        <v>52</v>
      </c>
      <c r="E2640" t="s">
        <v>70</v>
      </c>
      <c r="G2640" t="str">
        <f>HYPERLINK(_xlfn.CONCAT("https://tablet.otzar.org/",CHAR(35),"/exKotar/647719"),"משנת חיים - 3 כרכים")</f>
        <v>משנת חיים - 3 כרכים</v>
      </c>
      <c r="H2640" t="str">
        <f>_xlfn.CONCAT("https://tablet.otzar.org/",CHAR(35),"/exKotar/647719")</f>
        <v>https://tablet.otzar.org/#/exKotar/647719</v>
      </c>
    </row>
    <row r="2641" spans="1:8" x14ac:dyDescent="0.25">
      <c r="A2641">
        <v>653741</v>
      </c>
      <c r="B2641" t="s">
        <v>5277</v>
      </c>
      <c r="C2641" t="s">
        <v>5278</v>
      </c>
      <c r="D2641" t="s">
        <v>34</v>
      </c>
      <c r="E2641" t="s">
        <v>11</v>
      </c>
      <c r="G2641" t="str">
        <f>HYPERLINK(_xlfn.CONCAT("https://tablet.otzar.org/",CHAR(35),"/book/653741/p/-1/t/1/fs/0/start/0/end/0/c"),"משנת חכמי תימן")</f>
        <v>משנת חכמי תימן</v>
      </c>
      <c r="H2641" t="str">
        <f>_xlfn.CONCAT("https://tablet.otzar.org/",CHAR(35),"/book/653741/p/-1/t/1/fs/0/start/0/end/0/c")</f>
        <v>https://tablet.otzar.org/#/book/653741/p/-1/t/1/fs/0/start/0/end/0/c</v>
      </c>
    </row>
    <row r="2642" spans="1:8" x14ac:dyDescent="0.25">
      <c r="A2642">
        <v>656173</v>
      </c>
      <c r="B2642" t="s">
        <v>5279</v>
      </c>
      <c r="C2642" t="s">
        <v>5263</v>
      </c>
      <c r="D2642" t="s">
        <v>193</v>
      </c>
      <c r="E2642" t="s">
        <v>35</v>
      </c>
      <c r="G2642" t="str">
        <f>HYPERLINK(_xlfn.CONCAT("https://tablet.otzar.org/",CHAR(35),"/book/656173/p/-1/t/1/fs/0/start/0/end/0/c"),"משנת יהודה")</f>
        <v>משנת יהודה</v>
      </c>
      <c r="H2642" t="str">
        <f>_xlfn.CONCAT("https://tablet.otzar.org/",CHAR(35),"/book/656173/p/-1/t/1/fs/0/start/0/end/0/c")</f>
        <v>https://tablet.otzar.org/#/book/656173/p/-1/t/1/fs/0/start/0/end/0/c</v>
      </c>
    </row>
    <row r="2643" spans="1:8" x14ac:dyDescent="0.25">
      <c r="A2643">
        <v>653226</v>
      </c>
      <c r="B2643" t="s">
        <v>5280</v>
      </c>
      <c r="C2643" t="s">
        <v>1168</v>
      </c>
      <c r="E2643" t="s">
        <v>117</v>
      </c>
      <c r="G2643" t="str">
        <f>HYPERLINK(_xlfn.CONCAT("https://tablet.otzar.org/",CHAR(35),"/book/653226/p/-1/t/1/fs/0/start/0/end/0/c"),"משנת יהושע - חושן משפט")</f>
        <v>משנת יהושע - חושן משפט</v>
      </c>
      <c r="H2643" t="str">
        <f>_xlfn.CONCAT("https://tablet.otzar.org/",CHAR(35),"/book/653226/p/-1/t/1/fs/0/start/0/end/0/c")</f>
        <v>https://tablet.otzar.org/#/book/653226/p/-1/t/1/fs/0/start/0/end/0/c</v>
      </c>
    </row>
    <row r="2644" spans="1:8" x14ac:dyDescent="0.25">
      <c r="A2644">
        <v>652551</v>
      </c>
      <c r="B2644" t="s">
        <v>5281</v>
      </c>
      <c r="C2644" t="s">
        <v>5282</v>
      </c>
      <c r="D2644" t="s">
        <v>10</v>
      </c>
      <c r="E2644" t="s">
        <v>11</v>
      </c>
      <c r="G2644" t="str">
        <f>HYPERLINK(_xlfn.CONCAT("https://tablet.otzar.org/",CHAR(35),"/book/652551/p/-1/t/1/fs/0/start/0/end/0/c"),"משנת יוסף &lt;שו""""ת&gt; - טו")</f>
        <v>משנת יוסף &lt;שו""ת&gt; - טו</v>
      </c>
      <c r="H2644" t="str">
        <f>_xlfn.CONCAT("https://tablet.otzar.org/",CHAR(35),"/book/652551/p/-1/t/1/fs/0/start/0/end/0/c")</f>
        <v>https://tablet.otzar.org/#/book/652551/p/-1/t/1/fs/0/start/0/end/0/c</v>
      </c>
    </row>
    <row r="2645" spans="1:8" x14ac:dyDescent="0.25">
      <c r="A2645">
        <v>655273</v>
      </c>
      <c r="B2645" t="s">
        <v>5283</v>
      </c>
      <c r="C2645" t="s">
        <v>2145</v>
      </c>
      <c r="D2645" t="s">
        <v>10</v>
      </c>
      <c r="E2645" t="s">
        <v>2541</v>
      </c>
      <c r="G2645" t="str">
        <f>HYPERLINK(_xlfn.CONCAT("https://tablet.otzar.org/",CHAR(35),"/exKotar/655273"),"משנת יוסף - 5 כרכים")</f>
        <v>משנת יוסף - 5 כרכים</v>
      </c>
      <c r="H2645" t="str">
        <f>_xlfn.CONCAT("https://tablet.otzar.org/",CHAR(35),"/exKotar/655273")</f>
        <v>https://tablet.otzar.org/#/exKotar/655273</v>
      </c>
    </row>
    <row r="2646" spans="1:8" x14ac:dyDescent="0.25">
      <c r="A2646">
        <v>652499</v>
      </c>
      <c r="B2646" t="s">
        <v>5284</v>
      </c>
      <c r="C2646" t="s">
        <v>5285</v>
      </c>
      <c r="D2646" t="s">
        <v>347</v>
      </c>
      <c r="E2646" t="s">
        <v>405</v>
      </c>
      <c r="G2646" t="str">
        <f>HYPERLINK(_xlfn.CONCAT("https://tablet.otzar.org/",CHAR(35),"/exKotar/652499"),"משנת כהן - 4 כרכים")</f>
        <v>משנת כהן - 4 כרכים</v>
      </c>
      <c r="H2646" t="str">
        <f>_xlfn.CONCAT("https://tablet.otzar.org/",CHAR(35),"/exKotar/652499")</f>
        <v>https://tablet.otzar.org/#/exKotar/652499</v>
      </c>
    </row>
    <row r="2647" spans="1:8" x14ac:dyDescent="0.25">
      <c r="A2647">
        <v>648947</v>
      </c>
      <c r="B2647" t="s">
        <v>5286</v>
      </c>
      <c r="C2647" t="s">
        <v>5287</v>
      </c>
      <c r="D2647" t="s">
        <v>10</v>
      </c>
      <c r="E2647" t="s">
        <v>1077</v>
      </c>
      <c r="G2647" t="str">
        <f>HYPERLINK(_xlfn.CONCAT("https://tablet.otzar.org/",CHAR(35),"/book/648947/p/-1/t/1/fs/0/start/0/end/0/c"),"משנת נזיקין")</f>
        <v>משנת נזיקין</v>
      </c>
      <c r="H2647" t="str">
        <f>_xlfn.CONCAT("https://tablet.otzar.org/",CHAR(35),"/book/648947/p/-1/t/1/fs/0/start/0/end/0/c")</f>
        <v>https://tablet.otzar.org/#/book/648947/p/-1/t/1/fs/0/start/0/end/0/c</v>
      </c>
    </row>
    <row r="2648" spans="1:8" x14ac:dyDescent="0.25">
      <c r="A2648">
        <v>655448</v>
      </c>
      <c r="B2648" t="s">
        <v>5288</v>
      </c>
      <c r="C2648" t="s">
        <v>5289</v>
      </c>
      <c r="D2648" t="s">
        <v>10</v>
      </c>
      <c r="E2648" t="s">
        <v>35</v>
      </c>
      <c r="G2648" t="str">
        <f>HYPERLINK(_xlfn.CONCAT("https://tablet.otzar.org/",CHAR(35),"/book/655448/p/-1/t/1/fs/0/start/0/end/0/c"),"משנת נחמיה - א")</f>
        <v>משנת נחמיה - א</v>
      </c>
      <c r="H2648" t="str">
        <f>_xlfn.CONCAT("https://tablet.otzar.org/",CHAR(35),"/book/655448/p/-1/t/1/fs/0/start/0/end/0/c")</f>
        <v>https://tablet.otzar.org/#/book/655448/p/-1/t/1/fs/0/start/0/end/0/c</v>
      </c>
    </row>
    <row r="2649" spans="1:8" x14ac:dyDescent="0.25">
      <c r="A2649">
        <v>643382</v>
      </c>
      <c r="B2649" t="s">
        <v>5290</v>
      </c>
      <c r="C2649" t="s">
        <v>5291</v>
      </c>
      <c r="D2649" t="s">
        <v>340</v>
      </c>
      <c r="E2649" t="s">
        <v>35</v>
      </c>
      <c r="G2649" t="str">
        <f>HYPERLINK(_xlfn.CONCAT("https://tablet.otzar.org/",CHAR(35),"/book/643382/p/-1/t/1/fs/0/start/0/end/0/c"),"משנת נתן - ב")</f>
        <v>משנת נתן - ב</v>
      </c>
      <c r="H2649" t="str">
        <f>_xlfn.CONCAT("https://tablet.otzar.org/",CHAR(35),"/book/643382/p/-1/t/1/fs/0/start/0/end/0/c")</f>
        <v>https://tablet.otzar.org/#/book/643382/p/-1/t/1/fs/0/start/0/end/0/c</v>
      </c>
    </row>
    <row r="2650" spans="1:8" x14ac:dyDescent="0.25">
      <c r="A2650">
        <v>655289</v>
      </c>
      <c r="B2650" t="s">
        <v>5292</v>
      </c>
      <c r="C2650" t="s">
        <v>5293</v>
      </c>
      <c r="D2650" t="s">
        <v>731</v>
      </c>
      <c r="E2650" t="s">
        <v>35</v>
      </c>
      <c r="G2650" t="str">
        <f>HYPERLINK(_xlfn.CONCAT("https://tablet.otzar.org/",CHAR(35),"/exKotar/655289"),"משנת עזר - 3 כרכים")</f>
        <v>משנת עזר - 3 כרכים</v>
      </c>
      <c r="H2650" t="str">
        <f>_xlfn.CONCAT("https://tablet.otzar.org/",CHAR(35),"/exKotar/655289")</f>
        <v>https://tablet.otzar.org/#/exKotar/655289</v>
      </c>
    </row>
    <row r="2651" spans="1:8" x14ac:dyDescent="0.25">
      <c r="A2651">
        <v>654818</v>
      </c>
      <c r="B2651" t="s">
        <v>5294</v>
      </c>
      <c r="C2651" t="s">
        <v>5295</v>
      </c>
      <c r="D2651" t="s">
        <v>10</v>
      </c>
      <c r="E2651" t="s">
        <v>45</v>
      </c>
      <c r="G2651" t="str">
        <f>HYPERLINK(_xlfn.CONCAT("https://tablet.otzar.org/",CHAR(35),"/book/654818/p/-1/t/1/fs/0/start/0/end/0/c"),"משנת צדיקים")</f>
        <v>משנת צדיקים</v>
      </c>
      <c r="H2651" t="str">
        <f>_xlfn.CONCAT("https://tablet.otzar.org/",CHAR(35),"/book/654818/p/-1/t/1/fs/0/start/0/end/0/c")</f>
        <v>https://tablet.otzar.org/#/book/654818/p/-1/t/1/fs/0/start/0/end/0/c</v>
      </c>
    </row>
    <row r="2652" spans="1:8" x14ac:dyDescent="0.25">
      <c r="A2652">
        <v>652605</v>
      </c>
      <c r="B2652" t="s">
        <v>5294</v>
      </c>
      <c r="C2652" t="s">
        <v>5296</v>
      </c>
      <c r="D2652" t="s">
        <v>10</v>
      </c>
      <c r="E2652" t="s">
        <v>45</v>
      </c>
      <c r="G2652" t="str">
        <f>HYPERLINK(_xlfn.CONCAT("https://tablet.otzar.org/",CHAR(35),"/book/652605/p/-1/t/1/fs/0/start/0/end/0/c"),"משנת צדיקים")</f>
        <v>משנת צדיקים</v>
      </c>
      <c r="H2652" t="str">
        <f>_xlfn.CONCAT("https://tablet.otzar.org/",CHAR(35),"/book/652605/p/-1/t/1/fs/0/start/0/end/0/c")</f>
        <v>https://tablet.otzar.org/#/book/652605/p/-1/t/1/fs/0/start/0/end/0/c</v>
      </c>
    </row>
    <row r="2653" spans="1:8" x14ac:dyDescent="0.25">
      <c r="A2653">
        <v>650715</v>
      </c>
      <c r="B2653" t="s">
        <v>5297</v>
      </c>
      <c r="C2653" t="s">
        <v>5298</v>
      </c>
      <c r="E2653" t="s">
        <v>11</v>
      </c>
      <c r="G2653" t="str">
        <f>HYPERLINK(_xlfn.CONCAT("https://tablet.otzar.org/",CHAR(35),"/book/650715/p/-1/t/1/fs/0/start/0/end/0/c"),"משנת שלום - ג")</f>
        <v>משנת שלום - ג</v>
      </c>
      <c r="H2653" t="str">
        <f>_xlfn.CONCAT("https://tablet.otzar.org/",CHAR(35),"/book/650715/p/-1/t/1/fs/0/start/0/end/0/c")</f>
        <v>https://tablet.otzar.org/#/book/650715/p/-1/t/1/fs/0/start/0/end/0/c</v>
      </c>
    </row>
    <row r="2654" spans="1:8" x14ac:dyDescent="0.25">
      <c r="A2654">
        <v>653698</v>
      </c>
      <c r="B2654" t="s">
        <v>5299</v>
      </c>
      <c r="C2654" t="s">
        <v>5300</v>
      </c>
      <c r="D2654" t="s">
        <v>10</v>
      </c>
      <c r="E2654" t="s">
        <v>70</v>
      </c>
      <c r="G2654" t="str">
        <f>HYPERLINK(_xlfn.CONCAT("https://tablet.otzar.org/",CHAR(35),"/book/653698/p/-1/t/1/fs/0/start/0/end/0/c"),"משפט הספרים (נספח ב) - ספריית חב""""ד")</f>
        <v>משפט הספרים (נספח ב) - ספריית חב""ד</v>
      </c>
      <c r="H2654" t="str">
        <f>_xlfn.CONCAT("https://tablet.otzar.org/",CHAR(35),"/book/653698/p/-1/t/1/fs/0/start/0/end/0/c")</f>
        <v>https://tablet.otzar.org/#/book/653698/p/-1/t/1/fs/0/start/0/end/0/c</v>
      </c>
    </row>
    <row r="2655" spans="1:8" x14ac:dyDescent="0.25">
      <c r="A2655">
        <v>639665</v>
      </c>
      <c r="B2655" t="s">
        <v>5301</v>
      </c>
      <c r="C2655" t="s">
        <v>5302</v>
      </c>
      <c r="D2655" t="s">
        <v>5150</v>
      </c>
      <c r="E2655" t="s">
        <v>35</v>
      </c>
      <c r="G2655" t="str">
        <f>HYPERLINK(_xlfn.CONCAT("https://tablet.otzar.org/",CHAR(35),"/book/639665/p/-1/t/1/fs/0/start/0/end/0/c"),"משפט הצוואה &lt;צוואות וירושות&gt; - ג")</f>
        <v>משפט הצוואה &lt;צוואות וירושות&gt; - ג</v>
      </c>
      <c r="H2655" t="str">
        <f>_xlfn.CONCAT("https://tablet.otzar.org/",CHAR(35),"/book/639665/p/-1/t/1/fs/0/start/0/end/0/c")</f>
        <v>https://tablet.otzar.org/#/book/639665/p/-1/t/1/fs/0/start/0/end/0/c</v>
      </c>
    </row>
    <row r="2656" spans="1:8" x14ac:dyDescent="0.25">
      <c r="A2656">
        <v>642525</v>
      </c>
      <c r="B2656" t="s">
        <v>5303</v>
      </c>
      <c r="C2656" t="s">
        <v>5304</v>
      </c>
      <c r="D2656" t="s">
        <v>5305</v>
      </c>
      <c r="E2656" t="s">
        <v>1958</v>
      </c>
      <c r="G2656" t="str">
        <f>HYPERLINK(_xlfn.CONCAT("https://tablet.otzar.org/",CHAR(35),"/exKotar/642525"),"משפט התלמוד - 2 כרכים")</f>
        <v>משפט התלמוד - 2 כרכים</v>
      </c>
      <c r="H2656" t="str">
        <f>_xlfn.CONCAT("https://tablet.otzar.org/",CHAR(35),"/exKotar/642525")</f>
        <v>https://tablet.otzar.org/#/exKotar/642525</v>
      </c>
    </row>
    <row r="2657" spans="1:8" x14ac:dyDescent="0.25">
      <c r="A2657">
        <v>650561</v>
      </c>
      <c r="B2657" t="s">
        <v>5306</v>
      </c>
      <c r="C2657" t="s">
        <v>5289</v>
      </c>
      <c r="D2657" t="s">
        <v>1195</v>
      </c>
      <c r="E2657" t="s">
        <v>146</v>
      </c>
      <c r="G2657" t="str">
        <f>HYPERLINK(_xlfn.CONCAT("https://tablet.otzar.org/",CHAR(35),"/book/650561/p/-1/t/1/fs/0/start/0/end/0/c"),"משפט ערוך - חו""""מ  עה - עז")</f>
        <v>משפט ערוך - חו""מ  עה - עז</v>
      </c>
      <c r="H2657" t="str">
        <f>_xlfn.CONCAT("https://tablet.otzar.org/",CHAR(35),"/book/650561/p/-1/t/1/fs/0/start/0/end/0/c")</f>
        <v>https://tablet.otzar.org/#/book/650561/p/-1/t/1/fs/0/start/0/end/0/c</v>
      </c>
    </row>
    <row r="2658" spans="1:8" x14ac:dyDescent="0.25">
      <c r="A2658">
        <v>654567</v>
      </c>
      <c r="B2658" t="s">
        <v>5307</v>
      </c>
      <c r="C2658" t="s">
        <v>5308</v>
      </c>
      <c r="D2658" t="s">
        <v>10</v>
      </c>
      <c r="E2658" t="s">
        <v>70</v>
      </c>
      <c r="G2658" t="str">
        <f>HYPERLINK(_xlfn.CONCAT("https://tablet.otzar.org/",CHAR(35),"/exKotar/654567"),"משפט צדק - 3 כרכים")</f>
        <v>משפט צדק - 3 כרכים</v>
      </c>
      <c r="H2658" t="str">
        <f>_xlfn.CONCAT("https://tablet.otzar.org/",CHAR(35),"/exKotar/654567")</f>
        <v>https://tablet.otzar.org/#/exKotar/654567</v>
      </c>
    </row>
    <row r="2659" spans="1:8" x14ac:dyDescent="0.25">
      <c r="A2659">
        <v>650675</v>
      </c>
      <c r="B2659" t="s">
        <v>5309</v>
      </c>
      <c r="C2659" t="s">
        <v>5310</v>
      </c>
      <c r="D2659" t="s">
        <v>10</v>
      </c>
      <c r="E2659" t="s">
        <v>70</v>
      </c>
      <c r="G2659" t="str">
        <f>HYPERLINK(_xlfn.CONCAT("https://tablet.otzar.org/",CHAR(35),"/exKotar/650675"),"משפטי המזיק - 2 כרכים")</f>
        <v>משפטי המזיק - 2 כרכים</v>
      </c>
      <c r="H2659" t="str">
        <f>_xlfn.CONCAT("https://tablet.otzar.org/",CHAR(35),"/exKotar/650675")</f>
        <v>https://tablet.otzar.org/#/exKotar/650675</v>
      </c>
    </row>
    <row r="2660" spans="1:8" x14ac:dyDescent="0.25">
      <c r="A2660">
        <v>656348</v>
      </c>
      <c r="B2660" t="s">
        <v>5311</v>
      </c>
      <c r="C2660" t="s">
        <v>1164</v>
      </c>
      <c r="E2660" t="s">
        <v>399</v>
      </c>
      <c r="G2660" t="str">
        <f>HYPERLINK(_xlfn.CONCAT("https://tablet.otzar.org/",CHAR(35),"/exKotar/656348"),"מתוך הסנה - 2 כרכים")</f>
        <v>מתוך הסנה - 2 כרכים</v>
      </c>
      <c r="H2660" t="str">
        <f>_xlfn.CONCAT("https://tablet.otzar.org/",CHAR(35),"/exKotar/656348")</f>
        <v>https://tablet.otzar.org/#/exKotar/656348</v>
      </c>
    </row>
    <row r="2661" spans="1:8" x14ac:dyDescent="0.25">
      <c r="A2661">
        <v>649558</v>
      </c>
      <c r="B2661" t="s">
        <v>5312</v>
      </c>
      <c r="C2661" t="s">
        <v>5313</v>
      </c>
      <c r="D2661" t="s">
        <v>39</v>
      </c>
      <c r="E2661" t="s">
        <v>5314</v>
      </c>
      <c r="G2661" t="str">
        <f>HYPERLINK(_xlfn.CONCAT("https://tablet.otzar.org/",CHAR(35),"/book/649558/p/-1/t/1/fs/0/start/0/end/0/c"),"מתוק מדבש - טוב ירושלים")</f>
        <v>מתוק מדבש - טוב ירושלים</v>
      </c>
      <c r="H2661" t="str">
        <f>_xlfn.CONCAT("https://tablet.otzar.org/",CHAR(35),"/book/649558/p/-1/t/1/fs/0/start/0/end/0/c")</f>
        <v>https://tablet.otzar.org/#/book/649558/p/-1/t/1/fs/0/start/0/end/0/c</v>
      </c>
    </row>
    <row r="2662" spans="1:8" x14ac:dyDescent="0.25">
      <c r="A2662">
        <v>654992</v>
      </c>
      <c r="B2662" t="s">
        <v>5315</v>
      </c>
      <c r="C2662" t="s">
        <v>125</v>
      </c>
      <c r="D2662" t="s">
        <v>10</v>
      </c>
      <c r="E2662" t="s">
        <v>1082</v>
      </c>
      <c r="G2662" t="str">
        <f>HYPERLINK(_xlfn.CONCAT("https://tablet.otzar.org/",CHAR(35),"/book/654992/p/-1/t/1/fs/0/start/0/end/0/c"),"מתיבתא דרבי עקיבא")</f>
        <v>מתיבתא דרבי עקיבא</v>
      </c>
      <c r="H2662" t="str">
        <f>_xlfn.CONCAT("https://tablet.otzar.org/",CHAR(35),"/book/654992/p/-1/t/1/fs/0/start/0/end/0/c")</f>
        <v>https://tablet.otzar.org/#/book/654992/p/-1/t/1/fs/0/start/0/end/0/c</v>
      </c>
    </row>
    <row r="2663" spans="1:8" x14ac:dyDescent="0.25">
      <c r="A2663">
        <v>649827</v>
      </c>
      <c r="B2663" t="s">
        <v>5316</v>
      </c>
      <c r="C2663" t="s">
        <v>5317</v>
      </c>
      <c r="D2663" t="s">
        <v>52</v>
      </c>
      <c r="E2663" t="s">
        <v>84</v>
      </c>
      <c r="G2663" t="str">
        <f>HYPERLINK(_xlfn.CONCAT("https://tablet.otzar.org/",CHAR(35),"/book/649827/p/-1/t/1/fs/0/start/0/end/0/c"),"מתיקות המועדים - ראש השנה-יום הכיפורים")</f>
        <v>מתיקות המועדים - ראש השנה-יום הכיפורים</v>
      </c>
      <c r="H2663" t="str">
        <f>_xlfn.CONCAT("https://tablet.otzar.org/",CHAR(35),"/book/649827/p/-1/t/1/fs/0/start/0/end/0/c")</f>
        <v>https://tablet.otzar.org/#/book/649827/p/-1/t/1/fs/0/start/0/end/0/c</v>
      </c>
    </row>
    <row r="2664" spans="1:8" x14ac:dyDescent="0.25">
      <c r="A2664">
        <v>641508</v>
      </c>
      <c r="B2664" t="s">
        <v>5318</v>
      </c>
      <c r="C2664" t="s">
        <v>5319</v>
      </c>
      <c r="D2664" t="s">
        <v>10</v>
      </c>
      <c r="E2664" t="s">
        <v>84</v>
      </c>
      <c r="G2664" t="str">
        <f>HYPERLINK(_xlfn.CONCAT("https://tablet.otzar.org/",CHAR(35),"/book/641508/p/-1/t/1/fs/0/start/0/end/0/c"),"מתן תורה &lt;הערות וביאורים&gt;")</f>
        <v>מתן תורה &lt;הערות וביאורים&gt;</v>
      </c>
      <c r="H2664" t="str">
        <f>_xlfn.CONCAT("https://tablet.otzar.org/",CHAR(35),"/book/641508/p/-1/t/1/fs/0/start/0/end/0/c")</f>
        <v>https://tablet.otzar.org/#/book/641508/p/-1/t/1/fs/0/start/0/end/0/c</v>
      </c>
    </row>
    <row r="2665" spans="1:8" x14ac:dyDescent="0.25">
      <c r="A2665">
        <v>655956</v>
      </c>
      <c r="B2665" t="s">
        <v>5320</v>
      </c>
      <c r="C2665" t="s">
        <v>733</v>
      </c>
      <c r="D2665" t="s">
        <v>52</v>
      </c>
      <c r="E2665" t="s">
        <v>84</v>
      </c>
      <c r="G2665" t="str">
        <f>HYPERLINK(_xlfn.CONCAT("https://tablet.otzar.org/",CHAR(35),"/book/655956/p/-1/t/1/fs/0/start/0/end/0/c"),"מתנה במטללתא")</f>
        <v>מתנה במטללתא</v>
      </c>
      <c r="H2665" t="str">
        <f>_xlfn.CONCAT("https://tablet.otzar.org/",CHAR(35),"/book/655956/p/-1/t/1/fs/0/start/0/end/0/c")</f>
        <v>https://tablet.otzar.org/#/book/655956/p/-1/t/1/fs/0/start/0/end/0/c</v>
      </c>
    </row>
    <row r="2666" spans="1:8" x14ac:dyDescent="0.25">
      <c r="A2666">
        <v>647729</v>
      </c>
      <c r="B2666" t="s">
        <v>5321</v>
      </c>
      <c r="C2666" t="s">
        <v>4737</v>
      </c>
      <c r="E2666" t="s">
        <v>35</v>
      </c>
      <c r="G2666" t="str">
        <f>HYPERLINK(_xlfn.CONCAT("https://tablet.otzar.org/",CHAR(35),"/exKotar/647729"),"מתנה טובה - 4 כרכים")</f>
        <v>מתנה טובה - 4 כרכים</v>
      </c>
      <c r="H2666" t="str">
        <f>_xlfn.CONCAT("https://tablet.otzar.org/",CHAR(35),"/exKotar/647729")</f>
        <v>https://tablet.otzar.org/#/exKotar/647729</v>
      </c>
    </row>
    <row r="2667" spans="1:8" x14ac:dyDescent="0.25">
      <c r="A2667">
        <v>647407</v>
      </c>
      <c r="B2667" t="s">
        <v>5322</v>
      </c>
      <c r="C2667" t="s">
        <v>5323</v>
      </c>
      <c r="D2667" t="s">
        <v>10</v>
      </c>
      <c r="E2667" t="s">
        <v>35</v>
      </c>
      <c r="G2667" t="str">
        <f>HYPERLINK(_xlfn.CONCAT("https://tablet.otzar.org/",CHAR(35),"/book/647407/p/-1/t/1/fs/0/start/0/end/0/c"),"מתנובת שדי - זבחים")</f>
        <v>מתנובת שדי - זבחים</v>
      </c>
      <c r="H2667" t="str">
        <f>_xlfn.CONCAT("https://tablet.otzar.org/",CHAR(35),"/book/647407/p/-1/t/1/fs/0/start/0/end/0/c")</f>
        <v>https://tablet.otzar.org/#/book/647407/p/-1/t/1/fs/0/start/0/end/0/c</v>
      </c>
    </row>
    <row r="2668" spans="1:8" x14ac:dyDescent="0.25">
      <c r="A2668">
        <v>651992</v>
      </c>
      <c r="B2668" t="s">
        <v>5324</v>
      </c>
      <c r="C2668" t="s">
        <v>5325</v>
      </c>
      <c r="E2668" t="s">
        <v>35</v>
      </c>
      <c r="G2668" t="str">
        <f>HYPERLINK(_xlfn.CONCAT("https://tablet.otzar.org/",CHAR(35),"/book/651992/p/-1/t/1/fs/0/start/0/end/0/c"),"מתניתא מלכתא")</f>
        <v>מתניתא מלכתא</v>
      </c>
      <c r="H2668" t="str">
        <f>_xlfn.CONCAT("https://tablet.otzar.org/",CHAR(35),"/book/651992/p/-1/t/1/fs/0/start/0/end/0/c")</f>
        <v>https://tablet.otzar.org/#/book/651992/p/-1/t/1/fs/0/start/0/end/0/c</v>
      </c>
    </row>
    <row r="2669" spans="1:8" x14ac:dyDescent="0.25">
      <c r="A2669">
        <v>652779</v>
      </c>
      <c r="B2669" t="s">
        <v>5326</v>
      </c>
      <c r="C2669" t="s">
        <v>5327</v>
      </c>
      <c r="D2669" t="s">
        <v>858</v>
      </c>
      <c r="E2669" t="s">
        <v>35</v>
      </c>
      <c r="G2669" t="str">
        <f>HYPERLINK(_xlfn.CONCAT("https://tablet.otzar.org/",CHAR(35),"/book/652779/p/-1/t/1/fs/0/start/0/end/0/c"),"מתנת בנימין - או""""ח")</f>
        <v>מתנת בנימין - או""ח</v>
      </c>
      <c r="H2669" t="str">
        <f>_xlfn.CONCAT("https://tablet.otzar.org/",CHAR(35),"/book/652779/p/-1/t/1/fs/0/start/0/end/0/c")</f>
        <v>https://tablet.otzar.org/#/book/652779/p/-1/t/1/fs/0/start/0/end/0/c</v>
      </c>
    </row>
    <row r="2670" spans="1:8" x14ac:dyDescent="0.25">
      <c r="A2670">
        <v>652917</v>
      </c>
      <c r="B2670" t="s">
        <v>5328</v>
      </c>
      <c r="C2670" t="s">
        <v>5329</v>
      </c>
      <c r="D2670" t="s">
        <v>573</v>
      </c>
      <c r="E2670" t="s">
        <v>11</v>
      </c>
      <c r="G2670" t="str">
        <f>HYPERLINK(_xlfn.CONCAT("https://tablet.otzar.org/",CHAR(35),"/book/652917/p/-1/t/1/fs/0/start/0/end/0/c"),"מתנת חלקו")</f>
        <v>מתנת חלקו</v>
      </c>
      <c r="H2670" t="str">
        <f>_xlfn.CONCAT("https://tablet.otzar.org/",CHAR(35),"/book/652917/p/-1/t/1/fs/0/start/0/end/0/c")</f>
        <v>https://tablet.otzar.org/#/book/652917/p/-1/t/1/fs/0/start/0/end/0/c</v>
      </c>
    </row>
    <row r="2671" spans="1:8" x14ac:dyDescent="0.25">
      <c r="A2671">
        <v>654251</v>
      </c>
      <c r="B2671" t="s">
        <v>5330</v>
      </c>
      <c r="C2671" t="s">
        <v>5331</v>
      </c>
      <c r="D2671" t="s">
        <v>10</v>
      </c>
      <c r="E2671" t="s">
        <v>11</v>
      </c>
      <c r="G2671" t="str">
        <f>HYPERLINK(_xlfn.CONCAT("https://tablet.otzar.org/",CHAR(35),"/book/654251/p/-1/t/1/fs/0/start/0/end/0/c"),"מתנת חן - תפילת הלל")</f>
        <v>מתנת חן - תפילת הלל</v>
      </c>
      <c r="H2671" t="str">
        <f>_xlfn.CONCAT("https://tablet.otzar.org/",CHAR(35),"/book/654251/p/-1/t/1/fs/0/start/0/end/0/c")</f>
        <v>https://tablet.otzar.org/#/book/654251/p/-1/t/1/fs/0/start/0/end/0/c</v>
      </c>
    </row>
    <row r="2672" spans="1:8" x14ac:dyDescent="0.25">
      <c r="A2672">
        <v>650891</v>
      </c>
      <c r="B2672" t="s">
        <v>5332</v>
      </c>
      <c r="C2672" t="s">
        <v>5333</v>
      </c>
      <c r="D2672" t="s">
        <v>287</v>
      </c>
      <c r="E2672" t="s">
        <v>70</v>
      </c>
      <c r="G2672" t="str">
        <f>HYPERLINK(_xlfn.CONCAT("https://tablet.otzar.org/",CHAR(35),"/book/650891/p/-1/t/1/fs/0/start/0/end/0/c"),"מתנת יד")</f>
        <v>מתנת יד</v>
      </c>
      <c r="H2672" t="str">
        <f>_xlfn.CONCAT("https://tablet.otzar.org/",CHAR(35),"/book/650891/p/-1/t/1/fs/0/start/0/end/0/c")</f>
        <v>https://tablet.otzar.org/#/book/650891/p/-1/t/1/fs/0/start/0/end/0/c</v>
      </c>
    </row>
    <row r="2673" spans="1:8" x14ac:dyDescent="0.25">
      <c r="A2673">
        <v>656196</v>
      </c>
      <c r="B2673" t="s">
        <v>5334</v>
      </c>
      <c r="C2673" t="s">
        <v>5335</v>
      </c>
      <c r="D2673" t="s">
        <v>52</v>
      </c>
      <c r="E2673" t="s">
        <v>224</v>
      </c>
      <c r="G2673" t="str">
        <f>HYPERLINK(_xlfn.CONCAT("https://tablet.otzar.org/",CHAR(35),"/exKotar/656196"),"מתנת יהודה - 3 כרכים")</f>
        <v>מתנת יהודה - 3 כרכים</v>
      </c>
      <c r="H2673" t="str">
        <f>_xlfn.CONCAT("https://tablet.otzar.org/",CHAR(35),"/exKotar/656196")</f>
        <v>https://tablet.otzar.org/#/exKotar/656196</v>
      </c>
    </row>
    <row r="2674" spans="1:8" x14ac:dyDescent="0.25">
      <c r="A2674">
        <v>652565</v>
      </c>
      <c r="B2674" t="s">
        <v>5336</v>
      </c>
      <c r="C2674" t="s">
        <v>5337</v>
      </c>
      <c r="E2674" t="s">
        <v>146</v>
      </c>
      <c r="G2674" t="str">
        <f>HYPERLINK(_xlfn.CONCAT("https://tablet.otzar.org/",CHAR(35),"/book/652565/p/-1/t/1/fs/0/start/0/end/0/c"),"מתפילה לגאולה")</f>
        <v>מתפילה לגאולה</v>
      </c>
      <c r="H2674" t="str">
        <f>_xlfn.CONCAT("https://tablet.otzar.org/",CHAR(35),"/book/652565/p/-1/t/1/fs/0/start/0/end/0/c")</f>
        <v>https://tablet.otzar.org/#/book/652565/p/-1/t/1/fs/0/start/0/end/0/c</v>
      </c>
    </row>
    <row r="2675" spans="1:8" x14ac:dyDescent="0.25">
      <c r="A2675">
        <v>650584</v>
      </c>
      <c r="B2675" t="s">
        <v>5338</v>
      </c>
      <c r="C2675" t="s">
        <v>5339</v>
      </c>
      <c r="D2675" t="s">
        <v>34</v>
      </c>
      <c r="E2675" t="s">
        <v>45</v>
      </c>
      <c r="G2675" t="str">
        <f>HYPERLINK(_xlfn.CONCAT("https://tablet.otzar.org/",CHAR(35),"/book/650584/p/-1/t/1/fs/0/start/0/end/0/c"),"נאה להודות")</f>
        <v>נאה להודות</v>
      </c>
      <c r="H2675" t="str">
        <f>_xlfn.CONCAT("https://tablet.otzar.org/",CHAR(35),"/book/650584/p/-1/t/1/fs/0/start/0/end/0/c")</f>
        <v>https://tablet.otzar.org/#/book/650584/p/-1/t/1/fs/0/start/0/end/0/c</v>
      </c>
    </row>
    <row r="2676" spans="1:8" x14ac:dyDescent="0.25">
      <c r="A2676">
        <v>652845</v>
      </c>
      <c r="B2676" t="s">
        <v>5340</v>
      </c>
      <c r="C2676" t="s">
        <v>5341</v>
      </c>
      <c r="D2676" t="s">
        <v>10</v>
      </c>
      <c r="E2676" t="s">
        <v>558</v>
      </c>
      <c r="G2676" t="str">
        <f>HYPERLINK(_xlfn.CONCAT("https://tablet.otzar.org/",CHAR(35),"/book/652845/p/-1/t/1/fs/0/start/0/end/0/c"),"נאות דשא - כתובות א")</f>
        <v>נאות דשא - כתובות א</v>
      </c>
      <c r="H2676" t="str">
        <f>_xlfn.CONCAT("https://tablet.otzar.org/",CHAR(35),"/book/652845/p/-1/t/1/fs/0/start/0/end/0/c")</f>
        <v>https://tablet.otzar.org/#/book/652845/p/-1/t/1/fs/0/start/0/end/0/c</v>
      </c>
    </row>
    <row r="2677" spans="1:8" x14ac:dyDescent="0.25">
      <c r="A2677">
        <v>653255</v>
      </c>
      <c r="B2677" t="s">
        <v>5342</v>
      </c>
      <c r="C2677" t="s">
        <v>180</v>
      </c>
      <c r="D2677" t="s">
        <v>52</v>
      </c>
      <c r="E2677" t="s">
        <v>11</v>
      </c>
      <c r="G2677" t="str">
        <f>HYPERLINK(_xlfn.CONCAT("https://tablet.otzar.org/",CHAR(35),"/exKotar/653255"),"נאות מרדכי - 2 כרכים")</f>
        <v>נאות מרדכי - 2 כרכים</v>
      </c>
      <c r="H2677" t="str">
        <f>_xlfn.CONCAT("https://tablet.otzar.org/",CHAR(35),"/exKotar/653255")</f>
        <v>https://tablet.otzar.org/#/exKotar/653255</v>
      </c>
    </row>
    <row r="2678" spans="1:8" x14ac:dyDescent="0.25">
      <c r="A2678">
        <v>653406</v>
      </c>
      <c r="B2678" t="s">
        <v>5343</v>
      </c>
      <c r="C2678" t="s">
        <v>5344</v>
      </c>
      <c r="D2678" t="s">
        <v>693</v>
      </c>
      <c r="E2678" t="s">
        <v>197</v>
      </c>
      <c r="G2678" t="str">
        <f>HYPERLINK(_xlfn.CONCAT("https://tablet.otzar.org/",CHAR(35),"/book/653406/p/-1/t/1/fs/0/start/0/end/0/c"),"נבואה שעריך")</f>
        <v>נבואה שעריך</v>
      </c>
      <c r="H2678" t="str">
        <f>_xlfn.CONCAT("https://tablet.otzar.org/",CHAR(35),"/book/653406/p/-1/t/1/fs/0/start/0/end/0/c")</f>
        <v>https://tablet.otzar.org/#/book/653406/p/-1/t/1/fs/0/start/0/end/0/c</v>
      </c>
    </row>
    <row r="2679" spans="1:8" x14ac:dyDescent="0.25">
      <c r="A2679">
        <v>638802</v>
      </c>
      <c r="B2679" t="s">
        <v>5345</v>
      </c>
      <c r="C2679" t="s">
        <v>5346</v>
      </c>
      <c r="D2679" t="s">
        <v>34</v>
      </c>
      <c r="E2679" t="s">
        <v>213</v>
      </c>
      <c r="G2679" t="str">
        <f>HYPERLINK(_xlfn.CONCAT("https://tablet.otzar.org/",CHAR(35),"/book/638802/p/-1/t/1/fs/0/start/0/end/0/c"),"נבטי דמעות")</f>
        <v>נבטי דמעות</v>
      </c>
      <c r="H2679" t="str">
        <f>_xlfn.CONCAT("https://tablet.otzar.org/",CHAR(35),"/book/638802/p/-1/t/1/fs/0/start/0/end/0/c")</f>
        <v>https://tablet.otzar.org/#/book/638802/p/-1/t/1/fs/0/start/0/end/0/c</v>
      </c>
    </row>
    <row r="2680" spans="1:8" x14ac:dyDescent="0.25">
      <c r="A2680">
        <v>647040</v>
      </c>
      <c r="B2680" t="s">
        <v>5347</v>
      </c>
      <c r="C2680" t="s">
        <v>5348</v>
      </c>
      <c r="D2680" t="s">
        <v>10</v>
      </c>
      <c r="E2680">
        <v>1987</v>
      </c>
      <c r="G2680" t="str">
        <f>HYPERLINK(_xlfn.CONCAT("https://tablet.otzar.org/",CHAR(35),"/book/647040/p/-1/t/1/fs/0/start/0/end/0/c"),"נגוהות מנבכים")</f>
        <v>נגוהות מנבכים</v>
      </c>
      <c r="H2680" t="str">
        <f>_xlfn.CONCAT("https://tablet.otzar.org/",CHAR(35),"/book/647040/p/-1/t/1/fs/0/start/0/end/0/c")</f>
        <v>https://tablet.otzar.org/#/book/647040/p/-1/t/1/fs/0/start/0/end/0/c</v>
      </c>
    </row>
    <row r="2681" spans="1:8" x14ac:dyDescent="0.25">
      <c r="A2681">
        <v>647691</v>
      </c>
      <c r="B2681" t="s">
        <v>5349</v>
      </c>
      <c r="C2681" t="s">
        <v>5350</v>
      </c>
      <c r="D2681" t="s">
        <v>10</v>
      </c>
      <c r="E2681" t="s">
        <v>35</v>
      </c>
      <c r="G2681" t="str">
        <f>HYPERLINK(_xlfn.CONCAT("https://tablet.otzar.org/",CHAR(35),"/book/647691/p/-1/t/1/fs/0/start/0/end/0/c"),"נדבות פי")</f>
        <v>נדבות פי</v>
      </c>
      <c r="H2681" t="str">
        <f>_xlfn.CONCAT("https://tablet.otzar.org/",CHAR(35),"/book/647691/p/-1/t/1/fs/0/start/0/end/0/c")</f>
        <v>https://tablet.otzar.org/#/book/647691/p/-1/t/1/fs/0/start/0/end/0/c</v>
      </c>
    </row>
    <row r="2682" spans="1:8" x14ac:dyDescent="0.25">
      <c r="A2682">
        <v>649257</v>
      </c>
      <c r="B2682" t="s">
        <v>5351</v>
      </c>
      <c r="C2682" t="s">
        <v>5352</v>
      </c>
      <c r="D2682" t="s">
        <v>5353</v>
      </c>
      <c r="E2682" t="s">
        <v>1330</v>
      </c>
      <c r="G2682" t="str">
        <f>HYPERLINK(_xlfn.CONCAT("https://tablet.otzar.org/",CHAR(35),"/book/649257/p/-1/t/1/fs/0/start/0/end/0/c"),"נדחי ישראל")</f>
        <v>נדחי ישראל</v>
      </c>
      <c r="H2682" t="str">
        <f>_xlfn.CONCAT("https://tablet.otzar.org/",CHAR(35),"/book/649257/p/-1/t/1/fs/0/start/0/end/0/c")</f>
        <v>https://tablet.otzar.org/#/book/649257/p/-1/t/1/fs/0/start/0/end/0/c</v>
      </c>
    </row>
    <row r="2683" spans="1:8" x14ac:dyDescent="0.25">
      <c r="A2683">
        <v>647530</v>
      </c>
      <c r="B2683" t="s">
        <v>5354</v>
      </c>
      <c r="C2683" t="s">
        <v>5355</v>
      </c>
      <c r="D2683" t="s">
        <v>34</v>
      </c>
      <c r="E2683" t="s">
        <v>70</v>
      </c>
      <c r="G2683" t="str">
        <f>HYPERLINK(_xlfn.CONCAT("https://tablet.otzar.org/",CHAR(35),"/book/647530/p/-1/t/1/fs/0/start/0/end/0/c"),"נהורא דשמעתתא - גליונות תשפ""""א")</f>
        <v>נהורא דשמעתתא - גליונות תשפ""א</v>
      </c>
      <c r="H2683" t="str">
        <f>_xlfn.CONCAT("https://tablet.otzar.org/",CHAR(35),"/book/647530/p/-1/t/1/fs/0/start/0/end/0/c")</f>
        <v>https://tablet.otzar.org/#/book/647530/p/-1/t/1/fs/0/start/0/end/0/c</v>
      </c>
    </row>
    <row r="2684" spans="1:8" x14ac:dyDescent="0.25">
      <c r="A2684">
        <v>643172</v>
      </c>
      <c r="B2684" t="s">
        <v>5356</v>
      </c>
      <c r="C2684" t="s">
        <v>5357</v>
      </c>
      <c r="D2684" t="s">
        <v>34</v>
      </c>
      <c r="E2684" t="s">
        <v>184</v>
      </c>
      <c r="G2684" t="str">
        <f>HYPERLINK(_xlfn.CONCAT("https://tablet.otzar.org/",CHAR(35),"/book/643172/p/-1/t/1/fs/0/start/0/end/0/c"),"נהורא מעליא")</f>
        <v>נהורא מעליא</v>
      </c>
      <c r="H2684" t="str">
        <f>_xlfn.CONCAT("https://tablet.otzar.org/",CHAR(35),"/book/643172/p/-1/t/1/fs/0/start/0/end/0/c")</f>
        <v>https://tablet.otzar.org/#/book/643172/p/-1/t/1/fs/0/start/0/end/0/c</v>
      </c>
    </row>
    <row r="2685" spans="1:8" x14ac:dyDescent="0.25">
      <c r="A2685">
        <v>649881</v>
      </c>
      <c r="B2685" t="s">
        <v>5358</v>
      </c>
      <c r="C2685" t="s">
        <v>5359</v>
      </c>
      <c r="D2685" t="s">
        <v>796</v>
      </c>
      <c r="E2685" t="s">
        <v>35</v>
      </c>
      <c r="G2685" t="str">
        <f>HYPERLINK(_xlfn.CONCAT("https://tablet.otzar.org/",CHAR(35),"/book/649881/p/-1/t/1/fs/0/start/0/end/0/c"),"נהר יעקב - משכון")</f>
        <v>נהר יעקב - משכון</v>
      </c>
      <c r="H2685" t="str">
        <f>_xlfn.CONCAT("https://tablet.otzar.org/",CHAR(35),"/book/649881/p/-1/t/1/fs/0/start/0/end/0/c")</f>
        <v>https://tablet.otzar.org/#/book/649881/p/-1/t/1/fs/0/start/0/end/0/c</v>
      </c>
    </row>
    <row r="2686" spans="1:8" x14ac:dyDescent="0.25">
      <c r="A2686">
        <v>649049</v>
      </c>
      <c r="B2686" t="s">
        <v>5360</v>
      </c>
      <c r="C2686" t="s">
        <v>5361</v>
      </c>
      <c r="D2686" t="s">
        <v>52</v>
      </c>
      <c r="E2686" t="s">
        <v>11</v>
      </c>
      <c r="G2686" t="str">
        <f>HYPERLINK(_xlfn.CONCAT("https://tablet.otzar.org/",CHAR(35),"/book/649049/p/-1/t/1/fs/0/start/0/end/0/c"),"נהר מעדן - ח")</f>
        <v>נהר מעדן - ח</v>
      </c>
      <c r="H2686" t="str">
        <f>_xlfn.CONCAT("https://tablet.otzar.org/",CHAR(35),"/book/649049/p/-1/t/1/fs/0/start/0/end/0/c")</f>
        <v>https://tablet.otzar.org/#/book/649049/p/-1/t/1/fs/0/start/0/end/0/c</v>
      </c>
    </row>
    <row r="2687" spans="1:8" x14ac:dyDescent="0.25">
      <c r="A2687">
        <v>648512</v>
      </c>
      <c r="B2687" t="s">
        <v>5362</v>
      </c>
      <c r="C2687" t="s">
        <v>5363</v>
      </c>
      <c r="D2687" t="s">
        <v>951</v>
      </c>
      <c r="E2687" t="s">
        <v>11</v>
      </c>
      <c r="G2687" t="str">
        <f>HYPERLINK(_xlfn.CONCAT("https://tablet.otzar.org/",CHAR(35),"/book/648512/p/-1/t/1/fs/0/start/0/end/0/c"),"נהרות איתן - ז")</f>
        <v>נהרות איתן - ז</v>
      </c>
      <c r="H2687" t="str">
        <f>_xlfn.CONCAT("https://tablet.otzar.org/",CHAR(35),"/book/648512/p/-1/t/1/fs/0/start/0/end/0/c")</f>
        <v>https://tablet.otzar.org/#/book/648512/p/-1/t/1/fs/0/start/0/end/0/c</v>
      </c>
    </row>
    <row r="2688" spans="1:8" x14ac:dyDescent="0.25">
      <c r="A2688">
        <v>654367</v>
      </c>
      <c r="B2688" t="s">
        <v>5364</v>
      </c>
      <c r="C2688" t="s">
        <v>5365</v>
      </c>
      <c r="D2688" t="s">
        <v>10</v>
      </c>
      <c r="E2688" t="s">
        <v>11</v>
      </c>
      <c r="G2688" t="str">
        <f>HYPERLINK(_xlfn.CONCAT("https://tablet.otzar.org/",CHAR(35),"/book/654367/p/-1/t/1/fs/0/start/0/end/0/c"),"נועם התלמוד - בבא בתרא")</f>
        <v>נועם התלמוד - בבא בתרא</v>
      </c>
      <c r="H2688" t="str">
        <f>_xlfn.CONCAT("https://tablet.otzar.org/",CHAR(35),"/book/654367/p/-1/t/1/fs/0/start/0/end/0/c")</f>
        <v>https://tablet.otzar.org/#/book/654367/p/-1/t/1/fs/0/start/0/end/0/c</v>
      </c>
    </row>
    <row r="2689" spans="1:8" x14ac:dyDescent="0.25">
      <c r="A2689">
        <v>650892</v>
      </c>
      <c r="B2689" t="s">
        <v>5366</v>
      </c>
      <c r="C2689" t="s">
        <v>5367</v>
      </c>
      <c r="D2689" t="s">
        <v>52</v>
      </c>
      <c r="E2689" t="s">
        <v>35</v>
      </c>
      <c r="G2689" t="str">
        <f>HYPERLINK(_xlfn.CONCAT("https://tablet.otzar.org/",CHAR(35),"/book/650892/p/-1/t/1/fs/0/start/0/end/0/c"),"נועם יצחק")</f>
        <v>נועם יצחק</v>
      </c>
      <c r="H2689" t="str">
        <f>_xlfn.CONCAT("https://tablet.otzar.org/",CHAR(35),"/book/650892/p/-1/t/1/fs/0/start/0/end/0/c")</f>
        <v>https://tablet.otzar.org/#/book/650892/p/-1/t/1/fs/0/start/0/end/0/c</v>
      </c>
    </row>
    <row r="2690" spans="1:8" x14ac:dyDescent="0.25">
      <c r="A2690">
        <v>650069</v>
      </c>
      <c r="B2690" t="s">
        <v>5368</v>
      </c>
      <c r="C2690" t="s">
        <v>5369</v>
      </c>
      <c r="D2690" t="s">
        <v>52</v>
      </c>
      <c r="E2690" t="s">
        <v>507</v>
      </c>
      <c r="G2690" t="str">
        <f>HYPERLINK(_xlfn.CONCAT("https://tablet.otzar.org/",CHAR(35),"/exKotar/650069"),"נועם משה - 2 כרכים")</f>
        <v>נועם משה - 2 כרכים</v>
      </c>
      <c r="H2690" t="str">
        <f>_xlfn.CONCAT("https://tablet.otzar.org/",CHAR(35),"/exKotar/650069")</f>
        <v>https://tablet.otzar.org/#/exKotar/650069</v>
      </c>
    </row>
    <row r="2691" spans="1:8" x14ac:dyDescent="0.25">
      <c r="A2691">
        <v>654205</v>
      </c>
      <c r="B2691" t="s">
        <v>5370</v>
      </c>
      <c r="C2691" t="s">
        <v>153</v>
      </c>
      <c r="D2691" t="s">
        <v>10</v>
      </c>
      <c r="E2691" t="s">
        <v>146</v>
      </c>
      <c r="G2691" t="str">
        <f>HYPERLINK(_xlfn.CONCAT("https://tablet.otzar.org/",CHAR(35),"/book/654205/p/-1/t/1/fs/0/start/0/end/0/c"),"נועם שבת")</f>
        <v>נועם שבת</v>
      </c>
      <c r="H2691" t="str">
        <f>_xlfn.CONCAT("https://tablet.otzar.org/",CHAR(35),"/book/654205/p/-1/t/1/fs/0/start/0/end/0/c")</f>
        <v>https://tablet.otzar.org/#/book/654205/p/-1/t/1/fs/0/start/0/end/0/c</v>
      </c>
    </row>
    <row r="2692" spans="1:8" x14ac:dyDescent="0.25">
      <c r="A2692">
        <v>651638</v>
      </c>
      <c r="B2692" t="s">
        <v>5371</v>
      </c>
      <c r="C2692" t="s">
        <v>5372</v>
      </c>
      <c r="D2692" t="s">
        <v>347</v>
      </c>
      <c r="E2692" t="s">
        <v>35</v>
      </c>
      <c r="G2692" t="str">
        <f>HYPERLINK(_xlfn.CONCAT("https://tablet.otzar.org/",CHAR(35),"/book/651638/p/-1/t/1/fs/0/start/0/end/0/c"),"נועם שיח - תשפ""""א (ויגש)")</f>
        <v>נועם שיח - תשפ""א (ויגש)</v>
      </c>
      <c r="H2692" t="str">
        <f>_xlfn.CONCAT("https://tablet.otzar.org/",CHAR(35),"/book/651638/p/-1/t/1/fs/0/start/0/end/0/c")</f>
        <v>https://tablet.otzar.org/#/book/651638/p/-1/t/1/fs/0/start/0/end/0/c</v>
      </c>
    </row>
    <row r="2693" spans="1:8" x14ac:dyDescent="0.25">
      <c r="A2693">
        <v>656358</v>
      </c>
      <c r="B2693" t="s">
        <v>5373</v>
      </c>
      <c r="C2693" t="s">
        <v>5374</v>
      </c>
      <c r="D2693" t="s">
        <v>52</v>
      </c>
      <c r="E2693" t="s">
        <v>399</v>
      </c>
      <c r="G2693" t="str">
        <f>HYPERLINK(_xlfn.CONCAT("https://tablet.otzar.org/",CHAR(35),"/book/656358/p/-1/t/1/fs/0/start/0/end/0/c"),"נופת צופים - ש""""כ חקירות וספיקות")</f>
        <v>נופת צופים - ש""כ חקירות וספיקות</v>
      </c>
      <c r="H2693" t="str">
        <f>_xlfn.CONCAT("https://tablet.otzar.org/",CHAR(35),"/book/656358/p/-1/t/1/fs/0/start/0/end/0/c")</f>
        <v>https://tablet.otzar.org/#/book/656358/p/-1/t/1/fs/0/start/0/end/0/c</v>
      </c>
    </row>
    <row r="2694" spans="1:8" x14ac:dyDescent="0.25">
      <c r="A2694">
        <v>650548</v>
      </c>
      <c r="B2694" t="s">
        <v>5375</v>
      </c>
      <c r="C2694" t="s">
        <v>330</v>
      </c>
      <c r="D2694" t="s">
        <v>10</v>
      </c>
      <c r="E2694" t="s">
        <v>11</v>
      </c>
      <c r="G2694" t="str">
        <f>HYPERLINK(_xlfn.CONCAT("https://tablet.otzar.org/",CHAR(35),"/book/650548/p/-1/t/1/fs/0/start/0/end/0/c"),"נוצר הברית")</f>
        <v>נוצר הברית</v>
      </c>
      <c r="H2694" t="str">
        <f>_xlfn.CONCAT("https://tablet.otzar.org/",CHAR(35),"/book/650548/p/-1/t/1/fs/0/start/0/end/0/c")</f>
        <v>https://tablet.otzar.org/#/book/650548/p/-1/t/1/fs/0/start/0/end/0/c</v>
      </c>
    </row>
    <row r="2695" spans="1:8" x14ac:dyDescent="0.25">
      <c r="A2695">
        <v>652613</v>
      </c>
      <c r="B2695" t="s">
        <v>5376</v>
      </c>
      <c r="C2695" t="s">
        <v>5377</v>
      </c>
      <c r="D2695" t="s">
        <v>34</v>
      </c>
      <c r="E2695" t="s">
        <v>19</v>
      </c>
      <c r="G2695" t="str">
        <f>HYPERLINK(_xlfn.CONCAT("https://tablet.otzar.org/",CHAR(35),"/book/652613/p/-1/t/1/fs/0/start/0/end/0/c"),"נושאי הרי""""ח")</f>
        <v>נושאי הרי""ח</v>
      </c>
      <c r="H2695" t="str">
        <f>_xlfn.CONCAT("https://tablet.otzar.org/",CHAR(35),"/book/652613/p/-1/t/1/fs/0/start/0/end/0/c")</f>
        <v>https://tablet.otzar.org/#/book/652613/p/-1/t/1/fs/0/start/0/end/0/c</v>
      </c>
    </row>
    <row r="2696" spans="1:8" x14ac:dyDescent="0.25">
      <c r="A2696">
        <v>650700</v>
      </c>
      <c r="B2696" t="s">
        <v>5378</v>
      </c>
      <c r="C2696" t="s">
        <v>5379</v>
      </c>
      <c r="D2696" t="s">
        <v>34</v>
      </c>
      <c r="E2696" t="s">
        <v>117</v>
      </c>
      <c r="G2696" t="str">
        <f>HYPERLINK(_xlfn.CONCAT("https://tablet.otzar.org/",CHAR(35),"/book/650700/p/-1/t/1/fs/0/start/0/end/0/c"),"נותן טעם - קידושין")</f>
        <v>נותן טעם - קידושין</v>
      </c>
      <c r="H2696" t="str">
        <f>_xlfn.CONCAT("https://tablet.otzar.org/",CHAR(35),"/book/650700/p/-1/t/1/fs/0/start/0/end/0/c")</f>
        <v>https://tablet.otzar.org/#/book/650700/p/-1/t/1/fs/0/start/0/end/0/c</v>
      </c>
    </row>
    <row r="2697" spans="1:8" x14ac:dyDescent="0.25">
      <c r="A2697">
        <v>650006</v>
      </c>
      <c r="B2697" t="s">
        <v>5380</v>
      </c>
      <c r="C2697" t="s">
        <v>209</v>
      </c>
      <c r="D2697" t="s">
        <v>52</v>
      </c>
      <c r="E2697" t="s">
        <v>35</v>
      </c>
      <c r="G2697" t="str">
        <f>HYPERLINK(_xlfn.CONCAT("https://tablet.otzar.org/",CHAR(35),"/book/650006/p/-1/t/1/fs/0/start/0/end/0/c"),"נותן לחם")</f>
        <v>נותן לחם</v>
      </c>
      <c r="H2697" t="str">
        <f>_xlfn.CONCAT("https://tablet.otzar.org/",CHAR(35),"/book/650006/p/-1/t/1/fs/0/start/0/end/0/c")</f>
        <v>https://tablet.otzar.org/#/book/650006/p/-1/t/1/fs/0/start/0/end/0/c</v>
      </c>
    </row>
    <row r="2698" spans="1:8" x14ac:dyDescent="0.25">
      <c r="A2698">
        <v>649953</v>
      </c>
      <c r="B2698" t="s">
        <v>5381</v>
      </c>
      <c r="C2698" t="s">
        <v>5382</v>
      </c>
      <c r="D2698" t="s">
        <v>58</v>
      </c>
      <c r="E2698" t="s">
        <v>5383</v>
      </c>
      <c r="G2698" t="str">
        <f>HYPERLINK(_xlfn.CONCAT("https://tablet.otzar.org/",CHAR(35),"/book/649953/p/-1/t/1/fs/0/start/0/end/0/c"),"נזכר הלכה")</f>
        <v>נזכר הלכה</v>
      </c>
      <c r="H2698" t="str">
        <f>_xlfn.CONCAT("https://tablet.otzar.org/",CHAR(35),"/book/649953/p/-1/t/1/fs/0/start/0/end/0/c")</f>
        <v>https://tablet.otzar.org/#/book/649953/p/-1/t/1/fs/0/start/0/end/0/c</v>
      </c>
    </row>
    <row r="2699" spans="1:8" x14ac:dyDescent="0.25">
      <c r="A2699">
        <v>651714</v>
      </c>
      <c r="B2699" t="s">
        <v>5384</v>
      </c>
      <c r="C2699" t="s">
        <v>5385</v>
      </c>
      <c r="D2699" t="s">
        <v>52</v>
      </c>
      <c r="E2699" t="s">
        <v>704</v>
      </c>
      <c r="G2699" t="str">
        <f>HYPERLINK(_xlfn.CONCAT("https://tablet.otzar.org/",CHAR(35),"/book/651714/p/-1/t/1/fs/0/start/0/end/0/c"),"נזר אברהם - עירובין, שבת, ביצה")</f>
        <v>נזר אברהם - עירובין, שבת, ביצה</v>
      </c>
      <c r="H2699" t="str">
        <f>_xlfn.CONCAT("https://tablet.otzar.org/",CHAR(35),"/book/651714/p/-1/t/1/fs/0/start/0/end/0/c")</f>
        <v>https://tablet.otzar.org/#/book/651714/p/-1/t/1/fs/0/start/0/end/0/c</v>
      </c>
    </row>
    <row r="2700" spans="1:8" x14ac:dyDescent="0.25">
      <c r="A2700">
        <v>655064</v>
      </c>
      <c r="B2700" t="s">
        <v>5386</v>
      </c>
      <c r="C2700" t="s">
        <v>5387</v>
      </c>
      <c r="D2700" t="s">
        <v>621</v>
      </c>
      <c r="E2700" t="s">
        <v>11</v>
      </c>
      <c r="G2700" t="str">
        <f>HYPERLINK(_xlfn.CONCAT("https://tablet.otzar.org/",CHAR(35),"/book/655064/p/-1/t/1/fs/0/start/0/end/0/c"),"נזר אברהם - זבחים ב")</f>
        <v>נזר אברהם - זבחים ב</v>
      </c>
      <c r="H2700" t="str">
        <f>_xlfn.CONCAT("https://tablet.otzar.org/",CHAR(35),"/book/655064/p/-1/t/1/fs/0/start/0/end/0/c")</f>
        <v>https://tablet.otzar.org/#/book/655064/p/-1/t/1/fs/0/start/0/end/0/c</v>
      </c>
    </row>
    <row r="2701" spans="1:8" x14ac:dyDescent="0.25">
      <c r="A2701">
        <v>647683</v>
      </c>
      <c r="B2701" t="s">
        <v>5388</v>
      </c>
      <c r="C2701" t="s">
        <v>5389</v>
      </c>
      <c r="D2701" t="s">
        <v>52</v>
      </c>
      <c r="E2701" t="s">
        <v>769</v>
      </c>
      <c r="G2701" t="str">
        <f>HYPERLINK(_xlfn.CONCAT("https://tablet.otzar.org/",CHAR(35),"/book/647683/p/-1/t/1/fs/0/start/0/end/0/c"),"נזר אריה")</f>
        <v>נזר אריה</v>
      </c>
      <c r="H2701" t="str">
        <f>_xlfn.CONCAT("https://tablet.otzar.org/",CHAR(35),"/book/647683/p/-1/t/1/fs/0/start/0/end/0/c")</f>
        <v>https://tablet.otzar.org/#/book/647683/p/-1/t/1/fs/0/start/0/end/0/c</v>
      </c>
    </row>
    <row r="2702" spans="1:8" x14ac:dyDescent="0.25">
      <c r="A2702">
        <v>647540</v>
      </c>
      <c r="B2702" t="s">
        <v>5390</v>
      </c>
      <c r="C2702" t="s">
        <v>5391</v>
      </c>
      <c r="D2702" t="s">
        <v>34</v>
      </c>
      <c r="E2702" t="s">
        <v>84</v>
      </c>
      <c r="G2702" t="str">
        <f>HYPERLINK(_xlfn.CONCAT("https://tablet.otzar.org/",CHAR(35),"/book/647540/p/-1/t/1/fs/0/start/0/end/0/c"),"נזר הקודש &lt;מהדורה חדשה&gt; - בכורות-ערכין")</f>
        <v>נזר הקודש &lt;מהדורה חדשה&gt; - בכורות-ערכין</v>
      </c>
      <c r="H2702" t="str">
        <f>_xlfn.CONCAT("https://tablet.otzar.org/",CHAR(35),"/book/647540/p/-1/t/1/fs/0/start/0/end/0/c")</f>
        <v>https://tablet.otzar.org/#/book/647540/p/-1/t/1/fs/0/start/0/end/0/c</v>
      </c>
    </row>
    <row r="2703" spans="1:8" x14ac:dyDescent="0.25">
      <c r="A2703">
        <v>652972</v>
      </c>
      <c r="B2703" t="s">
        <v>5392</v>
      </c>
      <c r="C2703" t="s">
        <v>5393</v>
      </c>
      <c r="D2703" t="s">
        <v>424</v>
      </c>
      <c r="E2703" t="s">
        <v>35</v>
      </c>
      <c r="G2703" t="str">
        <f>HYPERLINK(_xlfn.CONCAT("https://tablet.otzar.org/",CHAR(35),"/book/652972/p/-1/t/1/fs/0/start/0/end/0/c"),"נזר ים - על הש""""ס")</f>
        <v>נזר ים - על הש""ס</v>
      </c>
      <c r="H2703" t="str">
        <f>_xlfn.CONCAT("https://tablet.otzar.org/",CHAR(35),"/book/652972/p/-1/t/1/fs/0/start/0/end/0/c")</f>
        <v>https://tablet.otzar.org/#/book/652972/p/-1/t/1/fs/0/start/0/end/0/c</v>
      </c>
    </row>
    <row r="2704" spans="1:8" x14ac:dyDescent="0.25">
      <c r="A2704">
        <v>649037</v>
      </c>
      <c r="B2704" t="s">
        <v>5394</v>
      </c>
      <c r="C2704" t="s">
        <v>5395</v>
      </c>
      <c r="D2704" t="s">
        <v>10</v>
      </c>
      <c r="E2704" t="s">
        <v>35</v>
      </c>
      <c r="G2704" t="str">
        <f>HYPERLINK(_xlfn.CONCAT("https://tablet.otzar.org/",CHAR(35),"/book/649037/p/-1/t/1/fs/0/start/0/end/0/c"),"נזר כהן - ג")</f>
        <v>נזר כהן - ג</v>
      </c>
      <c r="H2704" t="str">
        <f>_xlfn.CONCAT("https://tablet.otzar.org/",CHAR(35),"/book/649037/p/-1/t/1/fs/0/start/0/end/0/c")</f>
        <v>https://tablet.otzar.org/#/book/649037/p/-1/t/1/fs/0/start/0/end/0/c</v>
      </c>
    </row>
    <row r="2705" spans="1:8" x14ac:dyDescent="0.25">
      <c r="A2705">
        <v>651537</v>
      </c>
      <c r="B2705" t="s">
        <v>5396</v>
      </c>
      <c r="C2705" t="s">
        <v>5397</v>
      </c>
      <c r="D2705" t="s">
        <v>10</v>
      </c>
      <c r="E2705" t="s">
        <v>11</v>
      </c>
      <c r="G2705" t="str">
        <f>HYPERLINK(_xlfn.CONCAT("https://tablet.otzar.org/",CHAR(35),"/book/651537/p/-1/t/1/fs/0/start/0/end/0/c"),"נזר משה - פורים")</f>
        <v>נזר משה - פורים</v>
      </c>
      <c r="H2705" t="str">
        <f>_xlfn.CONCAT("https://tablet.otzar.org/",CHAR(35),"/book/651537/p/-1/t/1/fs/0/start/0/end/0/c")</f>
        <v>https://tablet.otzar.org/#/book/651537/p/-1/t/1/fs/0/start/0/end/0/c</v>
      </c>
    </row>
    <row r="2706" spans="1:8" x14ac:dyDescent="0.25">
      <c r="A2706">
        <v>650620</v>
      </c>
      <c r="B2706" t="s">
        <v>5398</v>
      </c>
      <c r="C2706" t="s">
        <v>5399</v>
      </c>
      <c r="D2706" t="s">
        <v>52</v>
      </c>
      <c r="E2706" t="s">
        <v>146</v>
      </c>
      <c r="G2706" t="str">
        <f>HYPERLINK(_xlfn.CONCAT("https://tablet.otzar.org/",CHAR(35),"/book/650620/p/-1/t/1/fs/0/start/0/end/0/c"),"נזר שלמה - נדה")</f>
        <v>נזר שלמה - נדה</v>
      </c>
      <c r="H2706" t="str">
        <f>_xlfn.CONCAT("https://tablet.otzar.org/",CHAR(35),"/book/650620/p/-1/t/1/fs/0/start/0/end/0/c")</f>
        <v>https://tablet.otzar.org/#/book/650620/p/-1/t/1/fs/0/start/0/end/0/c</v>
      </c>
    </row>
    <row r="2707" spans="1:8" x14ac:dyDescent="0.25">
      <c r="A2707">
        <v>651583</v>
      </c>
      <c r="B2707" t="s">
        <v>5400</v>
      </c>
      <c r="C2707" t="s">
        <v>5401</v>
      </c>
      <c r="D2707" t="s">
        <v>10</v>
      </c>
      <c r="E2707" t="s">
        <v>45</v>
      </c>
      <c r="G2707" t="str">
        <f>HYPERLINK(_xlfn.CONCAT("https://tablet.otzar.org/",CHAR(35),"/book/651583/p/-1/t/1/fs/0/start/0/end/0/c"),"נזרי חיים - נזיר")</f>
        <v>נזרי חיים - נזיר</v>
      </c>
      <c r="H2707" t="str">
        <f>_xlfn.CONCAT("https://tablet.otzar.org/",CHAR(35),"/book/651583/p/-1/t/1/fs/0/start/0/end/0/c")</f>
        <v>https://tablet.otzar.org/#/book/651583/p/-1/t/1/fs/0/start/0/end/0/c</v>
      </c>
    </row>
    <row r="2708" spans="1:8" x14ac:dyDescent="0.25">
      <c r="A2708">
        <v>648807</v>
      </c>
      <c r="B2708" t="s">
        <v>5402</v>
      </c>
      <c r="C2708" t="s">
        <v>5403</v>
      </c>
      <c r="D2708" t="s">
        <v>10</v>
      </c>
      <c r="E2708" t="s">
        <v>224</v>
      </c>
      <c r="G2708" t="str">
        <f>HYPERLINK(_xlfn.CONCAT("https://tablet.otzar.org/",CHAR(35),"/book/648807/p/-1/t/1/fs/0/start/0/end/0/c"),"נחל איתן")</f>
        <v>נחל איתן</v>
      </c>
      <c r="H2708" t="str">
        <f>_xlfn.CONCAT("https://tablet.otzar.org/",CHAR(35),"/book/648807/p/-1/t/1/fs/0/start/0/end/0/c")</f>
        <v>https://tablet.otzar.org/#/book/648807/p/-1/t/1/fs/0/start/0/end/0/c</v>
      </c>
    </row>
    <row r="2709" spans="1:8" x14ac:dyDescent="0.25">
      <c r="A2709">
        <v>647721</v>
      </c>
      <c r="B2709" t="s">
        <v>5404</v>
      </c>
      <c r="C2709" t="s">
        <v>5405</v>
      </c>
      <c r="D2709" t="s">
        <v>52</v>
      </c>
      <c r="E2709" t="s">
        <v>70</v>
      </c>
      <c r="G2709" t="str">
        <f>HYPERLINK(_xlfn.CONCAT("https://tablet.otzar.org/",CHAR(35),"/book/647721/p/-1/t/1/fs/0/start/0/end/0/c"),"נחל עדניך - ישועת אלעזר")</f>
        <v>נחל עדניך - ישועת אלעזר</v>
      </c>
      <c r="H2709" t="str">
        <f>_xlfn.CONCAT("https://tablet.otzar.org/",CHAR(35),"/book/647721/p/-1/t/1/fs/0/start/0/end/0/c")</f>
        <v>https://tablet.otzar.org/#/book/647721/p/-1/t/1/fs/0/start/0/end/0/c</v>
      </c>
    </row>
    <row r="2710" spans="1:8" x14ac:dyDescent="0.25">
      <c r="A2710">
        <v>649710</v>
      </c>
      <c r="B2710" t="s">
        <v>5406</v>
      </c>
      <c r="C2710" t="s">
        <v>5227</v>
      </c>
      <c r="D2710" t="s">
        <v>1195</v>
      </c>
      <c r="E2710" t="s">
        <v>574</v>
      </c>
      <c r="G2710" t="str">
        <f>HYPERLINK(_xlfn.CONCAT("https://tablet.otzar.org/",CHAR(35),"/book/649710/p/-1/t/1/fs/0/start/0/end/0/c"),"נחל קדומים - (בראשית-במדבר)")</f>
        <v>נחל קדומים - (בראשית-במדבר)</v>
      </c>
      <c r="H2710" t="str">
        <f>_xlfn.CONCAT("https://tablet.otzar.org/",CHAR(35),"/book/649710/p/-1/t/1/fs/0/start/0/end/0/c")</f>
        <v>https://tablet.otzar.org/#/book/649710/p/-1/t/1/fs/0/start/0/end/0/c</v>
      </c>
    </row>
    <row r="2711" spans="1:8" x14ac:dyDescent="0.25">
      <c r="A2711">
        <v>648460</v>
      </c>
      <c r="B2711" t="s">
        <v>5407</v>
      </c>
      <c r="C2711" t="s">
        <v>5408</v>
      </c>
      <c r="D2711" t="s">
        <v>5409</v>
      </c>
      <c r="E2711" t="s">
        <v>2057</v>
      </c>
      <c r="G2711" t="str">
        <f>HYPERLINK(_xlfn.CONCAT("https://tablet.otzar.org/",CHAR(35),"/book/648460/p/-1/t/1/fs/0/start/0/end/0/c"),"נחלי דבש")</f>
        <v>נחלי דבש</v>
      </c>
      <c r="H2711" t="str">
        <f>_xlfn.CONCAT("https://tablet.otzar.org/",CHAR(35),"/book/648460/p/-1/t/1/fs/0/start/0/end/0/c")</f>
        <v>https://tablet.otzar.org/#/book/648460/p/-1/t/1/fs/0/start/0/end/0/c</v>
      </c>
    </row>
    <row r="2712" spans="1:8" x14ac:dyDescent="0.25">
      <c r="A2712">
        <v>655772</v>
      </c>
      <c r="B2712" t="s">
        <v>5410</v>
      </c>
      <c r="C2712" t="s">
        <v>2794</v>
      </c>
      <c r="D2712" t="s">
        <v>10</v>
      </c>
      <c r="E2712" t="s">
        <v>35</v>
      </c>
      <c r="G2712" t="str">
        <f>HYPERLINK(_xlfn.CONCAT("https://tablet.otzar.org/",CHAR(35),"/book/655772/p/-1/t/1/fs/0/start/0/end/0/c"),"נחלי מים")</f>
        <v>נחלי מים</v>
      </c>
      <c r="H2712" t="str">
        <f>_xlfn.CONCAT("https://tablet.otzar.org/",CHAR(35),"/book/655772/p/-1/t/1/fs/0/start/0/end/0/c")</f>
        <v>https://tablet.otzar.org/#/book/655772/p/-1/t/1/fs/0/start/0/end/0/c</v>
      </c>
    </row>
    <row r="2713" spans="1:8" x14ac:dyDescent="0.25">
      <c r="A2713">
        <v>654283</v>
      </c>
      <c r="B2713" t="s">
        <v>5411</v>
      </c>
      <c r="C2713" t="s">
        <v>5412</v>
      </c>
      <c r="D2713" t="s">
        <v>510</v>
      </c>
      <c r="E2713" t="s">
        <v>11</v>
      </c>
      <c r="G2713" t="str">
        <f>HYPERLINK(_xlfn.CONCAT("https://tablet.otzar.org/",CHAR(35),"/exKotar/654283"),"נחלי צבי &lt;אגדות הש""""ס&gt;  - 2 כרכים")</f>
        <v>נחלי צבי &lt;אגדות הש""ס&gt;  - 2 כרכים</v>
      </c>
      <c r="H2713" t="str">
        <f>_xlfn.CONCAT("https://tablet.otzar.org/",CHAR(35),"/exKotar/654283")</f>
        <v>https://tablet.otzar.org/#/exKotar/654283</v>
      </c>
    </row>
    <row r="2714" spans="1:8" x14ac:dyDescent="0.25">
      <c r="A2714">
        <v>652604</v>
      </c>
      <c r="B2714" t="s">
        <v>5413</v>
      </c>
      <c r="C2714" t="s">
        <v>5414</v>
      </c>
      <c r="D2714" t="s">
        <v>52</v>
      </c>
      <c r="E2714" t="s">
        <v>11</v>
      </c>
      <c r="G2714" t="str">
        <f>HYPERLINK(_xlfn.CONCAT("https://tablet.otzar.org/",CHAR(35),"/exKotar/652604"),"נחלת אברהם - 2 כרכים")</f>
        <v>נחלת אברהם - 2 כרכים</v>
      </c>
      <c r="H2714" t="str">
        <f>_xlfn.CONCAT("https://tablet.otzar.org/",CHAR(35),"/exKotar/652604")</f>
        <v>https://tablet.otzar.org/#/exKotar/652604</v>
      </c>
    </row>
    <row r="2715" spans="1:8" x14ac:dyDescent="0.25">
      <c r="A2715">
        <v>647937</v>
      </c>
      <c r="B2715" t="s">
        <v>5415</v>
      </c>
      <c r="C2715" t="s">
        <v>2596</v>
      </c>
      <c r="D2715" t="s">
        <v>948</v>
      </c>
      <c r="E2715" t="s">
        <v>70</v>
      </c>
      <c r="G2715" t="str">
        <f>HYPERLINK(_xlfn.CONCAT("https://tablet.otzar.org/",CHAR(35),"/book/647937/p/-1/t/1/fs/0/start/0/end/0/c"),"נחלת אפרים")</f>
        <v>נחלת אפרים</v>
      </c>
      <c r="H2715" t="str">
        <f>_xlfn.CONCAT("https://tablet.otzar.org/",CHAR(35),"/book/647937/p/-1/t/1/fs/0/start/0/end/0/c")</f>
        <v>https://tablet.otzar.org/#/book/647937/p/-1/t/1/fs/0/start/0/end/0/c</v>
      </c>
    </row>
    <row r="2716" spans="1:8" x14ac:dyDescent="0.25">
      <c r="A2716">
        <v>652590</v>
      </c>
      <c r="B2716" t="s">
        <v>5416</v>
      </c>
      <c r="C2716" t="s">
        <v>5417</v>
      </c>
      <c r="D2716" t="s">
        <v>58</v>
      </c>
      <c r="E2716" t="s">
        <v>2051</v>
      </c>
      <c r="G2716" t="str">
        <f>HYPERLINK(_xlfn.CONCAT("https://tablet.otzar.org/",CHAR(35),"/book/652590/p/-1/t/1/fs/0/start/0/end/0/c"),"נחלת דוד - בבא קמא")</f>
        <v>נחלת דוד - בבא קמא</v>
      </c>
      <c r="H2716" t="str">
        <f>_xlfn.CONCAT("https://tablet.otzar.org/",CHAR(35),"/book/652590/p/-1/t/1/fs/0/start/0/end/0/c")</f>
        <v>https://tablet.otzar.org/#/book/652590/p/-1/t/1/fs/0/start/0/end/0/c</v>
      </c>
    </row>
    <row r="2717" spans="1:8" x14ac:dyDescent="0.25">
      <c r="A2717">
        <v>647618</v>
      </c>
      <c r="B2717" t="s">
        <v>5418</v>
      </c>
      <c r="C2717" t="s">
        <v>3432</v>
      </c>
      <c r="D2717" t="s">
        <v>52</v>
      </c>
      <c r="E2717" t="s">
        <v>191</v>
      </c>
      <c r="G2717" t="str">
        <f>HYPERLINK(_xlfn.CONCAT("https://tablet.otzar.org/",CHAR(35),"/exKotar/647618"),"נחלת דן - 5 כרכים")</f>
        <v>נחלת דן - 5 כרכים</v>
      </c>
      <c r="H2717" t="str">
        <f>_xlfn.CONCAT("https://tablet.otzar.org/",CHAR(35),"/exKotar/647618")</f>
        <v>https://tablet.otzar.org/#/exKotar/647618</v>
      </c>
    </row>
    <row r="2718" spans="1:8" x14ac:dyDescent="0.25">
      <c r="A2718">
        <v>651516</v>
      </c>
      <c r="B2718" t="s">
        <v>5419</v>
      </c>
      <c r="C2718" t="s">
        <v>5420</v>
      </c>
      <c r="D2718" t="s">
        <v>340</v>
      </c>
      <c r="E2718" t="s">
        <v>11</v>
      </c>
      <c r="G2718" t="str">
        <f>HYPERLINK(_xlfn.CONCAT("https://tablet.otzar.org/",CHAR(35),"/exKotar/651516"),"נחלת דניאל - 5 כרכים")</f>
        <v>נחלת דניאל - 5 כרכים</v>
      </c>
      <c r="H2718" t="str">
        <f>_xlfn.CONCAT("https://tablet.otzar.org/",CHAR(35),"/exKotar/651516")</f>
        <v>https://tablet.otzar.org/#/exKotar/651516</v>
      </c>
    </row>
    <row r="2719" spans="1:8" x14ac:dyDescent="0.25">
      <c r="A2719">
        <v>655940</v>
      </c>
      <c r="B2719" t="s">
        <v>5421</v>
      </c>
      <c r="C2719" t="s">
        <v>2517</v>
      </c>
      <c r="D2719" t="s">
        <v>139</v>
      </c>
      <c r="E2719" t="s">
        <v>35</v>
      </c>
      <c r="G2719" t="str">
        <f>HYPERLINK(_xlfn.CONCAT("https://tablet.otzar.org/",CHAR(35),"/book/655940/p/-1/t/1/fs/0/start/0/end/0/c"),"נחלת החכמה")</f>
        <v>נחלת החכמה</v>
      </c>
      <c r="H2719" t="str">
        <f>_xlfn.CONCAT("https://tablet.otzar.org/",CHAR(35),"/book/655940/p/-1/t/1/fs/0/start/0/end/0/c")</f>
        <v>https://tablet.otzar.org/#/book/655940/p/-1/t/1/fs/0/start/0/end/0/c</v>
      </c>
    </row>
    <row r="2720" spans="1:8" x14ac:dyDescent="0.25">
      <c r="A2720">
        <v>651012</v>
      </c>
      <c r="B2720" t="s">
        <v>5422</v>
      </c>
      <c r="C2720" t="s">
        <v>5423</v>
      </c>
      <c r="D2720" t="s">
        <v>10</v>
      </c>
      <c r="E2720" t="s">
        <v>84</v>
      </c>
      <c r="G2720" t="str">
        <f>HYPERLINK(_xlfn.CONCAT("https://tablet.otzar.org/",CHAR(35),"/book/651012/p/-1/t/1/fs/0/start/0/end/0/c"),"נחלת חיים")</f>
        <v>נחלת חיים</v>
      </c>
      <c r="H2720" t="str">
        <f>_xlfn.CONCAT("https://tablet.otzar.org/",CHAR(35),"/book/651012/p/-1/t/1/fs/0/start/0/end/0/c")</f>
        <v>https://tablet.otzar.org/#/book/651012/p/-1/t/1/fs/0/start/0/end/0/c</v>
      </c>
    </row>
    <row r="2721" spans="1:8" x14ac:dyDescent="0.25">
      <c r="A2721">
        <v>655107</v>
      </c>
      <c r="B2721" t="s">
        <v>5424</v>
      </c>
      <c r="C2721" t="s">
        <v>5425</v>
      </c>
      <c r="D2721" t="s">
        <v>10</v>
      </c>
      <c r="E2721" t="s">
        <v>1240</v>
      </c>
      <c r="G2721" t="str">
        <f>HYPERLINK(_xlfn.CONCAT("https://tablet.otzar.org/",CHAR(35),"/book/655107/p/-1/t/1/fs/0/start/0/end/0/c"),"נחלת יעקב")</f>
        <v>נחלת יעקב</v>
      </c>
      <c r="H2721" t="str">
        <f>_xlfn.CONCAT("https://tablet.otzar.org/",CHAR(35),"/book/655107/p/-1/t/1/fs/0/start/0/end/0/c")</f>
        <v>https://tablet.otzar.org/#/book/655107/p/-1/t/1/fs/0/start/0/end/0/c</v>
      </c>
    </row>
    <row r="2722" spans="1:8" x14ac:dyDescent="0.25">
      <c r="A2722">
        <v>649882</v>
      </c>
      <c r="B2722" t="s">
        <v>5426</v>
      </c>
      <c r="C2722" t="s">
        <v>5427</v>
      </c>
      <c r="D2722" t="s">
        <v>347</v>
      </c>
      <c r="E2722" t="s">
        <v>35</v>
      </c>
      <c r="G2722" t="str">
        <f>HYPERLINK(_xlfn.CONCAT("https://tablet.otzar.org/",CHAR(35),"/book/649882/p/-1/t/1/fs/0/start/0/end/0/c"),"נחלת מים - תורה")</f>
        <v>נחלת מים - תורה</v>
      </c>
      <c r="H2722" t="str">
        <f>_xlfn.CONCAT("https://tablet.otzar.org/",CHAR(35),"/book/649882/p/-1/t/1/fs/0/start/0/end/0/c")</f>
        <v>https://tablet.otzar.org/#/book/649882/p/-1/t/1/fs/0/start/0/end/0/c</v>
      </c>
    </row>
    <row r="2723" spans="1:8" x14ac:dyDescent="0.25">
      <c r="A2723">
        <v>652784</v>
      </c>
      <c r="B2723" t="s">
        <v>5428</v>
      </c>
      <c r="C2723" t="s">
        <v>5429</v>
      </c>
      <c r="D2723" t="s">
        <v>221</v>
      </c>
      <c r="E2723" t="s">
        <v>89</v>
      </c>
      <c r="G2723" t="str">
        <f>HYPERLINK(_xlfn.CONCAT("https://tablet.otzar.org/",CHAR(35),"/exKotar/652784"),"נחלת משה דוד - 3 כרכים")</f>
        <v>נחלת משה דוד - 3 כרכים</v>
      </c>
      <c r="H2723" t="str">
        <f>_xlfn.CONCAT("https://tablet.otzar.org/",CHAR(35),"/exKotar/652784")</f>
        <v>https://tablet.otzar.org/#/exKotar/652784</v>
      </c>
    </row>
    <row r="2724" spans="1:8" x14ac:dyDescent="0.25">
      <c r="A2724">
        <v>652437</v>
      </c>
      <c r="B2724" t="s">
        <v>5430</v>
      </c>
      <c r="C2724" t="s">
        <v>5431</v>
      </c>
      <c r="D2724" t="s">
        <v>386</v>
      </c>
      <c r="E2724" t="s">
        <v>205</v>
      </c>
      <c r="G2724" t="str">
        <f>HYPERLINK(_xlfn.CONCAT("https://tablet.otzar.org/",CHAR(35),"/book/652437/p/-1/t/1/fs/0/start/0/end/0/c"),"נחלת נשיא הדור")</f>
        <v>נחלת נשיא הדור</v>
      </c>
      <c r="H2724" t="str">
        <f>_xlfn.CONCAT("https://tablet.otzar.org/",CHAR(35),"/book/652437/p/-1/t/1/fs/0/start/0/end/0/c")</f>
        <v>https://tablet.otzar.org/#/book/652437/p/-1/t/1/fs/0/start/0/end/0/c</v>
      </c>
    </row>
    <row r="2725" spans="1:8" x14ac:dyDescent="0.25">
      <c r="A2725">
        <v>648012</v>
      </c>
      <c r="B2725" t="s">
        <v>5432</v>
      </c>
      <c r="C2725" t="s">
        <v>5433</v>
      </c>
      <c r="D2725" t="s">
        <v>52</v>
      </c>
      <c r="E2725" t="s">
        <v>73</v>
      </c>
      <c r="G2725" t="str">
        <f>HYPERLINK(_xlfn.CONCAT("https://tablet.otzar.org/",CHAR(35),"/book/648012/p/-1/t/1/fs/0/start/0/end/0/c"),"נחלת פינחס - א")</f>
        <v>נחלת פינחס - א</v>
      </c>
      <c r="H2725" t="str">
        <f>_xlfn.CONCAT("https://tablet.otzar.org/",CHAR(35),"/book/648012/p/-1/t/1/fs/0/start/0/end/0/c")</f>
        <v>https://tablet.otzar.org/#/book/648012/p/-1/t/1/fs/0/start/0/end/0/c</v>
      </c>
    </row>
    <row r="2726" spans="1:8" x14ac:dyDescent="0.25">
      <c r="A2726">
        <v>618966</v>
      </c>
      <c r="B2726" t="s">
        <v>5434</v>
      </c>
      <c r="C2726" t="s">
        <v>5435</v>
      </c>
      <c r="D2726" t="s">
        <v>5436</v>
      </c>
      <c r="E2726" t="s">
        <v>5437</v>
      </c>
      <c r="G2726" t="str">
        <f>HYPERLINK(_xlfn.CONCAT("https://tablet.otzar.org/",CHAR(35),"/book/618966/p/-1/t/1/fs/0/start/0/end/0/c"),"נחלת צבי - אידיש")</f>
        <v>נחלת צבי - אידיש</v>
      </c>
      <c r="H2726" t="str">
        <f>_xlfn.CONCAT("https://tablet.otzar.org/",CHAR(35),"/book/618966/p/-1/t/1/fs/0/start/0/end/0/c")</f>
        <v>https://tablet.otzar.org/#/book/618966/p/-1/t/1/fs/0/start/0/end/0/c</v>
      </c>
    </row>
    <row r="2727" spans="1:8" x14ac:dyDescent="0.25">
      <c r="A2727">
        <v>649903</v>
      </c>
      <c r="B2727" t="s">
        <v>5438</v>
      </c>
      <c r="C2727" t="s">
        <v>5439</v>
      </c>
      <c r="D2727" t="s">
        <v>10</v>
      </c>
      <c r="E2727" t="s">
        <v>35</v>
      </c>
      <c r="G2727" t="str">
        <f>HYPERLINK(_xlfn.CONCAT("https://tablet.otzar.org/",CHAR(35),"/book/649903/p/-1/t/1/fs/0/start/0/end/0/c"),"נחלת צבי - נדה")</f>
        <v>נחלת צבי - נדה</v>
      </c>
      <c r="H2727" t="str">
        <f>_xlfn.CONCAT("https://tablet.otzar.org/",CHAR(35),"/book/649903/p/-1/t/1/fs/0/start/0/end/0/c")</f>
        <v>https://tablet.otzar.org/#/book/649903/p/-1/t/1/fs/0/start/0/end/0/c</v>
      </c>
    </row>
    <row r="2728" spans="1:8" x14ac:dyDescent="0.25">
      <c r="A2728">
        <v>654639</v>
      </c>
      <c r="B2728" t="s">
        <v>5440</v>
      </c>
      <c r="C2728" t="s">
        <v>5441</v>
      </c>
      <c r="D2728" t="s">
        <v>10</v>
      </c>
      <c r="E2728" t="s">
        <v>657</v>
      </c>
      <c r="G2728" t="str">
        <f>HYPERLINK(_xlfn.CONCAT("https://tablet.otzar.org/",CHAR(35),"/book/654639/p/-1/t/1/fs/0/start/0/end/0/c"),"נחלת צבי - ו")</f>
        <v>נחלת צבי - ו</v>
      </c>
      <c r="H2728" t="str">
        <f>_xlfn.CONCAT("https://tablet.otzar.org/",CHAR(35),"/book/654639/p/-1/t/1/fs/0/start/0/end/0/c")</f>
        <v>https://tablet.otzar.org/#/book/654639/p/-1/t/1/fs/0/start/0/end/0/c</v>
      </c>
    </row>
    <row r="2729" spans="1:8" x14ac:dyDescent="0.25">
      <c r="A2729">
        <v>610813</v>
      </c>
      <c r="B2729" t="s">
        <v>5442</v>
      </c>
      <c r="C2729" t="s">
        <v>5443</v>
      </c>
      <c r="D2729" t="s">
        <v>52</v>
      </c>
      <c r="E2729" t="s">
        <v>690</v>
      </c>
      <c r="G2729" t="str">
        <f>HYPERLINK(_xlfn.CONCAT("https://tablet.otzar.org/",CHAR(35),"/exKotar/610813"),"נחלת צבי - 2 כרכים")</f>
        <v>נחלת צבי - 2 כרכים</v>
      </c>
      <c r="H2729" t="str">
        <f>_xlfn.CONCAT("https://tablet.otzar.org/",CHAR(35),"/exKotar/610813")</f>
        <v>https://tablet.otzar.org/#/exKotar/610813</v>
      </c>
    </row>
    <row r="2730" spans="1:8" x14ac:dyDescent="0.25">
      <c r="A2730">
        <v>656139</v>
      </c>
      <c r="B2730" t="s">
        <v>5444</v>
      </c>
      <c r="C2730" t="s">
        <v>4317</v>
      </c>
      <c r="D2730" t="s">
        <v>52</v>
      </c>
      <c r="E2730" t="s">
        <v>35</v>
      </c>
      <c r="G2730" t="str">
        <f>HYPERLINK(_xlfn.CONCAT("https://tablet.otzar.org/",CHAR(35),"/book/656139/p/-1/t/1/fs/0/start/0/end/0/c"),"נחלתנו - מכות")</f>
        <v>נחלתנו - מכות</v>
      </c>
      <c r="H2730" t="str">
        <f>_xlfn.CONCAT("https://tablet.otzar.org/",CHAR(35),"/book/656139/p/-1/t/1/fs/0/start/0/end/0/c")</f>
        <v>https://tablet.otzar.org/#/book/656139/p/-1/t/1/fs/0/start/0/end/0/c</v>
      </c>
    </row>
    <row r="2731" spans="1:8" x14ac:dyDescent="0.25">
      <c r="A2731">
        <v>647136</v>
      </c>
      <c r="B2731" t="s">
        <v>5445</v>
      </c>
      <c r="C2731" t="s">
        <v>5446</v>
      </c>
      <c r="D2731" t="s">
        <v>10</v>
      </c>
      <c r="E2731" t="s">
        <v>237</v>
      </c>
      <c r="G2731" t="str">
        <f>HYPERLINK(_xlfn.CONCAT("https://tablet.otzar.org/",CHAR(35),"/exKotar/647136"),"נחמת שלום - 2 כרכים")</f>
        <v>נחמת שלום - 2 כרכים</v>
      </c>
      <c r="H2731" t="str">
        <f>_xlfn.CONCAT("https://tablet.otzar.org/",CHAR(35),"/exKotar/647136")</f>
        <v>https://tablet.otzar.org/#/exKotar/647136</v>
      </c>
    </row>
    <row r="2732" spans="1:8" x14ac:dyDescent="0.25">
      <c r="A2732">
        <v>648499</v>
      </c>
      <c r="B2732" t="s">
        <v>5447</v>
      </c>
      <c r="C2732" t="s">
        <v>5448</v>
      </c>
      <c r="D2732" t="s">
        <v>10</v>
      </c>
      <c r="E2732" t="s">
        <v>11</v>
      </c>
      <c r="G2732" t="str">
        <f>HYPERLINK(_xlfn.CONCAT("https://tablet.otzar.org/",CHAR(35),"/exKotar/648499"),"נחפה בכסף - 2 כרכים")</f>
        <v>נחפה בכסף - 2 כרכים</v>
      </c>
      <c r="H2732" t="str">
        <f>_xlfn.CONCAT("https://tablet.otzar.org/",CHAR(35),"/exKotar/648499")</f>
        <v>https://tablet.otzar.org/#/exKotar/648499</v>
      </c>
    </row>
    <row r="2733" spans="1:8" x14ac:dyDescent="0.25">
      <c r="A2733">
        <v>648219</v>
      </c>
      <c r="B2733" t="s">
        <v>5449</v>
      </c>
      <c r="C2733" t="s">
        <v>5450</v>
      </c>
      <c r="D2733" t="s">
        <v>340</v>
      </c>
      <c r="E2733" t="s">
        <v>574</v>
      </c>
      <c r="G2733" t="str">
        <f>HYPERLINK(_xlfn.CONCAT("https://tablet.otzar.org/",CHAR(35),"/book/648219/p/-1/t/1/fs/0/start/0/end/0/c"),"נטילה כהלכתה")</f>
        <v>נטילה כהלכתה</v>
      </c>
      <c r="H2733" t="str">
        <f>_xlfn.CONCAT("https://tablet.otzar.org/",CHAR(35),"/book/648219/p/-1/t/1/fs/0/start/0/end/0/c")</f>
        <v>https://tablet.otzar.org/#/book/648219/p/-1/t/1/fs/0/start/0/end/0/c</v>
      </c>
    </row>
    <row r="2734" spans="1:8" x14ac:dyDescent="0.25">
      <c r="A2734">
        <v>649197</v>
      </c>
      <c r="B2734" t="s">
        <v>5451</v>
      </c>
      <c r="C2734" t="s">
        <v>1194</v>
      </c>
      <c r="D2734" t="s">
        <v>1195</v>
      </c>
      <c r="E2734" t="s">
        <v>11</v>
      </c>
      <c r="G2734" t="str">
        <f>HYPERLINK(_xlfn.CONCAT("https://tablet.otzar.org/",CHAR(35),"/book/649197/p/-1/t/1/fs/0/start/0/end/0/c"),"נטיעות חיי עולם")</f>
        <v>נטיעות חיי עולם</v>
      </c>
      <c r="H2734" t="str">
        <f>_xlfn.CONCAT("https://tablet.otzar.org/",CHAR(35),"/book/649197/p/-1/t/1/fs/0/start/0/end/0/c")</f>
        <v>https://tablet.otzar.org/#/book/649197/p/-1/t/1/fs/0/start/0/end/0/c</v>
      </c>
    </row>
    <row r="2735" spans="1:8" x14ac:dyDescent="0.25">
      <c r="A2735">
        <v>654462</v>
      </c>
      <c r="B2735" t="s">
        <v>5452</v>
      </c>
      <c r="C2735" t="s">
        <v>5453</v>
      </c>
      <c r="D2735" t="s">
        <v>5454</v>
      </c>
      <c r="E2735" t="s">
        <v>817</v>
      </c>
      <c r="G2735" t="str">
        <f>HYPERLINK(_xlfn.CONCAT("https://tablet.otzar.org/",CHAR(35),"/book/654462/p/-1/t/1/fs/0/start/0/end/0/c"),"נטעי דוד")</f>
        <v>נטעי דוד</v>
      </c>
      <c r="H2735" t="str">
        <f>_xlfn.CONCAT("https://tablet.otzar.org/",CHAR(35),"/book/654462/p/-1/t/1/fs/0/start/0/end/0/c")</f>
        <v>https://tablet.otzar.org/#/book/654462/p/-1/t/1/fs/0/start/0/end/0/c</v>
      </c>
    </row>
    <row r="2736" spans="1:8" x14ac:dyDescent="0.25">
      <c r="A2736">
        <v>647994</v>
      </c>
      <c r="B2736" t="s">
        <v>5455</v>
      </c>
      <c r="C2736" t="s">
        <v>5456</v>
      </c>
      <c r="D2736" t="s">
        <v>10</v>
      </c>
      <c r="E2736" t="s">
        <v>45</v>
      </c>
      <c r="G2736" t="str">
        <f>HYPERLINK(_xlfn.CONCAT("https://tablet.otzar.org/",CHAR(35),"/book/647994/p/-1/t/1/fs/0/start/0/end/0/c"),"נטעי משה")</f>
        <v>נטעי משה</v>
      </c>
      <c r="H2736" t="str">
        <f>_xlfn.CONCAT("https://tablet.otzar.org/",CHAR(35),"/book/647994/p/-1/t/1/fs/0/start/0/end/0/c")</f>
        <v>https://tablet.otzar.org/#/book/647994/p/-1/t/1/fs/0/start/0/end/0/c</v>
      </c>
    </row>
    <row r="2737" spans="1:8" x14ac:dyDescent="0.25">
      <c r="A2737">
        <v>647470</v>
      </c>
      <c r="B2737" t="s">
        <v>5457</v>
      </c>
      <c r="C2737" t="s">
        <v>5458</v>
      </c>
      <c r="D2737" t="s">
        <v>424</v>
      </c>
      <c r="E2737" t="s">
        <v>769</v>
      </c>
      <c r="G2737" t="str">
        <f>HYPERLINK(_xlfn.CONCAT("https://tablet.otzar.org/",CHAR(35),"/exKotar/647470"),"ניב המורה - 5 כרכים")</f>
        <v>ניב המורה - 5 כרכים</v>
      </c>
      <c r="H2737" t="str">
        <f>_xlfn.CONCAT("https://tablet.otzar.org/",CHAR(35),"/exKotar/647470")</f>
        <v>https://tablet.otzar.org/#/exKotar/647470</v>
      </c>
    </row>
    <row r="2738" spans="1:8" x14ac:dyDescent="0.25">
      <c r="A2738">
        <v>647153</v>
      </c>
      <c r="B2738" t="s">
        <v>5459</v>
      </c>
      <c r="C2738" t="s">
        <v>5458</v>
      </c>
      <c r="D2738" t="s">
        <v>52</v>
      </c>
      <c r="E2738" t="s">
        <v>1288</v>
      </c>
      <c r="G2738" t="str">
        <f>HYPERLINK(_xlfn.CONCAT("https://tablet.otzar.org/",CHAR(35),"/exKotar/647153"),"ניב המורה (קובץ תורני) - 4 כרכים")</f>
        <v>ניב המורה (קובץ תורני) - 4 כרכים</v>
      </c>
      <c r="H2738" t="str">
        <f>_xlfn.CONCAT("https://tablet.otzar.org/",CHAR(35),"/exKotar/647153")</f>
        <v>https://tablet.otzar.org/#/exKotar/647153</v>
      </c>
    </row>
    <row r="2739" spans="1:8" x14ac:dyDescent="0.25">
      <c r="A2739">
        <v>655523</v>
      </c>
      <c r="B2739" t="s">
        <v>5460</v>
      </c>
      <c r="C2739" t="s">
        <v>5461</v>
      </c>
      <c r="D2739" t="s">
        <v>5462</v>
      </c>
      <c r="E2739" t="s">
        <v>35</v>
      </c>
      <c r="G2739" t="str">
        <f>HYPERLINK(_xlfn.CONCAT("https://tablet.otzar.org/",CHAR(35),"/exKotar/655523"),"ניב ישראל - 2 כרכים")</f>
        <v>ניב ישראל - 2 כרכים</v>
      </c>
      <c r="H2739" t="str">
        <f>_xlfn.CONCAT("https://tablet.otzar.org/",CHAR(35),"/exKotar/655523")</f>
        <v>https://tablet.otzar.org/#/exKotar/655523</v>
      </c>
    </row>
    <row r="2740" spans="1:8" x14ac:dyDescent="0.25">
      <c r="A2740">
        <v>655715</v>
      </c>
      <c r="B2740" t="s">
        <v>5463</v>
      </c>
      <c r="C2740" t="s">
        <v>5464</v>
      </c>
      <c r="D2740" t="s">
        <v>1865</v>
      </c>
      <c r="E2740" t="s">
        <v>11</v>
      </c>
      <c r="G2740" t="str">
        <f>HYPERLINK(_xlfn.CONCAT("https://tablet.otzar.org/",CHAR(35),"/exKotar/655715"),"ניב שפתים - 3 כרכים")</f>
        <v>ניב שפתים - 3 כרכים</v>
      </c>
      <c r="H2740" t="str">
        <f>_xlfn.CONCAT("https://tablet.otzar.org/",CHAR(35),"/exKotar/655715")</f>
        <v>https://tablet.otzar.org/#/exKotar/655715</v>
      </c>
    </row>
    <row r="2741" spans="1:8" x14ac:dyDescent="0.25">
      <c r="A2741">
        <v>647497</v>
      </c>
      <c r="B2741" t="s">
        <v>5465</v>
      </c>
      <c r="C2741" t="s">
        <v>5466</v>
      </c>
      <c r="D2741" t="s">
        <v>39</v>
      </c>
      <c r="E2741" t="s">
        <v>5467</v>
      </c>
      <c r="G2741" t="str">
        <f>HYPERLINK(_xlfn.CONCAT("https://tablet.otzar.org/",CHAR(35),"/book/647497/p/-1/t/1/fs/0/start/0/end/0/c"),"ניבי זהב")</f>
        <v>ניבי זהב</v>
      </c>
      <c r="H2741" t="str">
        <f>_xlfn.CONCAT("https://tablet.otzar.org/",CHAR(35),"/book/647497/p/-1/t/1/fs/0/start/0/end/0/c")</f>
        <v>https://tablet.otzar.org/#/book/647497/p/-1/t/1/fs/0/start/0/end/0/c</v>
      </c>
    </row>
    <row r="2742" spans="1:8" x14ac:dyDescent="0.25">
      <c r="A2742">
        <v>651524</v>
      </c>
      <c r="B2742" t="s">
        <v>5468</v>
      </c>
      <c r="C2742" t="s">
        <v>5469</v>
      </c>
      <c r="D2742" t="s">
        <v>10</v>
      </c>
      <c r="E2742" t="s">
        <v>35</v>
      </c>
      <c r="G2742" t="str">
        <f>HYPERLINK(_xlfn.CONCAT("https://tablet.otzar.org/",CHAR(35),"/exKotar/651524"),"נימוקי רבינו מנחם מירזבורק - 2 כרכים")</f>
        <v>נימוקי רבינו מנחם מירזבורק - 2 כרכים</v>
      </c>
      <c r="H2742" t="str">
        <f>_xlfn.CONCAT("https://tablet.otzar.org/",CHAR(35),"/exKotar/651524")</f>
        <v>https://tablet.otzar.org/#/exKotar/651524</v>
      </c>
    </row>
    <row r="2743" spans="1:8" x14ac:dyDescent="0.25">
      <c r="A2743">
        <v>637261</v>
      </c>
      <c r="B2743" t="s">
        <v>5470</v>
      </c>
      <c r="C2743" t="s">
        <v>5471</v>
      </c>
      <c r="E2743" t="s">
        <v>2534</v>
      </c>
      <c r="G2743" t="str">
        <f>HYPERLINK(_xlfn.CONCAT("https://tablet.otzar.org/",CHAR(35),"/exKotar/637261"),"ניצוצות - 2 כרכים")</f>
        <v>ניצוצות - 2 כרכים</v>
      </c>
      <c r="H2743" t="str">
        <f>_xlfn.CONCAT("https://tablet.otzar.org/",CHAR(35),"/exKotar/637261")</f>
        <v>https://tablet.otzar.org/#/exKotar/637261</v>
      </c>
    </row>
    <row r="2744" spans="1:8" x14ac:dyDescent="0.25">
      <c r="A2744">
        <v>650777</v>
      </c>
      <c r="B2744" t="s">
        <v>5472</v>
      </c>
      <c r="C2744" t="s">
        <v>1118</v>
      </c>
      <c r="D2744" t="s">
        <v>10</v>
      </c>
      <c r="E2744" t="s">
        <v>35</v>
      </c>
      <c r="G2744" t="str">
        <f>HYPERLINK(_xlfn.CONCAT("https://tablet.otzar.org/",CHAR(35),"/exKotar/650777"),"ניצוצות גאוני וצדיקי הדורות - 2 כרכים")</f>
        <v>ניצוצות גאוני וצדיקי הדורות - 2 כרכים</v>
      </c>
      <c r="H2744" t="str">
        <f>_xlfn.CONCAT("https://tablet.otzar.org/",CHAR(35),"/exKotar/650777")</f>
        <v>https://tablet.otzar.org/#/exKotar/650777</v>
      </c>
    </row>
    <row r="2745" spans="1:8" x14ac:dyDescent="0.25">
      <c r="A2745">
        <v>650578</v>
      </c>
      <c r="B2745" t="s">
        <v>5473</v>
      </c>
      <c r="C2745" t="s">
        <v>5474</v>
      </c>
      <c r="D2745" t="s">
        <v>34</v>
      </c>
      <c r="E2745" t="s">
        <v>690</v>
      </c>
      <c r="G2745" t="str">
        <f>HYPERLINK(_xlfn.CONCAT("https://tablet.otzar.org/",CHAR(35),"/book/650578/p/-1/t/1/fs/0/start/0/end/0/c"),"ניצוצי אור")</f>
        <v>ניצוצי אור</v>
      </c>
      <c r="H2745" t="str">
        <f>_xlfn.CONCAT("https://tablet.otzar.org/",CHAR(35),"/book/650578/p/-1/t/1/fs/0/start/0/end/0/c")</f>
        <v>https://tablet.otzar.org/#/book/650578/p/-1/t/1/fs/0/start/0/end/0/c</v>
      </c>
    </row>
    <row r="2746" spans="1:8" x14ac:dyDescent="0.25">
      <c r="A2746">
        <v>655721</v>
      </c>
      <c r="B2746" t="s">
        <v>5475</v>
      </c>
      <c r="C2746" t="s">
        <v>5476</v>
      </c>
      <c r="D2746" t="s">
        <v>10</v>
      </c>
      <c r="E2746" t="s">
        <v>35</v>
      </c>
      <c r="G2746" t="str">
        <f>HYPERLINK(_xlfn.CONCAT("https://tablet.otzar.org/",CHAR(35),"/book/655721/p/-1/t/1/fs/0/start/0/end/0/c"),"ניצוצי אור - אור לציון חלק ב")</f>
        <v>ניצוצי אור - אור לציון חלק ב</v>
      </c>
      <c r="H2746" t="str">
        <f>_xlfn.CONCAT("https://tablet.otzar.org/",CHAR(35),"/book/655721/p/-1/t/1/fs/0/start/0/end/0/c")</f>
        <v>https://tablet.otzar.org/#/book/655721/p/-1/t/1/fs/0/start/0/end/0/c</v>
      </c>
    </row>
    <row r="2747" spans="1:8" x14ac:dyDescent="0.25">
      <c r="A2747">
        <v>650898</v>
      </c>
      <c r="B2747" t="s">
        <v>5477</v>
      </c>
      <c r="C2747" t="s">
        <v>1118</v>
      </c>
      <c r="D2747" t="s">
        <v>10</v>
      </c>
      <c r="E2747" t="s">
        <v>213</v>
      </c>
      <c r="G2747" t="str">
        <f>HYPERLINK(_xlfn.CONCAT("https://tablet.otzar.org/",CHAR(35),"/exKotar/650898"),"ניצוצי הש""""ס - 5 כרכים")</f>
        <v>ניצוצי הש""ס - 5 כרכים</v>
      </c>
      <c r="H2747" t="str">
        <f>_xlfn.CONCAT("https://tablet.otzar.org/",CHAR(35),"/exKotar/650898")</f>
        <v>https://tablet.otzar.org/#/exKotar/650898</v>
      </c>
    </row>
    <row r="2748" spans="1:8" x14ac:dyDescent="0.25">
      <c r="A2748">
        <v>652469</v>
      </c>
      <c r="B2748" t="s">
        <v>5478</v>
      </c>
      <c r="C2748" t="s">
        <v>5479</v>
      </c>
      <c r="D2748" t="s">
        <v>10</v>
      </c>
      <c r="E2748" t="s">
        <v>117</v>
      </c>
      <c r="G2748" t="str">
        <f>HYPERLINK(_xlfn.CONCAT("https://tablet.otzar.org/",CHAR(35),"/exKotar/652469"),"ניצני ארץ - 2 כרכים")</f>
        <v>ניצני ארץ - 2 כרכים</v>
      </c>
      <c r="H2748" t="str">
        <f>_xlfn.CONCAT("https://tablet.otzar.org/",CHAR(35),"/exKotar/652469")</f>
        <v>https://tablet.otzar.org/#/exKotar/652469</v>
      </c>
    </row>
    <row r="2749" spans="1:8" x14ac:dyDescent="0.25">
      <c r="A2749">
        <v>650949</v>
      </c>
      <c r="B2749" t="s">
        <v>5480</v>
      </c>
      <c r="C2749" t="s">
        <v>2320</v>
      </c>
      <c r="D2749" t="s">
        <v>10</v>
      </c>
      <c r="E2749" t="s">
        <v>11</v>
      </c>
      <c r="G2749" t="str">
        <f>HYPERLINK(_xlfn.CONCAT("https://tablet.otzar.org/",CHAR(35),"/book/650949/p/-1/t/1/fs/0/start/0/end/0/c"),"נלבבך בלמידה")</f>
        <v>נלבבך בלמידה</v>
      </c>
      <c r="H2749" t="str">
        <f>_xlfn.CONCAT("https://tablet.otzar.org/",CHAR(35),"/book/650949/p/-1/t/1/fs/0/start/0/end/0/c")</f>
        <v>https://tablet.otzar.org/#/book/650949/p/-1/t/1/fs/0/start/0/end/0/c</v>
      </c>
    </row>
    <row r="2750" spans="1:8" x14ac:dyDescent="0.25">
      <c r="A2750">
        <v>651984</v>
      </c>
      <c r="B2750" t="s">
        <v>5481</v>
      </c>
      <c r="C2750" t="s">
        <v>5431</v>
      </c>
      <c r="E2750" t="s">
        <v>507</v>
      </c>
      <c r="G2750" t="str">
        <f>HYPERLINK(_xlfn.CONCAT("https://tablet.otzar.org/",CHAR(35),"/book/651984/p/-1/t/1/fs/0/start/0/end/0/c"),"נס ההצלה")</f>
        <v>נס ההצלה</v>
      </c>
      <c r="H2750" t="str">
        <f>_xlfn.CONCAT("https://tablet.otzar.org/",CHAR(35),"/book/651984/p/-1/t/1/fs/0/start/0/end/0/c")</f>
        <v>https://tablet.otzar.org/#/book/651984/p/-1/t/1/fs/0/start/0/end/0/c</v>
      </c>
    </row>
    <row r="2751" spans="1:8" x14ac:dyDescent="0.25">
      <c r="A2751">
        <v>654264</v>
      </c>
      <c r="B2751" t="s">
        <v>5482</v>
      </c>
      <c r="C2751" t="s">
        <v>4015</v>
      </c>
      <c r="D2751" t="s">
        <v>855</v>
      </c>
      <c r="E2751" t="s">
        <v>11</v>
      </c>
      <c r="G2751" t="str">
        <f>HYPERLINK(_xlfn.CONCAT("https://tablet.otzar.org/",CHAR(35),"/book/654264/p/-1/t/1/fs/0/start/0/end/0/c"),"נער דעה - ברכות")</f>
        <v>נער דעה - ברכות</v>
      </c>
      <c r="H2751" t="str">
        <f>_xlfn.CONCAT("https://tablet.otzar.org/",CHAR(35),"/book/654264/p/-1/t/1/fs/0/start/0/end/0/c")</f>
        <v>https://tablet.otzar.org/#/book/654264/p/-1/t/1/fs/0/start/0/end/0/c</v>
      </c>
    </row>
    <row r="2752" spans="1:8" x14ac:dyDescent="0.25">
      <c r="A2752">
        <v>650588</v>
      </c>
      <c r="B2752" t="s">
        <v>5483</v>
      </c>
      <c r="C2752" t="s">
        <v>5484</v>
      </c>
      <c r="D2752" t="s">
        <v>951</v>
      </c>
      <c r="E2752" t="s">
        <v>62</v>
      </c>
      <c r="G2752" t="str">
        <f>HYPERLINK(_xlfn.CONCAT("https://tablet.otzar.org/",CHAR(35),"/book/650588/p/-1/t/1/fs/0/start/0/end/0/c"),"נפלא אות")</f>
        <v>נפלא אות</v>
      </c>
      <c r="H2752" t="str">
        <f>_xlfn.CONCAT("https://tablet.otzar.org/",CHAR(35),"/book/650588/p/-1/t/1/fs/0/start/0/end/0/c")</f>
        <v>https://tablet.otzar.org/#/book/650588/p/-1/t/1/fs/0/start/0/end/0/c</v>
      </c>
    </row>
    <row r="2753" spans="1:8" x14ac:dyDescent="0.25">
      <c r="A2753">
        <v>647508</v>
      </c>
      <c r="B2753" t="s">
        <v>5485</v>
      </c>
      <c r="C2753" t="s">
        <v>5486</v>
      </c>
      <c r="D2753" t="s">
        <v>2666</v>
      </c>
      <c r="E2753" t="s">
        <v>487</v>
      </c>
      <c r="G2753" t="str">
        <f>HYPERLINK(_xlfn.CONCAT("https://tablet.otzar.org/",CHAR(35),"/book/647508/p/-1/t/1/fs/0/start/0/end/0/c"),"נפלאות היהודי")</f>
        <v>נפלאות היהודי</v>
      </c>
      <c r="H2753" t="str">
        <f>_xlfn.CONCAT("https://tablet.otzar.org/",CHAR(35),"/book/647508/p/-1/t/1/fs/0/start/0/end/0/c")</f>
        <v>https://tablet.otzar.org/#/book/647508/p/-1/t/1/fs/0/start/0/end/0/c</v>
      </c>
    </row>
    <row r="2754" spans="1:8" x14ac:dyDescent="0.25">
      <c r="A2754">
        <v>652766</v>
      </c>
      <c r="B2754" t="s">
        <v>5487</v>
      </c>
      <c r="C2754" t="s">
        <v>5488</v>
      </c>
      <c r="D2754" t="s">
        <v>10</v>
      </c>
      <c r="E2754" t="s">
        <v>306</v>
      </c>
      <c r="G2754" t="str">
        <f>HYPERLINK(_xlfn.CONCAT("https://tablet.otzar.org/",CHAR(35),"/book/652766/p/-1/t/1/fs/0/start/0/end/0/c"),"נפלאות חדשות &lt;מהדורה חדשה&gt;")</f>
        <v>נפלאות חדשות &lt;מהדורה חדשה&gt;</v>
      </c>
      <c r="H2754" t="str">
        <f>_xlfn.CONCAT("https://tablet.otzar.org/",CHAR(35),"/book/652766/p/-1/t/1/fs/0/start/0/end/0/c")</f>
        <v>https://tablet.otzar.org/#/book/652766/p/-1/t/1/fs/0/start/0/end/0/c</v>
      </c>
    </row>
    <row r="2755" spans="1:8" x14ac:dyDescent="0.25">
      <c r="A2755">
        <v>649583</v>
      </c>
      <c r="B2755" t="s">
        <v>5489</v>
      </c>
      <c r="C2755" t="s">
        <v>2767</v>
      </c>
      <c r="D2755" t="s">
        <v>10</v>
      </c>
      <c r="E2755" t="s">
        <v>293</v>
      </c>
      <c r="G2755" t="str">
        <f>HYPERLINK(_xlfn.CONCAT("https://tablet.otzar.org/",CHAR(35),"/book/649583/p/-1/t/1/fs/0/start/0/end/0/c"),"נפלאות תורת ה'")</f>
        <v>נפלאות תורת ה'</v>
      </c>
      <c r="H2755" t="str">
        <f>_xlfn.CONCAT("https://tablet.otzar.org/",CHAR(35),"/book/649583/p/-1/t/1/fs/0/start/0/end/0/c")</f>
        <v>https://tablet.otzar.org/#/book/649583/p/-1/t/1/fs/0/start/0/end/0/c</v>
      </c>
    </row>
    <row r="2756" spans="1:8" x14ac:dyDescent="0.25">
      <c r="A2756">
        <v>649233</v>
      </c>
      <c r="B2756" t="s">
        <v>5490</v>
      </c>
      <c r="C2756" t="s">
        <v>5491</v>
      </c>
      <c r="D2756" t="s">
        <v>52</v>
      </c>
      <c r="E2756" t="s">
        <v>35</v>
      </c>
      <c r="G2756" t="str">
        <f>HYPERLINK(_xlfn.CONCAT("https://tablet.otzar.org/",CHAR(35),"/book/649233/p/-1/t/1/fs/0/start/0/end/0/c"),"נפלאותיך אשיחה")</f>
        <v>נפלאותיך אשיחה</v>
      </c>
      <c r="H2756" t="str">
        <f>_xlfn.CONCAT("https://tablet.otzar.org/",CHAR(35),"/book/649233/p/-1/t/1/fs/0/start/0/end/0/c")</f>
        <v>https://tablet.otzar.org/#/book/649233/p/-1/t/1/fs/0/start/0/end/0/c</v>
      </c>
    </row>
    <row r="2757" spans="1:8" x14ac:dyDescent="0.25">
      <c r="A2757">
        <v>647255</v>
      </c>
      <c r="B2757" t="s">
        <v>5492</v>
      </c>
      <c r="C2757" t="s">
        <v>5493</v>
      </c>
      <c r="D2757" t="s">
        <v>181</v>
      </c>
      <c r="E2757" t="s">
        <v>111</v>
      </c>
      <c r="G2757" t="str">
        <f>HYPERLINK(_xlfn.CONCAT("https://tablet.otzar.org/",CHAR(35),"/book/647255/p/-1/t/1/fs/0/start/0/end/0/c"),"נפש ברכה - א (בראשית, שמות)")</f>
        <v>נפש ברכה - א (בראשית, שמות)</v>
      </c>
      <c r="H2757" t="str">
        <f>_xlfn.CONCAT("https://tablet.otzar.org/",CHAR(35),"/book/647255/p/-1/t/1/fs/0/start/0/end/0/c")</f>
        <v>https://tablet.otzar.org/#/book/647255/p/-1/t/1/fs/0/start/0/end/0/c</v>
      </c>
    </row>
    <row r="2758" spans="1:8" x14ac:dyDescent="0.25">
      <c r="A2758">
        <v>647630</v>
      </c>
      <c r="B2758" t="s">
        <v>5494</v>
      </c>
      <c r="C2758" t="s">
        <v>5495</v>
      </c>
      <c r="D2758" t="s">
        <v>340</v>
      </c>
      <c r="E2758" t="s">
        <v>191</v>
      </c>
      <c r="G2758" t="str">
        <f>HYPERLINK(_xlfn.CONCAT("https://tablet.otzar.org/",CHAR(35),"/book/647630/p/-1/t/1/fs/0/start/0/end/0/c"),"נפש ברכה תדשן")</f>
        <v>נפש ברכה תדשן</v>
      </c>
      <c r="H2758" t="str">
        <f>_xlfn.CONCAT("https://tablet.otzar.org/",CHAR(35),"/book/647630/p/-1/t/1/fs/0/start/0/end/0/c")</f>
        <v>https://tablet.otzar.org/#/book/647630/p/-1/t/1/fs/0/start/0/end/0/c</v>
      </c>
    </row>
    <row r="2759" spans="1:8" x14ac:dyDescent="0.25">
      <c r="A2759">
        <v>650277</v>
      </c>
      <c r="B2759" t="s">
        <v>5496</v>
      </c>
      <c r="C2759" t="s">
        <v>5497</v>
      </c>
      <c r="D2759" t="s">
        <v>10</v>
      </c>
      <c r="E2759" t="s">
        <v>35</v>
      </c>
      <c r="G2759" t="str">
        <f>HYPERLINK(_xlfn.CONCAT("https://tablet.otzar.org/",CHAR(35),"/book/650277/p/-1/t/1/fs/0/start/0/end/0/c"),"נפש יוסף - חמשה חומשי תורה")</f>
        <v>נפש יוסף - חמשה חומשי תורה</v>
      </c>
      <c r="H2759" t="str">
        <f>_xlfn.CONCAT("https://tablet.otzar.org/",CHAR(35),"/book/650277/p/-1/t/1/fs/0/start/0/end/0/c")</f>
        <v>https://tablet.otzar.org/#/book/650277/p/-1/t/1/fs/0/start/0/end/0/c</v>
      </c>
    </row>
    <row r="2760" spans="1:8" x14ac:dyDescent="0.25">
      <c r="A2760">
        <v>653218</v>
      </c>
      <c r="B2760" t="s">
        <v>5498</v>
      </c>
      <c r="C2760" t="s">
        <v>5499</v>
      </c>
      <c r="D2760" t="s">
        <v>1813</v>
      </c>
      <c r="E2760" t="s">
        <v>1169</v>
      </c>
      <c r="G2760" t="str">
        <f>HYPERLINK(_xlfn.CONCAT("https://tablet.otzar.org/",CHAR(35),"/book/653218/p/-1/t/1/fs/0/start/0/end/0/c"),"נפש כל חי")</f>
        <v>נפש כל חי</v>
      </c>
      <c r="H2760" t="str">
        <f>_xlfn.CONCAT("https://tablet.otzar.org/",CHAR(35),"/book/653218/p/-1/t/1/fs/0/start/0/end/0/c")</f>
        <v>https://tablet.otzar.org/#/book/653218/p/-1/t/1/fs/0/start/0/end/0/c</v>
      </c>
    </row>
    <row r="2761" spans="1:8" x14ac:dyDescent="0.25">
      <c r="A2761">
        <v>649069</v>
      </c>
      <c r="B2761" t="s">
        <v>5500</v>
      </c>
      <c r="C2761" t="s">
        <v>5501</v>
      </c>
      <c r="D2761" t="s">
        <v>10</v>
      </c>
      <c r="E2761" t="s">
        <v>11</v>
      </c>
      <c r="G2761" t="str">
        <f>HYPERLINK(_xlfn.CONCAT("https://tablet.otzar.org/",CHAR(35),"/book/649069/p/-1/t/1/fs/0/start/0/end/0/c"),"נפתולי נפתלי - שביעית")</f>
        <v>נפתולי נפתלי - שביעית</v>
      </c>
      <c r="H2761" t="str">
        <f>_xlfn.CONCAT("https://tablet.otzar.org/",CHAR(35),"/book/649069/p/-1/t/1/fs/0/start/0/end/0/c")</f>
        <v>https://tablet.otzar.org/#/book/649069/p/-1/t/1/fs/0/start/0/end/0/c</v>
      </c>
    </row>
    <row r="2762" spans="1:8" x14ac:dyDescent="0.25">
      <c r="A2762">
        <v>653168</v>
      </c>
      <c r="B2762" t="s">
        <v>5502</v>
      </c>
      <c r="C2762" t="s">
        <v>5503</v>
      </c>
      <c r="E2762" t="s">
        <v>495</v>
      </c>
      <c r="G2762" t="str">
        <f>HYPERLINK(_xlfn.CONCAT("https://tablet.otzar.org/",CHAR(35),"/book/653168/p/-1/t/1/fs/0/start/0/end/0/c"),"נצח ישראל")</f>
        <v>נצח ישראל</v>
      </c>
      <c r="H2762" t="str">
        <f>_xlfn.CONCAT("https://tablet.otzar.org/",CHAR(35),"/book/653168/p/-1/t/1/fs/0/start/0/end/0/c")</f>
        <v>https://tablet.otzar.org/#/book/653168/p/-1/t/1/fs/0/start/0/end/0/c</v>
      </c>
    </row>
    <row r="2763" spans="1:8" x14ac:dyDescent="0.25">
      <c r="A2763">
        <v>652600</v>
      </c>
      <c r="B2763" t="s">
        <v>5504</v>
      </c>
      <c r="C2763" t="s">
        <v>5505</v>
      </c>
      <c r="D2763" t="s">
        <v>5506</v>
      </c>
      <c r="E2763" t="s">
        <v>70</v>
      </c>
      <c r="G2763" t="str">
        <f>HYPERLINK(_xlfn.CONCAT("https://tablet.otzar.org/",CHAR(35),"/book/652600/p/-1/t/1/fs/0/start/0/end/0/c"),"נצחון האור על החושך")</f>
        <v>נצחון האור על החושך</v>
      </c>
      <c r="H2763" t="str">
        <f>_xlfn.CONCAT("https://tablet.otzar.org/",CHAR(35),"/book/652600/p/-1/t/1/fs/0/start/0/end/0/c")</f>
        <v>https://tablet.otzar.org/#/book/652600/p/-1/t/1/fs/0/start/0/end/0/c</v>
      </c>
    </row>
    <row r="2764" spans="1:8" x14ac:dyDescent="0.25">
      <c r="A2764">
        <v>652853</v>
      </c>
      <c r="B2764" t="s">
        <v>5507</v>
      </c>
      <c r="C2764" t="s">
        <v>5508</v>
      </c>
      <c r="D2764" t="s">
        <v>52</v>
      </c>
      <c r="E2764" t="s">
        <v>366</v>
      </c>
      <c r="G2764" t="str">
        <f>HYPERLINK(_xlfn.CONCAT("https://tablet.otzar.org/",CHAR(35),"/book/652853/p/-1/t/1/fs/0/start/0/end/0/c"),"נצחון האמת")</f>
        <v>נצחון האמת</v>
      </c>
      <c r="H2764" t="str">
        <f>_xlfn.CONCAT("https://tablet.otzar.org/",CHAR(35),"/book/652853/p/-1/t/1/fs/0/start/0/end/0/c")</f>
        <v>https://tablet.otzar.org/#/book/652853/p/-1/t/1/fs/0/start/0/end/0/c</v>
      </c>
    </row>
    <row r="2765" spans="1:8" x14ac:dyDescent="0.25">
      <c r="A2765">
        <v>641661</v>
      </c>
      <c r="B2765" t="s">
        <v>5509</v>
      </c>
      <c r="C2765" t="s">
        <v>5510</v>
      </c>
      <c r="D2765" t="s">
        <v>39</v>
      </c>
      <c r="E2765" t="s">
        <v>3327</v>
      </c>
      <c r="G2765" t="str">
        <f>HYPERLINK(_xlfn.CONCAT("https://tablet.otzar.org/",CHAR(35),"/book/641661/p/-1/t/1/fs/0/start/0/end/0/c"),"נצנים")</f>
        <v>נצנים</v>
      </c>
      <c r="H2765" t="str">
        <f>_xlfn.CONCAT("https://tablet.otzar.org/",CHAR(35),"/book/641661/p/-1/t/1/fs/0/start/0/end/0/c")</f>
        <v>https://tablet.otzar.org/#/book/641661/p/-1/t/1/fs/0/start/0/end/0/c</v>
      </c>
    </row>
    <row r="2766" spans="1:8" x14ac:dyDescent="0.25">
      <c r="A2766">
        <v>649573</v>
      </c>
      <c r="B2766" t="s">
        <v>5511</v>
      </c>
      <c r="C2766" t="s">
        <v>5512</v>
      </c>
      <c r="D2766" t="s">
        <v>5513</v>
      </c>
      <c r="E2766" t="s">
        <v>4388</v>
      </c>
      <c r="G2766" t="str">
        <f>HYPERLINK(_xlfn.CONCAT("https://tablet.otzar.org/",CHAR(35),"/book/649573/p/-1/t/1/fs/0/start/0/end/0/c"),"נצר תאנה")</f>
        <v>נצר תאנה</v>
      </c>
      <c r="H2766" t="str">
        <f>_xlfn.CONCAT("https://tablet.otzar.org/",CHAR(35),"/book/649573/p/-1/t/1/fs/0/start/0/end/0/c")</f>
        <v>https://tablet.otzar.org/#/book/649573/p/-1/t/1/fs/0/start/0/end/0/c</v>
      </c>
    </row>
    <row r="2767" spans="1:8" x14ac:dyDescent="0.25">
      <c r="A2767">
        <v>654761</v>
      </c>
      <c r="B2767" t="s">
        <v>5514</v>
      </c>
      <c r="C2767" t="s">
        <v>5515</v>
      </c>
      <c r="D2767" t="s">
        <v>88</v>
      </c>
      <c r="E2767" t="s">
        <v>11</v>
      </c>
      <c r="G2767" t="str">
        <f>HYPERLINK(_xlfn.CONCAT("https://tablet.otzar.org/",CHAR(35),"/exKotar/654761"),"נקודות אור - 2 כרכים")</f>
        <v>נקודות אור - 2 כרכים</v>
      </c>
      <c r="H2767" t="str">
        <f>_xlfn.CONCAT("https://tablet.otzar.org/",CHAR(35),"/exKotar/654761")</f>
        <v>https://tablet.otzar.org/#/exKotar/654761</v>
      </c>
    </row>
    <row r="2768" spans="1:8" x14ac:dyDescent="0.25">
      <c r="A2768">
        <v>656125</v>
      </c>
      <c r="B2768" t="s">
        <v>5516</v>
      </c>
      <c r="C2768" t="s">
        <v>614</v>
      </c>
      <c r="D2768" t="s">
        <v>193</v>
      </c>
      <c r="E2768" t="s">
        <v>84</v>
      </c>
      <c r="G2768" t="str">
        <f>HYPERLINK(_xlfn.CONCAT("https://tablet.otzar.org/",CHAR(35),"/book/656125/p/-1/t/1/fs/0/start/0/end/0/c"),"נקודות במסת תענית ביצה ומגילה")</f>
        <v>נקודות במסת תענית ביצה ומגילה</v>
      </c>
      <c r="H2768" t="str">
        <f>_xlfn.CONCAT("https://tablet.otzar.org/",CHAR(35),"/book/656125/p/-1/t/1/fs/0/start/0/end/0/c")</f>
        <v>https://tablet.otzar.org/#/book/656125/p/-1/t/1/fs/0/start/0/end/0/c</v>
      </c>
    </row>
    <row r="2769" spans="1:8" x14ac:dyDescent="0.25">
      <c r="A2769">
        <v>647682</v>
      </c>
      <c r="B2769" t="s">
        <v>5517</v>
      </c>
      <c r="C2769" t="s">
        <v>5518</v>
      </c>
      <c r="D2769" t="s">
        <v>52</v>
      </c>
      <c r="E2769" t="s">
        <v>11</v>
      </c>
      <c r="G2769" t="str">
        <f>HYPERLINK(_xlfn.CONCAT("https://tablet.otzar.org/",CHAR(35),"/exKotar/647682"),"נקודות הכסף - 2 כרכים")</f>
        <v>נקודות הכסף - 2 כרכים</v>
      </c>
      <c r="H2769" t="str">
        <f>_xlfn.CONCAT("https://tablet.otzar.org/",CHAR(35),"/exKotar/647682")</f>
        <v>https://tablet.otzar.org/#/exKotar/647682</v>
      </c>
    </row>
    <row r="2770" spans="1:8" x14ac:dyDescent="0.25">
      <c r="A2770">
        <v>654358</v>
      </c>
      <c r="B2770" t="s">
        <v>5519</v>
      </c>
      <c r="C2770" t="s">
        <v>5518</v>
      </c>
      <c r="D2770" t="s">
        <v>52</v>
      </c>
      <c r="E2770" t="s">
        <v>11</v>
      </c>
      <c r="G2770" t="str">
        <f>HYPERLINK(_xlfn.CONCAT("https://tablet.otzar.org/",CHAR(35),"/book/654358/p/-1/t/1/fs/0/start/0/end/0/c"),"נקודות הכסף על סידור הרש""""ש - תיקון ליל שבועות")</f>
        <v>נקודות הכסף על סידור הרש""ש - תיקון ליל שבועות</v>
      </c>
      <c r="H2770" t="str">
        <f>_xlfn.CONCAT("https://tablet.otzar.org/",CHAR(35),"/book/654358/p/-1/t/1/fs/0/start/0/end/0/c")</f>
        <v>https://tablet.otzar.org/#/book/654358/p/-1/t/1/fs/0/start/0/end/0/c</v>
      </c>
    </row>
    <row r="2771" spans="1:8" x14ac:dyDescent="0.25">
      <c r="A2771">
        <v>651729</v>
      </c>
      <c r="B2771" t="s">
        <v>5520</v>
      </c>
      <c r="C2771" t="s">
        <v>5521</v>
      </c>
      <c r="D2771" t="s">
        <v>52</v>
      </c>
      <c r="E2771" t="s">
        <v>35</v>
      </c>
      <c r="G2771" t="str">
        <f>HYPERLINK(_xlfn.CONCAT("https://tablet.otzar.org/",CHAR(35),"/book/651729/p/-1/t/1/fs/0/start/0/end/0/c"),"נקודת השמחה")</f>
        <v>נקודת השמחה</v>
      </c>
      <c r="H2771" t="str">
        <f>_xlfn.CONCAT("https://tablet.otzar.org/",CHAR(35),"/book/651729/p/-1/t/1/fs/0/start/0/end/0/c")</f>
        <v>https://tablet.otzar.org/#/book/651729/p/-1/t/1/fs/0/start/0/end/0/c</v>
      </c>
    </row>
    <row r="2772" spans="1:8" x14ac:dyDescent="0.25">
      <c r="A2772">
        <v>649429</v>
      </c>
      <c r="B2772" t="s">
        <v>5522</v>
      </c>
      <c r="C2772" t="s">
        <v>5523</v>
      </c>
      <c r="D2772" t="s">
        <v>5524</v>
      </c>
      <c r="E2772" t="s">
        <v>2402</v>
      </c>
      <c r="G2772" t="str">
        <f>HYPERLINK(_xlfn.CONCAT("https://tablet.otzar.org/",CHAR(35),"/book/649429/p/-1/t/1/fs/0/start/0/end/0/c"),"נקי כפים ובר מצוה")</f>
        <v>נקי כפים ובר מצוה</v>
      </c>
      <c r="H2772" t="str">
        <f>_xlfn.CONCAT("https://tablet.otzar.org/",CHAR(35),"/book/649429/p/-1/t/1/fs/0/start/0/end/0/c")</f>
        <v>https://tablet.otzar.org/#/book/649429/p/-1/t/1/fs/0/start/0/end/0/c</v>
      </c>
    </row>
    <row r="2773" spans="1:8" x14ac:dyDescent="0.25">
      <c r="A2773">
        <v>654103</v>
      </c>
      <c r="B2773" t="s">
        <v>5525</v>
      </c>
      <c r="C2773" t="s">
        <v>5526</v>
      </c>
      <c r="D2773" t="s">
        <v>52</v>
      </c>
      <c r="E2773" t="s">
        <v>11</v>
      </c>
      <c r="G2773" t="str">
        <f>HYPERLINK(_xlfn.CONCAT("https://tablet.otzar.org/",CHAR(35),"/book/654103/p/-1/t/1/fs/0/start/0/end/0/c"),"נר חוה - דברים")</f>
        <v>נר חוה - דברים</v>
      </c>
      <c r="H2773" t="str">
        <f>_xlfn.CONCAT("https://tablet.otzar.org/",CHAR(35),"/book/654103/p/-1/t/1/fs/0/start/0/end/0/c")</f>
        <v>https://tablet.otzar.org/#/book/654103/p/-1/t/1/fs/0/start/0/end/0/c</v>
      </c>
    </row>
    <row r="2774" spans="1:8" x14ac:dyDescent="0.25">
      <c r="A2774">
        <v>652664</v>
      </c>
      <c r="B2774" t="s">
        <v>5527</v>
      </c>
      <c r="C2774" t="s">
        <v>5528</v>
      </c>
      <c r="D2774" t="s">
        <v>424</v>
      </c>
      <c r="E2774" t="s">
        <v>62</v>
      </c>
      <c r="G2774" t="str">
        <f>HYPERLINK(_xlfn.CONCAT("https://tablet.otzar.org/",CHAR(35),"/exKotar/652664"),"נר יום טוב - 2 כרכים")</f>
        <v>נר יום טוב - 2 כרכים</v>
      </c>
      <c r="H2774" t="str">
        <f>_xlfn.CONCAT("https://tablet.otzar.org/",CHAR(35),"/exKotar/652664")</f>
        <v>https://tablet.otzar.org/#/exKotar/652664</v>
      </c>
    </row>
    <row r="2775" spans="1:8" x14ac:dyDescent="0.25">
      <c r="A2775">
        <v>650598</v>
      </c>
      <c r="B2775" t="s">
        <v>5529</v>
      </c>
      <c r="C2775" t="s">
        <v>5530</v>
      </c>
      <c r="D2775" t="s">
        <v>573</v>
      </c>
      <c r="E2775" t="s">
        <v>84</v>
      </c>
      <c r="G2775" t="str">
        <f>HYPERLINK(_xlfn.CONCAT("https://tablet.otzar.org/",CHAR(35),"/book/650598/p/-1/t/1/fs/0/start/0/end/0/c"),"נר יוסף - מוקצה")</f>
        <v>נר יוסף - מוקצה</v>
      </c>
      <c r="H2775" t="str">
        <f>_xlfn.CONCAT("https://tablet.otzar.org/",CHAR(35),"/book/650598/p/-1/t/1/fs/0/start/0/end/0/c")</f>
        <v>https://tablet.otzar.org/#/book/650598/p/-1/t/1/fs/0/start/0/end/0/c</v>
      </c>
    </row>
    <row r="2776" spans="1:8" x14ac:dyDescent="0.25">
      <c r="A2776">
        <v>651008</v>
      </c>
      <c r="B2776" t="s">
        <v>5531</v>
      </c>
      <c r="C2776" t="s">
        <v>5532</v>
      </c>
      <c r="D2776" t="s">
        <v>10</v>
      </c>
      <c r="E2776" t="s">
        <v>70</v>
      </c>
      <c r="G2776" t="str">
        <f>HYPERLINK(_xlfn.CONCAT("https://tablet.otzar.org/",CHAR(35),"/book/651008/p/-1/t/1/fs/0/start/0/end/0/c"),"נר ישראל - בשר וחלב")</f>
        <v>נר ישראל - בשר וחלב</v>
      </c>
      <c r="H2776" t="str">
        <f>_xlfn.CONCAT("https://tablet.otzar.org/",CHAR(35),"/book/651008/p/-1/t/1/fs/0/start/0/end/0/c")</f>
        <v>https://tablet.otzar.org/#/book/651008/p/-1/t/1/fs/0/start/0/end/0/c</v>
      </c>
    </row>
    <row r="2777" spans="1:8" x14ac:dyDescent="0.25">
      <c r="A2777">
        <v>650646</v>
      </c>
      <c r="B2777" t="s">
        <v>5533</v>
      </c>
      <c r="C2777" t="s">
        <v>5534</v>
      </c>
      <c r="E2777">
        <v>1986</v>
      </c>
      <c r="G2777" t="str">
        <f>HYPERLINK(_xlfn.CONCAT("https://tablet.otzar.org/",CHAR(35),"/book/650646/p/-1/t/1/fs/0/start/0/end/0/c"),"נר למאה - חנוכה")</f>
        <v>נר למאה - חנוכה</v>
      </c>
      <c r="H2777" t="str">
        <f>_xlfn.CONCAT("https://tablet.otzar.org/",CHAR(35),"/book/650646/p/-1/t/1/fs/0/start/0/end/0/c")</f>
        <v>https://tablet.otzar.org/#/book/650646/p/-1/t/1/fs/0/start/0/end/0/c</v>
      </c>
    </row>
    <row r="2778" spans="1:8" x14ac:dyDescent="0.25">
      <c r="A2778">
        <v>651863</v>
      </c>
      <c r="B2778" t="s">
        <v>5535</v>
      </c>
      <c r="C2778" t="s">
        <v>3907</v>
      </c>
      <c r="E2778" t="s">
        <v>11</v>
      </c>
      <c r="G2778" t="str">
        <f>HYPERLINK(_xlfn.CONCAT("https://tablet.otzar.org/",CHAR(35),"/book/651863/p/-1/t/1/fs/0/start/0/end/0/c"),"נר לרגלי דבריך - לימי השובבי""""ם")</f>
        <v>נר לרגלי דבריך - לימי השובבי""ם</v>
      </c>
      <c r="H2778" t="str">
        <f>_xlfn.CONCAT("https://tablet.otzar.org/",CHAR(35),"/book/651863/p/-1/t/1/fs/0/start/0/end/0/c")</f>
        <v>https://tablet.otzar.org/#/book/651863/p/-1/t/1/fs/0/start/0/end/0/c</v>
      </c>
    </row>
    <row r="2779" spans="1:8" x14ac:dyDescent="0.25">
      <c r="A2779">
        <v>648265</v>
      </c>
      <c r="B2779" t="s">
        <v>5536</v>
      </c>
      <c r="C2779" t="s">
        <v>5537</v>
      </c>
      <c r="E2779" t="s">
        <v>2368</v>
      </c>
      <c r="G2779" t="str">
        <f>HYPERLINK(_xlfn.CONCAT("https://tablet.otzar.org/",CHAR(35),"/book/648265/p/-1/t/1/fs/0/start/0/end/0/c"),"נר מערבי - א")</f>
        <v>נר מערבי - א</v>
      </c>
      <c r="H2779" t="str">
        <f>_xlfn.CONCAT("https://tablet.otzar.org/",CHAR(35),"/book/648265/p/-1/t/1/fs/0/start/0/end/0/c")</f>
        <v>https://tablet.otzar.org/#/book/648265/p/-1/t/1/fs/0/start/0/end/0/c</v>
      </c>
    </row>
    <row r="2780" spans="1:8" x14ac:dyDescent="0.25">
      <c r="A2780">
        <v>656928</v>
      </c>
      <c r="B2780" t="s">
        <v>5538</v>
      </c>
      <c r="C2780" t="s">
        <v>5539</v>
      </c>
      <c r="D2780" t="s">
        <v>347</v>
      </c>
      <c r="E2780" t="s">
        <v>11</v>
      </c>
      <c r="G2780" t="str">
        <f>HYPERLINK(_xlfn.CONCAT("https://tablet.otzar.org/",CHAR(35),"/exKotar/656928"),"נר מצוה &lt;מהדורת מכון משנת ר""""א&gt; - 2 כרכים")</f>
        <v>נר מצוה &lt;מהדורת מכון משנת ר""א&gt; - 2 כרכים</v>
      </c>
      <c r="H2780" t="str">
        <f>_xlfn.CONCAT("https://tablet.otzar.org/",CHAR(35),"/exKotar/656928")</f>
        <v>https://tablet.otzar.org/#/exKotar/656928</v>
      </c>
    </row>
    <row r="2781" spans="1:8" x14ac:dyDescent="0.25">
      <c r="A2781">
        <v>649548</v>
      </c>
      <c r="B2781" t="s">
        <v>5540</v>
      </c>
      <c r="C2781" t="s">
        <v>5541</v>
      </c>
      <c r="D2781" t="s">
        <v>58</v>
      </c>
      <c r="E2781" t="s">
        <v>5542</v>
      </c>
      <c r="G2781" t="str">
        <f>HYPERLINK(_xlfn.CONCAT("https://tablet.otzar.org/",CHAR(35),"/book/649548/p/-1/t/1/fs/0/start/0/end/0/c"),"נר משה")</f>
        <v>נר משה</v>
      </c>
      <c r="H2781" t="str">
        <f>_xlfn.CONCAT("https://tablet.otzar.org/",CHAR(35),"/book/649548/p/-1/t/1/fs/0/start/0/end/0/c")</f>
        <v>https://tablet.otzar.org/#/book/649548/p/-1/t/1/fs/0/start/0/end/0/c</v>
      </c>
    </row>
    <row r="2782" spans="1:8" x14ac:dyDescent="0.25">
      <c r="A2782">
        <v>651892</v>
      </c>
      <c r="B2782" t="s">
        <v>5543</v>
      </c>
      <c r="C2782" t="s">
        <v>5544</v>
      </c>
      <c r="D2782" t="s">
        <v>52</v>
      </c>
      <c r="E2782" t="s">
        <v>11</v>
      </c>
      <c r="G2782" t="str">
        <f>HYPERLINK(_xlfn.CONCAT("https://tablet.otzar.org/",CHAR(35),"/book/651892/p/-1/t/1/fs/0/start/0/end/0/c"),"נר ציון - הלכות פסח")</f>
        <v>נר ציון - הלכות פסח</v>
      </c>
      <c r="H2782" t="str">
        <f>_xlfn.CONCAT("https://tablet.otzar.org/",CHAR(35),"/book/651892/p/-1/t/1/fs/0/start/0/end/0/c")</f>
        <v>https://tablet.otzar.org/#/book/651892/p/-1/t/1/fs/0/start/0/end/0/c</v>
      </c>
    </row>
    <row r="2783" spans="1:8" x14ac:dyDescent="0.25">
      <c r="A2783">
        <v>648505</v>
      </c>
      <c r="B2783" t="s">
        <v>5545</v>
      </c>
      <c r="C2783" t="s">
        <v>5546</v>
      </c>
      <c r="D2783" t="s">
        <v>10</v>
      </c>
      <c r="E2783" t="s">
        <v>45</v>
      </c>
      <c r="G2783" t="str">
        <f>HYPERLINK(_xlfn.CONCAT("https://tablet.otzar.org/",CHAR(35),"/book/648505/p/-1/t/1/fs/0/start/0/end/0/c"),"נר רפאל - ב")</f>
        <v>נר רפאל - ב</v>
      </c>
      <c r="H2783" t="str">
        <f>_xlfn.CONCAT("https://tablet.otzar.org/",CHAR(35),"/book/648505/p/-1/t/1/fs/0/start/0/end/0/c")</f>
        <v>https://tablet.otzar.org/#/book/648505/p/-1/t/1/fs/0/start/0/end/0/c</v>
      </c>
    </row>
    <row r="2784" spans="1:8" x14ac:dyDescent="0.25">
      <c r="A2784">
        <v>648900</v>
      </c>
      <c r="B2784" t="s">
        <v>5547</v>
      </c>
      <c r="C2784" t="s">
        <v>5548</v>
      </c>
      <c r="D2784" t="s">
        <v>328</v>
      </c>
      <c r="E2784" t="s">
        <v>224</v>
      </c>
      <c r="G2784" t="str">
        <f>HYPERLINK(_xlfn.CONCAT("https://tablet.otzar.org/",CHAR(35),"/book/648900/p/-1/t/1/fs/0/start/0/end/0/c"),"נר שמעון")</f>
        <v>נר שמעון</v>
      </c>
      <c r="H2784" t="str">
        <f>_xlfn.CONCAT("https://tablet.otzar.org/",CHAR(35),"/book/648900/p/-1/t/1/fs/0/start/0/end/0/c")</f>
        <v>https://tablet.otzar.org/#/book/648900/p/-1/t/1/fs/0/start/0/end/0/c</v>
      </c>
    </row>
    <row r="2785" spans="1:8" x14ac:dyDescent="0.25">
      <c r="A2785">
        <v>651861</v>
      </c>
      <c r="B2785" t="s">
        <v>5549</v>
      </c>
      <c r="C2785" t="s">
        <v>5361</v>
      </c>
      <c r="D2785" t="s">
        <v>52</v>
      </c>
      <c r="E2785" t="s">
        <v>5550</v>
      </c>
      <c r="G2785" t="str">
        <f>HYPERLINK(_xlfn.CONCAT("https://tablet.otzar.org/",CHAR(35),"/book/651861/p/-1/t/1/fs/0/start/0/end/0/c"),"נראה אור - א-ק")</f>
        <v>נראה אור - א-ק</v>
      </c>
      <c r="H2785" t="str">
        <f>_xlfn.CONCAT("https://tablet.otzar.org/",CHAR(35),"/book/651861/p/-1/t/1/fs/0/start/0/end/0/c")</f>
        <v>https://tablet.otzar.org/#/book/651861/p/-1/t/1/fs/0/start/0/end/0/c</v>
      </c>
    </row>
    <row r="2786" spans="1:8" x14ac:dyDescent="0.25">
      <c r="A2786">
        <v>655938</v>
      </c>
      <c r="B2786" t="s">
        <v>5551</v>
      </c>
      <c r="C2786" t="s">
        <v>2517</v>
      </c>
      <c r="D2786" t="s">
        <v>139</v>
      </c>
      <c r="E2786" t="s">
        <v>84</v>
      </c>
      <c r="G2786" t="str">
        <f>HYPERLINK(_xlfn.CONCAT("https://tablet.otzar.org/",CHAR(35),"/book/655938/p/-1/t/1/fs/0/start/0/end/0/c"),"נרד וכרכום")</f>
        <v>נרד וכרכום</v>
      </c>
      <c r="H2786" t="str">
        <f>_xlfn.CONCAT("https://tablet.otzar.org/",CHAR(35),"/book/655938/p/-1/t/1/fs/0/start/0/end/0/c")</f>
        <v>https://tablet.otzar.org/#/book/655938/p/-1/t/1/fs/0/start/0/end/0/c</v>
      </c>
    </row>
    <row r="2787" spans="1:8" x14ac:dyDescent="0.25">
      <c r="A2787">
        <v>641653</v>
      </c>
      <c r="B2787" t="s">
        <v>5552</v>
      </c>
      <c r="C2787" t="s">
        <v>5553</v>
      </c>
      <c r="D2787" t="s">
        <v>10</v>
      </c>
      <c r="E2787" t="s">
        <v>5554</v>
      </c>
      <c r="G2787" t="str">
        <f>HYPERLINK(_xlfn.CONCAT("https://tablet.otzar.org/",CHAR(35),"/exKotar/641653"),"נרות שבת - 2 כרכים")</f>
        <v>נרות שבת - 2 כרכים</v>
      </c>
      <c r="H2787" t="str">
        <f>_xlfn.CONCAT("https://tablet.otzar.org/",CHAR(35),"/exKotar/641653")</f>
        <v>https://tablet.otzar.org/#/exKotar/641653</v>
      </c>
    </row>
    <row r="2788" spans="1:8" x14ac:dyDescent="0.25">
      <c r="A2788">
        <v>650233</v>
      </c>
      <c r="B2788" t="s">
        <v>5555</v>
      </c>
      <c r="C2788" t="s">
        <v>5556</v>
      </c>
      <c r="D2788" t="s">
        <v>731</v>
      </c>
      <c r="E2788" t="s">
        <v>70</v>
      </c>
      <c r="G2788" t="str">
        <f>HYPERLINK(_xlfn.CONCAT("https://tablet.otzar.org/",CHAR(35),"/book/650233/p/-1/t/1/fs/0/start/0/end/0/c"),"נרות שבת קדש")</f>
        <v>נרות שבת קדש</v>
      </c>
      <c r="H2788" t="str">
        <f>_xlfn.CONCAT("https://tablet.otzar.org/",CHAR(35),"/book/650233/p/-1/t/1/fs/0/start/0/end/0/c")</f>
        <v>https://tablet.otzar.org/#/book/650233/p/-1/t/1/fs/0/start/0/end/0/c</v>
      </c>
    </row>
    <row r="2789" spans="1:8" x14ac:dyDescent="0.25">
      <c r="A2789">
        <v>650081</v>
      </c>
      <c r="B2789" t="s">
        <v>5557</v>
      </c>
      <c r="C2789" t="s">
        <v>5558</v>
      </c>
      <c r="E2789" t="s">
        <v>45</v>
      </c>
      <c r="G2789" t="str">
        <f>HYPERLINK(_xlfn.CONCAT("https://tablet.otzar.org/",CHAR(35),"/book/650081/p/-1/t/1/fs/0/start/0/end/0/c"),"נשים בזכות עצמן")</f>
        <v>נשים בזכות עצמן</v>
      </c>
      <c r="H2789" t="str">
        <f>_xlfn.CONCAT("https://tablet.otzar.org/",CHAR(35),"/book/650081/p/-1/t/1/fs/0/start/0/end/0/c")</f>
        <v>https://tablet.otzar.org/#/book/650081/p/-1/t/1/fs/0/start/0/end/0/c</v>
      </c>
    </row>
    <row r="2790" spans="1:8" x14ac:dyDescent="0.25">
      <c r="A2790">
        <v>650074</v>
      </c>
      <c r="B2790" t="s">
        <v>5559</v>
      </c>
      <c r="C2790" t="s">
        <v>5558</v>
      </c>
      <c r="E2790" t="s">
        <v>574</v>
      </c>
      <c r="G2790" t="str">
        <f>HYPERLINK(_xlfn.CONCAT("https://tablet.otzar.org/",CHAR(35),"/exKotar/650074"),"נשים נסתרות בתנ""""ך - 4 כרכים")</f>
        <v>נשים נסתרות בתנ""ך - 4 כרכים</v>
      </c>
      <c r="H2790" t="str">
        <f>_xlfn.CONCAT("https://tablet.otzar.org/",CHAR(35),"/exKotar/650074")</f>
        <v>https://tablet.otzar.org/#/exKotar/650074</v>
      </c>
    </row>
    <row r="2791" spans="1:8" x14ac:dyDescent="0.25">
      <c r="A2791">
        <v>635076</v>
      </c>
      <c r="B2791" t="s">
        <v>5560</v>
      </c>
      <c r="C2791" t="s">
        <v>5561</v>
      </c>
      <c r="D2791" t="s">
        <v>52</v>
      </c>
      <c r="E2791" t="s">
        <v>84</v>
      </c>
      <c r="G2791" t="str">
        <f>HYPERLINK(_xlfn.CONCAT("https://tablet.otzar.org/",CHAR(35),"/book/635076/p/-1/t/1/fs/0/start/0/end/0/c"),"נשיקות פיהו")</f>
        <v>נשיקות פיהו</v>
      </c>
      <c r="H2791" t="str">
        <f>_xlfn.CONCAT("https://tablet.otzar.org/",CHAR(35),"/book/635076/p/-1/t/1/fs/0/start/0/end/0/c")</f>
        <v>https://tablet.otzar.org/#/book/635076/p/-1/t/1/fs/0/start/0/end/0/c</v>
      </c>
    </row>
    <row r="2792" spans="1:8" x14ac:dyDescent="0.25">
      <c r="A2792">
        <v>654138</v>
      </c>
      <c r="B2792" t="s">
        <v>5562</v>
      </c>
      <c r="C2792" t="s">
        <v>5563</v>
      </c>
      <c r="D2792" t="s">
        <v>10</v>
      </c>
      <c r="E2792" t="s">
        <v>690</v>
      </c>
      <c r="G2792" t="str">
        <f>HYPERLINK(_xlfn.CONCAT("https://tablet.otzar.org/",CHAR(35),"/exKotar/654138"),"נשמת אברהם &lt;מהדורה חדשה&gt;  - 4 כרכים")</f>
        <v>נשמת אברהם &lt;מהדורה חדשה&gt;  - 4 כרכים</v>
      </c>
      <c r="H2792" t="str">
        <f>_xlfn.CONCAT("https://tablet.otzar.org/",CHAR(35),"/exKotar/654138")</f>
        <v>https://tablet.otzar.org/#/exKotar/654138</v>
      </c>
    </row>
    <row r="2793" spans="1:8" x14ac:dyDescent="0.25">
      <c r="A2793">
        <v>651034</v>
      </c>
      <c r="B2793" t="s">
        <v>5564</v>
      </c>
      <c r="C2793" t="s">
        <v>2939</v>
      </c>
      <c r="E2793" t="s">
        <v>11</v>
      </c>
      <c r="G2793" t="str">
        <f>HYPERLINK(_xlfn.CONCAT("https://tablet.otzar.org/",CHAR(35),"/book/651034/p/-1/t/1/fs/0/start/0/end/0/c"),"נשמת שבת - ג-א")</f>
        <v>נשמת שבת - ג-א</v>
      </c>
      <c r="H2793" t="str">
        <f>_xlfn.CONCAT("https://tablet.otzar.org/",CHAR(35),"/book/651034/p/-1/t/1/fs/0/start/0/end/0/c")</f>
        <v>https://tablet.otzar.org/#/book/651034/p/-1/t/1/fs/0/start/0/end/0/c</v>
      </c>
    </row>
    <row r="2794" spans="1:8" x14ac:dyDescent="0.25">
      <c r="A2794">
        <v>656934</v>
      </c>
      <c r="B2794" t="s">
        <v>5565</v>
      </c>
      <c r="C2794" t="s">
        <v>5566</v>
      </c>
      <c r="D2794" t="s">
        <v>52</v>
      </c>
      <c r="E2794" t="s">
        <v>817</v>
      </c>
      <c r="G2794" t="str">
        <f>HYPERLINK(_xlfn.CONCAT("https://tablet.otzar.org/",CHAR(35),"/exKotar/656934"),"נתיב בינה - 2 כרכים")</f>
        <v>נתיב בינה - 2 כרכים</v>
      </c>
      <c r="H2794" t="str">
        <f>_xlfn.CONCAT("https://tablet.otzar.org/",CHAR(35),"/exKotar/656934")</f>
        <v>https://tablet.otzar.org/#/exKotar/656934</v>
      </c>
    </row>
    <row r="2795" spans="1:8" x14ac:dyDescent="0.25">
      <c r="A2795">
        <v>655873</v>
      </c>
      <c r="B2795" t="s">
        <v>5567</v>
      </c>
      <c r="C2795" t="s">
        <v>1668</v>
      </c>
      <c r="D2795" t="s">
        <v>10</v>
      </c>
      <c r="E2795" t="s">
        <v>35</v>
      </c>
      <c r="G2795" t="str">
        <f>HYPERLINK(_xlfn.CONCAT("https://tablet.otzar.org/",CHAR(35),"/book/655873/p/-1/t/1/fs/0/start/0/end/0/c"),"נתיב התשובה למהר""""ל &lt;נתיבות אור&gt;")</f>
        <v>נתיב התשובה למהר""ל &lt;נתיבות אור&gt;</v>
      </c>
      <c r="H2795" t="str">
        <f>_xlfn.CONCAT("https://tablet.otzar.org/",CHAR(35),"/book/655873/p/-1/t/1/fs/0/start/0/end/0/c")</f>
        <v>https://tablet.otzar.org/#/book/655873/p/-1/t/1/fs/0/start/0/end/0/c</v>
      </c>
    </row>
    <row r="2796" spans="1:8" x14ac:dyDescent="0.25">
      <c r="A2796">
        <v>641743</v>
      </c>
      <c r="B2796" t="s">
        <v>5568</v>
      </c>
      <c r="C2796" t="s">
        <v>5569</v>
      </c>
      <c r="D2796" t="s">
        <v>10</v>
      </c>
      <c r="E2796" t="s">
        <v>3925</v>
      </c>
      <c r="G2796" t="str">
        <f>HYPERLINK(_xlfn.CONCAT("https://tablet.otzar.org/",CHAR(35),"/book/641743/p/-1/t/1/fs/0/start/0/end/0/c"),"נתיבה - שנה שישית")</f>
        <v>נתיבה - שנה שישית</v>
      </c>
      <c r="H2796" t="str">
        <f>_xlfn.CONCAT("https://tablet.otzar.org/",CHAR(35),"/book/641743/p/-1/t/1/fs/0/start/0/end/0/c")</f>
        <v>https://tablet.otzar.org/#/book/641743/p/-1/t/1/fs/0/start/0/end/0/c</v>
      </c>
    </row>
    <row r="2797" spans="1:8" x14ac:dyDescent="0.25">
      <c r="A2797">
        <v>647690</v>
      </c>
      <c r="B2797" t="s">
        <v>5570</v>
      </c>
      <c r="C2797" t="s">
        <v>5571</v>
      </c>
      <c r="D2797" t="s">
        <v>139</v>
      </c>
      <c r="E2797" t="s">
        <v>35</v>
      </c>
      <c r="G2797" t="str">
        <f>HYPERLINK(_xlfn.CONCAT("https://tablet.otzar.org/",CHAR(35),"/exKotar/647690"),"נתיבות בסוגיות - 3 כרכים")</f>
        <v>נתיבות בסוגיות - 3 כרכים</v>
      </c>
      <c r="H2797" t="str">
        <f>_xlfn.CONCAT("https://tablet.otzar.org/",CHAR(35),"/exKotar/647690")</f>
        <v>https://tablet.otzar.org/#/exKotar/647690</v>
      </c>
    </row>
    <row r="2798" spans="1:8" x14ac:dyDescent="0.25">
      <c r="A2798">
        <v>652109</v>
      </c>
      <c r="B2798" t="s">
        <v>5572</v>
      </c>
      <c r="C2798" t="s">
        <v>3293</v>
      </c>
      <c r="D2798" t="s">
        <v>10</v>
      </c>
      <c r="E2798" t="s">
        <v>89</v>
      </c>
      <c r="G2798" t="str">
        <f>HYPERLINK(_xlfn.CONCAT("https://tablet.otzar.org/",CHAR(35),"/book/652109/p/-1/t/1/fs/0/start/0/end/0/c"),"נתיבות האיש")</f>
        <v>נתיבות האיש</v>
      </c>
      <c r="H2798" t="str">
        <f>_xlfn.CONCAT("https://tablet.otzar.org/",CHAR(35),"/book/652109/p/-1/t/1/fs/0/start/0/end/0/c")</f>
        <v>https://tablet.otzar.org/#/book/652109/p/-1/t/1/fs/0/start/0/end/0/c</v>
      </c>
    </row>
    <row r="2799" spans="1:8" x14ac:dyDescent="0.25">
      <c r="A2799">
        <v>654239</v>
      </c>
      <c r="B2799" t="s">
        <v>5573</v>
      </c>
      <c r="C2799" t="s">
        <v>5574</v>
      </c>
      <c r="D2799" t="s">
        <v>10</v>
      </c>
      <c r="E2799" t="s">
        <v>11</v>
      </c>
      <c r="G2799" t="str">
        <f>HYPERLINK(_xlfn.CONCAT("https://tablet.otzar.org/",CHAR(35),"/book/654239/p/-1/t/1/fs/0/start/0/end/0/c"),"נתיבות המוקצה")</f>
        <v>נתיבות המוקצה</v>
      </c>
      <c r="H2799" t="str">
        <f>_xlfn.CONCAT("https://tablet.otzar.org/",CHAR(35),"/book/654239/p/-1/t/1/fs/0/start/0/end/0/c")</f>
        <v>https://tablet.otzar.org/#/book/654239/p/-1/t/1/fs/0/start/0/end/0/c</v>
      </c>
    </row>
    <row r="2800" spans="1:8" x14ac:dyDescent="0.25">
      <c r="A2800">
        <v>651555</v>
      </c>
      <c r="B2800" t="s">
        <v>5575</v>
      </c>
      <c r="C2800" t="s">
        <v>5576</v>
      </c>
      <c r="D2800" t="s">
        <v>10</v>
      </c>
      <c r="E2800" t="s">
        <v>11</v>
      </c>
      <c r="G2800" t="str">
        <f>HYPERLINK(_xlfn.CONCAT("https://tablet.otzar.org/",CHAR(35),"/book/651555/p/-1/t/1/fs/0/start/0/end/0/c"),"נתיבות השבת - סימנים שטז-שכב")</f>
        <v>נתיבות השבת - סימנים שטז-שכב</v>
      </c>
      <c r="H2800" t="str">
        <f>_xlfn.CONCAT("https://tablet.otzar.org/",CHAR(35),"/book/651555/p/-1/t/1/fs/0/start/0/end/0/c")</f>
        <v>https://tablet.otzar.org/#/book/651555/p/-1/t/1/fs/0/start/0/end/0/c</v>
      </c>
    </row>
    <row r="2801" spans="1:8" x14ac:dyDescent="0.25">
      <c r="A2801">
        <v>651727</v>
      </c>
      <c r="B2801" t="s">
        <v>5577</v>
      </c>
      <c r="C2801" t="s">
        <v>421</v>
      </c>
      <c r="D2801" t="s">
        <v>5578</v>
      </c>
      <c r="E2801" t="s">
        <v>89</v>
      </c>
      <c r="G2801" t="str">
        <f>HYPERLINK(_xlfn.CONCAT("https://tablet.otzar.org/",CHAR(35),"/book/651727/p/-1/t/1/fs/0/start/0/end/0/c"),"נתיבות חיים")</f>
        <v>נתיבות חיים</v>
      </c>
      <c r="H2801" t="str">
        <f>_xlfn.CONCAT("https://tablet.otzar.org/",CHAR(35),"/book/651727/p/-1/t/1/fs/0/start/0/end/0/c")</f>
        <v>https://tablet.otzar.org/#/book/651727/p/-1/t/1/fs/0/start/0/end/0/c</v>
      </c>
    </row>
    <row r="2802" spans="1:8" x14ac:dyDescent="0.25">
      <c r="A2802">
        <v>656045</v>
      </c>
      <c r="B2802" t="s">
        <v>5579</v>
      </c>
      <c r="C2802" t="s">
        <v>5580</v>
      </c>
      <c r="D2802" t="s">
        <v>10</v>
      </c>
      <c r="E2802" t="s">
        <v>84</v>
      </c>
      <c r="G2802" t="str">
        <f>HYPERLINK(_xlfn.CONCAT("https://tablet.otzar.org/",CHAR(35),"/book/656045/p/-1/t/1/fs/0/start/0/end/0/c"),"נתיבות לב")</f>
        <v>נתיבות לב</v>
      </c>
      <c r="H2802" t="str">
        <f>_xlfn.CONCAT("https://tablet.otzar.org/",CHAR(35),"/book/656045/p/-1/t/1/fs/0/start/0/end/0/c")</f>
        <v>https://tablet.otzar.org/#/book/656045/p/-1/t/1/fs/0/start/0/end/0/c</v>
      </c>
    </row>
    <row r="2803" spans="1:8" x14ac:dyDescent="0.25">
      <c r="A2803">
        <v>650186</v>
      </c>
      <c r="B2803" t="s">
        <v>5581</v>
      </c>
      <c r="C2803" t="s">
        <v>5582</v>
      </c>
      <c r="D2803" t="s">
        <v>52</v>
      </c>
      <c r="E2803" t="s">
        <v>77</v>
      </c>
      <c r="G2803" t="str">
        <f>HYPERLINK(_xlfn.CONCAT("https://tablet.otzar.org/",CHAR(35),"/book/650186/p/-1/t/1/fs/0/start/0/end/0/c"),"נתיבות מאיר - נזיקין")</f>
        <v>נתיבות מאיר - נזיקין</v>
      </c>
      <c r="H2803" t="str">
        <f>_xlfn.CONCAT("https://tablet.otzar.org/",CHAR(35),"/book/650186/p/-1/t/1/fs/0/start/0/end/0/c")</f>
        <v>https://tablet.otzar.org/#/book/650186/p/-1/t/1/fs/0/start/0/end/0/c</v>
      </c>
    </row>
    <row r="2804" spans="1:8" x14ac:dyDescent="0.25">
      <c r="A2804">
        <v>649867</v>
      </c>
      <c r="B2804" t="s">
        <v>5583</v>
      </c>
      <c r="C2804" t="s">
        <v>4734</v>
      </c>
      <c r="D2804" t="s">
        <v>5584</v>
      </c>
      <c r="E2804" t="s">
        <v>11</v>
      </c>
      <c r="G2804" t="str">
        <f>HYPERLINK(_xlfn.CONCAT("https://tablet.otzar.org/",CHAR(35),"/exKotar/649867"),"נתיבות מרדכי - 3 כרכים")</f>
        <v>נתיבות מרדכי - 3 כרכים</v>
      </c>
      <c r="H2804" t="str">
        <f>_xlfn.CONCAT("https://tablet.otzar.org/",CHAR(35),"/exKotar/649867")</f>
        <v>https://tablet.otzar.org/#/exKotar/649867</v>
      </c>
    </row>
    <row r="2805" spans="1:8" x14ac:dyDescent="0.25">
      <c r="A2805">
        <v>653217</v>
      </c>
      <c r="B2805" t="s">
        <v>5585</v>
      </c>
      <c r="C2805" t="s">
        <v>5586</v>
      </c>
      <c r="D2805" t="s">
        <v>5578</v>
      </c>
      <c r="E2805" t="s">
        <v>690</v>
      </c>
      <c r="G2805" t="str">
        <f>HYPERLINK(_xlfn.CONCAT("https://tablet.otzar.org/",CHAR(35),"/exKotar/653217"),"נתיבות משה - 2 כרכים")</f>
        <v>נתיבות משה - 2 כרכים</v>
      </c>
      <c r="H2805" t="str">
        <f>_xlfn.CONCAT("https://tablet.otzar.org/",CHAR(35),"/exKotar/653217")</f>
        <v>https://tablet.otzar.org/#/exKotar/653217</v>
      </c>
    </row>
    <row r="2806" spans="1:8" x14ac:dyDescent="0.25">
      <c r="A2806">
        <v>641379</v>
      </c>
      <c r="B2806" t="s">
        <v>5587</v>
      </c>
      <c r="C2806" t="s">
        <v>5588</v>
      </c>
      <c r="D2806" t="s">
        <v>10</v>
      </c>
      <c r="E2806" t="s">
        <v>77</v>
      </c>
      <c r="G2806" t="str">
        <f>HYPERLINK(_xlfn.CONCAT("https://tablet.otzar.org/",CHAR(35),"/exKotar/641379"),"נתיבי אור - 10 כרכים")</f>
        <v>נתיבי אור - 10 כרכים</v>
      </c>
      <c r="H2806" t="str">
        <f>_xlfn.CONCAT("https://tablet.otzar.org/",CHAR(35),"/exKotar/641379")</f>
        <v>https://tablet.otzar.org/#/exKotar/641379</v>
      </c>
    </row>
    <row r="2807" spans="1:8" x14ac:dyDescent="0.25">
      <c r="A2807">
        <v>641388</v>
      </c>
      <c r="B2807" t="s">
        <v>5589</v>
      </c>
      <c r="C2807" t="s">
        <v>5588</v>
      </c>
      <c r="D2807" t="s">
        <v>10</v>
      </c>
      <c r="E2807" t="s">
        <v>19</v>
      </c>
      <c r="G2807" t="str">
        <f>HYPERLINK(_xlfn.CONCAT("https://tablet.otzar.org/",CHAR(35),"/exKotar/641388"),"נתיבי אור על התורה - 7 כרכים")</f>
        <v>נתיבי אור על התורה - 7 כרכים</v>
      </c>
      <c r="H2807" t="str">
        <f>_xlfn.CONCAT("https://tablet.otzar.org/",CHAR(35),"/exKotar/641388")</f>
        <v>https://tablet.otzar.org/#/exKotar/641388</v>
      </c>
    </row>
    <row r="2808" spans="1:8" x14ac:dyDescent="0.25">
      <c r="A2808">
        <v>649410</v>
      </c>
      <c r="B2808" t="s">
        <v>5590</v>
      </c>
      <c r="C2808" t="s">
        <v>1423</v>
      </c>
      <c r="D2808" t="s">
        <v>34</v>
      </c>
      <c r="E2808" t="s">
        <v>11</v>
      </c>
      <c r="G2808" t="str">
        <f>HYPERLINK(_xlfn.CONCAT("https://tablet.otzar.org/",CHAR(35),"/book/649410/p/-1/t/1/fs/0/start/0/end/0/c"),"נתיבי אמונה")</f>
        <v>נתיבי אמונה</v>
      </c>
      <c r="H2808" t="str">
        <f>_xlfn.CONCAT("https://tablet.otzar.org/",CHAR(35),"/book/649410/p/-1/t/1/fs/0/start/0/end/0/c")</f>
        <v>https://tablet.otzar.org/#/book/649410/p/-1/t/1/fs/0/start/0/end/0/c</v>
      </c>
    </row>
    <row r="2809" spans="1:8" x14ac:dyDescent="0.25">
      <c r="A2809">
        <v>651010</v>
      </c>
      <c r="B2809" t="s">
        <v>5591</v>
      </c>
      <c r="C2809" t="s">
        <v>1622</v>
      </c>
      <c r="D2809" t="s">
        <v>10</v>
      </c>
      <c r="E2809" t="s">
        <v>45</v>
      </c>
      <c r="G2809" t="str">
        <f>HYPERLINK(_xlfn.CONCAT("https://tablet.otzar.org/",CHAR(35),"/exKotar/651010"),"נתיבי המנהגים - 2 כרכים")</f>
        <v>נתיבי המנהגים - 2 כרכים</v>
      </c>
      <c r="H2809" t="str">
        <f>_xlfn.CONCAT("https://tablet.otzar.org/",CHAR(35),"/exKotar/651010")</f>
        <v>https://tablet.otzar.org/#/exKotar/651010</v>
      </c>
    </row>
    <row r="2810" spans="1:8" x14ac:dyDescent="0.25">
      <c r="A2810">
        <v>649545</v>
      </c>
      <c r="B2810" t="s">
        <v>5592</v>
      </c>
      <c r="C2810" t="s">
        <v>5593</v>
      </c>
      <c r="D2810" t="s">
        <v>58</v>
      </c>
      <c r="E2810" t="s">
        <v>4510</v>
      </c>
      <c r="G2810" t="str">
        <f>HYPERLINK(_xlfn.CONCAT("https://tablet.otzar.org/",CHAR(35),"/book/649545/p/-1/t/1/fs/0/start/0/end/0/c"),"סבוב הרב ר' פתחיה")</f>
        <v>סבוב הרב ר' פתחיה</v>
      </c>
      <c r="H2810" t="str">
        <f>_xlfn.CONCAT("https://tablet.otzar.org/",CHAR(35),"/book/649545/p/-1/t/1/fs/0/start/0/end/0/c")</f>
        <v>https://tablet.otzar.org/#/book/649545/p/-1/t/1/fs/0/start/0/end/0/c</v>
      </c>
    </row>
    <row r="2811" spans="1:8" x14ac:dyDescent="0.25">
      <c r="A2811">
        <v>655438</v>
      </c>
      <c r="B2811" t="s">
        <v>5594</v>
      </c>
      <c r="C2811" t="s">
        <v>5595</v>
      </c>
      <c r="D2811" t="s">
        <v>52</v>
      </c>
      <c r="E2811" t="s">
        <v>35</v>
      </c>
      <c r="G2811" t="str">
        <f>HYPERLINK(_xlfn.CONCAT("https://tablet.otzar.org/",CHAR(35),"/book/655438/p/-1/t/1/fs/0/start/0/end/0/c"),"סבר נפתלי - א בראשית")</f>
        <v>סבר נפתלי - א בראשית</v>
      </c>
      <c r="H2811" t="str">
        <f>_xlfn.CONCAT("https://tablet.otzar.org/",CHAR(35),"/book/655438/p/-1/t/1/fs/0/start/0/end/0/c")</f>
        <v>https://tablet.otzar.org/#/book/655438/p/-1/t/1/fs/0/start/0/end/0/c</v>
      </c>
    </row>
    <row r="2812" spans="1:8" x14ac:dyDescent="0.25">
      <c r="A2812">
        <v>651788</v>
      </c>
      <c r="B2812" t="s">
        <v>5596</v>
      </c>
      <c r="C2812" t="s">
        <v>909</v>
      </c>
      <c r="D2812" t="s">
        <v>10</v>
      </c>
      <c r="E2812" t="s">
        <v>11</v>
      </c>
      <c r="G2812" t="str">
        <f>HYPERLINK(_xlfn.CONCAT("https://tablet.otzar.org/",CHAR(35),"/exKotar/651788"),"סגולה - 2 כרכים")</f>
        <v>סגולה - 2 כרכים</v>
      </c>
      <c r="H2812" t="str">
        <f>_xlfn.CONCAT("https://tablet.otzar.org/",CHAR(35),"/exKotar/651788")</f>
        <v>https://tablet.otzar.org/#/exKotar/651788</v>
      </c>
    </row>
    <row r="2813" spans="1:8" x14ac:dyDescent="0.25">
      <c r="A2813">
        <v>655205</v>
      </c>
      <c r="B2813" t="s">
        <v>5597</v>
      </c>
      <c r="C2813" t="s">
        <v>928</v>
      </c>
      <c r="D2813" t="s">
        <v>287</v>
      </c>
      <c r="E2813" t="s">
        <v>312</v>
      </c>
      <c r="G2813" t="str">
        <f>HYPERLINK(_xlfn.CONCAT("https://tablet.otzar.org/",CHAR(35),"/book/655205/p/-1/t/1/fs/0/start/0/end/0/c"),"סגולות הסופר")</f>
        <v>סגולות הסופר</v>
      </c>
      <c r="H2813" t="str">
        <f>_xlfn.CONCAT("https://tablet.otzar.org/",CHAR(35),"/book/655205/p/-1/t/1/fs/0/start/0/end/0/c")</f>
        <v>https://tablet.otzar.org/#/book/655205/p/-1/t/1/fs/0/start/0/end/0/c</v>
      </c>
    </row>
    <row r="2814" spans="1:8" x14ac:dyDescent="0.25">
      <c r="A2814">
        <v>650066</v>
      </c>
      <c r="B2814" t="s">
        <v>5598</v>
      </c>
      <c r="C2814" t="s">
        <v>3189</v>
      </c>
      <c r="D2814" t="s">
        <v>52</v>
      </c>
      <c r="E2814" t="s">
        <v>1693</v>
      </c>
      <c r="G2814" t="str">
        <f>HYPERLINK(_xlfn.CONCAT("https://tablet.otzar.org/",CHAR(35),"/book/650066/p/-1/t/1/fs/0/start/0/end/0/c"),"סדור שמע ישראל קול מנחם")</f>
        <v>סדור שמע ישראל קול מנחם</v>
      </c>
      <c r="H2814" t="str">
        <f>_xlfn.CONCAT("https://tablet.otzar.org/",CHAR(35),"/book/650066/p/-1/t/1/fs/0/start/0/end/0/c")</f>
        <v>https://tablet.otzar.org/#/book/650066/p/-1/t/1/fs/0/start/0/end/0/c</v>
      </c>
    </row>
    <row r="2815" spans="1:8" x14ac:dyDescent="0.25">
      <c r="A2815">
        <v>646023</v>
      </c>
      <c r="B2815" t="s">
        <v>5599</v>
      </c>
      <c r="C2815" t="s">
        <v>5600</v>
      </c>
      <c r="D2815" t="s">
        <v>34</v>
      </c>
      <c r="E2815" t="s">
        <v>70</v>
      </c>
      <c r="G2815" t="str">
        <f>HYPERLINK(_xlfn.CONCAT("https://tablet.otzar.org/",CHAR(35),"/book/646023/p/-1/t/1/fs/0/start/0/end/0/c"),"סדר אליהו זוטא &lt;נוסח כת""""י רומי&gt; - ג")</f>
        <v>סדר אליהו זוטא &lt;נוסח כת""י רומי&gt; - ג</v>
      </c>
      <c r="H2815" t="str">
        <f>_xlfn.CONCAT("https://tablet.otzar.org/",CHAR(35),"/book/646023/p/-1/t/1/fs/0/start/0/end/0/c")</f>
        <v>https://tablet.otzar.org/#/book/646023/p/-1/t/1/fs/0/start/0/end/0/c</v>
      </c>
    </row>
    <row r="2816" spans="1:8" x14ac:dyDescent="0.25">
      <c r="A2816">
        <v>646020</v>
      </c>
      <c r="B2816" t="s">
        <v>5601</v>
      </c>
      <c r="C2816" t="s">
        <v>5600</v>
      </c>
      <c r="D2816" t="s">
        <v>34</v>
      </c>
      <c r="E2816" t="s">
        <v>70</v>
      </c>
      <c r="G2816" t="str">
        <f>HYPERLINK(_xlfn.CONCAT("https://tablet.otzar.org/",CHAR(35),"/exKotar/646020"),"סדר אליהו רבה &lt;נוסח כת""""י רומי&gt;  - 3 כרכים")</f>
        <v>סדר אליהו רבה &lt;נוסח כת""י רומי&gt;  - 3 כרכים</v>
      </c>
      <c r="H2816" t="str">
        <f>_xlfn.CONCAT("https://tablet.otzar.org/",CHAR(35),"/exKotar/646020")</f>
        <v>https://tablet.otzar.org/#/exKotar/646020</v>
      </c>
    </row>
    <row r="2817" spans="1:8" x14ac:dyDescent="0.25">
      <c r="A2817">
        <v>654017</v>
      </c>
      <c r="B2817" t="s">
        <v>5602</v>
      </c>
      <c r="C2817" t="s">
        <v>1748</v>
      </c>
      <c r="D2817" t="s">
        <v>34</v>
      </c>
      <c r="E2817" t="s">
        <v>70</v>
      </c>
      <c r="G2817" t="str">
        <f>HYPERLINK(_xlfn.CONCAT("https://tablet.otzar.org/",CHAR(35),"/book/654017/p/-1/t/1/fs/0/start/0/end/0/c"),"סדר אמירת קרבן פסח")</f>
        <v>סדר אמירת קרבן פסח</v>
      </c>
      <c r="H2817" t="str">
        <f>_xlfn.CONCAT("https://tablet.otzar.org/",CHAR(35),"/book/654017/p/-1/t/1/fs/0/start/0/end/0/c")</f>
        <v>https://tablet.otzar.org/#/book/654017/p/-1/t/1/fs/0/start/0/end/0/c</v>
      </c>
    </row>
    <row r="2818" spans="1:8" x14ac:dyDescent="0.25">
      <c r="A2818">
        <v>649966</v>
      </c>
      <c r="B2818" t="s">
        <v>5603</v>
      </c>
      <c r="C2818" t="s">
        <v>199</v>
      </c>
      <c r="D2818" t="s">
        <v>58</v>
      </c>
      <c r="E2818" t="s">
        <v>719</v>
      </c>
      <c r="G2818" t="str">
        <f>HYPERLINK(_xlfn.CONCAT("https://tablet.otzar.org/",CHAR(35),"/exKotar/649966"),"סדר אמירת קרבן פסח - 2 כרכים")</f>
        <v>סדר אמירת קרבן פסח - 2 כרכים</v>
      </c>
      <c r="H2818" t="str">
        <f>_xlfn.CONCAT("https://tablet.otzar.org/",CHAR(35),"/exKotar/649966")</f>
        <v>https://tablet.otzar.org/#/exKotar/649966</v>
      </c>
    </row>
    <row r="2819" spans="1:8" x14ac:dyDescent="0.25">
      <c r="A2819">
        <v>650673</v>
      </c>
      <c r="B2819" t="s">
        <v>5604</v>
      </c>
      <c r="C2819" t="s">
        <v>243</v>
      </c>
      <c r="D2819" t="s">
        <v>10</v>
      </c>
      <c r="E2819" t="s">
        <v>11</v>
      </c>
      <c r="G2819" t="str">
        <f>HYPERLINK(_xlfn.CONCAT("https://tablet.otzar.org/",CHAR(35),"/book/650673/p/-1/t/1/fs/0/start/0/end/0/c"),"סדר בקיאות - פסחים ובבא בתרא")</f>
        <v>סדר בקיאות - פסחים ובבא בתרא</v>
      </c>
      <c r="H2819" t="str">
        <f>_xlfn.CONCAT("https://tablet.otzar.org/",CHAR(35),"/book/650673/p/-1/t/1/fs/0/start/0/end/0/c")</f>
        <v>https://tablet.otzar.org/#/book/650673/p/-1/t/1/fs/0/start/0/end/0/c</v>
      </c>
    </row>
    <row r="2820" spans="1:8" x14ac:dyDescent="0.25">
      <c r="A2820">
        <v>653519</v>
      </c>
      <c r="B2820" t="s">
        <v>5605</v>
      </c>
      <c r="C2820" t="s">
        <v>5606</v>
      </c>
      <c r="D2820" t="s">
        <v>340</v>
      </c>
      <c r="E2820" t="s">
        <v>35</v>
      </c>
      <c r="G2820" t="str">
        <f>HYPERLINK(_xlfn.CONCAT("https://tablet.otzar.org/",CHAR(35),"/book/653519/p/-1/t/1/fs/0/start/0/end/0/c"),"סדר ברכות ותפילות לשעת הדחק")</f>
        <v>סדר ברכות ותפילות לשעת הדחק</v>
      </c>
      <c r="H2820" t="str">
        <f>_xlfn.CONCAT("https://tablet.otzar.org/",CHAR(35),"/book/653519/p/-1/t/1/fs/0/start/0/end/0/c")</f>
        <v>https://tablet.otzar.org/#/book/653519/p/-1/t/1/fs/0/start/0/end/0/c</v>
      </c>
    </row>
    <row r="2821" spans="1:8" x14ac:dyDescent="0.25">
      <c r="A2821">
        <v>649572</v>
      </c>
      <c r="B2821" t="s">
        <v>5607</v>
      </c>
      <c r="C2821" t="s">
        <v>5608</v>
      </c>
      <c r="D2821" t="s">
        <v>5609</v>
      </c>
      <c r="E2821" t="s">
        <v>3196</v>
      </c>
      <c r="G2821" t="str">
        <f>HYPERLINK(_xlfn.CONCAT("https://tablet.otzar.org/",CHAR(35),"/book/649572/p/-1/t/1/fs/0/start/0/end/0/c"),"סדר ברכות לילדי בית הספר")</f>
        <v>סדר ברכות לילדי בית הספר</v>
      </c>
      <c r="H2821" t="str">
        <f>_xlfn.CONCAT("https://tablet.otzar.org/",CHAR(35),"/book/649572/p/-1/t/1/fs/0/start/0/end/0/c")</f>
        <v>https://tablet.otzar.org/#/book/649572/p/-1/t/1/fs/0/start/0/end/0/c</v>
      </c>
    </row>
    <row r="2822" spans="1:8" x14ac:dyDescent="0.25">
      <c r="A2822">
        <v>652639</v>
      </c>
      <c r="B2822" t="s">
        <v>5610</v>
      </c>
      <c r="C2822" t="s">
        <v>5611</v>
      </c>
      <c r="D2822" t="s">
        <v>10</v>
      </c>
      <c r="E2822" t="s">
        <v>3327</v>
      </c>
      <c r="G2822" t="str">
        <f>HYPERLINK(_xlfn.CONCAT("https://tablet.otzar.org/",CHAR(35),"/book/652639/p/-1/t/1/fs/0/start/0/end/0/c"),"סדר ברכת הלבנה")</f>
        <v>סדר ברכת הלבנה</v>
      </c>
      <c r="H2822" t="str">
        <f>_xlfn.CONCAT("https://tablet.otzar.org/",CHAR(35),"/book/652639/p/-1/t/1/fs/0/start/0/end/0/c")</f>
        <v>https://tablet.otzar.org/#/book/652639/p/-1/t/1/fs/0/start/0/end/0/c</v>
      </c>
    </row>
    <row r="2823" spans="1:8" x14ac:dyDescent="0.25">
      <c r="A2823">
        <v>653320</v>
      </c>
      <c r="B2823" t="s">
        <v>5612</v>
      </c>
      <c r="C2823" t="s">
        <v>4376</v>
      </c>
      <c r="D2823" t="s">
        <v>10</v>
      </c>
      <c r="E2823" t="s">
        <v>106</v>
      </c>
      <c r="G2823" t="str">
        <f>HYPERLINK(_xlfn.CONCAT("https://tablet.otzar.org/",CHAR(35),"/book/653320/p/-1/t/1/fs/0/start/0/end/0/c"),"סדר ברכת המזון וקריאת שמע לילדי ישראל ותשב""""ר בחדרים הכשרים")</f>
        <v>סדר ברכת המזון וקריאת שמע לילדי ישראל ותשב""ר בחדרים הכשרים</v>
      </c>
      <c r="H2823" t="str">
        <f>_xlfn.CONCAT("https://tablet.otzar.org/",CHAR(35),"/book/653320/p/-1/t/1/fs/0/start/0/end/0/c")</f>
        <v>https://tablet.otzar.org/#/book/653320/p/-1/t/1/fs/0/start/0/end/0/c</v>
      </c>
    </row>
    <row r="2824" spans="1:8" x14ac:dyDescent="0.25">
      <c r="A2824">
        <v>649446</v>
      </c>
      <c r="B2824" t="s">
        <v>5613</v>
      </c>
      <c r="C2824" t="s">
        <v>5614</v>
      </c>
      <c r="D2824" t="s">
        <v>39</v>
      </c>
      <c r="E2824" t="s">
        <v>2520</v>
      </c>
      <c r="G2824" t="str">
        <f>HYPERLINK(_xlfn.CONCAT("https://tablet.otzar.org/",CHAR(35),"/book/649446/p/-1/t/1/fs/0/start/0/end/0/c"),"סדר הגט בקצרה")</f>
        <v>סדר הגט בקצרה</v>
      </c>
      <c r="H2824" t="str">
        <f>_xlfn.CONCAT("https://tablet.otzar.org/",CHAR(35),"/book/649446/p/-1/t/1/fs/0/start/0/end/0/c")</f>
        <v>https://tablet.otzar.org/#/book/649446/p/-1/t/1/fs/0/start/0/end/0/c</v>
      </c>
    </row>
    <row r="2825" spans="1:8" x14ac:dyDescent="0.25">
      <c r="A2825">
        <v>649316</v>
      </c>
      <c r="B2825" t="s">
        <v>5615</v>
      </c>
      <c r="C2825" t="s">
        <v>5616</v>
      </c>
      <c r="D2825" t="s">
        <v>5617</v>
      </c>
      <c r="E2825" t="s">
        <v>11</v>
      </c>
      <c r="G2825" t="str">
        <f>HYPERLINK(_xlfn.CONCAT("https://tablet.otzar.org/",CHAR(35),"/book/649316/p/-1/t/1/fs/0/start/0/end/0/c"),"סדר הדלקת נר חנוכה כמנהג סאסוב")</f>
        <v>סדר הדלקת נר חנוכה כמנהג סאסוב</v>
      </c>
      <c r="H2825" t="str">
        <f>_xlfn.CONCAT("https://tablet.otzar.org/",CHAR(35),"/book/649316/p/-1/t/1/fs/0/start/0/end/0/c")</f>
        <v>https://tablet.otzar.org/#/book/649316/p/-1/t/1/fs/0/start/0/end/0/c</v>
      </c>
    </row>
    <row r="2826" spans="1:8" x14ac:dyDescent="0.25">
      <c r="A2826">
        <v>649967</v>
      </c>
      <c r="B2826" t="s">
        <v>5618</v>
      </c>
      <c r="C2826" t="s">
        <v>5619</v>
      </c>
      <c r="D2826" t="s">
        <v>10</v>
      </c>
      <c r="E2826" t="s">
        <v>4580</v>
      </c>
      <c r="G2826" t="str">
        <f>HYPERLINK(_xlfn.CONCAT("https://tablet.otzar.org/",CHAR(35),"/book/649967/p/-1/t/1/fs/0/start/0/end/0/c"),"סדר הושענות &lt;ישועות יעקב&gt;")</f>
        <v>סדר הושענות &lt;ישועות יעקב&gt;</v>
      </c>
      <c r="H2826" t="str">
        <f>_xlfn.CONCAT("https://tablet.otzar.org/",CHAR(35),"/book/649967/p/-1/t/1/fs/0/start/0/end/0/c")</f>
        <v>https://tablet.otzar.org/#/book/649967/p/-1/t/1/fs/0/start/0/end/0/c</v>
      </c>
    </row>
    <row r="2827" spans="1:8" x14ac:dyDescent="0.25">
      <c r="A2827">
        <v>651743</v>
      </c>
      <c r="B2827" t="s">
        <v>5620</v>
      </c>
      <c r="C2827" t="s">
        <v>5621</v>
      </c>
      <c r="D2827" t="s">
        <v>347</v>
      </c>
      <c r="E2827" t="s">
        <v>11</v>
      </c>
      <c r="G2827" t="str">
        <f>HYPERLINK(_xlfn.CONCAT("https://tablet.otzar.org/",CHAR(35),"/book/651743/p/-1/t/1/fs/0/start/0/end/0/c"),"סדר החיים")</f>
        <v>סדר החיים</v>
      </c>
      <c r="H2827" t="str">
        <f>_xlfn.CONCAT("https://tablet.otzar.org/",CHAR(35),"/book/651743/p/-1/t/1/fs/0/start/0/end/0/c")</f>
        <v>https://tablet.otzar.org/#/book/651743/p/-1/t/1/fs/0/start/0/end/0/c</v>
      </c>
    </row>
    <row r="2828" spans="1:8" x14ac:dyDescent="0.25">
      <c r="A2828">
        <v>649964</v>
      </c>
      <c r="B2828" t="s">
        <v>5622</v>
      </c>
      <c r="C2828" t="s">
        <v>2739</v>
      </c>
      <c r="D2828" t="s">
        <v>10</v>
      </c>
      <c r="E2828" t="s">
        <v>3529</v>
      </c>
      <c r="G2828" t="str">
        <f>HYPERLINK(_xlfn.CONCAT("https://tablet.otzar.org/",CHAR(35),"/book/649964/p/-1/t/1/fs/0/start/0/end/0/c"),"סדר החשבון ותקנות")</f>
        <v>סדר החשבון ותקנות</v>
      </c>
      <c r="H2828" t="str">
        <f>_xlfn.CONCAT("https://tablet.otzar.org/",CHAR(35),"/book/649964/p/-1/t/1/fs/0/start/0/end/0/c")</f>
        <v>https://tablet.otzar.org/#/book/649964/p/-1/t/1/fs/0/start/0/end/0/c</v>
      </c>
    </row>
    <row r="2829" spans="1:8" x14ac:dyDescent="0.25">
      <c r="A2829">
        <v>655236</v>
      </c>
      <c r="B2829" t="s">
        <v>5623</v>
      </c>
      <c r="C2829" t="s">
        <v>911</v>
      </c>
      <c r="D2829" t="s">
        <v>10</v>
      </c>
      <c r="E2829" t="s">
        <v>45</v>
      </c>
      <c r="G2829" t="str">
        <f>HYPERLINK(_xlfn.CONCAT("https://tablet.otzar.org/",CHAR(35),"/book/655236/p/-1/t/1/fs/0/start/0/end/0/c"),"סדר היום בהלכה ובאגדה")</f>
        <v>סדר היום בהלכה ובאגדה</v>
      </c>
      <c r="H2829" t="str">
        <f>_xlfn.CONCAT("https://tablet.otzar.org/",CHAR(35),"/book/655236/p/-1/t/1/fs/0/start/0/end/0/c")</f>
        <v>https://tablet.otzar.org/#/book/655236/p/-1/t/1/fs/0/start/0/end/0/c</v>
      </c>
    </row>
    <row r="2830" spans="1:8" x14ac:dyDescent="0.25">
      <c r="A2830">
        <v>649973</v>
      </c>
      <c r="B2830" t="s">
        <v>5624</v>
      </c>
      <c r="C2830" t="s">
        <v>5625</v>
      </c>
      <c r="E2830" t="s">
        <v>1082</v>
      </c>
      <c r="G2830" t="str">
        <f>HYPERLINK(_xlfn.CONCAT("https://tablet.otzar.org/",CHAR(35),"/book/649973/p/-1/t/1/fs/0/start/0/end/0/c"),"סדר היחוס של רבי שלמה ברעוודא")</f>
        <v>סדר היחוס של רבי שלמה ברעוודא</v>
      </c>
      <c r="H2830" t="str">
        <f>_xlfn.CONCAT("https://tablet.otzar.org/",CHAR(35),"/book/649973/p/-1/t/1/fs/0/start/0/end/0/c")</f>
        <v>https://tablet.otzar.org/#/book/649973/p/-1/t/1/fs/0/start/0/end/0/c</v>
      </c>
    </row>
    <row r="2831" spans="1:8" x14ac:dyDescent="0.25">
      <c r="A2831">
        <v>655773</v>
      </c>
      <c r="B2831" t="s">
        <v>5626</v>
      </c>
      <c r="C2831" t="s">
        <v>5627</v>
      </c>
      <c r="D2831" t="s">
        <v>510</v>
      </c>
      <c r="E2831" t="s">
        <v>657</v>
      </c>
      <c r="G2831" t="str">
        <f>HYPERLINK(_xlfn.CONCAT("https://tablet.otzar.org/",CHAR(35),"/book/655773/p/-1/t/1/fs/0/start/0/end/0/c"),"סדר הכתב")</f>
        <v>סדר הכתב</v>
      </c>
      <c r="H2831" t="str">
        <f>_xlfn.CONCAT("https://tablet.otzar.org/",CHAR(35),"/book/655773/p/-1/t/1/fs/0/start/0/end/0/c")</f>
        <v>https://tablet.otzar.org/#/book/655773/p/-1/t/1/fs/0/start/0/end/0/c</v>
      </c>
    </row>
    <row r="2832" spans="1:8" x14ac:dyDescent="0.25">
      <c r="A2832">
        <v>647410</v>
      </c>
      <c r="B2832" t="s">
        <v>5628</v>
      </c>
      <c r="C2832" t="s">
        <v>5629</v>
      </c>
      <c r="D2832" t="s">
        <v>10</v>
      </c>
      <c r="E2832" t="s">
        <v>45</v>
      </c>
      <c r="G2832" t="str">
        <f>HYPERLINK(_xlfn.CONCAT("https://tablet.otzar.org/",CHAR(35),"/exKotar/647410"),"סדר הלכות הלל - 2 כרכים")</f>
        <v>סדר הלכות הלל - 2 כרכים</v>
      </c>
      <c r="H2832" t="str">
        <f>_xlfn.CONCAT("https://tablet.otzar.org/",CHAR(35),"/exKotar/647410")</f>
        <v>https://tablet.otzar.org/#/exKotar/647410</v>
      </c>
    </row>
    <row r="2833" spans="1:8" x14ac:dyDescent="0.25">
      <c r="A2833">
        <v>650458</v>
      </c>
      <c r="B2833" t="s">
        <v>5630</v>
      </c>
      <c r="C2833" t="s">
        <v>5631</v>
      </c>
      <c r="D2833" t="s">
        <v>5224</v>
      </c>
      <c r="E2833" t="s">
        <v>5632</v>
      </c>
      <c r="G2833" t="str">
        <f>HYPERLINK(_xlfn.CONCAT("https://tablet.otzar.org/",CHAR(35),"/book/650458/p/-1/t/1/fs/0/start/0/end/0/c"),"סדר הסליחות של שובבים ת""""ת")</f>
        <v>סדר הסליחות של שובבים ת""ת</v>
      </c>
      <c r="H2833" t="str">
        <f>_xlfn.CONCAT("https://tablet.otzar.org/",CHAR(35),"/book/650458/p/-1/t/1/fs/0/start/0/end/0/c")</f>
        <v>https://tablet.otzar.org/#/book/650458/p/-1/t/1/fs/0/start/0/end/0/c</v>
      </c>
    </row>
    <row r="2834" spans="1:8" x14ac:dyDescent="0.25">
      <c r="A2834">
        <v>652104</v>
      </c>
      <c r="B2834" t="s">
        <v>5633</v>
      </c>
      <c r="C2834" t="s">
        <v>5634</v>
      </c>
      <c r="E2834" t="s">
        <v>817</v>
      </c>
      <c r="G2834" t="str">
        <f>HYPERLINK(_xlfn.CONCAT("https://tablet.otzar.org/",CHAR(35),"/book/652104/p/-1/t/1/fs/0/start/0/end/0/c"),"סדר הקפות סקולען")</f>
        <v>סדר הקפות סקולען</v>
      </c>
      <c r="H2834" t="str">
        <f>_xlfn.CONCAT("https://tablet.otzar.org/",CHAR(35),"/book/652104/p/-1/t/1/fs/0/start/0/end/0/c")</f>
        <v>https://tablet.otzar.org/#/book/652104/p/-1/t/1/fs/0/start/0/end/0/c</v>
      </c>
    </row>
    <row r="2835" spans="1:8" x14ac:dyDescent="0.25">
      <c r="A2835">
        <v>647583</v>
      </c>
      <c r="B2835" t="s">
        <v>5635</v>
      </c>
      <c r="C2835" t="s">
        <v>5636</v>
      </c>
      <c r="D2835" t="s">
        <v>34</v>
      </c>
      <c r="E2835" t="s">
        <v>70</v>
      </c>
      <c r="G2835" t="str">
        <f>HYPERLINK(_xlfn.CONCAT("https://tablet.otzar.org/",CHAR(35),"/book/647583/p/-1/t/1/fs/0/start/0/end/0/c"),"סדר הקרבנות של הגאון בעל תבואת שור")</f>
        <v>סדר הקרבנות של הגאון בעל תבואת שור</v>
      </c>
      <c r="H2835" t="str">
        <f>_xlfn.CONCAT("https://tablet.otzar.org/",CHAR(35),"/book/647583/p/-1/t/1/fs/0/start/0/end/0/c")</f>
        <v>https://tablet.otzar.org/#/book/647583/p/-1/t/1/fs/0/start/0/end/0/c</v>
      </c>
    </row>
    <row r="2836" spans="1:8" x14ac:dyDescent="0.25">
      <c r="A2836">
        <v>651871</v>
      </c>
      <c r="B2836" t="s">
        <v>5637</v>
      </c>
      <c r="C2836" t="s">
        <v>5638</v>
      </c>
      <c r="E2836" t="s">
        <v>507</v>
      </c>
      <c r="G2836" t="str">
        <f>HYPERLINK(_xlfn.CONCAT("https://tablet.otzar.org/",CHAR(35),"/book/651871/p/-1/t/1/fs/0/start/0/end/0/c"),"סדר יום כפור קטן")</f>
        <v>סדר יום כפור קטן</v>
      </c>
      <c r="H2836" t="str">
        <f>_xlfn.CONCAT("https://tablet.otzar.org/",CHAR(35),"/book/651871/p/-1/t/1/fs/0/start/0/end/0/c")</f>
        <v>https://tablet.otzar.org/#/book/651871/p/-1/t/1/fs/0/start/0/end/0/c</v>
      </c>
    </row>
    <row r="2837" spans="1:8" x14ac:dyDescent="0.25">
      <c r="A2837">
        <v>651545</v>
      </c>
      <c r="B2837" t="s">
        <v>5639</v>
      </c>
      <c r="C2837" t="s">
        <v>5640</v>
      </c>
      <c r="D2837" t="s">
        <v>347</v>
      </c>
      <c r="E2837" t="s">
        <v>11</v>
      </c>
      <c r="G2837" t="str">
        <f>HYPERLINK(_xlfn.CONCAT("https://tablet.otzar.org/",CHAR(35),"/book/651545/p/-1/t/1/fs/0/start/0/end/0/c"),"סדר יום כפור קטן הערוך - ישמח יהודה")</f>
        <v>סדר יום כפור קטן הערוך - ישמח יהודה</v>
      </c>
      <c r="H2837" t="str">
        <f>_xlfn.CONCAT("https://tablet.otzar.org/",CHAR(35),"/book/651545/p/-1/t/1/fs/0/start/0/end/0/c")</f>
        <v>https://tablet.otzar.org/#/book/651545/p/-1/t/1/fs/0/start/0/end/0/c</v>
      </c>
    </row>
    <row r="2838" spans="1:8" x14ac:dyDescent="0.25">
      <c r="A2838">
        <v>650493</v>
      </c>
      <c r="B2838" t="s">
        <v>5641</v>
      </c>
      <c r="C2838" t="s">
        <v>5642</v>
      </c>
      <c r="D2838" t="s">
        <v>5643</v>
      </c>
      <c r="E2838" t="s">
        <v>5314</v>
      </c>
      <c r="G2838" t="str">
        <f>HYPERLINK(_xlfn.CONCAT("https://tablet.otzar.org/",CHAR(35),"/book/650493/p/-1/t/1/fs/0/start/0/end/0/c"),"סדר לג לעומר")</f>
        <v>סדר לג לעומר</v>
      </c>
      <c r="H2838" t="str">
        <f>_xlfn.CONCAT("https://tablet.otzar.org/",CHAR(35),"/book/650493/p/-1/t/1/fs/0/start/0/end/0/c")</f>
        <v>https://tablet.otzar.org/#/book/650493/p/-1/t/1/fs/0/start/0/end/0/c</v>
      </c>
    </row>
    <row r="2839" spans="1:8" x14ac:dyDescent="0.25">
      <c r="A2839">
        <v>650506</v>
      </c>
      <c r="B2839" t="s">
        <v>5641</v>
      </c>
      <c r="C2839" t="s">
        <v>5644</v>
      </c>
      <c r="D2839" t="s">
        <v>5645</v>
      </c>
      <c r="E2839" t="s">
        <v>4580</v>
      </c>
      <c r="G2839" t="str">
        <f>HYPERLINK(_xlfn.CONCAT("https://tablet.otzar.org/",CHAR(35),"/book/650506/p/-1/t/1/fs/0/start/0/end/0/c"),"סדר לג לעומר")</f>
        <v>סדר לג לעומר</v>
      </c>
      <c r="H2839" t="str">
        <f>_xlfn.CONCAT("https://tablet.otzar.org/",CHAR(35),"/book/650506/p/-1/t/1/fs/0/start/0/end/0/c")</f>
        <v>https://tablet.otzar.org/#/book/650506/p/-1/t/1/fs/0/start/0/end/0/c</v>
      </c>
    </row>
    <row r="2840" spans="1:8" x14ac:dyDescent="0.25">
      <c r="A2840">
        <v>650457</v>
      </c>
      <c r="B2840" t="s">
        <v>5646</v>
      </c>
      <c r="C2840" t="s">
        <v>5647</v>
      </c>
      <c r="D2840" t="s">
        <v>10</v>
      </c>
      <c r="E2840" t="s">
        <v>2032</v>
      </c>
      <c r="G2840" t="str">
        <f>HYPERLINK(_xlfn.CONCAT("https://tablet.otzar.org/",CHAR(35),"/book/650457/p/-1/t/1/fs/0/start/0/end/0/c"),"סדר לימוד ל""""ג לעומר")</f>
        <v>סדר לימוד ל""ג לעומר</v>
      </c>
      <c r="H2840" t="str">
        <f>_xlfn.CONCAT("https://tablet.otzar.org/",CHAR(35),"/book/650457/p/-1/t/1/fs/0/start/0/end/0/c")</f>
        <v>https://tablet.otzar.org/#/book/650457/p/-1/t/1/fs/0/start/0/end/0/c</v>
      </c>
    </row>
    <row r="2841" spans="1:8" x14ac:dyDescent="0.25">
      <c r="A2841">
        <v>648459</v>
      </c>
      <c r="B2841" t="s">
        <v>5648</v>
      </c>
      <c r="C2841" t="s">
        <v>5649</v>
      </c>
      <c r="D2841" t="s">
        <v>5650</v>
      </c>
      <c r="E2841" t="s">
        <v>682</v>
      </c>
      <c r="G2841" t="str">
        <f>HYPERLINK(_xlfn.CONCAT("https://tablet.otzar.org/",CHAR(35),"/book/648459/p/-1/t/1/fs/0/start/0/end/0/c"),"סדר נוסח הקרבנות")</f>
        <v>סדר נוסח הקרבנות</v>
      </c>
      <c r="H2841" t="str">
        <f>_xlfn.CONCAT("https://tablet.otzar.org/",CHAR(35),"/book/648459/p/-1/t/1/fs/0/start/0/end/0/c")</f>
        <v>https://tablet.otzar.org/#/book/648459/p/-1/t/1/fs/0/start/0/end/0/c</v>
      </c>
    </row>
    <row r="2842" spans="1:8" x14ac:dyDescent="0.25">
      <c r="A2842">
        <v>649402</v>
      </c>
      <c r="B2842" t="s">
        <v>5651</v>
      </c>
      <c r="C2842" t="s">
        <v>5652</v>
      </c>
      <c r="D2842" t="s">
        <v>10</v>
      </c>
      <c r="E2842" t="s">
        <v>1456</v>
      </c>
      <c r="G2842" t="str">
        <f>HYPERLINK(_xlfn.CONCAT("https://tablet.otzar.org/",CHAR(35),"/book/649402/p/-1/t/1/fs/0/start/0/end/0/c"),"סדר פסח - ביאור רחב על פיוט אלהי הרוחות")</f>
        <v>סדר פסח - ביאור רחב על פיוט אלהי הרוחות</v>
      </c>
      <c r="H2842" t="str">
        <f>_xlfn.CONCAT("https://tablet.otzar.org/",CHAR(35),"/book/649402/p/-1/t/1/fs/0/start/0/end/0/c")</f>
        <v>https://tablet.otzar.org/#/book/649402/p/-1/t/1/fs/0/start/0/end/0/c</v>
      </c>
    </row>
    <row r="2843" spans="1:8" x14ac:dyDescent="0.25">
      <c r="A2843">
        <v>647481</v>
      </c>
      <c r="B2843" t="s">
        <v>5653</v>
      </c>
      <c r="C2843" t="s">
        <v>5654</v>
      </c>
      <c r="D2843" t="s">
        <v>10</v>
      </c>
      <c r="E2843" t="s">
        <v>416</v>
      </c>
      <c r="G2843" t="str">
        <f>HYPERLINK(_xlfn.CONCAT("https://tablet.otzar.org/",CHAR(35),"/book/647481/p/-1/t/1/fs/0/start/0/end/0/c"),"סדר קרבנות לימי הפסח")</f>
        <v>סדר קרבנות לימי הפסח</v>
      </c>
      <c r="H2843" t="str">
        <f>_xlfn.CONCAT("https://tablet.otzar.org/",CHAR(35),"/book/647481/p/-1/t/1/fs/0/start/0/end/0/c")</f>
        <v>https://tablet.otzar.org/#/book/647481/p/-1/t/1/fs/0/start/0/end/0/c</v>
      </c>
    </row>
    <row r="2844" spans="1:8" x14ac:dyDescent="0.25">
      <c r="A2844">
        <v>650489</v>
      </c>
      <c r="B2844" t="s">
        <v>5655</v>
      </c>
      <c r="C2844" t="s">
        <v>5656</v>
      </c>
      <c r="D2844" t="s">
        <v>866</v>
      </c>
      <c r="E2844" t="s">
        <v>5657</v>
      </c>
      <c r="G2844" t="str">
        <f>HYPERLINK(_xlfn.CONCAT("https://tablet.otzar.org/",CHAR(35),"/book/650489/p/-1/t/1/fs/0/start/0/end/0/c"),"סדר שומרים לבקר &lt;שנוהגים להתפלל בק""""ק פירארא ביום הושענא רבה&gt;")</f>
        <v>סדר שומרים לבקר &lt;שנוהגים להתפלל בק""ק פירארא ביום הושענא רבה&gt;</v>
      </c>
      <c r="H2844" t="str">
        <f>_xlfn.CONCAT("https://tablet.otzar.org/",CHAR(35),"/book/650489/p/-1/t/1/fs/0/start/0/end/0/c")</f>
        <v>https://tablet.otzar.org/#/book/650489/p/-1/t/1/fs/0/start/0/end/0/c</v>
      </c>
    </row>
    <row r="2845" spans="1:8" x14ac:dyDescent="0.25">
      <c r="A2845">
        <v>656789</v>
      </c>
      <c r="B2845" t="s">
        <v>5658</v>
      </c>
      <c r="C2845" t="s">
        <v>5659</v>
      </c>
      <c r="D2845" t="s">
        <v>10</v>
      </c>
      <c r="E2845" t="s">
        <v>205</v>
      </c>
      <c r="G2845" t="str">
        <f>HYPERLINK(_xlfn.CONCAT("https://tablet.otzar.org/",CHAR(35),"/book/656789/p/-1/t/1/fs/0/start/0/end/0/c"),"סדר שנה האחרונה &lt;מהדורה חדשה&gt;")</f>
        <v>סדר שנה האחרונה &lt;מהדורה חדשה&gt;</v>
      </c>
      <c r="H2845" t="str">
        <f>_xlfn.CONCAT("https://tablet.otzar.org/",CHAR(35),"/book/656789/p/-1/t/1/fs/0/start/0/end/0/c")</f>
        <v>https://tablet.otzar.org/#/book/656789/p/-1/t/1/fs/0/start/0/end/0/c</v>
      </c>
    </row>
    <row r="2846" spans="1:8" x14ac:dyDescent="0.25">
      <c r="A2846">
        <v>643281</v>
      </c>
      <c r="B2846" t="s">
        <v>5660</v>
      </c>
      <c r="C2846" t="s">
        <v>5661</v>
      </c>
      <c r="D2846" t="s">
        <v>287</v>
      </c>
      <c r="E2846" t="s">
        <v>383</v>
      </c>
      <c r="G2846" t="str">
        <f>HYPERLINK(_xlfn.CONCAT("https://tablet.otzar.org/",CHAR(35),"/book/643281/p/-1/t/1/fs/0/start/0/end/0/c"),"סדר תפילות לבית עלמין")</f>
        <v>סדר תפילות לבית עלמין</v>
      </c>
      <c r="H2846" t="str">
        <f>_xlfn.CONCAT("https://tablet.otzar.org/",CHAR(35),"/book/643281/p/-1/t/1/fs/0/start/0/end/0/c")</f>
        <v>https://tablet.otzar.org/#/book/643281/p/-1/t/1/fs/0/start/0/end/0/c</v>
      </c>
    </row>
    <row r="2847" spans="1:8" x14ac:dyDescent="0.25">
      <c r="A2847">
        <v>648540</v>
      </c>
      <c r="B2847" t="s">
        <v>5662</v>
      </c>
      <c r="C2847" t="s">
        <v>5663</v>
      </c>
      <c r="E2847" t="s">
        <v>2436</v>
      </c>
      <c r="G2847" t="str">
        <f>HYPERLINK(_xlfn.CONCAT("https://tablet.otzar.org/",CHAR(35),"/book/648540/p/-1/t/1/fs/0/start/0/end/0/c"),"סדר תפלות מכל השנה עם פירוש הרי בשמים - אשכנז עם מנחת אליהו להגר""""א")</f>
        <v>סדר תפלות מכל השנה עם פירוש הרי בשמים - אשכנז עם מנחת אליהו להגר""א</v>
      </c>
      <c r="H2847" t="str">
        <f>_xlfn.CONCAT("https://tablet.otzar.org/",CHAR(35),"/book/648540/p/-1/t/1/fs/0/start/0/end/0/c")</f>
        <v>https://tablet.otzar.org/#/book/648540/p/-1/t/1/fs/0/start/0/end/0/c</v>
      </c>
    </row>
    <row r="2848" spans="1:8" x14ac:dyDescent="0.25">
      <c r="A2848">
        <v>650508</v>
      </c>
      <c r="B2848" t="s">
        <v>5664</v>
      </c>
      <c r="C2848" t="s">
        <v>5665</v>
      </c>
      <c r="D2848" t="s">
        <v>5666</v>
      </c>
      <c r="E2848" t="s">
        <v>5632</v>
      </c>
      <c r="G2848" t="str">
        <f>HYPERLINK(_xlfn.CONCAT("https://tablet.otzar.org/",CHAR(35),"/book/650508/p/-1/t/1/fs/0/start/0/end/0/c"),"סדר תפלת המנחה של ערב ראש חודש")</f>
        <v>סדר תפלת המנחה של ערב ראש חודש</v>
      </c>
      <c r="H2848" t="str">
        <f>_xlfn.CONCAT("https://tablet.otzar.org/",CHAR(35),"/book/650508/p/-1/t/1/fs/0/start/0/end/0/c")</f>
        <v>https://tablet.otzar.org/#/book/650508/p/-1/t/1/fs/0/start/0/end/0/c</v>
      </c>
    </row>
    <row r="2849" spans="1:8" x14ac:dyDescent="0.25">
      <c r="A2849">
        <v>651848</v>
      </c>
      <c r="B2849" t="s">
        <v>5667</v>
      </c>
      <c r="C2849" t="s">
        <v>5668</v>
      </c>
      <c r="D2849" t="s">
        <v>2460</v>
      </c>
      <c r="E2849" t="s">
        <v>2520</v>
      </c>
      <c r="G2849" t="str">
        <f>HYPERLINK(_xlfn.CONCAT("https://tablet.otzar.org/",CHAR(35),"/book/651848/p/-1/t/1/fs/0/start/0/end/0/c"),"סדר תפלת ישראל ע""""פ אור הישר - מהדורה ראשונה")</f>
        <v>סדר תפלת ישראל ע""פ אור הישר - מהדורה ראשונה</v>
      </c>
      <c r="H2849" t="str">
        <f>_xlfn.CONCAT("https://tablet.otzar.org/",CHAR(35),"/book/651848/p/-1/t/1/fs/0/start/0/end/0/c")</f>
        <v>https://tablet.otzar.org/#/book/651848/p/-1/t/1/fs/0/start/0/end/0/c</v>
      </c>
    </row>
    <row r="2850" spans="1:8" x14ac:dyDescent="0.25">
      <c r="A2850">
        <v>12685</v>
      </c>
      <c r="B2850" t="s">
        <v>5669</v>
      </c>
      <c r="C2850" t="s">
        <v>5670</v>
      </c>
      <c r="D2850" t="s">
        <v>1321</v>
      </c>
      <c r="E2850" t="s">
        <v>5671</v>
      </c>
      <c r="G2850" t="str">
        <f>HYPERLINK(_xlfn.CONCAT("https://tablet.otzar.org/",CHAR(35),"/book/12685/p/-1/t/1/fs/0/start/0/end/0/c"),"סדרי זמנים לפי המסרת")</f>
        <v>סדרי זמנים לפי המסרת</v>
      </c>
      <c r="H2850" t="str">
        <f>_xlfn.CONCAT("https://tablet.otzar.org/",CHAR(35),"/book/12685/p/-1/t/1/fs/0/start/0/end/0/c")</f>
        <v>https://tablet.otzar.org/#/book/12685/p/-1/t/1/fs/0/start/0/end/0/c</v>
      </c>
    </row>
    <row r="2851" spans="1:8" x14ac:dyDescent="0.25">
      <c r="A2851">
        <v>656177</v>
      </c>
      <c r="B2851" t="s">
        <v>5672</v>
      </c>
      <c r="C2851" t="s">
        <v>5673</v>
      </c>
      <c r="D2851" t="s">
        <v>10</v>
      </c>
      <c r="E2851" t="s">
        <v>29</v>
      </c>
      <c r="G2851" t="str">
        <f>HYPERLINK(_xlfn.CONCAT("https://tablet.otzar.org/",CHAR(35),"/book/656177/p/-1/t/1/fs/0/start/0/end/0/c"),"סוגיות בטוש''ע - בורר לש")</f>
        <v>סוגיות בטוש''ע - בורר לש</v>
      </c>
      <c r="H2851" t="str">
        <f>_xlfn.CONCAT("https://tablet.otzar.org/",CHAR(35),"/book/656177/p/-1/t/1/fs/0/start/0/end/0/c")</f>
        <v>https://tablet.otzar.org/#/book/656177/p/-1/t/1/fs/0/start/0/end/0/c</v>
      </c>
    </row>
    <row r="2852" spans="1:8" x14ac:dyDescent="0.25">
      <c r="A2852">
        <v>656094</v>
      </c>
      <c r="B2852" t="s">
        <v>5674</v>
      </c>
      <c r="C2852" t="s">
        <v>5675</v>
      </c>
      <c r="D2852" t="s">
        <v>193</v>
      </c>
      <c r="E2852" t="s">
        <v>11</v>
      </c>
      <c r="G2852" t="str">
        <f>HYPERLINK(_xlfn.CONCAT("https://tablet.otzar.org/",CHAR(35),"/book/656094/p/-1/t/1/fs/0/start/0/end/0/c"),"סוגיות במסכת יבמות")</f>
        <v>סוגיות במסכת יבמות</v>
      </c>
      <c r="H2852" t="str">
        <f>_xlfn.CONCAT("https://tablet.otzar.org/",CHAR(35),"/book/656094/p/-1/t/1/fs/0/start/0/end/0/c")</f>
        <v>https://tablet.otzar.org/#/book/656094/p/-1/t/1/fs/0/start/0/end/0/c</v>
      </c>
    </row>
    <row r="2853" spans="1:8" x14ac:dyDescent="0.25">
      <c r="A2853">
        <v>656095</v>
      </c>
      <c r="B2853" t="s">
        <v>5676</v>
      </c>
      <c r="C2853" t="s">
        <v>5675</v>
      </c>
      <c r="D2853" t="s">
        <v>193</v>
      </c>
      <c r="E2853" t="s">
        <v>11</v>
      </c>
      <c r="G2853" t="str">
        <f>HYPERLINK(_xlfn.CONCAT("https://tablet.otzar.org/",CHAR(35),"/book/656095/p/-1/t/1/fs/0/start/0/end/0/c"),"סוגיות במסכת נדרים")</f>
        <v>סוגיות במסכת נדרים</v>
      </c>
      <c r="H2853" t="str">
        <f>_xlfn.CONCAT("https://tablet.otzar.org/",CHAR(35),"/book/656095/p/-1/t/1/fs/0/start/0/end/0/c")</f>
        <v>https://tablet.otzar.org/#/book/656095/p/-1/t/1/fs/0/start/0/end/0/c</v>
      </c>
    </row>
    <row r="2854" spans="1:8" x14ac:dyDescent="0.25">
      <c r="A2854">
        <v>656096</v>
      </c>
      <c r="B2854" t="s">
        <v>5677</v>
      </c>
      <c r="C2854" t="s">
        <v>5675</v>
      </c>
      <c r="D2854" t="s">
        <v>193</v>
      </c>
      <c r="E2854" t="s">
        <v>11</v>
      </c>
      <c r="G2854" t="str">
        <f>HYPERLINK(_xlfn.CONCAT("https://tablet.otzar.org/",CHAR(35),"/book/656096/p/-1/t/1/fs/0/start/0/end/0/c"),"סוגיות בענייני השטר")</f>
        <v>סוגיות בענייני השטר</v>
      </c>
      <c r="H2854" t="str">
        <f>_xlfn.CONCAT("https://tablet.otzar.org/",CHAR(35),"/book/656096/p/-1/t/1/fs/0/start/0/end/0/c")</f>
        <v>https://tablet.otzar.org/#/book/656096/p/-1/t/1/fs/0/start/0/end/0/c</v>
      </c>
    </row>
    <row r="2855" spans="1:8" x14ac:dyDescent="0.25">
      <c r="A2855">
        <v>654467</v>
      </c>
      <c r="B2855" t="s">
        <v>5678</v>
      </c>
      <c r="C2855" t="s">
        <v>5679</v>
      </c>
      <c r="D2855" t="s">
        <v>52</v>
      </c>
      <c r="E2855" t="s">
        <v>11</v>
      </c>
      <c r="G2855" t="str">
        <f>HYPERLINK(_xlfn.CONCAT("https://tablet.otzar.org/",CHAR(35),"/book/654467/p/-1/t/1/fs/0/start/0/end/0/c"),"סוגיית מירון במשנתם של רבותינו")</f>
        <v>סוגיית מירון במשנתם של רבותינו</v>
      </c>
      <c r="H2855" t="str">
        <f>_xlfn.CONCAT("https://tablet.otzar.org/",CHAR(35),"/book/654467/p/-1/t/1/fs/0/start/0/end/0/c")</f>
        <v>https://tablet.otzar.org/#/book/654467/p/-1/t/1/fs/0/start/0/end/0/c</v>
      </c>
    </row>
    <row r="2856" spans="1:8" x14ac:dyDescent="0.25">
      <c r="A2856">
        <v>650364</v>
      </c>
      <c r="B2856" t="s">
        <v>5680</v>
      </c>
      <c r="C2856" t="s">
        <v>5681</v>
      </c>
      <c r="D2856" t="s">
        <v>10</v>
      </c>
      <c r="E2856" t="s">
        <v>19</v>
      </c>
      <c r="G2856" t="str">
        <f>HYPERLINK(_xlfn.CONCAT("https://tablet.otzar.org/",CHAR(35),"/book/650364/p/-1/t/1/fs/0/start/0/end/0/c"),"סוד החשמל - תורת הרמז")</f>
        <v>סוד החשמל - תורת הרמז</v>
      </c>
      <c r="H2856" t="str">
        <f>_xlfn.CONCAT("https://tablet.otzar.org/",CHAR(35),"/book/650364/p/-1/t/1/fs/0/start/0/end/0/c")</f>
        <v>https://tablet.otzar.org/#/book/650364/p/-1/t/1/fs/0/start/0/end/0/c</v>
      </c>
    </row>
    <row r="2857" spans="1:8" x14ac:dyDescent="0.25">
      <c r="A2857">
        <v>650209</v>
      </c>
      <c r="B2857" t="s">
        <v>5682</v>
      </c>
      <c r="C2857" t="s">
        <v>614</v>
      </c>
      <c r="D2857" t="s">
        <v>34</v>
      </c>
      <c r="E2857" t="s">
        <v>70</v>
      </c>
      <c r="G2857" t="str">
        <f>HYPERLINK(_xlfn.CONCAT("https://tablet.otzar.org/",CHAR(35),"/book/650209/p/-1/t/1/fs/0/start/0/end/0/c"),"סוד הישועה - שמירת הלשון")</f>
        <v>סוד הישועה - שמירת הלשון</v>
      </c>
      <c r="H2857" t="str">
        <f>_xlfn.CONCAT("https://tablet.otzar.org/",CHAR(35),"/book/650209/p/-1/t/1/fs/0/start/0/end/0/c")</f>
        <v>https://tablet.otzar.org/#/book/650209/p/-1/t/1/fs/0/start/0/end/0/c</v>
      </c>
    </row>
    <row r="2858" spans="1:8" x14ac:dyDescent="0.25">
      <c r="A2858">
        <v>651550</v>
      </c>
      <c r="B2858" t="s">
        <v>5683</v>
      </c>
      <c r="C2858" t="s">
        <v>5684</v>
      </c>
      <c r="D2858" t="s">
        <v>52</v>
      </c>
      <c r="E2858" t="s">
        <v>11</v>
      </c>
      <c r="G2858" t="str">
        <f>HYPERLINK(_xlfn.CONCAT("https://tablet.otzar.org/",CHAR(35),"/book/651550/p/-1/t/1/fs/0/start/0/end/0/c"),"סוד המשנה והמחשבה")</f>
        <v>סוד המשנה והמחשבה</v>
      </c>
      <c r="H2858" t="str">
        <f>_xlfn.CONCAT("https://tablet.otzar.org/",CHAR(35),"/book/651550/p/-1/t/1/fs/0/start/0/end/0/c")</f>
        <v>https://tablet.otzar.org/#/book/651550/p/-1/t/1/fs/0/start/0/end/0/c</v>
      </c>
    </row>
    <row r="2859" spans="1:8" x14ac:dyDescent="0.25">
      <c r="A2859">
        <v>651549</v>
      </c>
      <c r="B2859" t="s">
        <v>5685</v>
      </c>
      <c r="C2859" t="s">
        <v>5684</v>
      </c>
      <c r="D2859" t="s">
        <v>52</v>
      </c>
      <c r="E2859" t="s">
        <v>11</v>
      </c>
      <c r="G2859" t="str">
        <f>HYPERLINK(_xlfn.CONCAT("https://tablet.otzar.org/",CHAR(35),"/book/651549/p/-1/t/1/fs/0/start/0/end/0/c"),"סוד הנישואין")</f>
        <v>סוד הנישואין</v>
      </c>
      <c r="H2859" t="str">
        <f>_xlfn.CONCAT("https://tablet.otzar.org/",CHAR(35),"/book/651549/p/-1/t/1/fs/0/start/0/end/0/c")</f>
        <v>https://tablet.otzar.org/#/book/651549/p/-1/t/1/fs/0/start/0/end/0/c</v>
      </c>
    </row>
    <row r="2860" spans="1:8" x14ac:dyDescent="0.25">
      <c r="A2860">
        <v>649862</v>
      </c>
      <c r="B2860" t="s">
        <v>5686</v>
      </c>
      <c r="C2860" t="s">
        <v>5687</v>
      </c>
      <c r="D2860" t="s">
        <v>70</v>
      </c>
      <c r="E2860" t="s">
        <v>11</v>
      </c>
      <c r="G2860" t="str">
        <f>HYPERLINK(_xlfn.CONCAT("https://tablet.otzar.org/",CHAR(35),"/book/649862/p/-1/t/1/fs/0/start/0/end/0/c"),"סוד מדרש התולדות - ח יוסף ויהודה")</f>
        <v>סוד מדרש התולדות - ח יוסף ויהודה</v>
      </c>
      <c r="H2860" t="str">
        <f>_xlfn.CONCAT("https://tablet.otzar.org/",CHAR(35),"/book/649862/p/-1/t/1/fs/0/start/0/end/0/c")</f>
        <v>https://tablet.otzar.org/#/book/649862/p/-1/t/1/fs/0/start/0/end/0/c</v>
      </c>
    </row>
    <row r="2861" spans="1:8" x14ac:dyDescent="0.25">
      <c r="A2861">
        <v>647686</v>
      </c>
      <c r="B2861" t="s">
        <v>5688</v>
      </c>
      <c r="C2861" t="s">
        <v>5689</v>
      </c>
      <c r="D2861" t="s">
        <v>510</v>
      </c>
      <c r="E2861" t="s">
        <v>35</v>
      </c>
      <c r="G2861" t="str">
        <f>HYPERLINK(_xlfn.CONCAT("https://tablet.otzar.org/",CHAR(35),"/book/647686/p/-1/t/1/fs/0/start/0/end/0/c"),"סודות פון חדר")</f>
        <v>סודות פון חדר</v>
      </c>
      <c r="H2861" t="str">
        <f>_xlfn.CONCAT("https://tablet.otzar.org/",CHAR(35),"/book/647686/p/-1/t/1/fs/0/start/0/end/0/c")</f>
        <v>https://tablet.otzar.org/#/book/647686/p/-1/t/1/fs/0/start/0/end/0/c</v>
      </c>
    </row>
    <row r="2862" spans="1:8" x14ac:dyDescent="0.25">
      <c r="A2862">
        <v>646026</v>
      </c>
      <c r="B2862" t="s">
        <v>5690</v>
      </c>
      <c r="C2862" t="s">
        <v>614</v>
      </c>
      <c r="D2862" t="s">
        <v>34</v>
      </c>
      <c r="E2862" t="s">
        <v>70</v>
      </c>
      <c r="G2862" t="str">
        <f>HYPERLINK(_xlfn.CONCAT("https://tablet.otzar.org/",CHAR(35),"/book/646026/p/-1/t/1/fs/0/start/0/end/0/c"),"סוכת בית הכנסת")</f>
        <v>סוכת בית הכנסת</v>
      </c>
      <c r="H2862" t="str">
        <f>_xlfn.CONCAT("https://tablet.otzar.org/",CHAR(35),"/book/646026/p/-1/t/1/fs/0/start/0/end/0/c")</f>
        <v>https://tablet.otzar.org/#/book/646026/p/-1/t/1/fs/0/start/0/end/0/c</v>
      </c>
    </row>
    <row r="2863" spans="1:8" x14ac:dyDescent="0.25">
      <c r="A2863">
        <v>649936</v>
      </c>
      <c r="B2863" t="s">
        <v>5691</v>
      </c>
      <c r="C2863" t="s">
        <v>3113</v>
      </c>
      <c r="D2863" t="s">
        <v>58</v>
      </c>
      <c r="E2863" t="s">
        <v>136</v>
      </c>
      <c r="G2863" t="str">
        <f>HYPERLINK(_xlfn.CONCAT("https://tablet.otzar.org/",CHAR(35),"/book/649936/p/-1/t/1/fs/0/start/0/end/0/c"),"סוכת דוד")</f>
        <v>סוכת דוד</v>
      </c>
      <c r="H2863" t="str">
        <f>_xlfn.CONCAT("https://tablet.otzar.org/",CHAR(35),"/book/649936/p/-1/t/1/fs/0/start/0/end/0/c")</f>
        <v>https://tablet.otzar.org/#/book/649936/p/-1/t/1/fs/0/start/0/end/0/c</v>
      </c>
    </row>
    <row r="2864" spans="1:8" x14ac:dyDescent="0.25">
      <c r="A2864">
        <v>654633</v>
      </c>
      <c r="B2864" t="s">
        <v>5692</v>
      </c>
      <c r="C2864" t="s">
        <v>1184</v>
      </c>
      <c r="D2864" t="s">
        <v>347</v>
      </c>
      <c r="E2864" t="s">
        <v>312</v>
      </c>
      <c r="G2864" t="str">
        <f>HYPERLINK(_xlfn.CONCAT("https://tablet.otzar.org/",CHAR(35),"/book/654633/p/-1/t/1/fs/0/start/0/end/0/c"),"סוף כל הנסים - חנוכה ופורים")</f>
        <v>סוף כל הנסים - חנוכה ופורים</v>
      </c>
      <c r="H2864" t="str">
        <f>_xlfn.CONCAT("https://tablet.otzar.org/",CHAR(35),"/book/654633/p/-1/t/1/fs/0/start/0/end/0/c")</f>
        <v>https://tablet.otzar.org/#/book/654633/p/-1/t/1/fs/0/start/0/end/0/c</v>
      </c>
    </row>
    <row r="2865" spans="1:8" x14ac:dyDescent="0.25">
      <c r="A2865">
        <v>648213</v>
      </c>
      <c r="B2865" t="s">
        <v>5693</v>
      </c>
      <c r="C2865" t="s">
        <v>5694</v>
      </c>
      <c r="D2865" t="s">
        <v>287</v>
      </c>
      <c r="E2865" t="s">
        <v>19</v>
      </c>
      <c r="G2865" t="str">
        <f>HYPERLINK(_xlfn.CONCAT("https://tablet.otzar.org/",CHAR(35),"/book/648213/p/-1/t/1/fs/0/start/0/end/0/c"),"סופרי המלך מבית מדרשו של רבינו עקיבא איגר")</f>
        <v>סופרי המלך מבית מדרשו של רבינו עקיבא איגר</v>
      </c>
      <c r="H2865" t="str">
        <f>_xlfn.CONCAT("https://tablet.otzar.org/",CHAR(35),"/book/648213/p/-1/t/1/fs/0/start/0/end/0/c")</f>
        <v>https://tablet.otzar.org/#/book/648213/p/-1/t/1/fs/0/start/0/end/0/c</v>
      </c>
    </row>
    <row r="2866" spans="1:8" x14ac:dyDescent="0.25">
      <c r="A2866">
        <v>643465</v>
      </c>
      <c r="B2866" t="s">
        <v>5695</v>
      </c>
      <c r="C2866" t="s">
        <v>275</v>
      </c>
      <c r="D2866" t="s">
        <v>10</v>
      </c>
      <c r="E2866" t="s">
        <v>224</v>
      </c>
      <c r="G2866" t="str">
        <f>HYPERLINK(_xlfn.CONCAT("https://tablet.otzar.org/",CHAR(35),"/book/643465/p/-1/t/1/fs/0/start/0/end/0/c"),"סידור אהלי שם")</f>
        <v>סידור אהלי שם</v>
      </c>
      <c r="H2866" t="str">
        <f>_xlfn.CONCAT("https://tablet.otzar.org/",CHAR(35),"/book/643465/p/-1/t/1/fs/0/start/0/end/0/c")</f>
        <v>https://tablet.otzar.org/#/book/643465/p/-1/t/1/fs/0/start/0/end/0/c</v>
      </c>
    </row>
    <row r="2867" spans="1:8" x14ac:dyDescent="0.25">
      <c r="A2867">
        <v>641673</v>
      </c>
      <c r="B2867" t="s">
        <v>5696</v>
      </c>
      <c r="C2867" t="s">
        <v>5697</v>
      </c>
      <c r="E2867" t="s">
        <v>5698</v>
      </c>
      <c r="G2867" t="str">
        <f>HYPERLINK(_xlfn.CONCAT("https://tablet.otzar.org/",CHAR(35),"/book/641673/p/-1/t/1/fs/0/start/0/end/0/c"),"סידור בית יהודה")</f>
        <v>סידור בית יהודה</v>
      </c>
      <c r="H2867" t="str">
        <f>_xlfn.CONCAT("https://tablet.otzar.org/",CHAR(35),"/book/641673/p/-1/t/1/fs/0/start/0/end/0/c")</f>
        <v>https://tablet.otzar.org/#/book/641673/p/-1/t/1/fs/0/start/0/end/0/c</v>
      </c>
    </row>
    <row r="2868" spans="1:8" x14ac:dyDescent="0.25">
      <c r="A2868">
        <v>654811</v>
      </c>
      <c r="B2868" t="s">
        <v>5699</v>
      </c>
      <c r="C2868" t="s">
        <v>1709</v>
      </c>
      <c r="D2868" t="s">
        <v>10</v>
      </c>
      <c r="E2868" t="s">
        <v>11</v>
      </c>
      <c r="G2868" t="str">
        <f>HYPERLINK(_xlfn.CONCAT("https://tablet.otzar.org/",CHAR(35),"/book/654811/p/-1/t/1/fs/0/start/0/end/0/c"),"סידור בית מנוחה &lt;מהדורת אהבת שלום&gt;")</f>
        <v>סידור בית מנוחה &lt;מהדורת אהבת שלום&gt;</v>
      </c>
      <c r="H2868" t="str">
        <f>_xlfn.CONCAT("https://tablet.otzar.org/",CHAR(35),"/book/654811/p/-1/t/1/fs/0/start/0/end/0/c")</f>
        <v>https://tablet.otzar.org/#/book/654811/p/-1/t/1/fs/0/start/0/end/0/c</v>
      </c>
    </row>
    <row r="2869" spans="1:8" x14ac:dyDescent="0.25">
      <c r="A2869">
        <v>654114</v>
      </c>
      <c r="B2869" t="s">
        <v>5700</v>
      </c>
      <c r="C2869" t="s">
        <v>1709</v>
      </c>
      <c r="D2869" t="s">
        <v>10</v>
      </c>
      <c r="E2869" t="s">
        <v>11</v>
      </c>
      <c r="G2869" t="str">
        <f>HYPERLINK(_xlfn.CONCAT("https://tablet.otzar.org/",CHAR(35),"/book/654114/p/-1/t/1/fs/0/start/0/end/0/c"),"סידור בית עובד &lt;מהדורה חדשה&gt;")</f>
        <v>סידור בית עובד &lt;מהדורה חדשה&gt;</v>
      </c>
      <c r="H2869" t="str">
        <f>_xlfn.CONCAT("https://tablet.otzar.org/",CHAR(35),"/book/654114/p/-1/t/1/fs/0/start/0/end/0/c")</f>
        <v>https://tablet.otzar.org/#/book/654114/p/-1/t/1/fs/0/start/0/end/0/c</v>
      </c>
    </row>
    <row r="2870" spans="1:8" x14ac:dyDescent="0.25">
      <c r="A2870">
        <v>654810</v>
      </c>
      <c r="B2870" t="s">
        <v>5701</v>
      </c>
      <c r="C2870" t="s">
        <v>1709</v>
      </c>
      <c r="D2870" t="s">
        <v>10</v>
      </c>
      <c r="E2870" t="s">
        <v>11</v>
      </c>
      <c r="G2870" t="str">
        <f>HYPERLINK(_xlfn.CONCAT("https://tablet.otzar.org/",CHAR(35),"/book/654810/p/-1/t/1/fs/0/start/0/end/0/c"),"סידור בית עובד &lt;מהדורת אהבת שלום&gt;")</f>
        <v>סידור בית עובד &lt;מהדורת אהבת שלום&gt;</v>
      </c>
      <c r="H2870" t="str">
        <f>_xlfn.CONCAT("https://tablet.otzar.org/",CHAR(35),"/book/654810/p/-1/t/1/fs/0/start/0/end/0/c")</f>
        <v>https://tablet.otzar.org/#/book/654810/p/-1/t/1/fs/0/start/0/end/0/c</v>
      </c>
    </row>
    <row r="2871" spans="1:8" x14ac:dyDescent="0.25">
      <c r="A2871">
        <v>652496</v>
      </c>
      <c r="B2871" t="s">
        <v>5702</v>
      </c>
      <c r="C2871" t="s">
        <v>5703</v>
      </c>
      <c r="D2871" t="s">
        <v>621</v>
      </c>
      <c r="E2871" t="s">
        <v>11</v>
      </c>
      <c r="G2871" t="str">
        <f>HYPERLINK(_xlfn.CONCAT("https://tablet.otzar.org/",CHAR(35),"/book/652496/p/-1/t/1/fs/0/start/0/end/0/c"),"סידור הערוך")</f>
        <v>סידור הערוך</v>
      </c>
      <c r="H2871" t="str">
        <f>_xlfn.CONCAT("https://tablet.otzar.org/",CHAR(35),"/book/652496/p/-1/t/1/fs/0/start/0/end/0/c")</f>
        <v>https://tablet.otzar.org/#/book/652496/p/-1/t/1/fs/0/start/0/end/0/c</v>
      </c>
    </row>
    <row r="2872" spans="1:8" x14ac:dyDescent="0.25">
      <c r="A2872">
        <v>650008</v>
      </c>
      <c r="B2872" t="s">
        <v>5704</v>
      </c>
      <c r="C2872" t="s">
        <v>5705</v>
      </c>
      <c r="D2872" t="s">
        <v>34</v>
      </c>
      <c r="E2872" t="s">
        <v>70</v>
      </c>
      <c r="G2872" t="str">
        <f>HYPERLINK(_xlfn.CONCAT("https://tablet.otzar.org/",CHAR(35),"/book/650008/p/-1/t/1/fs/0/start/0/end/0/c"),"סידור קידושין")</f>
        <v>סידור קידושין</v>
      </c>
      <c r="H2872" t="str">
        <f>_xlfn.CONCAT("https://tablet.otzar.org/",CHAR(35),"/book/650008/p/-1/t/1/fs/0/start/0/end/0/c")</f>
        <v>https://tablet.otzar.org/#/book/650008/p/-1/t/1/fs/0/start/0/end/0/c</v>
      </c>
    </row>
    <row r="2873" spans="1:8" x14ac:dyDescent="0.25">
      <c r="A2873">
        <v>654765</v>
      </c>
      <c r="B2873" t="s">
        <v>5706</v>
      </c>
      <c r="C2873" t="s">
        <v>5172</v>
      </c>
      <c r="D2873" t="s">
        <v>34</v>
      </c>
      <c r="E2873" t="s">
        <v>11</v>
      </c>
      <c r="G2873" t="str">
        <f>HYPERLINK(_xlfn.CONCAT("https://tablet.otzar.org/",CHAR(35),"/book/654765/p/-1/t/1/fs/0/start/0/end/0/c"),"סידור שער התפילה - א-ב")</f>
        <v>סידור שער התפילה - א-ב</v>
      </c>
      <c r="H2873" t="str">
        <f>_xlfn.CONCAT("https://tablet.otzar.org/",CHAR(35),"/book/654765/p/-1/t/1/fs/0/start/0/end/0/c")</f>
        <v>https://tablet.otzar.org/#/book/654765/p/-1/t/1/fs/0/start/0/end/0/c</v>
      </c>
    </row>
    <row r="2874" spans="1:8" x14ac:dyDescent="0.25">
      <c r="A2874">
        <v>651849</v>
      </c>
      <c r="B2874" t="s">
        <v>5707</v>
      </c>
      <c r="C2874" t="s">
        <v>5668</v>
      </c>
      <c r="D2874" t="s">
        <v>52</v>
      </c>
      <c r="E2874" t="s">
        <v>89</v>
      </c>
      <c r="G2874" t="str">
        <f>HYPERLINK(_xlfn.CONCAT("https://tablet.otzar.org/",CHAR(35),"/book/651849/p/-1/t/1/fs/0/start/0/end/0/c"),"סידר תפלת חנוך ע""""פ אור הישר")</f>
        <v>סידר תפלת חנוך ע""פ אור הישר</v>
      </c>
      <c r="H2874" t="str">
        <f>_xlfn.CONCAT("https://tablet.otzar.org/",CHAR(35),"/book/651849/p/-1/t/1/fs/0/start/0/end/0/c")</f>
        <v>https://tablet.otzar.org/#/book/651849/p/-1/t/1/fs/0/start/0/end/0/c</v>
      </c>
    </row>
    <row r="2875" spans="1:8" x14ac:dyDescent="0.25">
      <c r="A2875">
        <v>651867</v>
      </c>
      <c r="B2875" t="s">
        <v>5708</v>
      </c>
      <c r="C2875" t="s">
        <v>5709</v>
      </c>
      <c r="D2875" t="s">
        <v>10</v>
      </c>
      <c r="E2875" t="s">
        <v>670</v>
      </c>
      <c r="G2875" t="str">
        <f>HYPERLINK(_xlfn.CONCAT("https://tablet.otzar.org/",CHAR(35),"/book/651867/p/-1/t/1/fs/0/start/0/end/0/c"),"סייעתא ליורה דעה")</f>
        <v>סייעתא ליורה דעה</v>
      </c>
      <c r="H2875" t="str">
        <f>_xlfn.CONCAT("https://tablet.otzar.org/",CHAR(35),"/book/651867/p/-1/t/1/fs/0/start/0/end/0/c")</f>
        <v>https://tablet.otzar.org/#/book/651867/p/-1/t/1/fs/0/start/0/end/0/c</v>
      </c>
    </row>
    <row r="2876" spans="1:8" x14ac:dyDescent="0.25">
      <c r="A2876">
        <v>652970</v>
      </c>
      <c r="B2876" t="s">
        <v>5710</v>
      </c>
      <c r="C2876" t="s">
        <v>5711</v>
      </c>
      <c r="D2876" t="s">
        <v>5150</v>
      </c>
      <c r="E2876" t="s">
        <v>70</v>
      </c>
      <c r="G2876" t="str">
        <f>HYPERLINK(_xlfn.CONCAT("https://tablet.otzar.org/",CHAR(35),"/book/652970/p/-1/t/1/fs/0/start/0/end/0/c"),"סיכום דיני ההנאה ממעשה נסים")</f>
        <v>סיכום דיני ההנאה ממעשה נסים</v>
      </c>
      <c r="H2876" t="str">
        <f>_xlfn.CONCAT("https://tablet.otzar.org/",CHAR(35),"/book/652970/p/-1/t/1/fs/0/start/0/end/0/c")</f>
        <v>https://tablet.otzar.org/#/book/652970/p/-1/t/1/fs/0/start/0/end/0/c</v>
      </c>
    </row>
    <row r="2877" spans="1:8" x14ac:dyDescent="0.25">
      <c r="A2877">
        <v>652969</v>
      </c>
      <c r="B2877" t="s">
        <v>5712</v>
      </c>
      <c r="C2877" t="s">
        <v>614</v>
      </c>
      <c r="D2877" t="s">
        <v>5150</v>
      </c>
      <c r="E2877" t="s">
        <v>35</v>
      </c>
      <c r="G2877" t="str">
        <f>HYPERLINK(_xlfn.CONCAT("https://tablet.otzar.org/",CHAR(35),"/book/652969/p/-1/t/1/fs/0/start/0/end/0/c"),"סיכום דיני המחוסר חוש הריח")</f>
        <v>סיכום דיני המחוסר חוש הריח</v>
      </c>
      <c r="H2877" t="str">
        <f>_xlfn.CONCAT("https://tablet.otzar.org/",CHAR(35),"/book/652969/p/-1/t/1/fs/0/start/0/end/0/c")</f>
        <v>https://tablet.otzar.org/#/book/652969/p/-1/t/1/fs/0/start/0/end/0/c</v>
      </c>
    </row>
    <row r="2878" spans="1:8" x14ac:dyDescent="0.25">
      <c r="A2878">
        <v>653199</v>
      </c>
      <c r="B2878" t="s">
        <v>5713</v>
      </c>
      <c r="C2878" t="s">
        <v>5149</v>
      </c>
      <c r="D2878" t="s">
        <v>34</v>
      </c>
      <c r="E2878" t="s">
        <v>70</v>
      </c>
      <c r="G2878" t="str">
        <f>HYPERLINK(_xlfn.CONCAT("https://tablet.otzar.org/",CHAR(35),"/book/653199/p/-1/t/1/fs/0/start/0/end/0/c"),"סיכום דיני הנפת ברזל ע""""ג המזבח")</f>
        <v>סיכום דיני הנפת ברזל ע""ג המזבח</v>
      </c>
      <c r="H2878" t="str">
        <f>_xlfn.CONCAT("https://tablet.otzar.org/",CHAR(35),"/book/653199/p/-1/t/1/fs/0/start/0/end/0/c")</f>
        <v>https://tablet.otzar.org/#/book/653199/p/-1/t/1/fs/0/start/0/end/0/c</v>
      </c>
    </row>
    <row r="2879" spans="1:8" x14ac:dyDescent="0.25">
      <c r="A2879">
        <v>652968</v>
      </c>
      <c r="B2879" t="s">
        <v>5714</v>
      </c>
      <c r="C2879" t="s">
        <v>614</v>
      </c>
      <c r="D2879" t="s">
        <v>5150</v>
      </c>
      <c r="E2879" t="s">
        <v>70</v>
      </c>
      <c r="G2879" t="str">
        <f>HYPERLINK(_xlfn.CONCAT("https://tablet.otzar.org/",CHAR(35),"/book/652968/p/-1/t/1/fs/0/start/0/end/0/c"),"סיכום דיני העוסק במצוה פטור מן המצוה")</f>
        <v>סיכום דיני העוסק במצוה פטור מן המצוה</v>
      </c>
      <c r="H2879" t="str">
        <f>_xlfn.CONCAT("https://tablet.otzar.org/",CHAR(35),"/book/652968/p/-1/t/1/fs/0/start/0/end/0/c")</f>
        <v>https://tablet.otzar.org/#/book/652968/p/-1/t/1/fs/0/start/0/end/0/c</v>
      </c>
    </row>
    <row r="2880" spans="1:8" x14ac:dyDescent="0.25">
      <c r="A2880">
        <v>652952</v>
      </c>
      <c r="B2880" t="s">
        <v>5715</v>
      </c>
      <c r="C2880" t="s">
        <v>614</v>
      </c>
      <c r="D2880" t="s">
        <v>34</v>
      </c>
      <c r="E2880" t="s">
        <v>70</v>
      </c>
      <c r="G2880" t="str">
        <f>HYPERLINK(_xlfn.CONCAT("https://tablet.otzar.org/",CHAR(35),"/book/652952/p/-1/t/1/fs/0/start/0/end/0/c"),"סיכום דיני שומע כעונה")</f>
        <v>סיכום דיני שומע כעונה</v>
      </c>
      <c r="H2880" t="str">
        <f>_xlfn.CONCAT("https://tablet.otzar.org/",CHAR(35),"/book/652952/p/-1/t/1/fs/0/start/0/end/0/c")</f>
        <v>https://tablet.otzar.org/#/book/652952/p/-1/t/1/fs/0/start/0/end/0/c</v>
      </c>
    </row>
    <row r="2881" spans="1:8" x14ac:dyDescent="0.25">
      <c r="A2881">
        <v>653977</v>
      </c>
      <c r="B2881" t="s">
        <v>5716</v>
      </c>
      <c r="C2881" t="s">
        <v>614</v>
      </c>
      <c r="D2881" t="s">
        <v>34</v>
      </c>
      <c r="E2881" t="s">
        <v>11</v>
      </c>
      <c r="G2881" t="str">
        <f>HYPERLINK(_xlfn.CONCAT("https://tablet.otzar.org/",CHAR(35),"/book/653977/p/-1/t/1/fs/0/start/0/end/0/c"),"סיכום דיני תרי קלי לא משתמעי")</f>
        <v>סיכום דיני תרי קלי לא משתמעי</v>
      </c>
      <c r="H2881" t="str">
        <f>_xlfn.CONCAT("https://tablet.otzar.org/",CHAR(35),"/book/653977/p/-1/t/1/fs/0/start/0/end/0/c")</f>
        <v>https://tablet.otzar.org/#/book/653977/p/-1/t/1/fs/0/start/0/end/0/c</v>
      </c>
    </row>
    <row r="2882" spans="1:8" x14ac:dyDescent="0.25">
      <c r="A2882">
        <v>649407</v>
      </c>
      <c r="B2882" t="s">
        <v>5717</v>
      </c>
      <c r="C2882" t="s">
        <v>5718</v>
      </c>
      <c r="D2882" t="s">
        <v>10</v>
      </c>
      <c r="E2882" t="s">
        <v>11</v>
      </c>
      <c r="G2882" t="str">
        <f>HYPERLINK(_xlfn.CONCAT("https://tablet.otzar.org/",CHAR(35),"/book/649407/p/-1/t/1/fs/0/start/0/end/0/c"),"סיכום הלכות - תפילה ונשיאות כפים")</f>
        <v>סיכום הלכות - תפילה ונשיאות כפים</v>
      </c>
      <c r="H2882" t="str">
        <f>_xlfn.CONCAT("https://tablet.otzar.org/",CHAR(35),"/book/649407/p/-1/t/1/fs/0/start/0/end/0/c")</f>
        <v>https://tablet.otzar.org/#/book/649407/p/-1/t/1/fs/0/start/0/end/0/c</v>
      </c>
    </row>
    <row r="2883" spans="1:8" x14ac:dyDescent="0.25">
      <c r="A2883">
        <v>651612</v>
      </c>
      <c r="B2883" t="s">
        <v>5719</v>
      </c>
      <c r="C2883" t="s">
        <v>5720</v>
      </c>
      <c r="D2883" t="s">
        <v>34</v>
      </c>
      <c r="E2883" t="s">
        <v>70</v>
      </c>
      <c r="G2883" t="str">
        <f>HYPERLINK(_xlfn.CONCAT("https://tablet.otzar.org/",CHAR(35),"/book/651612/p/-1/t/1/fs/0/start/0/end/0/c"),"סיכום הלכות מזוזה")</f>
        <v>סיכום הלכות מזוזה</v>
      </c>
      <c r="H2883" t="str">
        <f>_xlfn.CONCAT("https://tablet.otzar.org/",CHAR(35),"/book/651612/p/-1/t/1/fs/0/start/0/end/0/c")</f>
        <v>https://tablet.otzar.org/#/book/651612/p/-1/t/1/fs/0/start/0/end/0/c</v>
      </c>
    </row>
    <row r="2884" spans="1:8" x14ac:dyDescent="0.25">
      <c r="A2884">
        <v>652971</v>
      </c>
      <c r="B2884" t="s">
        <v>5721</v>
      </c>
      <c r="C2884" t="s">
        <v>5149</v>
      </c>
      <c r="D2884" t="s">
        <v>5150</v>
      </c>
      <c r="E2884" t="s">
        <v>70</v>
      </c>
      <c r="G2884" t="str">
        <f>HYPERLINK(_xlfn.CONCAT("https://tablet.otzar.org/",CHAR(35),"/book/652971/p/-1/t/1/fs/0/start/0/end/0/c"),"סיכום סוגיית הכל בכתב מיד ה' עלי השכיל")</f>
        <v>סיכום סוגיית הכל בכתב מיד ה' עלי השכיל</v>
      </c>
      <c r="H2884" t="str">
        <f>_xlfn.CONCAT("https://tablet.otzar.org/",CHAR(35),"/book/652971/p/-1/t/1/fs/0/start/0/end/0/c")</f>
        <v>https://tablet.otzar.org/#/book/652971/p/-1/t/1/fs/0/start/0/end/0/c</v>
      </c>
    </row>
    <row r="2885" spans="1:8" x14ac:dyDescent="0.25">
      <c r="A2885">
        <v>646712</v>
      </c>
      <c r="B2885" t="s">
        <v>5722</v>
      </c>
      <c r="C2885" t="s">
        <v>5723</v>
      </c>
      <c r="D2885" t="s">
        <v>52</v>
      </c>
      <c r="E2885" t="s">
        <v>84</v>
      </c>
      <c r="G2885" t="str">
        <f>HYPERLINK(_xlfn.CONCAT("https://tablet.otzar.org/",CHAR(35),"/book/646712/p/-1/t/1/fs/0/start/0/end/0/c"),"סיכומי הלכות מוקצה")</f>
        <v>סיכומי הלכות מוקצה</v>
      </c>
      <c r="H2885" t="str">
        <f>_xlfn.CONCAT("https://tablet.otzar.org/",CHAR(35),"/book/646712/p/-1/t/1/fs/0/start/0/end/0/c")</f>
        <v>https://tablet.otzar.org/#/book/646712/p/-1/t/1/fs/0/start/0/end/0/c</v>
      </c>
    </row>
    <row r="2886" spans="1:8" x14ac:dyDescent="0.25">
      <c r="A2886">
        <v>656026</v>
      </c>
      <c r="B2886" t="s">
        <v>5724</v>
      </c>
      <c r="C2886" t="s">
        <v>1569</v>
      </c>
      <c r="D2886" t="s">
        <v>340</v>
      </c>
      <c r="E2886" t="s">
        <v>657</v>
      </c>
      <c r="G2886" t="str">
        <f>HYPERLINK(_xlfn.CONCAT("https://tablet.otzar.org/",CHAR(35),"/book/656026/p/-1/t/1/fs/0/start/0/end/0/c"),"סיכומי סוגיות והערות זבחים")</f>
        <v>סיכומי סוגיות והערות זבחים</v>
      </c>
      <c r="H2886" t="str">
        <f>_xlfn.CONCAT("https://tablet.otzar.org/",CHAR(35),"/book/656026/p/-1/t/1/fs/0/start/0/end/0/c")</f>
        <v>https://tablet.otzar.org/#/book/656026/p/-1/t/1/fs/0/start/0/end/0/c</v>
      </c>
    </row>
    <row r="2887" spans="1:8" x14ac:dyDescent="0.25">
      <c r="A2887">
        <v>651480</v>
      </c>
      <c r="B2887" t="s">
        <v>5725</v>
      </c>
      <c r="C2887" t="s">
        <v>5726</v>
      </c>
      <c r="E2887" t="s">
        <v>45</v>
      </c>
      <c r="G2887" t="str">
        <f>HYPERLINK(_xlfn.CONCAT("https://tablet.otzar.org/",CHAR(35),"/exKotar/651480"),"סיכומים וביאורים - 3 כרכים")</f>
        <v>סיכומים וביאורים - 3 כרכים</v>
      </c>
      <c r="H2887" t="str">
        <f>_xlfn.CONCAT("https://tablet.otzar.org/",CHAR(35),"/exKotar/651480")</f>
        <v>https://tablet.otzar.org/#/exKotar/651480</v>
      </c>
    </row>
    <row r="2888" spans="1:8" x14ac:dyDescent="0.25">
      <c r="A2888">
        <v>651403</v>
      </c>
      <c r="B2888" t="s">
        <v>5727</v>
      </c>
      <c r="C2888" t="s">
        <v>5728</v>
      </c>
      <c r="D2888" t="s">
        <v>10</v>
      </c>
      <c r="E2888" t="s">
        <v>55</v>
      </c>
      <c r="G2888" t="str">
        <f>HYPERLINK(_xlfn.CONCAT("https://tablet.otzar.org/",CHAR(35),"/book/651403/p/-1/t/1/fs/0/start/0/end/0/c"),"סימון בשבת ע""""י ניקוב")</f>
        <v>סימון בשבת ע""י ניקוב</v>
      </c>
      <c r="H2888" t="str">
        <f>_xlfn.CONCAT("https://tablet.otzar.org/",CHAR(35),"/book/651403/p/-1/t/1/fs/0/start/0/end/0/c")</f>
        <v>https://tablet.otzar.org/#/book/651403/p/-1/t/1/fs/0/start/0/end/0/c</v>
      </c>
    </row>
    <row r="2889" spans="1:8" x14ac:dyDescent="0.25">
      <c r="A2889">
        <v>651937</v>
      </c>
      <c r="B2889" t="s">
        <v>5729</v>
      </c>
      <c r="C2889" t="s">
        <v>5730</v>
      </c>
      <c r="D2889" t="s">
        <v>2308</v>
      </c>
      <c r="E2889">
        <v>1804</v>
      </c>
      <c r="G2889" t="str">
        <f>HYPERLINK(_xlfn.CONCAT("https://tablet.otzar.org/",CHAR(35),"/book/651937/p/-1/t/1/fs/0/start/0/end/0/c"),"סיפור חלומות קץ הפלאות")</f>
        <v>סיפור חלומות קץ הפלאות</v>
      </c>
      <c r="H2889" t="str">
        <f>_xlfn.CONCAT("https://tablet.otzar.org/",CHAR(35),"/book/651937/p/-1/t/1/fs/0/start/0/end/0/c")</f>
        <v>https://tablet.otzar.org/#/book/651937/p/-1/t/1/fs/0/start/0/end/0/c</v>
      </c>
    </row>
    <row r="2890" spans="1:8" x14ac:dyDescent="0.25">
      <c r="A2890">
        <v>649286</v>
      </c>
      <c r="B2890" t="s">
        <v>5731</v>
      </c>
      <c r="C2890" t="s">
        <v>5732</v>
      </c>
      <c r="D2890" t="s">
        <v>10</v>
      </c>
      <c r="E2890" t="s">
        <v>4516</v>
      </c>
      <c r="G2890" t="str">
        <f>HYPERLINK(_xlfn.CONCAT("https://tablet.otzar.org/",CHAR(35),"/book/649286/p/-1/t/1/fs/0/start/0/end/0/c"),"סיפורי מעשיות")</f>
        <v>סיפורי מעשיות</v>
      </c>
      <c r="H2890" t="str">
        <f>_xlfn.CONCAT("https://tablet.otzar.org/",CHAR(35),"/book/649286/p/-1/t/1/fs/0/start/0/end/0/c")</f>
        <v>https://tablet.otzar.org/#/book/649286/p/-1/t/1/fs/0/start/0/end/0/c</v>
      </c>
    </row>
    <row r="2891" spans="1:8" x14ac:dyDescent="0.25">
      <c r="A2891">
        <v>649318</v>
      </c>
      <c r="B2891" t="s">
        <v>5733</v>
      </c>
      <c r="C2891" t="s">
        <v>1038</v>
      </c>
      <c r="D2891" t="s">
        <v>52</v>
      </c>
      <c r="E2891" t="s">
        <v>11</v>
      </c>
      <c r="G2891" t="str">
        <f>HYPERLINK(_xlfn.CONCAT("https://tablet.otzar.org/",CHAR(35),"/exKotar/649318"),"סיפורי צדיקים - 9 כרכים")</f>
        <v>סיפורי צדיקים - 9 כרכים</v>
      </c>
      <c r="H2891" t="str">
        <f>_xlfn.CONCAT("https://tablet.otzar.org/",CHAR(35),"/exKotar/649318")</f>
        <v>https://tablet.otzar.org/#/exKotar/649318</v>
      </c>
    </row>
    <row r="2892" spans="1:8" x14ac:dyDescent="0.25">
      <c r="A2892">
        <v>650569</v>
      </c>
      <c r="B2892" t="s">
        <v>5734</v>
      </c>
      <c r="C2892" t="s">
        <v>2680</v>
      </c>
      <c r="D2892" t="s">
        <v>10</v>
      </c>
      <c r="E2892" t="s">
        <v>352</v>
      </c>
      <c r="G2892" t="str">
        <f>HYPERLINK(_xlfn.CONCAT("https://tablet.otzar.org/",CHAR(35),"/book/650569/p/-1/t/1/fs/0/start/0/end/0/c"),"סיפורים חסידים מלמברג לבוב")</f>
        <v>סיפורים חסידים מלמברג לבוב</v>
      </c>
      <c r="H2892" t="str">
        <f>_xlfn.CONCAT("https://tablet.otzar.org/",CHAR(35),"/book/650569/p/-1/t/1/fs/0/start/0/end/0/c")</f>
        <v>https://tablet.otzar.org/#/book/650569/p/-1/t/1/fs/0/start/0/end/0/c</v>
      </c>
    </row>
    <row r="2893" spans="1:8" x14ac:dyDescent="0.25">
      <c r="A2893">
        <v>648088</v>
      </c>
      <c r="B2893" t="s">
        <v>5735</v>
      </c>
      <c r="C2893" t="s">
        <v>5736</v>
      </c>
      <c r="D2893" t="s">
        <v>10</v>
      </c>
      <c r="E2893" t="s">
        <v>237</v>
      </c>
      <c r="G2893" t="str">
        <f>HYPERLINK(_xlfn.CONCAT("https://tablet.otzar.org/",CHAR(35),"/exKotar/648088"),"סכותה לראשי - 2 כרכים")</f>
        <v>סכותה לראשי - 2 כרכים</v>
      </c>
      <c r="H2893" t="str">
        <f>_xlfn.CONCAT("https://tablet.otzar.org/",CHAR(35),"/exKotar/648088")</f>
        <v>https://tablet.otzar.org/#/exKotar/648088</v>
      </c>
    </row>
    <row r="2894" spans="1:8" x14ac:dyDescent="0.25">
      <c r="A2894">
        <v>649952</v>
      </c>
      <c r="B2894" t="s">
        <v>5737</v>
      </c>
      <c r="C2894" t="s">
        <v>3234</v>
      </c>
      <c r="D2894" t="s">
        <v>58</v>
      </c>
      <c r="E2894" t="s">
        <v>5738</v>
      </c>
      <c r="G2894" t="str">
        <f>HYPERLINK(_xlfn.CONCAT("https://tablet.otzar.org/",CHAR(35),"/exKotar/649952"),"סליחות ליום ז אדר - 2 כרכים")</f>
        <v>סליחות ליום ז אדר - 2 כרכים</v>
      </c>
      <c r="H2894" t="str">
        <f>_xlfn.CONCAT("https://tablet.otzar.org/",CHAR(35),"/exKotar/649952")</f>
        <v>https://tablet.otzar.org/#/exKotar/649952</v>
      </c>
    </row>
    <row r="2895" spans="1:8" x14ac:dyDescent="0.25">
      <c r="A2895">
        <v>651517</v>
      </c>
      <c r="B2895" t="s">
        <v>5739</v>
      </c>
      <c r="C2895" t="s">
        <v>4512</v>
      </c>
      <c r="D2895" t="s">
        <v>287</v>
      </c>
      <c r="E2895" t="s">
        <v>11</v>
      </c>
      <c r="G2895" t="str">
        <f>HYPERLINK(_xlfn.CONCAT("https://tablet.otzar.org/",CHAR(35),"/book/651517/p/-1/t/1/fs/0/start/0/end/0/c"),"סליחות לעצירת מגיפה")</f>
        <v>סליחות לעצירת מגיפה</v>
      </c>
      <c r="H2895" t="str">
        <f>_xlfn.CONCAT("https://tablet.otzar.org/",CHAR(35),"/book/651517/p/-1/t/1/fs/0/start/0/end/0/c")</f>
        <v>https://tablet.otzar.org/#/book/651517/p/-1/t/1/fs/0/start/0/end/0/c</v>
      </c>
    </row>
    <row r="2896" spans="1:8" x14ac:dyDescent="0.25">
      <c r="A2896">
        <v>652802</v>
      </c>
      <c r="B2896" t="s">
        <v>5740</v>
      </c>
      <c r="C2896" t="s">
        <v>5740</v>
      </c>
      <c r="D2896" t="s">
        <v>5741</v>
      </c>
      <c r="E2896" t="s">
        <v>5742</v>
      </c>
      <c r="G2896" t="str">
        <f>HYPERLINK(_xlfn.CONCAT("https://tablet.otzar.org/",CHAR(35),"/book/652802/p/-1/t/1/fs/0/start/0/end/0/c"),"סליחות לפורים")</f>
        <v>סליחות לפורים</v>
      </c>
      <c r="H2896" t="str">
        <f>_xlfn.CONCAT("https://tablet.otzar.org/",CHAR(35),"/book/652802/p/-1/t/1/fs/0/start/0/end/0/c")</f>
        <v>https://tablet.otzar.org/#/book/652802/p/-1/t/1/fs/0/start/0/end/0/c</v>
      </c>
    </row>
    <row r="2897" spans="1:8" x14ac:dyDescent="0.25">
      <c r="A2897">
        <v>650803</v>
      </c>
      <c r="B2897" t="s">
        <v>5743</v>
      </c>
      <c r="C2897" t="s">
        <v>5744</v>
      </c>
      <c r="D2897" t="s">
        <v>34</v>
      </c>
      <c r="E2897" t="s">
        <v>405</v>
      </c>
      <c r="G2897" t="str">
        <f>HYPERLINK(_xlfn.CONCAT("https://tablet.otzar.org/",CHAR(35),"/book/650803/p/-1/t/1/fs/0/start/0/end/0/c"),"סמכוני באשישות - חלק ב")</f>
        <v>סמכוני באשישות - חלק ב</v>
      </c>
      <c r="H2897" t="str">
        <f>_xlfn.CONCAT("https://tablet.otzar.org/",CHAR(35),"/book/650803/p/-1/t/1/fs/0/start/0/end/0/c")</f>
        <v>https://tablet.otzar.org/#/book/650803/p/-1/t/1/fs/0/start/0/end/0/c</v>
      </c>
    </row>
    <row r="2898" spans="1:8" x14ac:dyDescent="0.25">
      <c r="A2898">
        <v>649868</v>
      </c>
      <c r="B2898" t="s">
        <v>5745</v>
      </c>
      <c r="C2898" t="s">
        <v>5746</v>
      </c>
      <c r="D2898" t="s">
        <v>5747</v>
      </c>
      <c r="E2898" t="s">
        <v>11</v>
      </c>
      <c r="G2898" t="str">
        <f>HYPERLINK(_xlfn.CONCAT("https://tablet.otzar.org/",CHAR(35),"/book/649868/p/-1/t/1/fs/0/start/0/end/0/c"),"סעודת שבת עם פ""""ש")</f>
        <v>סעודת שבת עם פ""ש</v>
      </c>
      <c r="H2898" t="str">
        <f>_xlfn.CONCAT("https://tablet.otzar.org/",CHAR(35),"/book/649868/p/-1/t/1/fs/0/start/0/end/0/c")</f>
        <v>https://tablet.otzar.org/#/book/649868/p/-1/t/1/fs/0/start/0/end/0/c</v>
      </c>
    </row>
    <row r="2899" spans="1:8" x14ac:dyDescent="0.25">
      <c r="A2899">
        <v>652936</v>
      </c>
      <c r="B2899" t="s">
        <v>5748</v>
      </c>
      <c r="C2899" t="s">
        <v>5749</v>
      </c>
      <c r="D2899" t="s">
        <v>10</v>
      </c>
      <c r="E2899" t="s">
        <v>111</v>
      </c>
      <c r="G2899" t="str">
        <f>HYPERLINK(_xlfn.CONCAT("https://tablet.otzar.org/",CHAR(35),"/book/652936/p/-1/t/1/fs/0/start/0/end/0/c"),"ספורי החג - פורים")</f>
        <v>ספורי החג - פורים</v>
      </c>
      <c r="H2899" t="str">
        <f>_xlfn.CONCAT("https://tablet.otzar.org/",CHAR(35),"/book/652936/p/-1/t/1/fs/0/start/0/end/0/c")</f>
        <v>https://tablet.otzar.org/#/book/652936/p/-1/t/1/fs/0/start/0/end/0/c</v>
      </c>
    </row>
    <row r="2900" spans="1:8" x14ac:dyDescent="0.25">
      <c r="A2900">
        <v>654851</v>
      </c>
      <c r="B2900" t="s">
        <v>5750</v>
      </c>
      <c r="C2900" t="s">
        <v>5751</v>
      </c>
      <c r="D2900" t="s">
        <v>139</v>
      </c>
      <c r="E2900" t="s">
        <v>1240</v>
      </c>
      <c r="G2900" t="str">
        <f>HYPERLINK(_xlfn.CONCAT("https://tablet.otzar.org/",CHAR(35),"/exKotar/654851"),"ספורנו - 4 כרכים")</f>
        <v>ספורנו - 4 כרכים</v>
      </c>
      <c r="H2900" t="str">
        <f>_xlfn.CONCAT("https://tablet.otzar.org/",CHAR(35),"/exKotar/654851")</f>
        <v>https://tablet.otzar.org/#/exKotar/654851</v>
      </c>
    </row>
    <row r="2901" spans="1:8" x14ac:dyDescent="0.25">
      <c r="A2901">
        <v>652775</v>
      </c>
      <c r="B2901" t="s">
        <v>5752</v>
      </c>
      <c r="C2901" t="s">
        <v>4769</v>
      </c>
      <c r="D2901" t="s">
        <v>606</v>
      </c>
      <c r="E2901" t="s">
        <v>11</v>
      </c>
      <c r="G2901" t="str">
        <f>HYPERLINK(_xlfn.CONCAT("https://tablet.otzar.org/",CHAR(35),"/book/652775/p/-1/t/1/fs/0/start/0/end/0/c"),"ספר אבא בגבורות - ב")</f>
        <v>ספר אבא בגבורות - ב</v>
      </c>
      <c r="H2901" t="str">
        <f>_xlfn.CONCAT("https://tablet.otzar.org/",CHAR(35),"/book/652775/p/-1/t/1/fs/0/start/0/end/0/c")</f>
        <v>https://tablet.otzar.org/#/book/652775/p/-1/t/1/fs/0/start/0/end/0/c</v>
      </c>
    </row>
    <row r="2902" spans="1:8" x14ac:dyDescent="0.25">
      <c r="A2902">
        <v>651534</v>
      </c>
      <c r="B2902" t="s">
        <v>5753</v>
      </c>
      <c r="C2902" t="s">
        <v>5754</v>
      </c>
      <c r="E2902" t="s">
        <v>817</v>
      </c>
      <c r="G2902" t="str">
        <f>HYPERLINK(_xlfn.CONCAT("https://tablet.otzar.org/",CHAR(35),"/book/651534/p/-1/t/1/fs/0/start/0/end/0/c"),"ספר אבא בם - בבא קמא")</f>
        <v>ספר אבא בם - בבא קמא</v>
      </c>
      <c r="H2902" t="str">
        <f>_xlfn.CONCAT("https://tablet.otzar.org/",CHAR(35),"/book/651534/p/-1/t/1/fs/0/start/0/end/0/c")</f>
        <v>https://tablet.otzar.org/#/book/651534/p/-1/t/1/fs/0/start/0/end/0/c</v>
      </c>
    </row>
    <row r="2903" spans="1:8" x14ac:dyDescent="0.25">
      <c r="A2903">
        <v>653621</v>
      </c>
      <c r="B2903" t="s">
        <v>5755</v>
      </c>
      <c r="C2903" t="s">
        <v>5756</v>
      </c>
      <c r="D2903" t="s">
        <v>347</v>
      </c>
      <c r="E2903" t="s">
        <v>35</v>
      </c>
      <c r="G2903" t="str">
        <f>HYPERLINK(_xlfn.CONCAT("https://tablet.otzar.org/",CHAR(35),"/book/653621/p/-1/t/1/fs/0/start/0/end/0/c"),"ספר אבא בם - מרובה")</f>
        <v>ספר אבא בם - מרובה</v>
      </c>
      <c r="H2903" t="str">
        <f>_xlfn.CONCAT("https://tablet.otzar.org/",CHAR(35),"/book/653621/p/-1/t/1/fs/0/start/0/end/0/c")</f>
        <v>https://tablet.otzar.org/#/book/653621/p/-1/t/1/fs/0/start/0/end/0/c</v>
      </c>
    </row>
    <row r="2904" spans="1:8" x14ac:dyDescent="0.25">
      <c r="A2904">
        <v>649709</v>
      </c>
      <c r="B2904" t="s">
        <v>5757</v>
      </c>
      <c r="C2904" t="s">
        <v>5758</v>
      </c>
      <c r="D2904" t="s">
        <v>1053</v>
      </c>
      <c r="E2904" t="s">
        <v>35</v>
      </c>
      <c r="G2904" t="str">
        <f>HYPERLINK(_xlfn.CONCAT("https://tablet.otzar.org/",CHAR(35),"/book/649709/p/-1/t/1/fs/0/start/0/end/0/c"),"ספר אבוא ביתך")</f>
        <v>ספר אבוא ביתך</v>
      </c>
      <c r="H2904" t="str">
        <f>_xlfn.CONCAT("https://tablet.otzar.org/",CHAR(35),"/book/649709/p/-1/t/1/fs/0/start/0/end/0/c")</f>
        <v>https://tablet.otzar.org/#/book/649709/p/-1/t/1/fs/0/start/0/end/0/c</v>
      </c>
    </row>
    <row r="2905" spans="1:8" x14ac:dyDescent="0.25">
      <c r="A2905">
        <v>654485</v>
      </c>
      <c r="B2905" t="s">
        <v>5759</v>
      </c>
      <c r="C2905" t="s">
        <v>5760</v>
      </c>
      <c r="E2905" t="s">
        <v>35</v>
      </c>
      <c r="G2905" t="str">
        <f>HYPERLINK(_xlfn.CONCAT("https://tablet.otzar.org/",CHAR(35),"/book/654485/p/-1/t/1/fs/0/start/0/end/0/c"),"ספר ארץ ישראל - לעורר את האהבה הישנה")</f>
        <v>ספר ארץ ישראל - לעורר את האהבה הישנה</v>
      </c>
      <c r="H2905" t="str">
        <f>_xlfn.CONCAT("https://tablet.otzar.org/",CHAR(35),"/book/654485/p/-1/t/1/fs/0/start/0/end/0/c")</f>
        <v>https://tablet.otzar.org/#/book/654485/p/-1/t/1/fs/0/start/0/end/0/c</v>
      </c>
    </row>
    <row r="2906" spans="1:8" x14ac:dyDescent="0.25">
      <c r="A2906">
        <v>656863</v>
      </c>
      <c r="B2906" t="s">
        <v>5761</v>
      </c>
      <c r="C2906" t="s">
        <v>5762</v>
      </c>
      <c r="D2906" t="s">
        <v>10</v>
      </c>
      <c r="E2906" t="s">
        <v>35</v>
      </c>
      <c r="G2906" t="str">
        <f>HYPERLINK(_xlfn.CONCAT("https://tablet.otzar.org/",CHAR(35),"/book/656863/p/-1/t/1/fs/0/start/0/end/0/c"),"ספר האורה &lt;מהדורת מכון ירושלים&gt;")</f>
        <v>ספר האורה &lt;מהדורת מכון ירושלים&gt;</v>
      </c>
      <c r="H2906" t="str">
        <f>_xlfn.CONCAT("https://tablet.otzar.org/",CHAR(35),"/book/656863/p/-1/t/1/fs/0/start/0/end/0/c")</f>
        <v>https://tablet.otzar.org/#/book/656863/p/-1/t/1/fs/0/start/0/end/0/c</v>
      </c>
    </row>
    <row r="2907" spans="1:8" x14ac:dyDescent="0.25">
      <c r="A2907">
        <v>649544</v>
      </c>
      <c r="B2907" t="s">
        <v>5763</v>
      </c>
      <c r="C2907" t="s">
        <v>5764</v>
      </c>
      <c r="D2907" t="s">
        <v>5765</v>
      </c>
      <c r="E2907" t="s">
        <v>4510</v>
      </c>
      <c r="G2907" t="str">
        <f>HYPERLINK(_xlfn.CONCAT("https://tablet.otzar.org/",CHAR(35),"/exKotar/649544"),"ספר הגורלות - 2 כרכים")</f>
        <v>ספר הגורלות - 2 כרכים</v>
      </c>
      <c r="H2907" t="str">
        <f>_xlfn.CONCAT("https://tablet.otzar.org/",CHAR(35),"/exKotar/649544")</f>
        <v>https://tablet.otzar.org/#/exKotar/649544</v>
      </c>
    </row>
    <row r="2908" spans="1:8" x14ac:dyDescent="0.25">
      <c r="A2908">
        <v>654830</v>
      </c>
      <c r="B2908" t="s">
        <v>5766</v>
      </c>
      <c r="C2908" t="s">
        <v>5767</v>
      </c>
      <c r="D2908" t="s">
        <v>10</v>
      </c>
      <c r="E2908" t="s">
        <v>11</v>
      </c>
      <c r="G2908" t="str">
        <f>HYPERLINK(_xlfn.CONCAT("https://tablet.otzar.org/",CHAR(35),"/exKotar/654830"),"ספר הזהר עם פירוש אמת ליעקב - 6 כרכים")</f>
        <v>ספר הזהר עם פירוש אמת ליעקב - 6 כרכים</v>
      </c>
      <c r="H2908" t="str">
        <f>_xlfn.CONCAT("https://tablet.otzar.org/",CHAR(35),"/exKotar/654830")</f>
        <v>https://tablet.otzar.org/#/exKotar/654830</v>
      </c>
    </row>
    <row r="2909" spans="1:8" x14ac:dyDescent="0.25">
      <c r="A2909">
        <v>650903</v>
      </c>
      <c r="B2909" t="s">
        <v>5768</v>
      </c>
      <c r="C2909" t="s">
        <v>614</v>
      </c>
      <c r="E2909" t="s">
        <v>45</v>
      </c>
      <c r="G2909" t="str">
        <f>HYPERLINK(_xlfn.CONCAT("https://tablet.otzar.org/",CHAR(35),"/book/650903/p/-1/t/1/fs/0/start/0/end/0/c"),"ספר הזכירות")</f>
        <v>ספר הזכירות</v>
      </c>
      <c r="H2909" t="str">
        <f>_xlfn.CONCAT("https://tablet.otzar.org/",CHAR(35),"/book/650903/p/-1/t/1/fs/0/start/0/end/0/c")</f>
        <v>https://tablet.otzar.org/#/book/650903/p/-1/t/1/fs/0/start/0/end/0/c</v>
      </c>
    </row>
    <row r="2910" spans="1:8" x14ac:dyDescent="0.25">
      <c r="A2910">
        <v>653253</v>
      </c>
      <c r="B2910" t="s">
        <v>5769</v>
      </c>
      <c r="C2910" t="s">
        <v>5770</v>
      </c>
      <c r="D2910" t="s">
        <v>88</v>
      </c>
      <c r="E2910" t="s">
        <v>1082</v>
      </c>
      <c r="G2910" t="str">
        <f>HYPERLINK(_xlfn.CONCAT("https://tablet.otzar.org/",CHAR(35),"/book/653253/p/-1/t/1/fs/0/start/0/end/0/c"),"ספר הזכירות &lt;קדושת לוי - מרפא לנפש - זכרון מאיר&gt;")</f>
        <v>ספר הזכירות &lt;קדושת לוי - מרפא לנפש - זכרון מאיר&gt;</v>
      </c>
      <c r="H2910" t="str">
        <f>_xlfn.CONCAT("https://tablet.otzar.org/",CHAR(35),"/book/653253/p/-1/t/1/fs/0/start/0/end/0/c")</f>
        <v>https://tablet.otzar.org/#/book/653253/p/-1/t/1/fs/0/start/0/end/0/c</v>
      </c>
    </row>
    <row r="2911" spans="1:8" x14ac:dyDescent="0.25">
      <c r="A2911">
        <v>650498</v>
      </c>
      <c r="B2911" t="s">
        <v>5771</v>
      </c>
      <c r="C2911" t="s">
        <v>5772</v>
      </c>
      <c r="D2911" t="s">
        <v>10</v>
      </c>
      <c r="E2911" t="s">
        <v>5773</v>
      </c>
      <c r="G2911" t="str">
        <f>HYPERLINK(_xlfn.CONCAT("https://tablet.otzar.org/",CHAR(35),"/book/650498/p/-1/t/1/fs/0/start/0/end/0/c"),"ספר הזכרון")</f>
        <v>ספר הזכרון</v>
      </c>
      <c r="H2911" t="str">
        <f>_xlfn.CONCAT("https://tablet.otzar.org/",CHAR(35),"/book/650498/p/-1/t/1/fs/0/start/0/end/0/c")</f>
        <v>https://tablet.otzar.org/#/book/650498/p/-1/t/1/fs/0/start/0/end/0/c</v>
      </c>
    </row>
    <row r="2912" spans="1:8" x14ac:dyDescent="0.25">
      <c r="A2912">
        <v>637692</v>
      </c>
      <c r="B2912" t="s">
        <v>5774</v>
      </c>
      <c r="C2912" t="s">
        <v>5775</v>
      </c>
      <c r="D2912" t="s">
        <v>1593</v>
      </c>
      <c r="E2912" t="s">
        <v>405</v>
      </c>
      <c r="G2912" t="str">
        <f>HYPERLINK(_xlfn.CONCAT("https://tablet.otzar.org/",CHAR(35),"/book/637692/p/-1/t/1/fs/0/start/0/end/0/c"),"ספר הזכרון שירת יוסף")</f>
        <v>ספר הזכרון שירת יוסף</v>
      </c>
      <c r="H2912" t="str">
        <f>_xlfn.CONCAT("https://tablet.otzar.org/",CHAR(35),"/book/637692/p/-1/t/1/fs/0/start/0/end/0/c")</f>
        <v>https://tablet.otzar.org/#/book/637692/p/-1/t/1/fs/0/start/0/end/0/c</v>
      </c>
    </row>
    <row r="2913" spans="1:8" x14ac:dyDescent="0.25">
      <c r="A2913">
        <v>655057</v>
      </c>
      <c r="B2913" t="s">
        <v>5776</v>
      </c>
      <c r="C2913" t="s">
        <v>5777</v>
      </c>
      <c r="D2913" t="s">
        <v>10</v>
      </c>
      <c r="E2913" t="s">
        <v>84</v>
      </c>
      <c r="G2913" t="str">
        <f>HYPERLINK(_xlfn.CONCAT("https://tablet.otzar.org/",CHAR(35),"/book/655057/p/-1/t/1/fs/0/start/0/end/0/c"),"ספר הזכרון שמואל בדורו")</f>
        <v>ספר הזכרון שמואל בדורו</v>
      </c>
      <c r="H2913" t="str">
        <f>_xlfn.CONCAT("https://tablet.otzar.org/",CHAR(35),"/book/655057/p/-1/t/1/fs/0/start/0/end/0/c")</f>
        <v>https://tablet.otzar.org/#/book/655057/p/-1/t/1/fs/0/start/0/end/0/c</v>
      </c>
    </row>
    <row r="2914" spans="1:8" x14ac:dyDescent="0.25">
      <c r="A2914">
        <v>649433</v>
      </c>
      <c r="B2914" t="s">
        <v>5778</v>
      </c>
      <c r="C2914" t="s">
        <v>5779</v>
      </c>
      <c r="D2914" t="s">
        <v>3195</v>
      </c>
      <c r="E2914" t="s">
        <v>3106</v>
      </c>
      <c r="G2914" t="str">
        <f>HYPERLINK(_xlfn.CONCAT("https://tablet.otzar.org/",CHAR(35),"/book/649433/p/-1/t/1/fs/0/start/0/end/0/c"),"ספר הזכרונות")</f>
        <v>ספר הזכרונות</v>
      </c>
      <c r="H2914" t="str">
        <f>_xlfn.CONCAT("https://tablet.otzar.org/",CHAR(35),"/book/649433/p/-1/t/1/fs/0/start/0/end/0/c")</f>
        <v>https://tablet.otzar.org/#/book/649433/p/-1/t/1/fs/0/start/0/end/0/c</v>
      </c>
    </row>
    <row r="2915" spans="1:8" x14ac:dyDescent="0.25">
      <c r="A2915">
        <v>649698</v>
      </c>
      <c r="B2915" t="s">
        <v>5780</v>
      </c>
      <c r="C2915" t="s">
        <v>5781</v>
      </c>
      <c r="D2915" t="s">
        <v>10</v>
      </c>
      <c r="E2915" t="s">
        <v>5782</v>
      </c>
      <c r="G2915" t="str">
        <f>HYPERLINK(_xlfn.CONCAT("https://tablet.otzar.org/",CHAR(35),"/book/649698/p/-1/t/1/fs/0/start/0/end/0/c"),"ספר החקים ללשכה הראשית סכת שלם א' אשר לאגדת בני ישראל")</f>
        <v>ספר החקים ללשכה הראשית סכת שלם א' אשר לאגדת בני ישראל</v>
      </c>
      <c r="H2915" t="str">
        <f>_xlfn.CONCAT("https://tablet.otzar.org/",CHAR(35),"/book/649698/p/-1/t/1/fs/0/start/0/end/0/c")</f>
        <v>https://tablet.otzar.org/#/book/649698/p/-1/t/1/fs/0/start/0/end/0/c</v>
      </c>
    </row>
    <row r="2916" spans="1:8" x14ac:dyDescent="0.25">
      <c r="A2916">
        <v>648922</v>
      </c>
      <c r="B2916" t="s">
        <v>5783</v>
      </c>
      <c r="C2916" t="s">
        <v>5784</v>
      </c>
      <c r="D2916" t="s">
        <v>52</v>
      </c>
      <c r="E2916" t="s">
        <v>769</v>
      </c>
      <c r="G2916" t="str">
        <f>HYPERLINK(_xlfn.CONCAT("https://tablet.otzar.org/",CHAR(35),"/book/648922/p/-1/t/1/fs/0/start/0/end/0/c"),"ספר היובל לישיבת חכמי לובלין")</f>
        <v>ספר היובל לישיבת חכמי לובלין</v>
      </c>
      <c r="H2916" t="str">
        <f>_xlfn.CONCAT("https://tablet.otzar.org/",CHAR(35),"/book/648922/p/-1/t/1/fs/0/start/0/end/0/c")</f>
        <v>https://tablet.otzar.org/#/book/648922/p/-1/t/1/fs/0/start/0/end/0/c</v>
      </c>
    </row>
    <row r="2917" spans="1:8" x14ac:dyDescent="0.25">
      <c r="A2917">
        <v>638251</v>
      </c>
      <c r="B2917" t="s">
        <v>5785</v>
      </c>
      <c r="C2917" t="s">
        <v>5786</v>
      </c>
      <c r="D2917" t="s">
        <v>5787</v>
      </c>
      <c r="E2917" t="s">
        <v>5788</v>
      </c>
      <c r="G2917" t="str">
        <f>HYPERLINK(_xlfn.CONCAT("https://tablet.otzar.org/",CHAR(35),"/book/638251/p/-1/t/1/fs/0/start/0/end/0/c"),"ספר היובל לקורות המושבה """"ראשון לציון"""" - ב")</f>
        <v>ספר היובל לקורות המושבה ""ראשון לציון"" - ב</v>
      </c>
      <c r="H2917" t="str">
        <f>_xlfn.CONCAT("https://tablet.otzar.org/",CHAR(35),"/book/638251/p/-1/t/1/fs/0/start/0/end/0/c")</f>
        <v>https://tablet.otzar.org/#/book/638251/p/-1/t/1/fs/0/start/0/end/0/c</v>
      </c>
    </row>
    <row r="2918" spans="1:8" x14ac:dyDescent="0.25">
      <c r="A2918">
        <v>648096</v>
      </c>
      <c r="B2918" t="s">
        <v>5789</v>
      </c>
      <c r="C2918" t="s">
        <v>5790</v>
      </c>
      <c r="D2918" t="s">
        <v>606</v>
      </c>
      <c r="E2918" t="s">
        <v>763</v>
      </c>
      <c r="G2918" t="str">
        <f>HYPERLINK(_xlfn.CONCAT("https://tablet.otzar.org/",CHAR(35),"/book/648096/p/-1/t/1/fs/0/start/0/end/0/c"),"ספר היובל לרמת ויזניץ חיפה")</f>
        <v>ספר היובל לרמת ויזניץ חיפה</v>
      </c>
      <c r="H2918" t="str">
        <f>_xlfn.CONCAT("https://tablet.otzar.org/",CHAR(35),"/book/648096/p/-1/t/1/fs/0/start/0/end/0/c")</f>
        <v>https://tablet.otzar.org/#/book/648096/p/-1/t/1/fs/0/start/0/end/0/c</v>
      </c>
    </row>
    <row r="2919" spans="1:8" x14ac:dyDescent="0.25">
      <c r="A2919">
        <v>649565</v>
      </c>
      <c r="B2919" t="s">
        <v>5791</v>
      </c>
      <c r="C2919" t="s">
        <v>160</v>
      </c>
      <c r="D2919" t="s">
        <v>58</v>
      </c>
      <c r="E2919" t="s">
        <v>802</v>
      </c>
      <c r="G2919" t="str">
        <f>HYPERLINK(_xlfn.CONCAT("https://tablet.otzar.org/",CHAR(35),"/book/649565/p/-1/t/1/fs/0/start/0/end/0/c"),"ספר היראה")</f>
        <v>ספר היראה</v>
      </c>
      <c r="H2919" t="str">
        <f>_xlfn.CONCAT("https://tablet.otzar.org/",CHAR(35),"/book/649565/p/-1/t/1/fs/0/start/0/end/0/c")</f>
        <v>https://tablet.otzar.org/#/book/649565/p/-1/t/1/fs/0/start/0/end/0/c</v>
      </c>
    </row>
    <row r="2920" spans="1:8" x14ac:dyDescent="0.25">
      <c r="A2920">
        <v>655507</v>
      </c>
      <c r="B2920" t="s">
        <v>5792</v>
      </c>
      <c r="C2920" t="s">
        <v>5793</v>
      </c>
      <c r="D2920" t="s">
        <v>4964</v>
      </c>
      <c r="E2920" t="s">
        <v>5794</v>
      </c>
      <c r="G2920" t="str">
        <f>HYPERLINK(_xlfn.CONCAT("https://tablet.otzar.org/",CHAR(35),"/exKotar/655507"),"ספר הישר - 2 כרכים")</f>
        <v>ספר הישר - 2 כרכים</v>
      </c>
      <c r="H2920" t="str">
        <f>_xlfn.CONCAT("https://tablet.otzar.org/",CHAR(35),"/exKotar/655507")</f>
        <v>https://tablet.otzar.org/#/exKotar/655507</v>
      </c>
    </row>
    <row r="2921" spans="1:8" x14ac:dyDescent="0.25">
      <c r="A2921">
        <v>657145</v>
      </c>
      <c r="B2921" t="s">
        <v>5795</v>
      </c>
      <c r="C2921" t="s">
        <v>5796</v>
      </c>
      <c r="D2921" t="s">
        <v>52</v>
      </c>
      <c r="E2921" t="s">
        <v>45</v>
      </c>
      <c r="G2921" t="str">
        <f>HYPERLINK(_xlfn.CONCAT("https://tablet.otzar.org/",CHAR(35),"/book/657145/p/-1/t/1/fs/0/start/0/end/0/c"),"ספר הישר &lt;מהדורת דבליצקי&gt; - חלק החידושים")</f>
        <v>ספר הישר &lt;מהדורת דבליצקי&gt; - חלק החידושים</v>
      </c>
      <c r="H2921" t="str">
        <f>_xlfn.CONCAT("https://tablet.otzar.org/",CHAR(35),"/book/657145/p/-1/t/1/fs/0/start/0/end/0/c")</f>
        <v>https://tablet.otzar.org/#/book/657145/p/-1/t/1/fs/0/start/0/end/0/c</v>
      </c>
    </row>
    <row r="2922" spans="1:8" x14ac:dyDescent="0.25">
      <c r="A2922">
        <v>656850</v>
      </c>
      <c r="B2922" t="s">
        <v>5797</v>
      </c>
      <c r="C2922" t="s">
        <v>5798</v>
      </c>
      <c r="D2922" t="s">
        <v>10</v>
      </c>
      <c r="E2922" t="s">
        <v>84</v>
      </c>
      <c r="G2922" t="str">
        <f>HYPERLINK(_xlfn.CONCAT("https://tablet.otzar.org/",CHAR(35),"/exKotar/656850"),"ספר המאור &lt;מלחמת ה' - כתוב שם - נר למאור&gt; - 2 כרכים")</f>
        <v>ספר המאור &lt;מלחמת ה' - כתוב שם - נר למאור&gt; - 2 כרכים</v>
      </c>
      <c r="H2922" t="str">
        <f>_xlfn.CONCAT("https://tablet.otzar.org/",CHAR(35),"/exKotar/656850")</f>
        <v>https://tablet.otzar.org/#/exKotar/656850</v>
      </c>
    </row>
    <row r="2923" spans="1:8" x14ac:dyDescent="0.25">
      <c r="A2923">
        <v>160009</v>
      </c>
      <c r="B2923" t="s">
        <v>5799</v>
      </c>
      <c r="C2923" t="s">
        <v>2767</v>
      </c>
      <c r="D2923" t="s">
        <v>10</v>
      </c>
      <c r="E2923" t="s">
        <v>25</v>
      </c>
      <c r="G2923" t="str">
        <f>HYPERLINK(_xlfn.CONCAT("https://tablet.otzar.org/",CHAR(35),"/book/160009/p/-1/t/1/fs/0/start/0/end/0/c"),"ספר המאמרים")</f>
        <v>ספר המאמרים</v>
      </c>
      <c r="H2923" t="str">
        <f>_xlfn.CONCAT("https://tablet.otzar.org/",CHAR(35),"/book/160009/p/-1/t/1/fs/0/start/0/end/0/c")</f>
        <v>https://tablet.otzar.org/#/book/160009/p/-1/t/1/fs/0/start/0/end/0/c</v>
      </c>
    </row>
    <row r="2924" spans="1:8" x14ac:dyDescent="0.25">
      <c r="A2924">
        <v>646936</v>
      </c>
      <c r="B2924" t="s">
        <v>5800</v>
      </c>
      <c r="C2924" t="s">
        <v>5801</v>
      </c>
      <c r="E2924" t="s">
        <v>5802</v>
      </c>
      <c r="G2924" t="str">
        <f>HYPERLINK(_xlfn.CONCAT("https://tablet.otzar.org/",CHAR(35),"/book/646936/p/-1/t/1/fs/0/start/0/end/0/c"),"ספר המו""""ד - ג")</f>
        <v>ספר המו""ד - ג</v>
      </c>
      <c r="H2924" t="str">
        <f>_xlfn.CONCAT("https://tablet.otzar.org/",CHAR(35),"/book/646936/p/-1/t/1/fs/0/start/0/end/0/c")</f>
        <v>https://tablet.otzar.org/#/book/646936/p/-1/t/1/fs/0/start/0/end/0/c</v>
      </c>
    </row>
    <row r="2925" spans="1:8" x14ac:dyDescent="0.25">
      <c r="A2925">
        <v>655510</v>
      </c>
      <c r="B2925" t="s">
        <v>5803</v>
      </c>
      <c r="C2925" t="s">
        <v>148</v>
      </c>
      <c r="D2925" t="s">
        <v>52</v>
      </c>
      <c r="E2925" t="s">
        <v>29</v>
      </c>
      <c r="G2925" t="str">
        <f>HYPERLINK(_xlfn.CONCAT("https://tablet.otzar.org/",CHAR(35),"/book/655510/p/-1/t/1/fs/0/start/0/end/0/c"),"ספר המודיע")</f>
        <v>ספר המודיע</v>
      </c>
      <c r="H2925" t="str">
        <f>_xlfn.CONCAT("https://tablet.otzar.org/",CHAR(35),"/book/655510/p/-1/t/1/fs/0/start/0/end/0/c")</f>
        <v>https://tablet.otzar.org/#/book/655510/p/-1/t/1/fs/0/start/0/end/0/c</v>
      </c>
    </row>
    <row r="2926" spans="1:8" x14ac:dyDescent="0.25">
      <c r="A2926">
        <v>649162</v>
      </c>
      <c r="B2926" t="s">
        <v>5804</v>
      </c>
      <c r="C2926" t="s">
        <v>5805</v>
      </c>
      <c r="D2926" t="s">
        <v>10</v>
      </c>
      <c r="E2926" t="s">
        <v>84</v>
      </c>
      <c r="G2926" t="str">
        <f>HYPERLINK(_xlfn.CONCAT("https://tablet.otzar.org/",CHAR(35),"/book/649162/p/-1/t/1/fs/0/start/0/end/0/c"),"ספר המוסר &lt;מכון אור הצפון&gt;")</f>
        <v>ספר המוסר &lt;מכון אור הצפון&gt;</v>
      </c>
      <c r="H2926" t="str">
        <f>_xlfn.CONCAT("https://tablet.otzar.org/",CHAR(35),"/book/649162/p/-1/t/1/fs/0/start/0/end/0/c")</f>
        <v>https://tablet.otzar.org/#/book/649162/p/-1/t/1/fs/0/start/0/end/0/c</v>
      </c>
    </row>
    <row r="2927" spans="1:8" x14ac:dyDescent="0.25">
      <c r="A2927">
        <v>649174</v>
      </c>
      <c r="B2927" t="s">
        <v>5806</v>
      </c>
      <c r="C2927" t="s">
        <v>448</v>
      </c>
      <c r="E2927" t="s">
        <v>197</v>
      </c>
      <c r="G2927" t="str">
        <f>HYPERLINK(_xlfn.CONCAT("https://tablet.otzar.org/",CHAR(35),"/exKotar/649174"),"ספר המסעות - 2 כרכים")</f>
        <v>ספר המסעות - 2 כרכים</v>
      </c>
      <c r="H2927" t="str">
        <f>_xlfn.CONCAT("https://tablet.otzar.org/",CHAR(35),"/exKotar/649174")</f>
        <v>https://tablet.otzar.org/#/exKotar/649174</v>
      </c>
    </row>
    <row r="2928" spans="1:8" x14ac:dyDescent="0.25">
      <c r="A2928">
        <v>652662</v>
      </c>
      <c r="B2928" t="s">
        <v>5807</v>
      </c>
      <c r="C2928" t="s">
        <v>178</v>
      </c>
      <c r="D2928" t="s">
        <v>10</v>
      </c>
      <c r="E2928" t="s">
        <v>690</v>
      </c>
      <c r="G2928" t="str">
        <f>HYPERLINK(_xlfn.CONCAT("https://tablet.otzar.org/",CHAR(35),"/book/652662/p/-1/t/1/fs/0/start/0/end/0/c"),"ספר המצות &lt;ביאורים והערות&gt; - שרשי מנין המצות")</f>
        <v>ספר המצות &lt;ביאורים והערות&gt; - שרשי מנין המצות</v>
      </c>
      <c r="H2928" t="str">
        <f>_xlfn.CONCAT("https://tablet.otzar.org/",CHAR(35),"/book/652662/p/-1/t/1/fs/0/start/0/end/0/c")</f>
        <v>https://tablet.otzar.org/#/book/652662/p/-1/t/1/fs/0/start/0/end/0/c</v>
      </c>
    </row>
    <row r="2929" spans="1:8" x14ac:dyDescent="0.25">
      <c r="A2929">
        <v>649451</v>
      </c>
      <c r="B2929" t="s">
        <v>5808</v>
      </c>
      <c r="C2929" t="s">
        <v>5809</v>
      </c>
      <c r="D2929" t="s">
        <v>39</v>
      </c>
      <c r="E2929" t="s">
        <v>577</v>
      </c>
      <c r="G2929" t="str">
        <f>HYPERLINK(_xlfn.CONCAT("https://tablet.otzar.org/",CHAR(35),"/book/649451/p/-1/t/1/fs/0/start/0/end/0/c"),"ספר הסגולות")</f>
        <v>ספר הסגולות</v>
      </c>
      <c r="H2929" t="str">
        <f>_xlfn.CONCAT("https://tablet.otzar.org/",CHAR(35),"/book/649451/p/-1/t/1/fs/0/start/0/end/0/c")</f>
        <v>https://tablet.otzar.org/#/book/649451/p/-1/t/1/fs/0/start/0/end/0/c</v>
      </c>
    </row>
    <row r="2930" spans="1:8" x14ac:dyDescent="0.25">
      <c r="A2930">
        <v>652638</v>
      </c>
      <c r="B2930" t="s">
        <v>5810</v>
      </c>
      <c r="C2930" t="s">
        <v>5811</v>
      </c>
      <c r="D2930" t="s">
        <v>129</v>
      </c>
      <c r="E2930" t="s">
        <v>3327</v>
      </c>
      <c r="G2930" t="str">
        <f>HYPERLINK(_xlfn.CONCAT("https://tablet.otzar.org/",CHAR(35),"/book/652638/p/-1/t/1/fs/0/start/0/end/0/c"),"ספר הענק")</f>
        <v>ספר הענק</v>
      </c>
      <c r="H2930" t="str">
        <f>_xlfn.CONCAT("https://tablet.otzar.org/",CHAR(35),"/book/652638/p/-1/t/1/fs/0/start/0/end/0/c")</f>
        <v>https://tablet.otzar.org/#/book/652638/p/-1/t/1/fs/0/start/0/end/0/c</v>
      </c>
    </row>
    <row r="2931" spans="1:8" x14ac:dyDescent="0.25">
      <c r="A2931">
        <v>649444</v>
      </c>
      <c r="B2931" t="s">
        <v>5812</v>
      </c>
      <c r="C2931" t="s">
        <v>5813</v>
      </c>
      <c r="D2931" t="s">
        <v>10</v>
      </c>
      <c r="E2931" t="s">
        <v>802</v>
      </c>
      <c r="G2931" t="str">
        <f>HYPERLINK(_xlfn.CONCAT("https://tablet.otzar.org/",CHAR(35),"/book/649444/p/-1/t/1/fs/0/start/0/end/0/c"),"ספר התכונה")</f>
        <v>ספר התכונה</v>
      </c>
      <c r="H2931" t="str">
        <f>_xlfn.CONCAT("https://tablet.otzar.org/",CHAR(35),"/book/649444/p/-1/t/1/fs/0/start/0/end/0/c")</f>
        <v>https://tablet.otzar.org/#/book/649444/p/-1/t/1/fs/0/start/0/end/0/c</v>
      </c>
    </row>
    <row r="2932" spans="1:8" x14ac:dyDescent="0.25">
      <c r="A2932">
        <v>650510</v>
      </c>
      <c r="B2932" t="s">
        <v>5814</v>
      </c>
      <c r="C2932" t="s">
        <v>5815</v>
      </c>
      <c r="D2932" t="s">
        <v>5666</v>
      </c>
      <c r="E2932" t="s">
        <v>5816</v>
      </c>
      <c r="G2932" t="str">
        <f>HYPERLINK(_xlfn.CONCAT("https://tablet.otzar.org/",CHAR(35),"/book/650510/p/-1/t/1/fs/0/start/0/end/0/c"),"ספר התקון לליל שבועות")</f>
        <v>ספר התקון לליל שבועות</v>
      </c>
      <c r="H2932" t="str">
        <f>_xlfn.CONCAT("https://tablet.otzar.org/",CHAR(35),"/book/650510/p/-1/t/1/fs/0/start/0/end/0/c")</f>
        <v>https://tablet.otzar.org/#/book/650510/p/-1/t/1/fs/0/start/0/end/0/c</v>
      </c>
    </row>
    <row r="2933" spans="1:8" x14ac:dyDescent="0.25">
      <c r="A2933">
        <v>649564</v>
      </c>
      <c r="B2933" t="s">
        <v>5817</v>
      </c>
      <c r="C2933" t="s">
        <v>5818</v>
      </c>
      <c r="D2933" t="s">
        <v>58</v>
      </c>
      <c r="E2933" t="s">
        <v>4629</v>
      </c>
      <c r="G2933" t="str">
        <f>HYPERLINK(_xlfn.CONCAT("https://tablet.otzar.org/",CHAR(35),"/book/649564/p/-1/t/1/fs/0/start/0/end/0/c"),"ספר התקנות והסכמות")</f>
        <v>ספר התקנות והסכמות</v>
      </c>
      <c r="H2933" t="str">
        <f>_xlfn.CONCAT("https://tablet.otzar.org/",CHAR(35),"/book/649564/p/-1/t/1/fs/0/start/0/end/0/c")</f>
        <v>https://tablet.otzar.org/#/book/649564/p/-1/t/1/fs/0/start/0/end/0/c</v>
      </c>
    </row>
    <row r="2934" spans="1:8" x14ac:dyDescent="0.25">
      <c r="A2934">
        <v>649699</v>
      </c>
      <c r="B2934" t="s">
        <v>5819</v>
      </c>
      <c r="C2934" t="s">
        <v>5820</v>
      </c>
      <c r="D2934" t="s">
        <v>10</v>
      </c>
      <c r="E2934" t="s">
        <v>1962</v>
      </c>
      <c r="G2934" t="str">
        <f>HYPERLINK(_xlfn.CONCAT("https://tablet.otzar.org/",CHAR(35),"/book/649699/p/-1/t/1/fs/0/start/0/end/0/c"),"ספר התקנות חברת אור תורה משמורים")</f>
        <v>ספר התקנות חברת אור תורה משמורים</v>
      </c>
      <c r="H2934" t="str">
        <f>_xlfn.CONCAT("https://tablet.otzar.org/",CHAR(35),"/book/649699/p/-1/t/1/fs/0/start/0/end/0/c")</f>
        <v>https://tablet.otzar.org/#/book/649699/p/-1/t/1/fs/0/start/0/end/0/c</v>
      </c>
    </row>
    <row r="2935" spans="1:8" x14ac:dyDescent="0.25">
      <c r="A2935">
        <v>656864</v>
      </c>
      <c r="B2935" t="s">
        <v>5821</v>
      </c>
      <c r="C2935" t="s">
        <v>5822</v>
      </c>
      <c r="D2935" t="s">
        <v>10</v>
      </c>
      <c r="E2935" t="s">
        <v>35</v>
      </c>
      <c r="G2935" t="str">
        <f>HYPERLINK(_xlfn.CONCAT("https://tablet.otzar.org/",CHAR(35),"/book/656864/p/-1/t/1/fs/0/start/0/end/0/c"),"ספר התרומה &lt;מכון ירושלים&gt; - א")</f>
        <v>ספר התרומה &lt;מכון ירושלים&gt; - א</v>
      </c>
      <c r="H2935" t="str">
        <f>_xlfn.CONCAT("https://tablet.otzar.org/",CHAR(35),"/book/656864/p/-1/t/1/fs/0/start/0/end/0/c")</f>
        <v>https://tablet.otzar.org/#/book/656864/p/-1/t/1/fs/0/start/0/end/0/c</v>
      </c>
    </row>
    <row r="2936" spans="1:8" x14ac:dyDescent="0.25">
      <c r="A2936">
        <v>654254</v>
      </c>
      <c r="B2936" t="s">
        <v>5823</v>
      </c>
      <c r="C2936" t="s">
        <v>5824</v>
      </c>
      <c r="D2936" t="s">
        <v>10</v>
      </c>
      <c r="E2936" t="s">
        <v>11</v>
      </c>
      <c r="G2936" t="str">
        <f>HYPERLINK(_xlfn.CONCAT("https://tablet.otzar.org/",CHAR(35),"/book/654254/p/-1/t/1/fs/0/start/0/end/0/c"),"ספר התרומות עם גדולי תרומה - דרכי תרומה")</f>
        <v>ספר התרומות עם גדולי תרומה - דרכי תרומה</v>
      </c>
      <c r="H2936" t="str">
        <f>_xlfn.CONCAT("https://tablet.otzar.org/",CHAR(35),"/book/654254/p/-1/t/1/fs/0/start/0/end/0/c")</f>
        <v>https://tablet.otzar.org/#/book/654254/p/-1/t/1/fs/0/start/0/end/0/c</v>
      </c>
    </row>
    <row r="2937" spans="1:8" x14ac:dyDescent="0.25">
      <c r="A2937">
        <v>650900</v>
      </c>
      <c r="B2937" t="s">
        <v>5825</v>
      </c>
      <c r="C2937" t="s">
        <v>5826</v>
      </c>
      <c r="D2937" t="s">
        <v>10</v>
      </c>
      <c r="E2937" t="s">
        <v>690</v>
      </c>
      <c r="G2937" t="str">
        <f>HYPERLINK(_xlfn.CONCAT("https://tablet.otzar.org/",CHAR(35),"/exKotar/650900"),"ספר התשובות - 2 כרכים")</f>
        <v>ספר התשובות - 2 כרכים</v>
      </c>
      <c r="H2937" t="str">
        <f>_xlfn.CONCAT("https://tablet.otzar.org/",CHAR(35),"/exKotar/650900")</f>
        <v>https://tablet.otzar.org/#/exKotar/650900</v>
      </c>
    </row>
    <row r="2938" spans="1:8" x14ac:dyDescent="0.25">
      <c r="A2938">
        <v>647039</v>
      </c>
      <c r="B2938" t="s">
        <v>5827</v>
      </c>
      <c r="C2938" t="s">
        <v>5828</v>
      </c>
      <c r="E2938" t="s">
        <v>73</v>
      </c>
      <c r="G2938" t="str">
        <f>HYPERLINK(_xlfn.CONCAT("https://tablet.otzar.org/",CHAR(35),"/book/647039/p/-1/t/1/fs/0/start/0/end/0/c"),"ספר זכרון - לזכרו של מרן הגר""""מ פיינשטיין")</f>
        <v>ספר זכרון - לזכרו של מרן הגר""מ פיינשטיין</v>
      </c>
      <c r="H2938" t="str">
        <f>_xlfn.CONCAT("https://tablet.otzar.org/",CHAR(35),"/book/647039/p/-1/t/1/fs/0/start/0/end/0/c")</f>
        <v>https://tablet.otzar.org/#/book/647039/p/-1/t/1/fs/0/start/0/end/0/c</v>
      </c>
    </row>
    <row r="2939" spans="1:8" x14ac:dyDescent="0.25">
      <c r="A2939">
        <v>649284</v>
      </c>
      <c r="B2939" t="s">
        <v>5829</v>
      </c>
      <c r="C2939" t="s">
        <v>5830</v>
      </c>
      <c r="D2939" t="s">
        <v>10</v>
      </c>
      <c r="E2939" t="s">
        <v>3101</v>
      </c>
      <c r="G2939" t="str">
        <f>HYPERLINK(_xlfn.CONCAT("https://tablet.otzar.org/",CHAR(35),"/book/649284/p/-1/t/1/fs/0/start/0/end/0/c"),"ספר זכרון חשבוו ומפעל בית ועד הכללי")</f>
        <v>ספר זכרון חשבוו ומפעל בית ועד הכללי</v>
      </c>
      <c r="H2939" t="str">
        <f>_xlfn.CONCAT("https://tablet.otzar.org/",CHAR(35),"/book/649284/p/-1/t/1/fs/0/start/0/end/0/c")</f>
        <v>https://tablet.otzar.org/#/book/649284/p/-1/t/1/fs/0/start/0/end/0/c</v>
      </c>
    </row>
    <row r="2940" spans="1:8" x14ac:dyDescent="0.25">
      <c r="A2940">
        <v>652649</v>
      </c>
      <c r="B2940" t="s">
        <v>5831</v>
      </c>
      <c r="C2940" t="s">
        <v>5832</v>
      </c>
      <c r="D2940" t="s">
        <v>10</v>
      </c>
      <c r="E2940" t="s">
        <v>769</v>
      </c>
      <c r="G2940" t="str">
        <f>HYPERLINK(_xlfn.CONCAT("https://tablet.otzar.org/",CHAR(35),"/book/652649/p/-1/t/1/fs/0/start/0/end/0/c"),"ספר זכרון מנחת שמואל")</f>
        <v>ספר זכרון מנחת שמואל</v>
      </c>
      <c r="H2940" t="str">
        <f>_xlfn.CONCAT("https://tablet.otzar.org/",CHAR(35),"/book/652649/p/-1/t/1/fs/0/start/0/end/0/c")</f>
        <v>https://tablet.otzar.org/#/book/652649/p/-1/t/1/fs/0/start/0/end/0/c</v>
      </c>
    </row>
    <row r="2941" spans="1:8" x14ac:dyDescent="0.25">
      <c r="A2941">
        <v>649842</v>
      </c>
      <c r="B2941" t="s">
        <v>5833</v>
      </c>
      <c r="C2941" t="s">
        <v>5834</v>
      </c>
      <c r="D2941" t="s">
        <v>2512</v>
      </c>
      <c r="E2941" t="s">
        <v>224</v>
      </c>
      <c r="G2941" t="str">
        <f>HYPERLINK(_xlfn.CONCAT("https://tablet.otzar.org/",CHAR(35),"/book/649842/p/-1/t/1/fs/0/start/0/end/0/c"),"ספר זכרון מעלות מיכל")</f>
        <v>ספר זכרון מעלות מיכל</v>
      </c>
      <c r="H2941" t="str">
        <f>_xlfn.CONCAT("https://tablet.otzar.org/",CHAR(35),"/book/649842/p/-1/t/1/fs/0/start/0/end/0/c")</f>
        <v>https://tablet.otzar.org/#/book/649842/p/-1/t/1/fs/0/start/0/end/0/c</v>
      </c>
    </row>
    <row r="2942" spans="1:8" x14ac:dyDescent="0.25">
      <c r="A2942">
        <v>648966</v>
      </c>
      <c r="B2942" t="s">
        <v>5835</v>
      </c>
      <c r="C2942" t="s">
        <v>5836</v>
      </c>
      <c r="D2942" t="s">
        <v>10</v>
      </c>
      <c r="E2942" t="s">
        <v>55</v>
      </c>
      <c r="G2942" t="str">
        <f>HYPERLINK(_xlfn.CONCAT("https://tablet.otzar.org/",CHAR(35),"/book/648966/p/-1/t/1/fs/0/start/0/end/0/c"),"ספר חברון")</f>
        <v>ספר חברון</v>
      </c>
      <c r="H2942" t="str">
        <f>_xlfn.CONCAT("https://tablet.otzar.org/",CHAR(35),"/book/648966/p/-1/t/1/fs/0/start/0/end/0/c")</f>
        <v>https://tablet.otzar.org/#/book/648966/p/-1/t/1/fs/0/start/0/end/0/c</v>
      </c>
    </row>
    <row r="2943" spans="1:8" x14ac:dyDescent="0.25">
      <c r="A2943">
        <v>653177</v>
      </c>
      <c r="B2943" t="s">
        <v>5837</v>
      </c>
      <c r="C2943" t="s">
        <v>1890</v>
      </c>
      <c r="D2943" t="s">
        <v>10</v>
      </c>
      <c r="E2943" t="s">
        <v>84</v>
      </c>
      <c r="G2943" t="str">
        <f>HYPERLINK(_xlfn.CONCAT("https://tablet.otzar.org/",CHAR(35),"/book/653177/p/-1/t/1/fs/0/start/0/end/0/c"),"ספר חרדים &lt;השלם והמפואר&gt;")</f>
        <v>ספר חרדים &lt;השלם והמפואר&gt;</v>
      </c>
      <c r="H2943" t="str">
        <f>_xlfn.CONCAT("https://tablet.otzar.org/",CHAR(35),"/book/653177/p/-1/t/1/fs/0/start/0/end/0/c")</f>
        <v>https://tablet.otzar.org/#/book/653177/p/-1/t/1/fs/0/start/0/end/0/c</v>
      </c>
    </row>
    <row r="2944" spans="1:8" x14ac:dyDescent="0.25">
      <c r="A2944">
        <v>649297</v>
      </c>
      <c r="B2944" t="s">
        <v>5838</v>
      </c>
      <c r="C2944" t="s">
        <v>2267</v>
      </c>
      <c r="D2944" t="s">
        <v>10</v>
      </c>
      <c r="E2944" t="s">
        <v>5839</v>
      </c>
      <c r="G2944" t="str">
        <f>HYPERLINK(_xlfn.CONCAT("https://tablet.otzar.org/",CHAR(35),"/exKotar/649297"),"ספר חשבון חברת בקו""""ח משגב לדך - 6 כרכים")</f>
        <v>ספר חשבון חברת בקו""ח משגב לדך - 6 כרכים</v>
      </c>
      <c r="H2944" t="str">
        <f>_xlfn.CONCAT("https://tablet.otzar.org/",CHAR(35),"/exKotar/649297")</f>
        <v>https://tablet.otzar.org/#/exKotar/649297</v>
      </c>
    </row>
    <row r="2945" spans="1:8" x14ac:dyDescent="0.25">
      <c r="A2945">
        <v>647746</v>
      </c>
      <c r="B2945" t="s">
        <v>5840</v>
      </c>
      <c r="C2945" t="s">
        <v>5836</v>
      </c>
      <c r="D2945" t="s">
        <v>10</v>
      </c>
      <c r="E2945" t="s">
        <v>804</v>
      </c>
      <c r="G2945" t="str">
        <f>HYPERLINK(_xlfn.CONCAT("https://tablet.otzar.org/",CHAR(35),"/book/647746/p/-1/t/1/fs/0/start/0/end/0/c"),"ספר טבריה")</f>
        <v>ספר טבריה</v>
      </c>
      <c r="H2945" t="str">
        <f>_xlfn.CONCAT("https://tablet.otzar.org/",CHAR(35),"/book/647746/p/-1/t/1/fs/0/start/0/end/0/c")</f>
        <v>https://tablet.otzar.org/#/book/647746/p/-1/t/1/fs/0/start/0/end/0/c</v>
      </c>
    </row>
    <row r="2946" spans="1:8" x14ac:dyDescent="0.25">
      <c r="A2946">
        <v>649127</v>
      </c>
      <c r="B2946" t="s">
        <v>5841</v>
      </c>
      <c r="C2946" t="s">
        <v>5842</v>
      </c>
      <c r="E2946" t="s">
        <v>1189</v>
      </c>
      <c r="G2946" t="str">
        <f>HYPERLINK(_xlfn.CONCAT("https://tablet.otzar.org/",CHAR(35),"/book/649127/p/-1/t/1/fs/0/start/0/end/0/c"),"ספר יובל לזאב וילהלם כהן")</f>
        <v>ספר יובל לזאב וילהלם כהן</v>
      </c>
      <c r="H2946" t="str">
        <f>_xlfn.CONCAT("https://tablet.otzar.org/",CHAR(35),"/book/649127/p/-1/t/1/fs/0/start/0/end/0/c")</f>
        <v>https://tablet.otzar.org/#/book/649127/p/-1/t/1/fs/0/start/0/end/0/c</v>
      </c>
    </row>
    <row r="2947" spans="1:8" x14ac:dyDescent="0.25">
      <c r="A2947">
        <v>650143</v>
      </c>
      <c r="B2947" t="s">
        <v>5843</v>
      </c>
      <c r="C2947" t="s">
        <v>199</v>
      </c>
      <c r="D2947" t="s">
        <v>10</v>
      </c>
      <c r="E2947" t="s">
        <v>2534</v>
      </c>
      <c r="G2947" t="str">
        <f>HYPERLINK(_xlfn.CONCAT("https://tablet.otzar.org/",CHAR(35),"/exKotar/650143"),"ספר יונה עם ביאור הגר""""א - 2 כרכים")</f>
        <v>ספר יונה עם ביאור הגר""א - 2 כרכים</v>
      </c>
      <c r="H2947" t="str">
        <f>_xlfn.CONCAT("https://tablet.otzar.org/",CHAR(35),"/exKotar/650143")</f>
        <v>https://tablet.otzar.org/#/exKotar/650143</v>
      </c>
    </row>
    <row r="2948" spans="1:8" x14ac:dyDescent="0.25">
      <c r="A2948">
        <v>144973</v>
      </c>
      <c r="B2948" t="s">
        <v>5844</v>
      </c>
      <c r="C2948" t="s">
        <v>5845</v>
      </c>
      <c r="D2948" t="s">
        <v>424</v>
      </c>
      <c r="E2948" t="s">
        <v>70</v>
      </c>
      <c r="G2948" t="str">
        <f>HYPERLINK(_xlfn.CONCAT("https://tablet.otzar.org/",CHAR(35),"/book/144973/p/-1/t/1/fs/0/start/0/end/0/c"),"ספר לבני מצוה")</f>
        <v>ספר לבני מצוה</v>
      </c>
      <c r="H2948" t="str">
        <f>_xlfn.CONCAT("https://tablet.otzar.org/",CHAR(35),"/book/144973/p/-1/t/1/fs/0/start/0/end/0/c")</f>
        <v>https://tablet.otzar.org/#/book/144973/p/-1/t/1/fs/0/start/0/end/0/c</v>
      </c>
    </row>
    <row r="2949" spans="1:8" x14ac:dyDescent="0.25">
      <c r="A2949">
        <v>647383</v>
      </c>
      <c r="B2949" t="s">
        <v>5846</v>
      </c>
      <c r="C2949" t="s">
        <v>1279</v>
      </c>
      <c r="D2949" t="s">
        <v>10</v>
      </c>
      <c r="E2949" t="s">
        <v>435</v>
      </c>
      <c r="G2949" t="str">
        <f>HYPERLINK(_xlfn.CONCAT("https://tablet.otzar.org/",CHAR(35),"/book/647383/p/-1/t/1/fs/0/start/0/end/0/c"),"ספר מכבים ב")</f>
        <v>ספר מכבים ב</v>
      </c>
      <c r="H2949" t="str">
        <f>_xlfn.CONCAT("https://tablet.otzar.org/",CHAR(35),"/book/647383/p/-1/t/1/fs/0/start/0/end/0/c")</f>
        <v>https://tablet.otzar.org/#/book/647383/p/-1/t/1/fs/0/start/0/end/0/c</v>
      </c>
    </row>
    <row r="2950" spans="1:8" x14ac:dyDescent="0.25">
      <c r="A2950">
        <v>650933</v>
      </c>
      <c r="B2950" t="s">
        <v>5847</v>
      </c>
      <c r="C2950" t="s">
        <v>5848</v>
      </c>
      <c r="D2950" t="s">
        <v>340</v>
      </c>
      <c r="E2950" t="s">
        <v>35</v>
      </c>
      <c r="G2950" t="str">
        <f>HYPERLINK(_xlfn.CONCAT("https://tablet.otzar.org/",CHAR(35),"/book/650933/p/-1/t/1/fs/0/start/0/end/0/c"),"ספר שאלת המטוטלת - ב")</f>
        <v>ספר שאלת המטוטלת - ב</v>
      </c>
      <c r="H2950" t="str">
        <f>_xlfn.CONCAT("https://tablet.otzar.org/",CHAR(35),"/book/650933/p/-1/t/1/fs/0/start/0/end/0/c")</f>
        <v>https://tablet.otzar.org/#/book/650933/p/-1/t/1/fs/0/start/0/end/0/c</v>
      </c>
    </row>
    <row r="2951" spans="1:8" x14ac:dyDescent="0.25">
      <c r="A2951">
        <v>650152</v>
      </c>
      <c r="B2951" t="s">
        <v>5849</v>
      </c>
      <c r="C2951" t="s">
        <v>3189</v>
      </c>
      <c r="D2951" t="s">
        <v>10</v>
      </c>
      <c r="E2951" t="s">
        <v>19</v>
      </c>
      <c r="G2951" t="str">
        <f>HYPERLINK(_xlfn.CONCAT("https://tablet.otzar.org/",CHAR(35),"/book/650152/p/-1/t/1/fs/0/start/0/end/0/c"),"ספר תהלים &lt;כינורו של דוד קול מנחם")</f>
        <v>ספר תהלים &lt;כינורו של דוד קול מנחם</v>
      </c>
      <c r="H2951" t="str">
        <f>_xlfn.CONCAT("https://tablet.otzar.org/",CHAR(35),"/book/650152/p/-1/t/1/fs/0/start/0/end/0/c")</f>
        <v>https://tablet.otzar.org/#/book/650152/p/-1/t/1/fs/0/start/0/end/0/c</v>
      </c>
    </row>
    <row r="2952" spans="1:8" x14ac:dyDescent="0.25">
      <c r="A2952">
        <v>655059</v>
      </c>
      <c r="B2952" t="s">
        <v>5850</v>
      </c>
      <c r="C2952" t="s">
        <v>4601</v>
      </c>
      <c r="D2952" t="s">
        <v>10</v>
      </c>
      <c r="E2952" t="s">
        <v>5851</v>
      </c>
      <c r="G2952" t="str">
        <f>HYPERLINK(_xlfn.CONCAT("https://tablet.otzar.org/",CHAR(35),"/book/655059/p/-1/t/1/fs/0/start/0/end/0/c"),"ספר תהלים עם ילקוט של""""ה")</f>
        <v>ספר תהלים עם ילקוט של""ה</v>
      </c>
      <c r="H2952" t="str">
        <f>_xlfn.CONCAT("https://tablet.otzar.org/",CHAR(35),"/book/655059/p/-1/t/1/fs/0/start/0/end/0/c")</f>
        <v>https://tablet.otzar.org/#/book/655059/p/-1/t/1/fs/0/start/0/end/0/c</v>
      </c>
    </row>
    <row r="2953" spans="1:8" x14ac:dyDescent="0.25">
      <c r="A2953">
        <v>654300</v>
      </c>
      <c r="B2953" t="s">
        <v>5852</v>
      </c>
      <c r="C2953" t="s">
        <v>5853</v>
      </c>
      <c r="D2953" t="s">
        <v>10</v>
      </c>
      <c r="E2953" t="s">
        <v>11</v>
      </c>
      <c r="G2953" t="str">
        <f>HYPERLINK(_xlfn.CONCAT("https://tablet.otzar.org/",CHAR(35),"/book/654300/p/-1/t/1/fs/0/start/0/end/0/c"),"ספר תורה לדעת - נר מתתיהו")</f>
        <v>ספר תורה לדעת - נר מתתיהו</v>
      </c>
      <c r="H2953" t="str">
        <f>_xlfn.CONCAT("https://tablet.otzar.org/",CHAR(35),"/book/654300/p/-1/t/1/fs/0/start/0/end/0/c")</f>
        <v>https://tablet.otzar.org/#/book/654300/p/-1/t/1/fs/0/start/0/end/0/c</v>
      </c>
    </row>
    <row r="2954" spans="1:8" x14ac:dyDescent="0.25">
      <c r="A2954">
        <v>649283</v>
      </c>
      <c r="B2954" t="s">
        <v>5854</v>
      </c>
      <c r="C2954" t="s">
        <v>2267</v>
      </c>
      <c r="D2954" t="s">
        <v>10</v>
      </c>
      <c r="E2954" t="s">
        <v>2523</v>
      </c>
      <c r="G2954" t="str">
        <f>HYPERLINK(_xlfn.CONCAT("https://tablet.otzar.org/",CHAR(35),"/exKotar/649283"),"ספר תקנות חברת ביקור חולים משגב לדך - 5 כרכים")</f>
        <v>ספר תקנות חברת ביקור חולים משגב לדך - 5 כרכים</v>
      </c>
      <c r="H2954" t="str">
        <f>_xlfn.CONCAT("https://tablet.otzar.org/",CHAR(35),"/exKotar/649283")</f>
        <v>https://tablet.otzar.org/#/exKotar/649283</v>
      </c>
    </row>
    <row r="2955" spans="1:8" x14ac:dyDescent="0.25">
      <c r="A2955">
        <v>647457</v>
      </c>
      <c r="B2955" t="s">
        <v>5855</v>
      </c>
      <c r="C2955" t="s">
        <v>3475</v>
      </c>
      <c r="D2955" t="s">
        <v>10</v>
      </c>
      <c r="E2955" t="s">
        <v>1693</v>
      </c>
      <c r="G2955" t="str">
        <f>HYPERLINK(_xlfn.CONCAT("https://tablet.otzar.org/",CHAR(35),"/book/647457/p/-1/t/1/fs/0/start/0/end/0/c"),"ספר תרי""""ג מצוות")</f>
        <v>ספר תרי""ג מצוות</v>
      </c>
      <c r="H2955" t="str">
        <f>_xlfn.CONCAT("https://tablet.otzar.org/",CHAR(35),"/book/647457/p/-1/t/1/fs/0/start/0/end/0/c")</f>
        <v>https://tablet.otzar.org/#/book/647457/p/-1/t/1/fs/0/start/0/end/0/c</v>
      </c>
    </row>
    <row r="2956" spans="1:8" x14ac:dyDescent="0.25">
      <c r="A2956">
        <v>650553</v>
      </c>
      <c r="B2956" t="s">
        <v>5856</v>
      </c>
      <c r="C2956" t="s">
        <v>5857</v>
      </c>
      <c r="D2956" t="s">
        <v>10</v>
      </c>
      <c r="E2956" t="s">
        <v>11</v>
      </c>
      <c r="G2956" t="str">
        <f>HYPERLINK(_xlfn.CONCAT("https://tablet.otzar.org/",CHAR(35),"/book/650553/p/-1/t/1/fs/0/start/0/end/0/c"),"ספרא דצניעותא &lt;ביאור הגר""""א המפורש&gt;")</f>
        <v>ספרא דצניעותא &lt;ביאור הגר""א המפורש&gt;</v>
      </c>
      <c r="H2956" t="str">
        <f>_xlfn.CONCAT("https://tablet.otzar.org/",CHAR(35),"/book/650553/p/-1/t/1/fs/0/start/0/end/0/c")</f>
        <v>https://tablet.otzar.org/#/book/650553/p/-1/t/1/fs/0/start/0/end/0/c</v>
      </c>
    </row>
    <row r="2957" spans="1:8" x14ac:dyDescent="0.25">
      <c r="A2957">
        <v>649043</v>
      </c>
      <c r="B2957" t="s">
        <v>5858</v>
      </c>
      <c r="C2957" t="s">
        <v>5859</v>
      </c>
      <c r="E2957" t="s">
        <v>84</v>
      </c>
      <c r="G2957" t="str">
        <f>HYPERLINK(_xlfn.CONCAT("https://tablet.otzar.org/",CHAR(35),"/book/649043/p/-1/t/1/fs/0/start/0/end/0/c"),"ספרי יסוד")</f>
        <v>ספרי יסוד</v>
      </c>
      <c r="H2957" t="str">
        <f>_xlfn.CONCAT("https://tablet.otzar.org/",CHAR(35),"/book/649043/p/-1/t/1/fs/0/start/0/end/0/c")</f>
        <v>https://tablet.otzar.org/#/book/649043/p/-1/t/1/fs/0/start/0/end/0/c</v>
      </c>
    </row>
    <row r="2958" spans="1:8" x14ac:dyDescent="0.25">
      <c r="A2958">
        <v>648029</v>
      </c>
      <c r="B2958" t="s">
        <v>5860</v>
      </c>
      <c r="C2958" t="s">
        <v>5861</v>
      </c>
      <c r="D2958" t="s">
        <v>287</v>
      </c>
      <c r="E2958" t="s">
        <v>1187</v>
      </c>
      <c r="G2958" t="str">
        <f>HYPERLINK(_xlfn.CONCAT("https://tablet.otzar.org/",CHAR(35),"/book/648029/p/-1/t/1/fs/0/start/0/end/0/c"),"ספרים בRabbi Judah HaNasi, his Life and Times")</f>
        <v>ספרים בRabbi Judah HaNasi, his Life and Times</v>
      </c>
      <c r="H2958" t="str">
        <f>_xlfn.CONCAT("https://tablet.otzar.org/",CHAR(35),"/book/648029/p/-1/t/1/fs/0/start/0/end/0/c")</f>
        <v>https://tablet.otzar.org/#/book/648029/p/-1/t/1/fs/0/start/0/end/0/c</v>
      </c>
    </row>
    <row r="2959" spans="1:8" x14ac:dyDescent="0.25">
      <c r="A2959">
        <v>653413</v>
      </c>
      <c r="B2959" t="s">
        <v>5862</v>
      </c>
      <c r="C2959" t="s">
        <v>4659</v>
      </c>
      <c r="D2959" t="s">
        <v>463</v>
      </c>
      <c r="E2959" t="s">
        <v>5863</v>
      </c>
      <c r="G2959" t="str">
        <f>HYPERLINK(_xlfn.CONCAT("https://tablet.otzar.org/",CHAR(35),"/book/653413/p/-1/t/1/fs/0/start/0/end/0/c"),"ספרים באנגלית - ILRAMBAM")</f>
        <v>ספרים באנגלית - ILRAMBAM</v>
      </c>
      <c r="H2959" t="str">
        <f>_xlfn.CONCAT("https://tablet.otzar.org/",CHAR(35),"/book/653413/p/-1/t/1/fs/0/start/0/end/0/c")</f>
        <v>https://tablet.otzar.org/#/book/653413/p/-1/t/1/fs/0/start/0/end/0/c</v>
      </c>
    </row>
    <row r="2960" spans="1:8" x14ac:dyDescent="0.25">
      <c r="A2960">
        <v>640727</v>
      </c>
      <c r="B2960" t="s">
        <v>5864</v>
      </c>
      <c r="C2960" t="s">
        <v>5865</v>
      </c>
      <c r="D2960" t="s">
        <v>510</v>
      </c>
      <c r="E2960" t="s">
        <v>114</v>
      </c>
      <c r="G2960" t="str">
        <f>HYPERLINK(_xlfn.CONCAT("https://tablet.otzar.org/",CHAR(35),"/exKotar/640727"),"ספרים באנגלית - 80 כרכים")</f>
        <v>ספרים באנגלית - 80 כרכים</v>
      </c>
      <c r="H2960" t="str">
        <f>_xlfn.CONCAT("https://tablet.otzar.org/",CHAR(35),"/exKotar/640727")</f>
        <v>https://tablet.otzar.org/#/exKotar/640727</v>
      </c>
    </row>
    <row r="2961" spans="1:8" x14ac:dyDescent="0.25">
      <c r="A2961">
        <v>648030</v>
      </c>
      <c r="B2961" t="s">
        <v>5866</v>
      </c>
      <c r="C2961" t="s">
        <v>5867</v>
      </c>
      <c r="D2961" t="s">
        <v>287</v>
      </c>
      <c r="E2961" t="s">
        <v>5868</v>
      </c>
      <c r="G2961" t="str">
        <f>HYPERLINK(_xlfn.CONCAT("https://tablet.otzar.org/",CHAR(35),"/book/648030/p/-1/t/1/fs/0/start/0/end/0/c"),"ספרים באנגלית Moses Montefiore, his Life and Times")</f>
        <v>ספרים באנגלית Moses Montefiore, his Life and Times</v>
      </c>
      <c r="H2961" t="str">
        <f>_xlfn.CONCAT("https://tablet.otzar.org/",CHAR(35),"/book/648030/p/-1/t/1/fs/0/start/0/end/0/c")</f>
        <v>https://tablet.otzar.org/#/book/648030/p/-1/t/1/fs/0/start/0/end/0/c</v>
      </c>
    </row>
    <row r="2962" spans="1:8" x14ac:dyDescent="0.25">
      <c r="A2962">
        <v>648031</v>
      </c>
      <c r="B2962" t="s">
        <v>5869</v>
      </c>
      <c r="C2962" t="s">
        <v>5870</v>
      </c>
      <c r="D2962" t="s">
        <v>287</v>
      </c>
      <c r="E2962" t="s">
        <v>1157</v>
      </c>
      <c r="G2962" t="str">
        <f>HYPERLINK(_xlfn.CONCAT("https://tablet.otzar.org/",CHAR(35),"/book/648031/p/-1/t/1/fs/0/start/0/end/0/c"),"ספרים באנגלית Sadia Gaon, his Life and Times")</f>
        <v>ספרים באנגלית Sadia Gaon, his Life and Times</v>
      </c>
      <c r="H2962" t="str">
        <f>_xlfn.CONCAT("https://tablet.otzar.org/",CHAR(35),"/book/648031/p/-1/t/1/fs/0/start/0/end/0/c")</f>
        <v>https://tablet.otzar.org/#/book/648031/p/-1/t/1/fs/0/start/0/end/0/c</v>
      </c>
    </row>
    <row r="2963" spans="1:8" x14ac:dyDescent="0.25">
      <c r="A2963">
        <v>649917</v>
      </c>
      <c r="B2963" t="s">
        <v>5871</v>
      </c>
      <c r="C2963" t="s">
        <v>5872</v>
      </c>
      <c r="D2963" t="s">
        <v>221</v>
      </c>
      <c r="E2963" t="s">
        <v>1082</v>
      </c>
      <c r="G2963" t="str">
        <f>HYPERLINK(_xlfn.CONCAT("https://tablet.otzar.org/",CHAR(35),"/exKotar/649917"),"ספרים בספרדית - 3 כרכים")</f>
        <v>ספרים בספרדית - 3 כרכים</v>
      </c>
      <c r="H2963" t="str">
        <f>_xlfn.CONCAT("https://tablet.otzar.org/",CHAR(35),"/exKotar/649917")</f>
        <v>https://tablet.otzar.org/#/exKotar/649917</v>
      </c>
    </row>
    <row r="2964" spans="1:8" x14ac:dyDescent="0.25">
      <c r="A2964">
        <v>650286</v>
      </c>
      <c r="B2964" t="s">
        <v>5873</v>
      </c>
      <c r="C2964" t="s">
        <v>5431</v>
      </c>
      <c r="D2964" t="s">
        <v>5874</v>
      </c>
      <c r="E2964" t="s">
        <v>1288</v>
      </c>
      <c r="G2964" t="str">
        <f>HYPERLINK(_xlfn.CONCAT("https://tablet.otzar.org/",CHAR(35),"/book/650286/p/-1/t/1/fs/0/start/0/end/0/c"),"ספרים בפורטוגזית - Fe e Ciencia")</f>
        <v>ספרים בפורטוגזית - Fe e Ciencia</v>
      </c>
      <c r="H2964" t="str">
        <f>_xlfn.CONCAT("https://tablet.otzar.org/",CHAR(35),"/book/650286/p/-1/t/1/fs/0/start/0/end/0/c")</f>
        <v>https://tablet.otzar.org/#/book/650286/p/-1/t/1/fs/0/start/0/end/0/c</v>
      </c>
    </row>
    <row r="2965" spans="1:8" x14ac:dyDescent="0.25">
      <c r="A2965">
        <v>647915</v>
      </c>
      <c r="B2965" t="s">
        <v>5875</v>
      </c>
      <c r="C2965" t="s">
        <v>5876</v>
      </c>
      <c r="D2965" t="s">
        <v>10</v>
      </c>
      <c r="E2965" t="s">
        <v>11</v>
      </c>
      <c r="G2965" t="str">
        <f>HYPERLINK(_xlfn.CONCAT("https://tablet.otzar.org/",CHAR(35),"/exKotar/647915"),"ספרים ברוסית - 2 כרכים")</f>
        <v>ספרים ברוסית - 2 כרכים</v>
      </c>
      <c r="H2965" t="str">
        <f>_xlfn.CONCAT("https://tablet.otzar.org/",CHAR(35),"/exKotar/647915")</f>
        <v>https://tablet.otzar.org/#/exKotar/647915</v>
      </c>
    </row>
    <row r="2966" spans="1:8" x14ac:dyDescent="0.25">
      <c r="A2966">
        <v>651800</v>
      </c>
      <c r="B2966" t="s">
        <v>5877</v>
      </c>
      <c r="C2966" t="s">
        <v>5878</v>
      </c>
      <c r="D2966" t="s">
        <v>52</v>
      </c>
      <c r="E2966" t="s">
        <v>35</v>
      </c>
      <c r="G2966" t="str">
        <f>HYPERLINK(_xlfn.CONCAT("https://tablet.otzar.org/",CHAR(35),"/book/651800/p/-1/t/1/fs/0/start/0/end/0/c"),"סר לראות - בבא קמא")</f>
        <v>סר לראות - בבא קמא</v>
      </c>
      <c r="H2966" t="str">
        <f>_xlfn.CONCAT("https://tablet.otzar.org/",CHAR(35),"/book/651800/p/-1/t/1/fs/0/start/0/end/0/c")</f>
        <v>https://tablet.otzar.org/#/book/651800/p/-1/t/1/fs/0/start/0/end/0/c</v>
      </c>
    </row>
    <row r="2967" spans="1:8" x14ac:dyDescent="0.25">
      <c r="A2967">
        <v>654044</v>
      </c>
      <c r="B2967" t="s">
        <v>5879</v>
      </c>
      <c r="C2967" t="s">
        <v>5880</v>
      </c>
      <c r="D2967" t="s">
        <v>10</v>
      </c>
      <c r="E2967" t="s">
        <v>84</v>
      </c>
      <c r="G2967" t="str">
        <f>HYPERLINK(_xlfn.CONCAT("https://tablet.otzar.org/",CHAR(35),"/book/654044/p/-1/t/1/fs/0/start/0/end/0/c"),"עבד נאמן - רבי שניאור זלמן פרידמן")</f>
        <v>עבד נאמן - רבי שניאור זלמן פרידמן</v>
      </c>
      <c r="H2967" t="str">
        <f>_xlfn.CONCAT("https://tablet.otzar.org/",CHAR(35),"/book/654044/p/-1/t/1/fs/0/start/0/end/0/c")</f>
        <v>https://tablet.otzar.org/#/book/654044/p/-1/t/1/fs/0/start/0/end/0/c</v>
      </c>
    </row>
    <row r="2968" spans="1:8" x14ac:dyDescent="0.25">
      <c r="A2968">
        <v>649416</v>
      </c>
      <c r="B2968" t="s">
        <v>5881</v>
      </c>
      <c r="C2968" t="s">
        <v>5882</v>
      </c>
      <c r="D2968" t="s">
        <v>34</v>
      </c>
      <c r="E2968" t="s">
        <v>11</v>
      </c>
      <c r="G2968" t="str">
        <f>HYPERLINK(_xlfn.CONCAT("https://tablet.otzar.org/",CHAR(35),"/book/649416/p/-1/t/1/fs/0/start/0/end/0/c"),"עבדא דמלכא - ברכות ד-ו")</f>
        <v>עבדא דמלכא - ברכות ד-ו</v>
      </c>
      <c r="H2968" t="str">
        <f>_xlfn.CONCAT("https://tablet.otzar.org/",CHAR(35),"/book/649416/p/-1/t/1/fs/0/start/0/end/0/c")</f>
        <v>https://tablet.otzar.org/#/book/649416/p/-1/t/1/fs/0/start/0/end/0/c</v>
      </c>
    </row>
    <row r="2969" spans="1:8" x14ac:dyDescent="0.25">
      <c r="A2969">
        <v>653278</v>
      </c>
      <c r="B2969" t="s">
        <v>5883</v>
      </c>
      <c r="C2969" t="s">
        <v>5884</v>
      </c>
      <c r="D2969" t="s">
        <v>34</v>
      </c>
      <c r="E2969" t="s">
        <v>35</v>
      </c>
      <c r="G2969" t="str">
        <f>HYPERLINK(_xlfn.CONCAT("https://tablet.otzar.org/",CHAR(35),"/exKotar/653278"),"עבודה מעשית - 7 כרכים")</f>
        <v>עבודה מעשית - 7 כרכים</v>
      </c>
      <c r="H2969" t="str">
        <f>_xlfn.CONCAT("https://tablet.otzar.org/",CHAR(35),"/exKotar/653278")</f>
        <v>https://tablet.otzar.org/#/exKotar/653278</v>
      </c>
    </row>
    <row r="2970" spans="1:8" x14ac:dyDescent="0.25">
      <c r="A2970">
        <v>654672</v>
      </c>
      <c r="B2970" t="s">
        <v>5885</v>
      </c>
      <c r="C2970" t="s">
        <v>2357</v>
      </c>
      <c r="D2970" t="s">
        <v>731</v>
      </c>
      <c r="E2970" t="s">
        <v>84</v>
      </c>
      <c r="G2970" t="str">
        <f>HYPERLINK(_xlfn.CONCAT("https://tablet.otzar.org/",CHAR(35),"/book/654672/p/-1/t/1/fs/0/start/0/end/0/c"),"עבודה שבלב - שיחות בעניני תפילה")</f>
        <v>עבודה שבלב - שיחות בעניני תפילה</v>
      </c>
      <c r="H2970" t="str">
        <f>_xlfn.CONCAT("https://tablet.otzar.org/",CHAR(35),"/book/654672/p/-1/t/1/fs/0/start/0/end/0/c")</f>
        <v>https://tablet.otzar.org/#/book/654672/p/-1/t/1/fs/0/start/0/end/0/c</v>
      </c>
    </row>
    <row r="2971" spans="1:8" x14ac:dyDescent="0.25">
      <c r="A2971">
        <v>648814</v>
      </c>
      <c r="B2971" t="s">
        <v>5886</v>
      </c>
      <c r="C2971" t="s">
        <v>5887</v>
      </c>
      <c r="D2971" t="s">
        <v>10</v>
      </c>
      <c r="E2971" t="s">
        <v>11</v>
      </c>
      <c r="G2971" t="str">
        <f>HYPERLINK(_xlfn.CONCAT("https://tablet.otzar.org/",CHAR(35),"/book/648814/p/-1/t/1/fs/0/start/0/end/0/c"),"עבודת אהרן")</f>
        <v>עבודת אהרן</v>
      </c>
      <c r="H2971" t="str">
        <f>_xlfn.CONCAT("https://tablet.otzar.org/",CHAR(35),"/book/648814/p/-1/t/1/fs/0/start/0/end/0/c")</f>
        <v>https://tablet.otzar.org/#/book/648814/p/-1/t/1/fs/0/start/0/end/0/c</v>
      </c>
    </row>
    <row r="2972" spans="1:8" x14ac:dyDescent="0.25">
      <c r="A2972">
        <v>654237</v>
      </c>
      <c r="B2972" t="s">
        <v>5888</v>
      </c>
      <c r="C2972" t="s">
        <v>5889</v>
      </c>
      <c r="D2972" t="s">
        <v>52</v>
      </c>
      <c r="E2972" t="s">
        <v>11</v>
      </c>
      <c r="G2972" t="str">
        <f>HYPERLINK(_xlfn.CONCAT("https://tablet.otzar.org/",CHAR(35),"/book/654237/p/-1/t/1/fs/0/start/0/end/0/c"),"עבודת אליהו - עבודה זרה")</f>
        <v>עבודת אליהו - עבודה זרה</v>
      </c>
      <c r="H2972" t="str">
        <f>_xlfn.CONCAT("https://tablet.otzar.org/",CHAR(35),"/book/654237/p/-1/t/1/fs/0/start/0/end/0/c")</f>
        <v>https://tablet.otzar.org/#/book/654237/p/-1/t/1/fs/0/start/0/end/0/c</v>
      </c>
    </row>
    <row r="2973" spans="1:8" x14ac:dyDescent="0.25">
      <c r="A2973">
        <v>647462</v>
      </c>
      <c r="B2973" t="s">
        <v>5890</v>
      </c>
      <c r="C2973" t="s">
        <v>758</v>
      </c>
      <c r="D2973" t="s">
        <v>10</v>
      </c>
      <c r="E2973" t="s">
        <v>237</v>
      </c>
      <c r="G2973" t="str">
        <f>HYPERLINK(_xlfn.CONCAT("https://tablet.otzar.org/",CHAR(35),"/book/647462/p/-1/t/1/fs/0/start/0/end/0/c"),"עבודת בנימין")</f>
        <v>עבודת בנימין</v>
      </c>
      <c r="H2973" t="str">
        <f>_xlfn.CONCAT("https://tablet.otzar.org/",CHAR(35),"/book/647462/p/-1/t/1/fs/0/start/0/end/0/c")</f>
        <v>https://tablet.otzar.org/#/book/647462/p/-1/t/1/fs/0/start/0/end/0/c</v>
      </c>
    </row>
    <row r="2974" spans="1:8" x14ac:dyDescent="0.25">
      <c r="A2974">
        <v>649218</v>
      </c>
      <c r="B2974" t="s">
        <v>5891</v>
      </c>
      <c r="C2974" t="s">
        <v>2335</v>
      </c>
      <c r="D2974" t="s">
        <v>561</v>
      </c>
      <c r="E2974" t="s">
        <v>45</v>
      </c>
      <c r="G2974" t="str">
        <f>HYPERLINK(_xlfn.CONCAT("https://tablet.otzar.org/",CHAR(35),"/exKotar/649218"),"עבודת דוד - 4 כרכים")</f>
        <v>עבודת דוד - 4 כרכים</v>
      </c>
      <c r="H2974" t="str">
        <f>_xlfn.CONCAT("https://tablet.otzar.org/",CHAR(35),"/exKotar/649218")</f>
        <v>https://tablet.otzar.org/#/exKotar/649218</v>
      </c>
    </row>
    <row r="2975" spans="1:8" x14ac:dyDescent="0.25">
      <c r="A2975">
        <v>156925</v>
      </c>
      <c r="B2975" t="s">
        <v>5892</v>
      </c>
      <c r="C2975" t="s">
        <v>236</v>
      </c>
      <c r="D2975" t="s">
        <v>196</v>
      </c>
      <c r="E2975" t="s">
        <v>5893</v>
      </c>
      <c r="G2975" t="str">
        <f>HYPERLINK(_xlfn.CONCAT("https://tablet.otzar.org/",CHAR(35),"/book/156925/p/-1/t/1/fs/0/start/0/end/0/c"),"עבודת האהל")</f>
        <v>עבודת האהל</v>
      </c>
      <c r="H2975" t="str">
        <f>_xlfn.CONCAT("https://tablet.otzar.org/",CHAR(35),"/book/156925/p/-1/t/1/fs/0/start/0/end/0/c")</f>
        <v>https://tablet.otzar.org/#/book/156925/p/-1/t/1/fs/0/start/0/end/0/c</v>
      </c>
    </row>
    <row r="2976" spans="1:8" x14ac:dyDescent="0.25">
      <c r="A2976">
        <v>655206</v>
      </c>
      <c r="B2976" t="s">
        <v>5894</v>
      </c>
      <c r="C2976" t="s">
        <v>928</v>
      </c>
      <c r="D2976" t="s">
        <v>287</v>
      </c>
      <c r="E2976" t="s">
        <v>35</v>
      </c>
      <c r="G2976" t="str">
        <f>HYPERLINK(_xlfn.CONCAT("https://tablet.otzar.org/",CHAR(35),"/book/655206/p/-1/t/1/fs/0/start/0/end/0/c"),"עבודת הסופר - חנוכה")</f>
        <v>עבודת הסופר - חנוכה</v>
      </c>
      <c r="H2976" t="str">
        <f>_xlfn.CONCAT("https://tablet.otzar.org/",CHAR(35),"/book/655206/p/-1/t/1/fs/0/start/0/end/0/c")</f>
        <v>https://tablet.otzar.org/#/book/655206/p/-1/t/1/fs/0/start/0/end/0/c</v>
      </c>
    </row>
    <row r="2977" spans="1:8" x14ac:dyDescent="0.25">
      <c r="A2977">
        <v>654503</v>
      </c>
      <c r="B2977" t="s">
        <v>5895</v>
      </c>
      <c r="C2977" t="s">
        <v>5896</v>
      </c>
      <c r="D2977" t="s">
        <v>10</v>
      </c>
      <c r="E2977" t="s">
        <v>77</v>
      </c>
      <c r="G2977" t="str">
        <f>HYPERLINK(_xlfn.CONCAT("https://tablet.otzar.org/",CHAR(35),"/exKotar/654503"),"עבודת הקודש - 4 כרכים")</f>
        <v>עבודת הקודש - 4 כרכים</v>
      </c>
      <c r="H2977" t="str">
        <f>_xlfn.CONCAT("https://tablet.otzar.org/",CHAR(35),"/exKotar/654503")</f>
        <v>https://tablet.otzar.org/#/exKotar/654503</v>
      </c>
    </row>
    <row r="2978" spans="1:8" x14ac:dyDescent="0.25">
      <c r="A2978">
        <v>653518</v>
      </c>
      <c r="B2978" t="s">
        <v>5897</v>
      </c>
      <c r="C2978" t="s">
        <v>5606</v>
      </c>
      <c r="D2978" t="s">
        <v>340</v>
      </c>
      <c r="E2978" t="s">
        <v>35</v>
      </c>
      <c r="G2978" t="str">
        <f>HYPERLINK(_xlfn.CONCAT("https://tablet.otzar.org/",CHAR(35),"/book/653518/p/-1/t/1/fs/0/start/0/end/0/c"),"עבודת חג השבועות")</f>
        <v>עבודת חג השבועות</v>
      </c>
      <c r="H2978" t="str">
        <f>_xlfn.CONCAT("https://tablet.otzar.org/",CHAR(35),"/book/653518/p/-1/t/1/fs/0/start/0/end/0/c")</f>
        <v>https://tablet.otzar.org/#/book/653518/p/-1/t/1/fs/0/start/0/end/0/c</v>
      </c>
    </row>
    <row r="2979" spans="1:8" x14ac:dyDescent="0.25">
      <c r="A2979">
        <v>643881</v>
      </c>
      <c r="B2979" t="s">
        <v>5898</v>
      </c>
      <c r="C2979" t="s">
        <v>5899</v>
      </c>
      <c r="D2979" t="s">
        <v>10</v>
      </c>
      <c r="E2979" t="s">
        <v>45</v>
      </c>
      <c r="G2979" t="str">
        <f>HYPERLINK(_xlfn.CONCAT("https://tablet.otzar.org/",CHAR(35),"/book/643881/p/-1/t/1/fs/0/start/0/end/0/c"),"עבודת חיים - בראשית")</f>
        <v>עבודת חיים - בראשית</v>
      </c>
      <c r="H2979" t="str">
        <f>_xlfn.CONCAT("https://tablet.otzar.org/",CHAR(35),"/book/643881/p/-1/t/1/fs/0/start/0/end/0/c")</f>
        <v>https://tablet.otzar.org/#/book/643881/p/-1/t/1/fs/0/start/0/end/0/c</v>
      </c>
    </row>
    <row r="2980" spans="1:8" x14ac:dyDescent="0.25">
      <c r="A2980">
        <v>653412</v>
      </c>
      <c r="B2980" t="s">
        <v>5900</v>
      </c>
      <c r="C2980" t="s">
        <v>5606</v>
      </c>
      <c r="D2980" t="s">
        <v>340</v>
      </c>
      <c r="E2980" t="s">
        <v>45</v>
      </c>
      <c r="G2980" t="str">
        <f>HYPERLINK(_xlfn.CONCAT("https://tablet.otzar.org/",CHAR(35),"/book/653412/p/-1/t/1/fs/0/start/0/end/0/c"),"עבודת ימי הפורים")</f>
        <v>עבודת ימי הפורים</v>
      </c>
      <c r="H2980" t="str">
        <f>_xlfn.CONCAT("https://tablet.otzar.org/",CHAR(35),"/book/653412/p/-1/t/1/fs/0/start/0/end/0/c")</f>
        <v>https://tablet.otzar.org/#/book/653412/p/-1/t/1/fs/0/start/0/end/0/c</v>
      </c>
    </row>
    <row r="2981" spans="1:8" x14ac:dyDescent="0.25">
      <c r="A2981">
        <v>656178</v>
      </c>
      <c r="B2981" t="s">
        <v>5901</v>
      </c>
      <c r="C2981" t="s">
        <v>5902</v>
      </c>
      <c r="D2981" t="s">
        <v>10</v>
      </c>
      <c r="E2981" t="s">
        <v>5903</v>
      </c>
      <c r="G2981" t="str">
        <f>HYPERLINK(_xlfn.CONCAT("https://tablet.otzar.org/",CHAR(35),"/exKotar/656178"),"עבודת ישראל - 2 כרכים")</f>
        <v>עבודת ישראל - 2 כרכים</v>
      </c>
      <c r="H2981" t="str">
        <f>_xlfn.CONCAT("https://tablet.otzar.org/",CHAR(35),"/exKotar/656178")</f>
        <v>https://tablet.otzar.org/#/exKotar/656178</v>
      </c>
    </row>
    <row r="2982" spans="1:8" x14ac:dyDescent="0.25">
      <c r="A2982">
        <v>650905</v>
      </c>
      <c r="B2982" t="s">
        <v>5904</v>
      </c>
      <c r="C2982" t="s">
        <v>1368</v>
      </c>
      <c r="D2982" t="s">
        <v>10</v>
      </c>
      <c r="E2982" t="s">
        <v>35</v>
      </c>
      <c r="G2982" t="str">
        <f>HYPERLINK(_xlfn.CONCAT("https://tablet.otzar.org/",CHAR(35),"/exKotar/650905"),"עברא דדשא - 3 כרכים")</f>
        <v>עברא דדשא - 3 כרכים</v>
      </c>
      <c r="H2982" t="str">
        <f>_xlfn.CONCAT("https://tablet.otzar.org/",CHAR(35),"/exKotar/650905")</f>
        <v>https://tablet.otzar.org/#/exKotar/650905</v>
      </c>
    </row>
    <row r="2983" spans="1:8" x14ac:dyDescent="0.25">
      <c r="A2983">
        <v>649767</v>
      </c>
      <c r="B2983" t="s">
        <v>5905</v>
      </c>
      <c r="C2983" t="s">
        <v>5906</v>
      </c>
      <c r="D2983" t="s">
        <v>129</v>
      </c>
      <c r="E2983" t="s">
        <v>5671</v>
      </c>
      <c r="G2983" t="str">
        <f>HYPERLINK(_xlfn.CONCAT("https://tablet.otzar.org/",CHAR(35),"/book/649767/p/-1/t/1/fs/0/start/0/end/0/c"),"עברית סמבטיונית")</f>
        <v>עברית סמבטיונית</v>
      </c>
      <c r="H2983" t="str">
        <f>_xlfn.CONCAT("https://tablet.otzar.org/",CHAR(35),"/book/649767/p/-1/t/1/fs/0/start/0/end/0/c")</f>
        <v>https://tablet.otzar.org/#/book/649767/p/-1/t/1/fs/0/start/0/end/0/c</v>
      </c>
    </row>
    <row r="2984" spans="1:8" x14ac:dyDescent="0.25">
      <c r="A2984">
        <v>650243</v>
      </c>
      <c r="B2984" t="s">
        <v>5907</v>
      </c>
      <c r="C2984" t="s">
        <v>5908</v>
      </c>
      <c r="D2984" t="s">
        <v>10</v>
      </c>
      <c r="E2984" t="s">
        <v>11</v>
      </c>
      <c r="G2984" t="str">
        <f>HYPERLINK(_xlfn.CONCAT("https://tablet.otzar.org/",CHAR(35),"/book/650243/p/-1/t/1/fs/0/start/0/end/0/c"),"עד כי יבוא שילה")</f>
        <v>עד כי יבוא שילה</v>
      </c>
      <c r="H2984" t="str">
        <f>_xlfn.CONCAT("https://tablet.otzar.org/",CHAR(35),"/book/650243/p/-1/t/1/fs/0/start/0/end/0/c")</f>
        <v>https://tablet.otzar.org/#/book/650243/p/-1/t/1/fs/0/start/0/end/0/c</v>
      </c>
    </row>
    <row r="2985" spans="1:8" x14ac:dyDescent="0.25">
      <c r="A2985">
        <v>650909</v>
      </c>
      <c r="B2985" t="s">
        <v>5909</v>
      </c>
      <c r="C2985" t="s">
        <v>5910</v>
      </c>
      <c r="D2985" t="s">
        <v>34</v>
      </c>
      <c r="E2985" t="s">
        <v>11</v>
      </c>
      <c r="G2985" t="str">
        <f>HYPERLINK(_xlfn.CONCAT("https://tablet.otzar.org/",CHAR(35),"/book/650909/p/-1/t/1/fs/0/start/0/end/0/c"),"עדות ביהוסף ויצחק")</f>
        <v>עדות ביהוסף ויצחק</v>
      </c>
      <c r="H2985" t="str">
        <f>_xlfn.CONCAT("https://tablet.otzar.org/",CHAR(35),"/book/650909/p/-1/t/1/fs/0/start/0/end/0/c")</f>
        <v>https://tablet.otzar.org/#/book/650909/p/-1/t/1/fs/0/start/0/end/0/c</v>
      </c>
    </row>
    <row r="2986" spans="1:8" x14ac:dyDescent="0.25">
      <c r="A2986">
        <v>653271</v>
      </c>
      <c r="B2986" t="s">
        <v>5911</v>
      </c>
      <c r="C2986" t="s">
        <v>4285</v>
      </c>
      <c r="D2986" t="s">
        <v>472</v>
      </c>
      <c r="E2986" t="s">
        <v>200</v>
      </c>
      <c r="G2986" t="str">
        <f>HYPERLINK(_xlfn.CONCAT("https://tablet.otzar.org/",CHAR(35),"/book/653271/p/-1/t/1/fs/0/start/0/end/0/c"),"עדות משה - ב")</f>
        <v>עדות משה - ב</v>
      </c>
      <c r="H2986" t="str">
        <f>_xlfn.CONCAT("https://tablet.otzar.org/",CHAR(35),"/book/653271/p/-1/t/1/fs/0/start/0/end/0/c")</f>
        <v>https://tablet.otzar.org/#/book/653271/p/-1/t/1/fs/0/start/0/end/0/c</v>
      </c>
    </row>
    <row r="2987" spans="1:8" x14ac:dyDescent="0.25">
      <c r="A2987">
        <v>647641</v>
      </c>
      <c r="B2987" t="s">
        <v>5912</v>
      </c>
      <c r="C2987" t="s">
        <v>5913</v>
      </c>
      <c r="D2987" t="s">
        <v>1832</v>
      </c>
      <c r="E2987" t="s">
        <v>5914</v>
      </c>
      <c r="G2987" t="str">
        <f>HYPERLINK(_xlfn.CONCAT("https://tablet.otzar.org/",CHAR(35),"/book/647641/p/-1/t/1/fs/0/start/0/end/0/c"),"עדות נאמנה")</f>
        <v>עדות נאמנה</v>
      </c>
      <c r="H2987" t="str">
        <f>_xlfn.CONCAT("https://tablet.otzar.org/",CHAR(35),"/book/647641/p/-1/t/1/fs/0/start/0/end/0/c")</f>
        <v>https://tablet.otzar.org/#/book/647641/p/-1/t/1/fs/0/start/0/end/0/c</v>
      </c>
    </row>
    <row r="2988" spans="1:8" x14ac:dyDescent="0.25">
      <c r="A2988">
        <v>648903</v>
      </c>
      <c r="B2988" t="s">
        <v>5915</v>
      </c>
      <c r="C2988" t="s">
        <v>382</v>
      </c>
      <c r="D2988" t="s">
        <v>10</v>
      </c>
      <c r="E2988" t="s">
        <v>5916</v>
      </c>
      <c r="G2988" t="str">
        <f>HYPERLINK(_xlfn.CONCAT("https://tablet.otzar.org/",CHAR(35),"/book/648903/p/-1/t/1/fs/0/start/0/end/0/c"),"עדות קובץ תורני - יח")</f>
        <v>עדות קובץ תורני - יח</v>
      </c>
      <c r="H2988" t="str">
        <f>_xlfn.CONCAT("https://tablet.otzar.org/",CHAR(35),"/book/648903/p/-1/t/1/fs/0/start/0/end/0/c")</f>
        <v>https://tablet.otzar.org/#/book/648903/p/-1/t/1/fs/0/start/0/end/0/c</v>
      </c>
    </row>
    <row r="2989" spans="1:8" x14ac:dyDescent="0.25">
      <c r="A2989">
        <v>655605</v>
      </c>
      <c r="B2989" t="s">
        <v>5917</v>
      </c>
      <c r="C2989" t="s">
        <v>3719</v>
      </c>
      <c r="D2989" t="s">
        <v>347</v>
      </c>
      <c r="E2989" t="s">
        <v>1336</v>
      </c>
      <c r="G2989" t="str">
        <f>HYPERLINK(_xlfn.CONCAT("https://tablet.otzar.org/",CHAR(35),"/book/655605/p/-1/t/1/fs/0/start/0/end/0/c"),"עדי הגט")</f>
        <v>עדי הגט</v>
      </c>
      <c r="H2989" t="str">
        <f>_xlfn.CONCAT("https://tablet.otzar.org/",CHAR(35),"/book/655605/p/-1/t/1/fs/0/start/0/end/0/c")</f>
        <v>https://tablet.otzar.org/#/book/655605/p/-1/t/1/fs/0/start/0/end/0/c</v>
      </c>
    </row>
    <row r="2990" spans="1:8" x14ac:dyDescent="0.25">
      <c r="A2990">
        <v>650226</v>
      </c>
      <c r="B2990" t="s">
        <v>5918</v>
      </c>
      <c r="C2990" t="s">
        <v>5919</v>
      </c>
      <c r="D2990" t="s">
        <v>166</v>
      </c>
      <c r="E2990" t="s">
        <v>5920</v>
      </c>
      <c r="G2990" t="str">
        <f>HYPERLINK(_xlfn.CONCAT("https://tablet.otzar.org/",CHAR(35),"/book/650226/p/-1/t/1/fs/0/start/0/end/0/c"),"עדן עולמים")</f>
        <v>עדן עולמים</v>
      </c>
      <c r="H2990" t="str">
        <f>_xlfn.CONCAT("https://tablet.otzar.org/",CHAR(35),"/book/650226/p/-1/t/1/fs/0/start/0/end/0/c")</f>
        <v>https://tablet.otzar.org/#/book/650226/p/-1/t/1/fs/0/start/0/end/0/c</v>
      </c>
    </row>
    <row r="2991" spans="1:8" x14ac:dyDescent="0.25">
      <c r="A2991">
        <v>648547</v>
      </c>
      <c r="B2991" t="s">
        <v>5921</v>
      </c>
      <c r="C2991" t="s">
        <v>5922</v>
      </c>
      <c r="D2991" t="s">
        <v>10</v>
      </c>
      <c r="E2991" t="s">
        <v>2368</v>
      </c>
      <c r="G2991" t="str">
        <f>HYPERLINK(_xlfn.CONCAT("https://tablet.otzar.org/",CHAR(35),"/book/648547/p/-1/t/1/fs/0/start/0/end/0/c"),"עהרליכקייט און תמימות")</f>
        <v>עהרליכקייט און תמימות</v>
      </c>
      <c r="H2991" t="str">
        <f>_xlfn.CONCAT("https://tablet.otzar.org/",CHAR(35),"/book/648547/p/-1/t/1/fs/0/start/0/end/0/c")</f>
        <v>https://tablet.otzar.org/#/book/648547/p/-1/t/1/fs/0/start/0/end/0/c</v>
      </c>
    </row>
    <row r="2992" spans="1:8" x14ac:dyDescent="0.25">
      <c r="A2992">
        <v>653738</v>
      </c>
      <c r="B2992" t="s">
        <v>5923</v>
      </c>
      <c r="C2992" t="s">
        <v>5924</v>
      </c>
      <c r="E2992" t="s">
        <v>11</v>
      </c>
      <c r="G2992" t="str">
        <f>HYPERLINK(_xlfn.CONCAT("https://tablet.otzar.org/",CHAR(35),"/book/653738/p/-1/t/1/fs/0/start/0/end/0/c"),"עובדא דאהרן")</f>
        <v>עובדא דאהרן</v>
      </c>
      <c r="H2992" t="str">
        <f>_xlfn.CONCAT("https://tablet.otzar.org/",CHAR(35),"/book/653738/p/-1/t/1/fs/0/start/0/end/0/c")</f>
        <v>https://tablet.otzar.org/#/book/653738/p/-1/t/1/fs/0/start/0/end/0/c</v>
      </c>
    </row>
    <row r="2993" spans="1:8" x14ac:dyDescent="0.25">
      <c r="A2993">
        <v>651660</v>
      </c>
      <c r="B2993" t="s">
        <v>5925</v>
      </c>
      <c r="C2993" t="s">
        <v>5926</v>
      </c>
      <c r="D2993" t="s">
        <v>34</v>
      </c>
      <c r="E2993" t="s">
        <v>11</v>
      </c>
      <c r="G2993" t="str">
        <f>HYPERLINK(_xlfn.CONCAT("https://tablet.otzar.org/",CHAR(35),"/book/651660/p/-1/t/1/fs/0/start/0/end/0/c"),"עובדות דרבי לוי - ג")</f>
        <v>עובדות דרבי לוי - ג</v>
      </c>
      <c r="H2993" t="str">
        <f>_xlfn.CONCAT("https://tablet.otzar.org/",CHAR(35),"/book/651660/p/-1/t/1/fs/0/start/0/end/0/c")</f>
        <v>https://tablet.otzar.org/#/book/651660/p/-1/t/1/fs/0/start/0/end/0/c</v>
      </c>
    </row>
    <row r="2994" spans="1:8" x14ac:dyDescent="0.25">
      <c r="A2994">
        <v>649149</v>
      </c>
      <c r="B2994" t="s">
        <v>5927</v>
      </c>
      <c r="C2994" t="s">
        <v>5928</v>
      </c>
      <c r="E2994" t="s">
        <v>612</v>
      </c>
      <c r="G2994" t="str">
        <f>HYPERLINK(_xlfn.CONCAT("https://tablet.otzar.org/",CHAR(35),"/book/649149/p/-1/t/1/fs/0/start/0/end/0/c"),"עול בנעוריו")</f>
        <v>עול בנעוריו</v>
      </c>
      <c r="H2994" t="str">
        <f>_xlfn.CONCAT("https://tablet.otzar.org/",CHAR(35),"/book/649149/p/-1/t/1/fs/0/start/0/end/0/c")</f>
        <v>https://tablet.otzar.org/#/book/649149/p/-1/t/1/fs/0/start/0/end/0/c</v>
      </c>
    </row>
    <row r="2995" spans="1:8" x14ac:dyDescent="0.25">
      <c r="A2995">
        <v>652720</v>
      </c>
      <c r="B2995" t="s">
        <v>5929</v>
      </c>
      <c r="C2995" t="s">
        <v>5930</v>
      </c>
      <c r="D2995" t="s">
        <v>10</v>
      </c>
      <c r="E2995" t="s">
        <v>763</v>
      </c>
      <c r="G2995" t="str">
        <f>HYPERLINK(_xlfn.CONCAT("https://tablet.otzar.org/",CHAR(35),"/book/652720/p/-1/t/1/fs/0/start/0/end/0/c"),"עוללות אפרים")</f>
        <v>עוללות אפרים</v>
      </c>
      <c r="H2995" t="str">
        <f>_xlfn.CONCAT("https://tablet.otzar.org/",CHAR(35),"/book/652720/p/-1/t/1/fs/0/start/0/end/0/c")</f>
        <v>https://tablet.otzar.org/#/book/652720/p/-1/t/1/fs/0/start/0/end/0/c</v>
      </c>
    </row>
    <row r="2996" spans="1:8" x14ac:dyDescent="0.25">
      <c r="A2996">
        <v>652810</v>
      </c>
      <c r="B2996" t="s">
        <v>5931</v>
      </c>
      <c r="C2996" t="s">
        <v>851</v>
      </c>
      <c r="D2996" t="s">
        <v>129</v>
      </c>
      <c r="E2996" t="s">
        <v>852</v>
      </c>
      <c r="G2996" t="str">
        <f>HYPERLINK(_xlfn.CONCAT("https://tablet.otzar.org/",CHAR(35),"/book/652810/p/-1/t/1/fs/0/start/0/end/0/c"),"עולם התקון")</f>
        <v>עולם התקון</v>
      </c>
      <c r="H2996" t="str">
        <f>_xlfn.CONCAT("https://tablet.otzar.org/",CHAR(35),"/book/652810/p/-1/t/1/fs/0/start/0/end/0/c")</f>
        <v>https://tablet.otzar.org/#/book/652810/p/-1/t/1/fs/0/start/0/end/0/c</v>
      </c>
    </row>
    <row r="2997" spans="1:8" x14ac:dyDescent="0.25">
      <c r="A2997">
        <v>654217</v>
      </c>
      <c r="B2997" t="s">
        <v>5932</v>
      </c>
      <c r="C2997" t="s">
        <v>5933</v>
      </c>
      <c r="D2997" t="s">
        <v>10</v>
      </c>
      <c r="E2997" t="s">
        <v>117</v>
      </c>
      <c r="G2997" t="str">
        <f>HYPERLINK(_xlfn.CONCAT("https://tablet.otzar.org/",CHAR(35),"/book/654217/p/-1/t/1/fs/0/start/0/end/0/c"),"עולם חדש")</f>
        <v>עולם חדש</v>
      </c>
      <c r="H2997" t="str">
        <f>_xlfn.CONCAT("https://tablet.otzar.org/",CHAR(35),"/book/654217/p/-1/t/1/fs/0/start/0/end/0/c")</f>
        <v>https://tablet.otzar.org/#/book/654217/p/-1/t/1/fs/0/start/0/end/0/c</v>
      </c>
    </row>
    <row r="2998" spans="1:8" x14ac:dyDescent="0.25">
      <c r="A2998">
        <v>650452</v>
      </c>
      <c r="B2998" t="s">
        <v>5934</v>
      </c>
      <c r="C2998" t="s">
        <v>5935</v>
      </c>
      <c r="D2998" t="s">
        <v>39</v>
      </c>
      <c r="E2998" t="s">
        <v>1203</v>
      </c>
      <c r="G2998" t="str">
        <f>HYPERLINK(_xlfn.CONCAT("https://tablet.otzar.org/",CHAR(35),"/book/650452/p/-1/t/1/fs/0/start/0/end/0/c"),"עולם קטן &lt;פרישת יצחק אהרן&gt;")</f>
        <v>עולם קטן &lt;פרישת יצחק אהרן&gt;</v>
      </c>
      <c r="H2998" t="str">
        <f>_xlfn.CONCAT("https://tablet.otzar.org/",CHAR(35),"/book/650452/p/-1/t/1/fs/0/start/0/end/0/c")</f>
        <v>https://tablet.otzar.org/#/book/650452/p/-1/t/1/fs/0/start/0/end/0/c</v>
      </c>
    </row>
    <row r="2999" spans="1:8" x14ac:dyDescent="0.25">
      <c r="A2999">
        <v>648502</v>
      </c>
      <c r="B2999" t="s">
        <v>5936</v>
      </c>
      <c r="C2999" t="s">
        <v>5937</v>
      </c>
      <c r="D2999" t="s">
        <v>10</v>
      </c>
      <c r="E2999" t="s">
        <v>213</v>
      </c>
      <c r="G2999" t="str">
        <f>HYPERLINK(_xlfn.CONCAT("https://tablet.otzar.org/",CHAR(35),"/exKotar/648502"),"עולת כהן - 4 כרכים")</f>
        <v>עולת כהן - 4 כרכים</v>
      </c>
      <c r="H2999" t="str">
        <f>_xlfn.CONCAT("https://tablet.otzar.org/",CHAR(35),"/exKotar/648502")</f>
        <v>https://tablet.otzar.org/#/exKotar/648502</v>
      </c>
    </row>
    <row r="3000" spans="1:8" x14ac:dyDescent="0.25">
      <c r="A3000">
        <v>649780</v>
      </c>
      <c r="B3000" t="s">
        <v>5938</v>
      </c>
      <c r="C3000" t="s">
        <v>5939</v>
      </c>
      <c r="D3000" t="s">
        <v>52</v>
      </c>
      <c r="E3000" t="s">
        <v>1693</v>
      </c>
      <c r="G3000" t="str">
        <f>HYPERLINK(_xlfn.CONCAT("https://tablet.otzar.org/",CHAR(35),"/book/649780/p/-1/t/1/fs/0/start/0/end/0/c"),"עולת ראיה")</f>
        <v>עולת ראיה</v>
      </c>
      <c r="H3000" t="str">
        <f>_xlfn.CONCAT("https://tablet.otzar.org/",CHAR(35),"/book/649780/p/-1/t/1/fs/0/start/0/end/0/c")</f>
        <v>https://tablet.otzar.org/#/book/649780/p/-1/t/1/fs/0/start/0/end/0/c</v>
      </c>
    </row>
    <row r="3001" spans="1:8" x14ac:dyDescent="0.25">
      <c r="A3001">
        <v>651995</v>
      </c>
      <c r="B3001" t="s">
        <v>5940</v>
      </c>
      <c r="C3001" t="s">
        <v>151</v>
      </c>
      <c r="E3001" t="s">
        <v>35</v>
      </c>
      <c r="G3001" t="str">
        <f>HYPERLINK(_xlfn.CONCAT("https://tablet.otzar.org/",CHAR(35),"/book/651995/p/-1/t/1/fs/0/start/0/end/0/c"),"עומק הפשט")</f>
        <v>עומק הפשט</v>
      </c>
      <c r="H3001" t="str">
        <f>_xlfn.CONCAT("https://tablet.otzar.org/",CHAR(35),"/book/651995/p/-1/t/1/fs/0/start/0/end/0/c")</f>
        <v>https://tablet.otzar.org/#/book/651995/p/-1/t/1/fs/0/start/0/end/0/c</v>
      </c>
    </row>
    <row r="3002" spans="1:8" x14ac:dyDescent="0.25">
      <c r="A3002">
        <v>649869</v>
      </c>
      <c r="B3002" t="s">
        <v>5941</v>
      </c>
      <c r="C3002" t="s">
        <v>5942</v>
      </c>
      <c r="D3002" t="s">
        <v>52</v>
      </c>
      <c r="E3002" t="s">
        <v>11</v>
      </c>
      <c r="G3002" t="str">
        <f>HYPERLINK(_xlfn.CONCAT("https://tablet.otzar.org/",CHAR(35),"/book/649869/p/-1/t/1/fs/0/start/0/end/0/c"),"עונג משפט")</f>
        <v>עונג משפט</v>
      </c>
      <c r="H3002" t="str">
        <f>_xlfn.CONCAT("https://tablet.otzar.org/",CHAR(35),"/book/649869/p/-1/t/1/fs/0/start/0/end/0/c")</f>
        <v>https://tablet.otzar.org/#/book/649869/p/-1/t/1/fs/0/start/0/end/0/c</v>
      </c>
    </row>
    <row r="3003" spans="1:8" x14ac:dyDescent="0.25">
      <c r="A3003">
        <v>651843</v>
      </c>
      <c r="B3003" t="s">
        <v>5943</v>
      </c>
      <c r="C3003" t="s">
        <v>5944</v>
      </c>
      <c r="D3003" t="s">
        <v>347</v>
      </c>
      <c r="E3003" t="s">
        <v>11</v>
      </c>
      <c r="G3003" t="str">
        <f>HYPERLINK(_xlfn.CONCAT("https://tablet.otzar.org/",CHAR(35),"/exKotar/651843"),"עורה כבודי - 2 כרכים")</f>
        <v>עורה כבודי - 2 כרכים</v>
      </c>
      <c r="H3003" t="str">
        <f>_xlfn.CONCAT("https://tablet.otzar.org/",CHAR(35),"/exKotar/651843")</f>
        <v>https://tablet.otzar.org/#/exKotar/651843</v>
      </c>
    </row>
    <row r="3004" spans="1:8" x14ac:dyDescent="0.25">
      <c r="A3004">
        <v>651438</v>
      </c>
      <c r="B3004" t="s">
        <v>5945</v>
      </c>
      <c r="C3004" t="s">
        <v>614</v>
      </c>
      <c r="D3004" t="s">
        <v>34</v>
      </c>
      <c r="E3004" t="s">
        <v>383</v>
      </c>
      <c r="G3004" t="str">
        <f>HYPERLINK(_xlfn.CONCAT("https://tablet.otzar.org/",CHAR(35),"/book/651438/p/-1/t/1/fs/0/start/0/end/0/c"),"עורה למה תישן")</f>
        <v>עורה למה תישן</v>
      </c>
      <c r="H3004" t="str">
        <f>_xlfn.CONCAT("https://tablet.otzar.org/",CHAR(35),"/book/651438/p/-1/t/1/fs/0/start/0/end/0/c")</f>
        <v>https://tablet.otzar.org/#/book/651438/p/-1/t/1/fs/0/start/0/end/0/c</v>
      </c>
    </row>
    <row r="3005" spans="1:8" x14ac:dyDescent="0.25">
      <c r="A3005">
        <v>649204</v>
      </c>
      <c r="B3005" t="s">
        <v>5946</v>
      </c>
      <c r="C3005" t="s">
        <v>569</v>
      </c>
      <c r="D3005" t="s">
        <v>10</v>
      </c>
      <c r="E3005" t="s">
        <v>11</v>
      </c>
      <c r="G3005" t="str">
        <f>HYPERLINK(_xlfn.CONCAT("https://tablet.otzar.org/",CHAR(35),"/exKotar/649204"),"עורי דבורה - 9 כרכים")</f>
        <v>עורי דבורה - 9 כרכים</v>
      </c>
      <c r="H3005" t="str">
        <f>_xlfn.CONCAT("https://tablet.otzar.org/",CHAR(35),"/exKotar/649204")</f>
        <v>https://tablet.otzar.org/#/exKotar/649204</v>
      </c>
    </row>
    <row r="3006" spans="1:8" x14ac:dyDescent="0.25">
      <c r="A3006">
        <v>649384</v>
      </c>
      <c r="B3006" t="s">
        <v>5947</v>
      </c>
      <c r="C3006" t="s">
        <v>5948</v>
      </c>
      <c r="E3006" t="s">
        <v>507</v>
      </c>
      <c r="G3006" t="str">
        <f>HYPERLINK(_xlfn.CONCAT("https://tablet.otzar.org/",CHAR(35),"/book/649384/p/-1/t/1/fs/0/start/0/end/0/c"),"עז המלכות וההתקוממות הפלשטינאית")</f>
        <v>עז המלכות וההתקוממות הפלשטינאית</v>
      </c>
      <c r="H3006" t="str">
        <f>_xlfn.CONCAT("https://tablet.otzar.org/",CHAR(35),"/book/649384/p/-1/t/1/fs/0/start/0/end/0/c")</f>
        <v>https://tablet.otzar.org/#/book/649384/p/-1/t/1/fs/0/start/0/end/0/c</v>
      </c>
    </row>
    <row r="3007" spans="1:8" x14ac:dyDescent="0.25">
      <c r="A3007">
        <v>653528</v>
      </c>
      <c r="B3007" t="s">
        <v>5949</v>
      </c>
      <c r="C3007" t="s">
        <v>614</v>
      </c>
      <c r="D3007" t="s">
        <v>10</v>
      </c>
      <c r="E3007" t="s">
        <v>1169</v>
      </c>
      <c r="G3007" t="str">
        <f>HYPERLINK(_xlfn.CONCAT("https://tablet.otzar.org/",CHAR(35),"/book/653528/p/-1/t/1/fs/0/start/0/end/0/c"),"עז מלך")</f>
        <v>עז מלך</v>
      </c>
      <c r="H3007" t="str">
        <f>_xlfn.CONCAT("https://tablet.otzar.org/",CHAR(35),"/book/653528/p/-1/t/1/fs/0/start/0/end/0/c")</f>
        <v>https://tablet.otzar.org/#/book/653528/p/-1/t/1/fs/0/start/0/end/0/c</v>
      </c>
    </row>
    <row r="3008" spans="1:8" x14ac:dyDescent="0.25">
      <c r="A3008">
        <v>651746</v>
      </c>
      <c r="B3008" t="s">
        <v>5950</v>
      </c>
      <c r="C3008" t="s">
        <v>5951</v>
      </c>
      <c r="D3008" t="s">
        <v>796</v>
      </c>
      <c r="E3008" t="s">
        <v>45</v>
      </c>
      <c r="G3008" t="str">
        <f>HYPERLINK(_xlfn.CONCAT("https://tablet.otzar.org/",CHAR(35),"/book/651746/p/-1/t/1/fs/0/start/0/end/0/c"),"עזר לשלחן - נדה - ב (קצ-ר)")</f>
        <v>עזר לשלחן - נדה - ב (קצ-ר)</v>
      </c>
      <c r="H3008" t="str">
        <f>_xlfn.CONCAT("https://tablet.otzar.org/",CHAR(35),"/book/651746/p/-1/t/1/fs/0/start/0/end/0/c")</f>
        <v>https://tablet.otzar.org/#/book/651746/p/-1/t/1/fs/0/start/0/end/0/c</v>
      </c>
    </row>
    <row r="3009" spans="1:8" x14ac:dyDescent="0.25">
      <c r="A3009">
        <v>654068</v>
      </c>
      <c r="B3009" t="s">
        <v>5952</v>
      </c>
      <c r="C3009" t="s">
        <v>5953</v>
      </c>
      <c r="D3009" t="s">
        <v>10</v>
      </c>
      <c r="E3009" t="s">
        <v>35</v>
      </c>
      <c r="G3009" t="str">
        <f>HYPERLINK(_xlfn.CONCAT("https://tablet.otzar.org/",CHAR(35),"/book/654068/p/-1/t/1/fs/0/start/0/end/0/c"),"עזרת יעקב - הלכות סוכה וד' מינים")</f>
        <v>עזרת יעקב - הלכות סוכה וד' מינים</v>
      </c>
      <c r="H3009" t="str">
        <f>_xlfn.CONCAT("https://tablet.otzar.org/",CHAR(35),"/book/654068/p/-1/t/1/fs/0/start/0/end/0/c")</f>
        <v>https://tablet.otzar.org/#/book/654068/p/-1/t/1/fs/0/start/0/end/0/c</v>
      </c>
    </row>
    <row r="3010" spans="1:8" x14ac:dyDescent="0.25">
      <c r="A3010">
        <v>651489</v>
      </c>
      <c r="B3010" t="s">
        <v>5954</v>
      </c>
      <c r="C3010" t="s">
        <v>5955</v>
      </c>
      <c r="D3010" t="s">
        <v>34</v>
      </c>
      <c r="E3010" t="s">
        <v>70</v>
      </c>
      <c r="G3010" t="str">
        <f>HYPERLINK(_xlfn.CONCAT("https://tablet.otzar.org/",CHAR(35),"/book/651489/p/-1/t/1/fs/0/start/0/end/0/c"),"עזרת כהנים")</f>
        <v>עזרת כהנים</v>
      </c>
      <c r="H3010" t="str">
        <f>_xlfn.CONCAT("https://tablet.otzar.org/",CHAR(35),"/book/651489/p/-1/t/1/fs/0/start/0/end/0/c")</f>
        <v>https://tablet.otzar.org/#/book/651489/p/-1/t/1/fs/0/start/0/end/0/c</v>
      </c>
    </row>
    <row r="3011" spans="1:8" x14ac:dyDescent="0.25">
      <c r="A3011">
        <v>649567</v>
      </c>
      <c r="B3011" t="s">
        <v>5956</v>
      </c>
      <c r="C3011" t="s">
        <v>5957</v>
      </c>
      <c r="D3011" t="s">
        <v>5958</v>
      </c>
      <c r="E3011" t="s">
        <v>5959</v>
      </c>
      <c r="G3011" t="str">
        <f>HYPERLINK(_xlfn.CONCAT("https://tablet.otzar.org/",CHAR(35),"/book/649567/p/-1/t/1/fs/0/start/0/end/0/c"),"עט סופר החדש")</f>
        <v>עט סופר החדש</v>
      </c>
      <c r="H3011" t="str">
        <f>_xlfn.CONCAT("https://tablet.otzar.org/",CHAR(35),"/book/649567/p/-1/t/1/fs/0/start/0/end/0/c")</f>
        <v>https://tablet.otzar.org/#/book/649567/p/-1/t/1/fs/0/start/0/end/0/c</v>
      </c>
    </row>
    <row r="3012" spans="1:8" x14ac:dyDescent="0.25">
      <c r="A3012">
        <v>651542</v>
      </c>
      <c r="B3012" t="s">
        <v>5960</v>
      </c>
      <c r="C3012" t="s">
        <v>5961</v>
      </c>
      <c r="D3012" t="s">
        <v>10</v>
      </c>
      <c r="E3012" t="s">
        <v>35</v>
      </c>
      <c r="G3012" t="str">
        <f>HYPERLINK(_xlfn.CONCAT("https://tablet.otzar.org/",CHAR(35),"/book/651542/p/-1/t/1/fs/0/start/0/end/0/c"),"עטה אור דעת ואמונה &lt;גליונות תשפ""""א&gt;")</f>
        <v>עטה אור דעת ואמונה &lt;גליונות תשפ""א&gt;</v>
      </c>
      <c r="H3012" t="str">
        <f>_xlfn.CONCAT("https://tablet.otzar.org/",CHAR(35),"/book/651542/p/-1/t/1/fs/0/start/0/end/0/c")</f>
        <v>https://tablet.otzar.org/#/book/651542/p/-1/t/1/fs/0/start/0/end/0/c</v>
      </c>
    </row>
    <row r="3013" spans="1:8" x14ac:dyDescent="0.25">
      <c r="A3013">
        <v>647920</v>
      </c>
      <c r="B3013" t="s">
        <v>5962</v>
      </c>
      <c r="C3013" t="s">
        <v>5961</v>
      </c>
      <c r="D3013" t="s">
        <v>10</v>
      </c>
      <c r="E3013" t="s">
        <v>184</v>
      </c>
      <c r="G3013" t="str">
        <f>HYPERLINK(_xlfn.CONCAT("https://tablet.otzar.org/",CHAR(35),"/book/647920/p/-1/t/1/fs/0/start/0/end/0/c"),"עטה אור - שביעית")</f>
        <v>עטה אור - שביעית</v>
      </c>
      <c r="H3013" t="str">
        <f>_xlfn.CONCAT("https://tablet.otzar.org/",CHAR(35),"/book/647920/p/-1/t/1/fs/0/start/0/end/0/c")</f>
        <v>https://tablet.otzar.org/#/book/647920/p/-1/t/1/fs/0/start/0/end/0/c</v>
      </c>
    </row>
    <row r="3014" spans="1:8" x14ac:dyDescent="0.25">
      <c r="A3014">
        <v>649858</v>
      </c>
      <c r="B3014" t="s">
        <v>5963</v>
      </c>
      <c r="C3014" t="s">
        <v>5964</v>
      </c>
      <c r="D3014" t="s">
        <v>10</v>
      </c>
      <c r="E3014" t="s">
        <v>5965</v>
      </c>
      <c r="G3014" t="str">
        <f>HYPERLINK(_xlfn.CONCAT("https://tablet.otzar.org/",CHAR(35),"/exKotar/649858"),"עטורי כהנים - 44 כרכים")</f>
        <v>עטורי כהנים - 44 כרכים</v>
      </c>
      <c r="H3014" t="str">
        <f>_xlfn.CONCAT("https://tablet.otzar.org/",CHAR(35),"/exKotar/649858")</f>
        <v>https://tablet.otzar.org/#/exKotar/649858</v>
      </c>
    </row>
    <row r="3015" spans="1:8" x14ac:dyDescent="0.25">
      <c r="A3015">
        <v>653500</v>
      </c>
      <c r="B3015" t="s">
        <v>5966</v>
      </c>
      <c r="C3015" t="s">
        <v>5967</v>
      </c>
      <c r="D3015" t="s">
        <v>88</v>
      </c>
      <c r="E3015" t="s">
        <v>11</v>
      </c>
      <c r="G3015" t="str">
        <f>HYPERLINK(_xlfn.CONCAT("https://tablet.otzar.org/",CHAR(35),"/book/653500/p/-1/t/1/fs/0/start/0/end/0/c"),"עטורי שלמה - הלכות תפילין")</f>
        <v>עטורי שלמה - הלכות תפילין</v>
      </c>
      <c r="H3015" t="str">
        <f>_xlfn.CONCAT("https://tablet.otzar.org/",CHAR(35),"/book/653500/p/-1/t/1/fs/0/start/0/end/0/c")</f>
        <v>https://tablet.otzar.org/#/book/653500/p/-1/t/1/fs/0/start/0/end/0/c</v>
      </c>
    </row>
    <row r="3016" spans="1:8" x14ac:dyDescent="0.25">
      <c r="A3016">
        <v>650964</v>
      </c>
      <c r="B3016" t="s">
        <v>5968</v>
      </c>
      <c r="C3016" t="s">
        <v>5969</v>
      </c>
      <c r="D3016" t="s">
        <v>52</v>
      </c>
      <c r="E3016" t="s">
        <v>84</v>
      </c>
      <c r="G3016" t="str">
        <f>HYPERLINK(_xlfn.CONCAT("https://tablet.otzar.org/",CHAR(35),"/book/650964/p/-1/t/1/fs/0/start/0/end/0/c"),"עטרות כהנים")</f>
        <v>עטרות כהנים</v>
      </c>
      <c r="H3016" t="str">
        <f>_xlfn.CONCAT("https://tablet.otzar.org/",CHAR(35),"/book/650964/p/-1/t/1/fs/0/start/0/end/0/c")</f>
        <v>https://tablet.otzar.org/#/book/650964/p/-1/t/1/fs/0/start/0/end/0/c</v>
      </c>
    </row>
    <row r="3017" spans="1:8" x14ac:dyDescent="0.25">
      <c r="A3017">
        <v>654624</v>
      </c>
      <c r="B3017" t="s">
        <v>5970</v>
      </c>
      <c r="C3017" t="s">
        <v>5971</v>
      </c>
      <c r="D3017" t="s">
        <v>52</v>
      </c>
      <c r="E3017" t="s">
        <v>357</v>
      </c>
      <c r="G3017" t="str">
        <f>HYPERLINK(_xlfn.CONCAT("https://tablet.otzar.org/",CHAR(35),"/book/654624/p/-1/t/1/fs/0/start/0/end/0/c"),"עטרת ברוך")</f>
        <v>עטרת ברוך</v>
      </c>
      <c r="H3017" t="str">
        <f>_xlfn.CONCAT("https://tablet.otzar.org/",CHAR(35),"/book/654624/p/-1/t/1/fs/0/start/0/end/0/c")</f>
        <v>https://tablet.otzar.org/#/book/654624/p/-1/t/1/fs/0/start/0/end/0/c</v>
      </c>
    </row>
    <row r="3018" spans="1:8" x14ac:dyDescent="0.25">
      <c r="A3018">
        <v>649389</v>
      </c>
      <c r="B3018" t="s">
        <v>5972</v>
      </c>
      <c r="C3018" t="s">
        <v>4232</v>
      </c>
      <c r="D3018" t="s">
        <v>10</v>
      </c>
      <c r="E3018" t="s">
        <v>70</v>
      </c>
      <c r="G3018" t="str">
        <f>HYPERLINK(_xlfn.CONCAT("https://tablet.otzar.org/",CHAR(35),"/book/649389/p/-1/t/1/fs/0/start/0/end/0/c"),"עטרת המועדים - ימים נוראים")</f>
        <v>עטרת המועדים - ימים נוראים</v>
      </c>
      <c r="H3018" t="str">
        <f>_xlfn.CONCAT("https://tablet.otzar.org/",CHAR(35),"/book/649389/p/-1/t/1/fs/0/start/0/end/0/c")</f>
        <v>https://tablet.otzar.org/#/book/649389/p/-1/t/1/fs/0/start/0/end/0/c</v>
      </c>
    </row>
    <row r="3019" spans="1:8" x14ac:dyDescent="0.25">
      <c r="A3019">
        <v>649387</v>
      </c>
      <c r="B3019" t="s">
        <v>5973</v>
      </c>
      <c r="C3019" t="s">
        <v>4232</v>
      </c>
      <c r="D3019" t="s">
        <v>10</v>
      </c>
      <c r="E3019" t="s">
        <v>70</v>
      </c>
      <c r="G3019" t="str">
        <f>HYPERLINK(_xlfn.CONCAT("https://tablet.otzar.org/",CHAR(35),"/exKotar/649387"),"עטרת המקרא - 3 כרכים")</f>
        <v>עטרת המקרא - 3 כרכים</v>
      </c>
      <c r="H3019" t="str">
        <f>_xlfn.CONCAT("https://tablet.otzar.org/",CHAR(35),"/exKotar/649387")</f>
        <v>https://tablet.otzar.org/#/exKotar/649387</v>
      </c>
    </row>
    <row r="3020" spans="1:8" x14ac:dyDescent="0.25">
      <c r="A3020">
        <v>649269</v>
      </c>
      <c r="B3020" t="s">
        <v>5974</v>
      </c>
      <c r="C3020" t="s">
        <v>2739</v>
      </c>
      <c r="D3020" t="s">
        <v>10</v>
      </c>
      <c r="E3020" t="s">
        <v>5975</v>
      </c>
      <c r="G3020" t="str">
        <f>HYPERLINK(_xlfn.CONCAT("https://tablet.otzar.org/",CHAR(35),"/book/649269/p/-1/t/1/fs/0/start/0/end/0/c"),"עטרת זהב - א")</f>
        <v>עטרת זהב - א</v>
      </c>
      <c r="H3020" t="str">
        <f>_xlfn.CONCAT("https://tablet.otzar.org/",CHAR(35),"/book/649269/p/-1/t/1/fs/0/start/0/end/0/c")</f>
        <v>https://tablet.otzar.org/#/book/649269/p/-1/t/1/fs/0/start/0/end/0/c</v>
      </c>
    </row>
    <row r="3021" spans="1:8" x14ac:dyDescent="0.25">
      <c r="A3021">
        <v>649706</v>
      </c>
      <c r="B3021" t="s">
        <v>5976</v>
      </c>
      <c r="C3021" t="s">
        <v>5977</v>
      </c>
      <c r="D3021" t="s">
        <v>3198</v>
      </c>
      <c r="E3021" t="s">
        <v>5978</v>
      </c>
      <c r="G3021" t="str">
        <f>HYPERLINK(_xlfn.CONCAT("https://tablet.otzar.org/",CHAR(35),"/book/649706/p/-1/t/1/fs/0/start/0/end/0/c"),"עטרת זקנים")</f>
        <v>עטרת זקנים</v>
      </c>
      <c r="H3021" t="str">
        <f>_xlfn.CONCAT("https://tablet.otzar.org/",CHAR(35),"/book/649706/p/-1/t/1/fs/0/start/0/end/0/c")</f>
        <v>https://tablet.otzar.org/#/book/649706/p/-1/t/1/fs/0/start/0/end/0/c</v>
      </c>
    </row>
    <row r="3022" spans="1:8" x14ac:dyDescent="0.25">
      <c r="A3022">
        <v>647579</v>
      </c>
      <c r="B3022" t="s">
        <v>5979</v>
      </c>
      <c r="C3022" t="s">
        <v>5980</v>
      </c>
      <c r="E3022" t="s">
        <v>106</v>
      </c>
      <c r="G3022" t="str">
        <f>HYPERLINK(_xlfn.CONCAT("https://tablet.otzar.org/",CHAR(35),"/book/647579/p/-1/t/1/fs/0/start/0/end/0/c"),"עטרת יחזקאל - א")</f>
        <v>עטרת יחזקאל - א</v>
      </c>
      <c r="H3022" t="str">
        <f>_xlfn.CONCAT("https://tablet.otzar.org/",CHAR(35),"/book/647579/p/-1/t/1/fs/0/start/0/end/0/c")</f>
        <v>https://tablet.otzar.org/#/book/647579/p/-1/t/1/fs/0/start/0/end/0/c</v>
      </c>
    </row>
    <row r="3023" spans="1:8" x14ac:dyDescent="0.25">
      <c r="A3023">
        <v>654980</v>
      </c>
      <c r="B3023" t="s">
        <v>5981</v>
      </c>
      <c r="C3023" t="s">
        <v>3687</v>
      </c>
      <c r="D3023" t="s">
        <v>463</v>
      </c>
      <c r="E3023" t="s">
        <v>402</v>
      </c>
      <c r="G3023" t="str">
        <f>HYPERLINK(_xlfn.CONCAT("https://tablet.otzar.org/",CHAR(35),"/book/654980/p/-1/t/1/fs/0/start/0/end/0/c"),"עטרת פז &lt;מהדורה חדשה&gt;")</f>
        <v>עטרת פז &lt;מהדורה חדשה&gt;</v>
      </c>
      <c r="H3023" t="str">
        <f>_xlfn.CONCAT("https://tablet.otzar.org/",CHAR(35),"/book/654980/p/-1/t/1/fs/0/start/0/end/0/c")</f>
        <v>https://tablet.otzar.org/#/book/654980/p/-1/t/1/fs/0/start/0/end/0/c</v>
      </c>
    </row>
    <row r="3024" spans="1:8" x14ac:dyDescent="0.25">
      <c r="A3024">
        <v>655416</v>
      </c>
      <c r="B3024" t="s">
        <v>5982</v>
      </c>
      <c r="C3024" t="s">
        <v>5983</v>
      </c>
      <c r="E3024" t="s">
        <v>35</v>
      </c>
      <c r="G3024" t="str">
        <f>HYPERLINK(_xlfn.CONCAT("https://tablet.otzar.org/",CHAR(35),"/book/655416/p/-1/t/1/fs/0/start/0/end/0/c"),"עטרת צבי &lt;מהדורה חדשה&gt;  ג שמות")</f>
        <v>עטרת צבי &lt;מהדורה חדשה&gt;  ג שמות</v>
      </c>
      <c r="H3024" t="str">
        <f>_xlfn.CONCAT("https://tablet.otzar.org/",CHAR(35),"/book/655416/p/-1/t/1/fs/0/start/0/end/0/c")</f>
        <v>https://tablet.otzar.org/#/book/655416/p/-1/t/1/fs/0/start/0/end/0/c</v>
      </c>
    </row>
    <row r="3025" spans="1:8" x14ac:dyDescent="0.25">
      <c r="A3025">
        <v>652578</v>
      </c>
      <c r="B3025" t="s">
        <v>5984</v>
      </c>
      <c r="C3025" t="s">
        <v>5985</v>
      </c>
      <c r="D3025" t="s">
        <v>347</v>
      </c>
      <c r="E3025" t="s">
        <v>11</v>
      </c>
      <c r="G3025" t="str">
        <f>HYPERLINK(_xlfn.CONCAT("https://tablet.otzar.org/",CHAR(35),"/exKotar/652578"),"עטרת צבי - 2 כרכים")</f>
        <v>עטרת צבי - 2 כרכים</v>
      </c>
      <c r="H3025" t="str">
        <f>_xlfn.CONCAT("https://tablet.otzar.org/",CHAR(35),"/exKotar/652578")</f>
        <v>https://tablet.otzar.org/#/exKotar/652578</v>
      </c>
    </row>
    <row r="3026" spans="1:8" x14ac:dyDescent="0.25">
      <c r="A3026">
        <v>644864</v>
      </c>
      <c r="B3026" t="s">
        <v>5986</v>
      </c>
      <c r="C3026" t="s">
        <v>5987</v>
      </c>
      <c r="D3026" t="s">
        <v>10</v>
      </c>
      <c r="E3026" t="s">
        <v>383</v>
      </c>
      <c r="G3026" t="str">
        <f>HYPERLINK(_xlfn.CONCAT("https://tablet.otzar.org/",CHAR(35),"/exKotar/644864"),"עטרת שלום - 5 כרכים")</f>
        <v>עטרת שלום - 5 כרכים</v>
      </c>
      <c r="H3026" t="str">
        <f>_xlfn.CONCAT("https://tablet.otzar.org/",CHAR(35),"/exKotar/644864")</f>
        <v>https://tablet.otzar.org/#/exKotar/644864</v>
      </c>
    </row>
    <row r="3027" spans="1:8" x14ac:dyDescent="0.25">
      <c r="A3027">
        <v>653978</v>
      </c>
      <c r="B3027" t="s">
        <v>5988</v>
      </c>
      <c r="C3027" t="s">
        <v>5989</v>
      </c>
      <c r="E3027" t="s">
        <v>19</v>
      </c>
      <c r="G3027" t="str">
        <f>HYPERLINK(_xlfn.CONCAT("https://tablet.otzar.org/",CHAR(35),"/book/653978/p/-1/t/1/fs/0/start/0/end/0/c"),"עטרת תפארת")</f>
        <v>עטרת תפארת</v>
      </c>
      <c r="H3027" t="str">
        <f>_xlfn.CONCAT("https://tablet.otzar.org/",CHAR(35),"/book/653978/p/-1/t/1/fs/0/start/0/end/0/c")</f>
        <v>https://tablet.otzar.org/#/book/653978/p/-1/t/1/fs/0/start/0/end/0/c</v>
      </c>
    </row>
    <row r="3028" spans="1:8" x14ac:dyDescent="0.25">
      <c r="A3028">
        <v>655305</v>
      </c>
      <c r="B3028" t="s">
        <v>5990</v>
      </c>
      <c r="C3028" t="s">
        <v>5988</v>
      </c>
      <c r="D3028" t="s">
        <v>5991</v>
      </c>
      <c r="E3028" t="s">
        <v>5187</v>
      </c>
      <c r="G3028" t="str">
        <f>HYPERLINK(_xlfn.CONCAT("https://tablet.otzar.org/",CHAR(35),"/exKotar/655305"),"עטרת תפארת - 2 כרכים")</f>
        <v>עטרת תפארת - 2 כרכים</v>
      </c>
      <c r="H3028" t="str">
        <f>_xlfn.CONCAT("https://tablet.otzar.org/",CHAR(35),"/exKotar/655305")</f>
        <v>https://tablet.otzar.org/#/exKotar/655305</v>
      </c>
    </row>
    <row r="3029" spans="1:8" x14ac:dyDescent="0.25">
      <c r="A3029">
        <v>650717</v>
      </c>
      <c r="B3029" t="s">
        <v>5992</v>
      </c>
      <c r="C3029" t="s">
        <v>5993</v>
      </c>
      <c r="D3029" t="s">
        <v>573</v>
      </c>
      <c r="E3029" t="s">
        <v>19</v>
      </c>
      <c r="G3029" t="str">
        <f>HYPERLINK(_xlfn.CONCAT("https://tablet.otzar.org/",CHAR(35),"/exKotar/650717"),"עיון במדרשי הזוהר - 2 כרכים")</f>
        <v>עיון במדרשי הזוהר - 2 כרכים</v>
      </c>
      <c r="H3029" t="str">
        <f>_xlfn.CONCAT("https://tablet.otzar.org/",CHAR(35),"/exKotar/650717")</f>
        <v>https://tablet.otzar.org/#/exKotar/650717</v>
      </c>
    </row>
    <row r="3030" spans="1:8" x14ac:dyDescent="0.25">
      <c r="A3030">
        <v>651500</v>
      </c>
      <c r="B3030" t="s">
        <v>5994</v>
      </c>
      <c r="C3030" t="s">
        <v>5995</v>
      </c>
      <c r="D3030" t="s">
        <v>10</v>
      </c>
      <c r="E3030" t="s">
        <v>405</v>
      </c>
      <c r="G3030" t="str">
        <f>HYPERLINK(_xlfn.CONCAT("https://tablet.otzar.org/",CHAR(35),"/book/651500/p/-1/t/1/fs/0/start/0/end/0/c"),"עיון הברכה")</f>
        <v>עיון הברכה</v>
      </c>
      <c r="H3030" t="str">
        <f>_xlfn.CONCAT("https://tablet.otzar.org/",CHAR(35),"/book/651500/p/-1/t/1/fs/0/start/0/end/0/c")</f>
        <v>https://tablet.otzar.org/#/book/651500/p/-1/t/1/fs/0/start/0/end/0/c</v>
      </c>
    </row>
    <row r="3031" spans="1:8" x14ac:dyDescent="0.25">
      <c r="A3031">
        <v>654299</v>
      </c>
      <c r="B3031" t="s">
        <v>5996</v>
      </c>
      <c r="C3031" t="s">
        <v>5997</v>
      </c>
      <c r="D3031" t="s">
        <v>10</v>
      </c>
      <c r="E3031" t="s">
        <v>11</v>
      </c>
      <c r="G3031" t="str">
        <f>HYPERLINK(_xlfn.CONCAT("https://tablet.otzar.org/",CHAR(35),"/book/654299/p/-1/t/1/fs/0/start/0/end/0/c"),"עיון ההגדה")</f>
        <v>עיון ההגדה</v>
      </c>
      <c r="H3031" t="str">
        <f>_xlfn.CONCAT("https://tablet.otzar.org/",CHAR(35),"/book/654299/p/-1/t/1/fs/0/start/0/end/0/c")</f>
        <v>https://tablet.otzar.org/#/book/654299/p/-1/t/1/fs/0/start/0/end/0/c</v>
      </c>
    </row>
    <row r="3032" spans="1:8" x14ac:dyDescent="0.25">
      <c r="A3032">
        <v>654865</v>
      </c>
      <c r="B3032" t="s">
        <v>5998</v>
      </c>
      <c r="C3032" t="s">
        <v>5999</v>
      </c>
      <c r="D3032" t="s">
        <v>52</v>
      </c>
      <c r="E3032" t="s">
        <v>11</v>
      </c>
      <c r="G3032" t="str">
        <f>HYPERLINK(_xlfn.CONCAT("https://tablet.otzar.org/",CHAR(35),"/exKotar/654865"),"עיון הסוגיא - 4 כרכים")</f>
        <v>עיון הסוגיא - 4 כרכים</v>
      </c>
      <c r="H3032" t="str">
        <f>_xlfn.CONCAT("https://tablet.otzar.org/",CHAR(35),"/exKotar/654865")</f>
        <v>https://tablet.otzar.org/#/exKotar/654865</v>
      </c>
    </row>
    <row r="3033" spans="1:8" x14ac:dyDescent="0.25">
      <c r="A3033">
        <v>654295</v>
      </c>
      <c r="B3033" t="s">
        <v>6000</v>
      </c>
      <c r="C3033" t="s">
        <v>6001</v>
      </c>
      <c r="D3033" t="s">
        <v>10</v>
      </c>
      <c r="E3033" t="s">
        <v>11</v>
      </c>
      <c r="G3033" t="str">
        <f>HYPERLINK(_xlfn.CONCAT("https://tablet.otzar.org/",CHAR(35),"/book/654295/p/-1/t/1/fs/0/start/0/end/0/c"),"עיון הפרשה - פורים ומגילה")</f>
        <v>עיון הפרשה - פורים ומגילה</v>
      </c>
      <c r="H3033" t="str">
        <f>_xlfn.CONCAT("https://tablet.otzar.org/",CHAR(35),"/book/654295/p/-1/t/1/fs/0/start/0/end/0/c")</f>
        <v>https://tablet.otzar.org/#/book/654295/p/-1/t/1/fs/0/start/0/end/0/c</v>
      </c>
    </row>
    <row r="3034" spans="1:8" x14ac:dyDescent="0.25">
      <c r="A3034">
        <v>655080</v>
      </c>
      <c r="B3034" t="s">
        <v>6002</v>
      </c>
      <c r="C3034" t="s">
        <v>6003</v>
      </c>
      <c r="D3034" t="s">
        <v>796</v>
      </c>
      <c r="E3034" t="s">
        <v>1336</v>
      </c>
      <c r="G3034" t="str">
        <f>HYPERLINK(_xlfn.CONCAT("https://tablet.otzar.org/",CHAR(35),"/book/655080/p/-1/t/1/fs/0/start/0/end/0/c"),"עיון טבילה")</f>
        <v>עיון טבילה</v>
      </c>
      <c r="H3034" t="str">
        <f>_xlfn.CONCAT("https://tablet.otzar.org/",CHAR(35),"/book/655080/p/-1/t/1/fs/0/start/0/end/0/c")</f>
        <v>https://tablet.otzar.org/#/book/655080/p/-1/t/1/fs/0/start/0/end/0/c</v>
      </c>
    </row>
    <row r="3035" spans="1:8" x14ac:dyDescent="0.25">
      <c r="A3035">
        <v>656106</v>
      </c>
      <c r="B3035" t="s">
        <v>6004</v>
      </c>
      <c r="C3035" t="s">
        <v>6005</v>
      </c>
      <c r="D3035" t="s">
        <v>193</v>
      </c>
      <c r="E3035" t="s">
        <v>399</v>
      </c>
      <c r="G3035" t="str">
        <f>HYPERLINK(_xlfn.CONCAT("https://tablet.otzar.org/",CHAR(35),"/book/656106/p/-1/t/1/fs/0/start/0/end/0/c"),"עיוני שמעתא - בבא קמא בבא מציעא")</f>
        <v>עיוני שמעתא - בבא קמא בבא מציעא</v>
      </c>
      <c r="H3035" t="str">
        <f>_xlfn.CONCAT("https://tablet.otzar.org/",CHAR(35),"/book/656106/p/-1/t/1/fs/0/start/0/end/0/c")</f>
        <v>https://tablet.otzar.org/#/book/656106/p/-1/t/1/fs/0/start/0/end/0/c</v>
      </c>
    </row>
    <row r="3036" spans="1:8" x14ac:dyDescent="0.25">
      <c r="A3036">
        <v>653521</v>
      </c>
      <c r="B3036" t="s">
        <v>6006</v>
      </c>
      <c r="C3036" t="s">
        <v>6007</v>
      </c>
      <c r="D3036" t="s">
        <v>52</v>
      </c>
      <c r="E3036" t="s">
        <v>11</v>
      </c>
      <c r="G3036" t="str">
        <f>HYPERLINK(_xlfn.CONCAT("https://tablet.otzar.org/",CHAR(35),"/book/653521/p/-1/t/1/fs/0/start/0/end/0/c"),"עיוני שמעתתא - חולין")</f>
        <v>עיוני שמעתתא - חולין</v>
      </c>
      <c r="H3036" t="str">
        <f>_xlfn.CONCAT("https://tablet.otzar.org/",CHAR(35),"/book/653521/p/-1/t/1/fs/0/start/0/end/0/c")</f>
        <v>https://tablet.otzar.org/#/book/653521/p/-1/t/1/fs/0/start/0/end/0/c</v>
      </c>
    </row>
    <row r="3037" spans="1:8" x14ac:dyDescent="0.25">
      <c r="A3037">
        <v>651014</v>
      </c>
      <c r="B3037" t="s">
        <v>6008</v>
      </c>
      <c r="C3037" t="s">
        <v>6009</v>
      </c>
      <c r="D3037" t="s">
        <v>52</v>
      </c>
      <c r="E3037" t="s">
        <v>35</v>
      </c>
      <c r="G3037" t="str">
        <f>HYPERLINK(_xlfn.CONCAT("https://tablet.otzar.org/",CHAR(35),"/book/651014/p/-1/t/1/fs/0/start/0/end/0/c"),"עיונים במשנה ברורה - יא")</f>
        <v>עיונים במשנה ברורה - יא</v>
      </c>
      <c r="H3037" t="str">
        <f>_xlfn.CONCAT("https://tablet.otzar.org/",CHAR(35),"/book/651014/p/-1/t/1/fs/0/start/0/end/0/c")</f>
        <v>https://tablet.otzar.org/#/book/651014/p/-1/t/1/fs/0/start/0/end/0/c</v>
      </c>
    </row>
    <row r="3038" spans="1:8" x14ac:dyDescent="0.25">
      <c r="A3038">
        <v>650142</v>
      </c>
      <c r="B3038" t="s">
        <v>6010</v>
      </c>
      <c r="C3038" t="s">
        <v>6011</v>
      </c>
      <c r="D3038" t="s">
        <v>10</v>
      </c>
      <c r="E3038" t="s">
        <v>77</v>
      </c>
      <c r="G3038" t="str">
        <f>HYPERLINK(_xlfn.CONCAT("https://tablet.otzar.org/",CHAR(35),"/book/650142/p/-1/t/1/fs/0/start/0/end/0/c"),"עיטורי ירושלים - 079")</f>
        <v>עיטורי ירושלים - 079</v>
      </c>
      <c r="H3038" t="str">
        <f>_xlfn.CONCAT("https://tablet.otzar.org/",CHAR(35),"/book/650142/p/-1/t/1/fs/0/start/0/end/0/c")</f>
        <v>https://tablet.otzar.org/#/book/650142/p/-1/t/1/fs/0/start/0/end/0/c</v>
      </c>
    </row>
    <row r="3039" spans="1:8" x14ac:dyDescent="0.25">
      <c r="A3039">
        <v>653316</v>
      </c>
      <c r="B3039" t="s">
        <v>6012</v>
      </c>
      <c r="C3039" t="s">
        <v>6013</v>
      </c>
      <c r="D3039" t="s">
        <v>52</v>
      </c>
      <c r="E3039" t="s">
        <v>45</v>
      </c>
      <c r="G3039" t="str">
        <f>HYPERLINK(_xlfn.CONCAT("https://tablet.otzar.org/",CHAR(35),"/exKotar/653316"),"עיטורי מרדכי - 2 כרכים")</f>
        <v>עיטורי מרדכי - 2 כרכים</v>
      </c>
      <c r="H3039" t="str">
        <f>_xlfn.CONCAT("https://tablet.otzar.org/",CHAR(35),"/exKotar/653316")</f>
        <v>https://tablet.otzar.org/#/exKotar/653316</v>
      </c>
    </row>
    <row r="3040" spans="1:8" x14ac:dyDescent="0.25">
      <c r="A3040">
        <v>656848</v>
      </c>
      <c r="B3040" t="s">
        <v>6014</v>
      </c>
      <c r="C3040" t="s">
        <v>6015</v>
      </c>
      <c r="D3040" t="s">
        <v>10</v>
      </c>
      <c r="E3040" t="s">
        <v>11</v>
      </c>
      <c r="G3040" t="str">
        <f>HYPERLINK(_xlfn.CONCAT("https://tablet.otzar.org/",CHAR(35),"/exKotar/656848"),"עין יהוסף &lt;מהדורת זכרון אהרן&gt; - 2 כרכים")</f>
        <v>עין יהוסף &lt;מהדורת זכרון אהרן&gt; - 2 כרכים</v>
      </c>
      <c r="H3040" t="str">
        <f>_xlfn.CONCAT("https://tablet.otzar.org/",CHAR(35),"/exKotar/656848")</f>
        <v>https://tablet.otzar.org/#/exKotar/656848</v>
      </c>
    </row>
    <row r="3041" spans="1:8" x14ac:dyDescent="0.25">
      <c r="A3041">
        <v>656212</v>
      </c>
      <c r="B3041" t="s">
        <v>6016</v>
      </c>
      <c r="C3041" t="s">
        <v>6017</v>
      </c>
      <c r="D3041" t="s">
        <v>10</v>
      </c>
      <c r="E3041" t="s">
        <v>507</v>
      </c>
      <c r="G3041" t="str">
        <f>HYPERLINK(_xlfn.CONCAT("https://tablet.otzar.org/",CHAR(35),"/book/656212/p/-1/t/1/fs/0/start/0/end/0/c"),"עינים למשפט &lt;מכון כנסת&gt; - מכות")</f>
        <v>עינים למשפט &lt;מכון כנסת&gt; - מכות</v>
      </c>
      <c r="H3041" t="str">
        <f>_xlfn.CONCAT("https://tablet.otzar.org/",CHAR(35),"/book/656212/p/-1/t/1/fs/0/start/0/end/0/c")</f>
        <v>https://tablet.otzar.org/#/book/656212/p/-1/t/1/fs/0/start/0/end/0/c</v>
      </c>
    </row>
    <row r="3042" spans="1:8" x14ac:dyDescent="0.25">
      <c r="A3042">
        <v>649940</v>
      </c>
      <c r="B3042" t="s">
        <v>6018</v>
      </c>
      <c r="C3042" t="s">
        <v>3113</v>
      </c>
      <c r="D3042" t="s">
        <v>58</v>
      </c>
      <c r="E3042" t="s">
        <v>6019</v>
      </c>
      <c r="G3042" t="str">
        <f>HYPERLINK(_xlfn.CONCAT("https://tablet.otzar.org/",CHAR(35),"/exKotar/649940"),"עיר דוד - 2 כרכים")</f>
        <v>עיר דוד - 2 כרכים</v>
      </c>
      <c r="H3042" t="str">
        <f>_xlfn.CONCAT("https://tablet.otzar.org/",CHAR(35),"/exKotar/649940")</f>
        <v>https://tablet.otzar.org/#/exKotar/649940</v>
      </c>
    </row>
    <row r="3043" spans="1:8" x14ac:dyDescent="0.25">
      <c r="A3043">
        <v>647891</v>
      </c>
      <c r="B3043" t="s">
        <v>6020</v>
      </c>
      <c r="C3043" t="s">
        <v>6021</v>
      </c>
      <c r="D3043" t="s">
        <v>58</v>
      </c>
      <c r="E3043" t="s">
        <v>4081</v>
      </c>
      <c r="G3043" t="str">
        <f>HYPERLINK(_xlfn.CONCAT("https://tablet.otzar.org/",CHAR(35),"/book/647891/p/-1/t/1/fs/0/start/0/end/0/c"),"עיר האבות")</f>
        <v>עיר האבות</v>
      </c>
      <c r="H3043" t="str">
        <f>_xlfn.CONCAT("https://tablet.otzar.org/",CHAR(35),"/book/647891/p/-1/t/1/fs/0/start/0/end/0/c")</f>
        <v>https://tablet.otzar.org/#/book/647891/p/-1/t/1/fs/0/start/0/end/0/c</v>
      </c>
    </row>
    <row r="3044" spans="1:8" x14ac:dyDescent="0.25">
      <c r="A3044">
        <v>653532</v>
      </c>
      <c r="B3044" t="s">
        <v>6022</v>
      </c>
      <c r="C3044" t="s">
        <v>557</v>
      </c>
      <c r="D3044" t="s">
        <v>52</v>
      </c>
      <c r="E3044" t="s">
        <v>237</v>
      </c>
      <c r="G3044" t="str">
        <f>HYPERLINK(_xlfn.CONCAT("https://tablet.otzar.org/",CHAR(35),"/book/653532/p/-1/t/1/fs/0/start/0/end/0/c"),"עיר מקלט - ב")</f>
        <v>עיר מקלט - ב</v>
      </c>
      <c r="H3044" t="str">
        <f>_xlfn.CONCAT("https://tablet.otzar.org/",CHAR(35),"/book/653532/p/-1/t/1/fs/0/start/0/end/0/c")</f>
        <v>https://tablet.otzar.org/#/book/653532/p/-1/t/1/fs/0/start/0/end/0/c</v>
      </c>
    </row>
    <row r="3045" spans="1:8" x14ac:dyDescent="0.25">
      <c r="A3045">
        <v>650956</v>
      </c>
      <c r="B3045" t="s">
        <v>6023</v>
      </c>
      <c r="C3045" t="s">
        <v>6024</v>
      </c>
      <c r="D3045" t="s">
        <v>52</v>
      </c>
      <c r="E3045" t="s">
        <v>495</v>
      </c>
      <c r="G3045" t="str">
        <f>HYPERLINK(_xlfn.CONCAT("https://tablet.otzar.org/",CHAR(35),"/book/650956/p/-1/t/1/fs/0/start/0/end/0/c"),"עיר על תילה - 12")</f>
        <v>עיר על תילה - 12</v>
      </c>
      <c r="H3045" t="str">
        <f>_xlfn.CONCAT("https://tablet.otzar.org/",CHAR(35),"/book/650956/p/-1/t/1/fs/0/start/0/end/0/c")</f>
        <v>https://tablet.otzar.org/#/book/650956/p/-1/t/1/fs/0/start/0/end/0/c</v>
      </c>
    </row>
    <row r="3046" spans="1:8" x14ac:dyDescent="0.25">
      <c r="A3046">
        <v>652719</v>
      </c>
      <c r="B3046" t="s">
        <v>6025</v>
      </c>
      <c r="C3046" t="s">
        <v>6026</v>
      </c>
      <c r="D3046" t="s">
        <v>39</v>
      </c>
      <c r="E3046" t="s">
        <v>1881</v>
      </c>
      <c r="G3046" t="str">
        <f>HYPERLINK(_xlfn.CONCAT("https://tablet.otzar.org/",CHAR(35),"/book/652719/p/-1/t/1/fs/0/start/0/end/0/c"),"על גאולת ישראל")</f>
        <v>על גאולת ישראל</v>
      </c>
      <c r="H3046" t="str">
        <f>_xlfn.CONCAT("https://tablet.otzar.org/",CHAR(35),"/book/652719/p/-1/t/1/fs/0/start/0/end/0/c")</f>
        <v>https://tablet.otzar.org/#/book/652719/p/-1/t/1/fs/0/start/0/end/0/c</v>
      </c>
    </row>
    <row r="3047" spans="1:8" x14ac:dyDescent="0.25">
      <c r="A3047">
        <v>653633</v>
      </c>
      <c r="B3047" t="s">
        <v>6027</v>
      </c>
      <c r="C3047" t="s">
        <v>6028</v>
      </c>
      <c r="D3047" t="s">
        <v>6029</v>
      </c>
      <c r="E3047">
        <v>1929</v>
      </c>
      <c r="G3047" t="str">
        <f>HYPERLINK(_xlfn.CONCAT("https://tablet.otzar.org/",CHAR(35),"/book/653633/p/-1/t/1/fs/0/start/0/end/0/c"),"על היופי")</f>
        <v>על היופי</v>
      </c>
      <c r="H3047" t="str">
        <f>_xlfn.CONCAT("https://tablet.otzar.org/",CHAR(35),"/book/653633/p/-1/t/1/fs/0/start/0/end/0/c")</f>
        <v>https://tablet.otzar.org/#/book/653633/p/-1/t/1/fs/0/start/0/end/0/c</v>
      </c>
    </row>
    <row r="3048" spans="1:8" x14ac:dyDescent="0.25">
      <c r="A3048">
        <v>657144</v>
      </c>
      <c r="B3048" t="s">
        <v>6030</v>
      </c>
      <c r="C3048" t="s">
        <v>6031</v>
      </c>
      <c r="D3048" t="s">
        <v>3075</v>
      </c>
      <c r="E3048" t="s">
        <v>11</v>
      </c>
      <c r="G3048" t="str">
        <f>HYPERLINK(_xlfn.CONCAT("https://tablet.otzar.org/",CHAR(35),"/book/657144/p/-1/t/1/fs/0/start/0/end/0/c"),"על הכל &lt;מהדורה חדשה&gt; - ברכת ישראל")</f>
        <v>על הכל &lt;מהדורה חדשה&gt; - ברכת ישראל</v>
      </c>
      <c r="H3048" t="str">
        <f>_xlfn.CONCAT("https://tablet.otzar.org/",CHAR(35),"/book/657144/p/-1/t/1/fs/0/start/0/end/0/c")</f>
        <v>https://tablet.otzar.org/#/book/657144/p/-1/t/1/fs/0/start/0/end/0/c</v>
      </c>
    </row>
    <row r="3049" spans="1:8" x14ac:dyDescent="0.25">
      <c r="A3049">
        <v>653249</v>
      </c>
      <c r="B3049" t="s">
        <v>6032</v>
      </c>
      <c r="C3049" t="s">
        <v>3007</v>
      </c>
      <c r="D3049" t="s">
        <v>1813</v>
      </c>
      <c r="E3049" t="s">
        <v>70</v>
      </c>
      <c r="G3049" t="str">
        <f>HYPERLINK(_xlfn.CONCAT("https://tablet.otzar.org/",CHAR(35),"/book/653249/p/-1/t/1/fs/0/start/0/end/0/c"),"על הר גבה")</f>
        <v>על הר גבה</v>
      </c>
      <c r="H3049" t="str">
        <f>_xlfn.CONCAT("https://tablet.otzar.org/",CHAR(35),"/book/653249/p/-1/t/1/fs/0/start/0/end/0/c")</f>
        <v>https://tablet.otzar.org/#/book/653249/p/-1/t/1/fs/0/start/0/end/0/c</v>
      </c>
    </row>
    <row r="3050" spans="1:8" x14ac:dyDescent="0.25">
      <c r="A3050">
        <v>651331</v>
      </c>
      <c r="B3050" t="s">
        <v>6033</v>
      </c>
      <c r="C3050" t="s">
        <v>6034</v>
      </c>
      <c r="D3050" t="s">
        <v>52</v>
      </c>
      <c r="E3050" t="s">
        <v>246</v>
      </c>
      <c r="G3050" t="str">
        <f>HYPERLINK(_xlfn.CONCAT("https://tablet.otzar.org/",CHAR(35),"/book/651331/p/-1/t/1/fs/0/start/0/end/0/c"),"על התשועות ועל המלחמות")</f>
        <v>על התשועות ועל המלחמות</v>
      </c>
      <c r="H3050" t="str">
        <f>_xlfn.CONCAT("https://tablet.otzar.org/",CHAR(35),"/book/651331/p/-1/t/1/fs/0/start/0/end/0/c")</f>
        <v>https://tablet.otzar.org/#/book/651331/p/-1/t/1/fs/0/start/0/end/0/c</v>
      </c>
    </row>
    <row r="3051" spans="1:8" x14ac:dyDescent="0.25">
      <c r="A3051">
        <v>650645</v>
      </c>
      <c r="B3051" t="s">
        <v>6035</v>
      </c>
      <c r="C3051" t="s">
        <v>6036</v>
      </c>
      <c r="D3051" t="s">
        <v>52</v>
      </c>
      <c r="E3051" t="s">
        <v>70</v>
      </c>
      <c r="G3051" t="str">
        <f>HYPERLINK(_xlfn.CONCAT("https://tablet.otzar.org/",CHAR(35),"/book/650645/p/-1/t/1/fs/0/start/0/end/0/c"),"על חומותיך בני ברק")</f>
        <v>על חומותיך בני ברק</v>
      </c>
      <c r="H3051" t="str">
        <f>_xlfn.CONCAT("https://tablet.otzar.org/",CHAR(35),"/book/650645/p/-1/t/1/fs/0/start/0/end/0/c")</f>
        <v>https://tablet.otzar.org/#/book/650645/p/-1/t/1/fs/0/start/0/end/0/c</v>
      </c>
    </row>
    <row r="3052" spans="1:8" x14ac:dyDescent="0.25">
      <c r="A3052">
        <v>649948</v>
      </c>
      <c r="B3052" t="s">
        <v>6037</v>
      </c>
      <c r="C3052" t="s">
        <v>6038</v>
      </c>
      <c r="D3052" t="s">
        <v>58</v>
      </c>
      <c r="E3052" t="s">
        <v>2051</v>
      </c>
      <c r="G3052" t="str">
        <f>HYPERLINK(_xlfn.CONCAT("https://tablet.otzar.org/",CHAR(35),"/book/649948/p/-1/t/1/fs/0/start/0/end/0/c"),"על חומותיך ירושלם")</f>
        <v>על חומותיך ירושלם</v>
      </c>
      <c r="H3052" t="str">
        <f>_xlfn.CONCAT("https://tablet.otzar.org/",CHAR(35),"/book/649948/p/-1/t/1/fs/0/start/0/end/0/c")</f>
        <v>https://tablet.otzar.org/#/book/649948/p/-1/t/1/fs/0/start/0/end/0/c</v>
      </c>
    </row>
    <row r="3053" spans="1:8" x14ac:dyDescent="0.25">
      <c r="A3053">
        <v>655439</v>
      </c>
      <c r="B3053" t="s">
        <v>6039</v>
      </c>
      <c r="C3053" t="s">
        <v>6040</v>
      </c>
      <c r="D3053" t="s">
        <v>52</v>
      </c>
      <c r="E3053" t="s">
        <v>312</v>
      </c>
      <c r="G3053" t="str">
        <f>HYPERLINK(_xlfn.CONCAT("https://tablet.otzar.org/",CHAR(35),"/book/655439/p/-1/t/1/fs/0/start/0/end/0/c"),"על ישראל גדולתו - מרן בעל שבט הלוי")</f>
        <v>על ישראל גדולתו - מרן בעל שבט הלוי</v>
      </c>
      <c r="H3053" t="str">
        <f>_xlfn.CONCAT("https://tablet.otzar.org/",CHAR(35),"/book/655439/p/-1/t/1/fs/0/start/0/end/0/c")</f>
        <v>https://tablet.otzar.org/#/book/655439/p/-1/t/1/fs/0/start/0/end/0/c</v>
      </c>
    </row>
    <row r="3054" spans="1:8" x14ac:dyDescent="0.25">
      <c r="A3054">
        <v>652965</v>
      </c>
      <c r="B3054" t="s">
        <v>6041</v>
      </c>
      <c r="C3054" t="s">
        <v>6042</v>
      </c>
      <c r="D3054" t="s">
        <v>34</v>
      </c>
      <c r="E3054" t="s">
        <v>70</v>
      </c>
      <c r="G3054" t="str">
        <f>HYPERLINK(_xlfn.CONCAT("https://tablet.otzar.org/",CHAR(35),"/book/652965/p/-1/t/1/fs/0/start/0/end/0/c"),"על ישראל שלום")</f>
        <v>על ישראל שלום</v>
      </c>
      <c r="H3054" t="str">
        <f>_xlfn.CONCAT("https://tablet.otzar.org/",CHAR(35),"/book/652965/p/-1/t/1/fs/0/start/0/end/0/c")</f>
        <v>https://tablet.otzar.org/#/book/652965/p/-1/t/1/fs/0/start/0/end/0/c</v>
      </c>
    </row>
    <row r="3055" spans="1:8" x14ac:dyDescent="0.25">
      <c r="A3055">
        <v>652798</v>
      </c>
      <c r="B3055" t="s">
        <v>6043</v>
      </c>
      <c r="C3055" t="s">
        <v>6044</v>
      </c>
      <c r="D3055" t="s">
        <v>6045</v>
      </c>
      <c r="E3055" t="s">
        <v>4516</v>
      </c>
      <c r="G3055" t="str">
        <f>HYPERLINK(_xlfn.CONCAT("https://tablet.otzar.org/",CHAR(35),"/book/652798/p/-1/t/1/fs/0/start/0/end/0/c"),"על קבר אמי")</f>
        <v>על קבר אמי</v>
      </c>
      <c r="H3055" t="str">
        <f>_xlfn.CONCAT("https://tablet.otzar.org/",CHAR(35),"/book/652798/p/-1/t/1/fs/0/start/0/end/0/c")</f>
        <v>https://tablet.otzar.org/#/book/652798/p/-1/t/1/fs/0/start/0/end/0/c</v>
      </c>
    </row>
    <row r="3056" spans="1:8" x14ac:dyDescent="0.25">
      <c r="A3056">
        <v>653197</v>
      </c>
      <c r="B3056" t="s">
        <v>6046</v>
      </c>
      <c r="C3056" t="s">
        <v>6047</v>
      </c>
      <c r="D3056" t="s">
        <v>39</v>
      </c>
      <c r="E3056" t="s">
        <v>922</v>
      </c>
      <c r="G3056" t="str">
        <f>HYPERLINK(_xlfn.CONCAT("https://tablet.otzar.org/",CHAR(35),"/book/653197/p/-1/t/1/fs/0/start/0/end/0/c"),"על קדוש השם")</f>
        <v>על קדוש השם</v>
      </c>
      <c r="H3056" t="str">
        <f>_xlfn.CONCAT("https://tablet.otzar.org/",CHAR(35),"/book/653197/p/-1/t/1/fs/0/start/0/end/0/c")</f>
        <v>https://tablet.otzar.org/#/book/653197/p/-1/t/1/fs/0/start/0/end/0/c</v>
      </c>
    </row>
    <row r="3057" spans="1:8" x14ac:dyDescent="0.25">
      <c r="A3057">
        <v>649813</v>
      </c>
      <c r="B3057" t="s">
        <v>6048</v>
      </c>
      <c r="C3057" t="s">
        <v>735</v>
      </c>
      <c r="D3057" t="s">
        <v>10</v>
      </c>
      <c r="E3057" t="s">
        <v>405</v>
      </c>
      <c r="G3057" t="str">
        <f>HYPERLINK(_xlfn.CONCAT("https://tablet.otzar.org/",CHAR(35),"/exKotar/649813"),"על שושנים שיר ידידות - 5 כרכים")</f>
        <v>על שושנים שיר ידידות - 5 כרכים</v>
      </c>
      <c r="H3057" t="str">
        <f>_xlfn.CONCAT("https://tablet.otzar.org/",CHAR(35),"/exKotar/649813")</f>
        <v>https://tablet.otzar.org/#/exKotar/649813</v>
      </c>
    </row>
    <row r="3058" spans="1:8" x14ac:dyDescent="0.25">
      <c r="A3058">
        <v>656350</v>
      </c>
      <c r="B3058" t="s">
        <v>6049</v>
      </c>
      <c r="C3058" t="s">
        <v>1164</v>
      </c>
      <c r="E3058" t="s">
        <v>399</v>
      </c>
      <c r="G3058" t="str">
        <f>HYPERLINK(_xlfn.CONCAT("https://tablet.otzar.org/",CHAR(35),"/book/656350/p/-1/t/1/fs/0/start/0/end/0/c"),"על שם הפור - מגילת אסתר")</f>
        <v>על שם הפור - מגילת אסתר</v>
      </c>
      <c r="H3058" t="str">
        <f>_xlfn.CONCAT("https://tablet.otzar.org/",CHAR(35),"/book/656350/p/-1/t/1/fs/0/start/0/end/0/c")</f>
        <v>https://tablet.otzar.org/#/book/656350/p/-1/t/1/fs/0/start/0/end/0/c</v>
      </c>
    </row>
    <row r="3059" spans="1:8" x14ac:dyDescent="0.25">
      <c r="A3059">
        <v>649941</v>
      </c>
      <c r="B3059" t="s">
        <v>6050</v>
      </c>
      <c r="C3059" t="s">
        <v>6051</v>
      </c>
      <c r="D3059" t="s">
        <v>58</v>
      </c>
      <c r="E3059" t="s">
        <v>5773</v>
      </c>
      <c r="G3059" t="str">
        <f>HYPERLINK(_xlfn.CONCAT("https://tablet.otzar.org/",CHAR(35),"/book/649941/p/-1/t/1/fs/0/start/0/end/0/c"),"עלה אריה")</f>
        <v>עלה אריה</v>
      </c>
      <c r="H3059" t="str">
        <f>_xlfn.CONCAT("https://tablet.otzar.org/",CHAR(35),"/book/649941/p/-1/t/1/fs/0/start/0/end/0/c")</f>
        <v>https://tablet.otzar.org/#/book/649941/p/-1/t/1/fs/0/start/0/end/0/c</v>
      </c>
    </row>
    <row r="3060" spans="1:8" x14ac:dyDescent="0.25">
      <c r="A3060">
        <v>651929</v>
      </c>
      <c r="B3060" t="s">
        <v>6052</v>
      </c>
      <c r="C3060" t="s">
        <v>6053</v>
      </c>
      <c r="D3060" t="s">
        <v>4441</v>
      </c>
      <c r="E3060" t="s">
        <v>11</v>
      </c>
      <c r="G3060" t="str">
        <f>HYPERLINK(_xlfn.CONCAT("https://tablet.otzar.org/",CHAR(35),"/book/651929/p/-1/t/1/fs/0/start/0/end/0/c"),"עלון אספקלריה - לב")</f>
        <v>עלון אספקלריה - לב</v>
      </c>
      <c r="H3060" t="str">
        <f>_xlfn.CONCAT("https://tablet.otzar.org/",CHAR(35),"/book/651929/p/-1/t/1/fs/0/start/0/end/0/c")</f>
        <v>https://tablet.otzar.org/#/book/651929/p/-1/t/1/fs/0/start/0/end/0/c</v>
      </c>
    </row>
    <row r="3061" spans="1:8" x14ac:dyDescent="0.25">
      <c r="A3061">
        <v>647502</v>
      </c>
      <c r="B3061" t="s">
        <v>6054</v>
      </c>
      <c r="C3061" t="s">
        <v>6055</v>
      </c>
      <c r="D3061" t="s">
        <v>424</v>
      </c>
      <c r="E3061" t="s">
        <v>4084</v>
      </c>
      <c r="G3061" t="str">
        <f>HYPERLINK(_xlfn.CONCAT("https://tablet.otzar.org/",CHAR(35),"/exKotar/647502"),"עלונים - 2 כרכים")</f>
        <v>עלונים - 2 כרכים</v>
      </c>
      <c r="H3061" t="str">
        <f>_xlfn.CONCAT("https://tablet.otzar.org/",CHAR(35),"/exKotar/647502")</f>
        <v>https://tablet.otzar.org/#/exKotar/647502</v>
      </c>
    </row>
    <row r="3062" spans="1:8" x14ac:dyDescent="0.25">
      <c r="A3062">
        <v>652945</v>
      </c>
      <c r="B3062" t="s">
        <v>6056</v>
      </c>
      <c r="C3062" t="s">
        <v>6057</v>
      </c>
      <c r="E3062" t="s">
        <v>84</v>
      </c>
      <c r="G3062" t="str">
        <f>HYPERLINK(_xlfn.CONCAT("https://tablet.otzar.org/",CHAR(35),"/book/652945/p/-1/t/1/fs/0/start/0/end/0/c"),"עלי הגיון")</f>
        <v>עלי הגיון</v>
      </c>
      <c r="H3062" t="str">
        <f>_xlfn.CONCAT("https://tablet.otzar.org/",CHAR(35),"/book/652945/p/-1/t/1/fs/0/start/0/end/0/c")</f>
        <v>https://tablet.otzar.org/#/book/652945/p/-1/t/1/fs/0/start/0/end/0/c</v>
      </c>
    </row>
    <row r="3063" spans="1:8" x14ac:dyDescent="0.25">
      <c r="A3063">
        <v>647127</v>
      </c>
      <c r="B3063" t="s">
        <v>6058</v>
      </c>
      <c r="C3063" t="s">
        <v>6059</v>
      </c>
      <c r="D3063" t="s">
        <v>52</v>
      </c>
      <c r="E3063" t="s">
        <v>11</v>
      </c>
      <c r="G3063" t="str">
        <f>HYPERLINK(_xlfn.CONCAT("https://tablet.otzar.org/",CHAR(35),"/exKotar/647127"),"עלי זכרון - 4 כרכים")</f>
        <v>עלי זכרון - 4 כרכים</v>
      </c>
      <c r="H3063" t="str">
        <f>_xlfn.CONCAT("https://tablet.otzar.org/",CHAR(35),"/exKotar/647127")</f>
        <v>https://tablet.otzar.org/#/exKotar/647127</v>
      </c>
    </row>
    <row r="3064" spans="1:8" x14ac:dyDescent="0.25">
      <c r="A3064">
        <v>647500</v>
      </c>
      <c r="B3064" t="s">
        <v>6060</v>
      </c>
      <c r="C3064" t="s">
        <v>6061</v>
      </c>
      <c r="E3064" t="s">
        <v>5671</v>
      </c>
      <c r="G3064" t="str">
        <f>HYPERLINK(_xlfn.CONCAT("https://tablet.otzar.org/",CHAR(35),"/book/647500/p/-1/t/1/fs/0/start/0/end/0/c"),"עלי חלד""""י - ב")</f>
        <v>עלי חלד""י - ב</v>
      </c>
      <c r="H3064" t="str">
        <f>_xlfn.CONCAT("https://tablet.otzar.org/",CHAR(35),"/book/647500/p/-1/t/1/fs/0/start/0/end/0/c")</f>
        <v>https://tablet.otzar.org/#/book/647500/p/-1/t/1/fs/0/start/0/end/0/c</v>
      </c>
    </row>
    <row r="3065" spans="1:8" x14ac:dyDescent="0.25">
      <c r="A3065">
        <v>649818</v>
      </c>
      <c r="B3065" t="s">
        <v>6062</v>
      </c>
      <c r="C3065" t="s">
        <v>735</v>
      </c>
      <c r="D3065" t="s">
        <v>10</v>
      </c>
      <c r="E3065" t="s">
        <v>77</v>
      </c>
      <c r="G3065" t="str">
        <f>HYPERLINK(_xlfn.CONCAT("https://tablet.otzar.org/",CHAR(35),"/book/649818/p/-1/t/1/fs/0/start/0/end/0/c"),"עלי חמדה")</f>
        <v>עלי חמדה</v>
      </c>
      <c r="H3065" t="str">
        <f>_xlfn.CONCAT("https://tablet.otzar.org/",CHAR(35),"/book/649818/p/-1/t/1/fs/0/start/0/end/0/c")</f>
        <v>https://tablet.otzar.org/#/book/649818/p/-1/t/1/fs/0/start/0/end/0/c</v>
      </c>
    </row>
    <row r="3066" spans="1:8" x14ac:dyDescent="0.25">
      <c r="A3066">
        <v>654478</v>
      </c>
      <c r="B3066" t="s">
        <v>6063</v>
      </c>
      <c r="C3066" t="s">
        <v>6064</v>
      </c>
      <c r="E3066" t="s">
        <v>704</v>
      </c>
      <c r="G3066" t="str">
        <f>HYPERLINK(_xlfn.CONCAT("https://tablet.otzar.org/",CHAR(35),"/book/654478/p/-1/t/1/fs/0/start/0/end/0/c"),"עלי יוסף - נדרים פ""""א ופ""""י")</f>
        <v>עלי יוסף - נדרים פ""א ופ""י</v>
      </c>
      <c r="H3066" t="str">
        <f>_xlfn.CONCAT("https://tablet.otzar.org/",CHAR(35),"/book/654478/p/-1/t/1/fs/0/start/0/end/0/c")</f>
        <v>https://tablet.otzar.org/#/book/654478/p/-1/t/1/fs/0/start/0/end/0/c</v>
      </c>
    </row>
    <row r="3067" spans="1:8" x14ac:dyDescent="0.25">
      <c r="A3067">
        <v>650373</v>
      </c>
      <c r="B3067" t="s">
        <v>6065</v>
      </c>
      <c r="C3067" t="s">
        <v>6066</v>
      </c>
      <c r="D3067" t="s">
        <v>10</v>
      </c>
      <c r="E3067" t="s">
        <v>11</v>
      </c>
      <c r="G3067" t="str">
        <f>HYPERLINK(_xlfn.CONCAT("https://tablet.otzar.org/",CHAR(35),"/book/650373/p/-1/t/1/fs/0/start/0/end/0/c"),"עלי עשור")</f>
        <v>עלי עשור</v>
      </c>
      <c r="H3067" t="str">
        <f>_xlfn.CONCAT("https://tablet.otzar.org/",CHAR(35),"/book/650373/p/-1/t/1/fs/0/start/0/end/0/c")</f>
        <v>https://tablet.otzar.org/#/book/650373/p/-1/t/1/fs/0/start/0/end/0/c</v>
      </c>
    </row>
    <row r="3068" spans="1:8" x14ac:dyDescent="0.25">
      <c r="A3068">
        <v>653993</v>
      </c>
      <c r="B3068" t="s">
        <v>6067</v>
      </c>
      <c r="C3068" t="s">
        <v>6068</v>
      </c>
      <c r="D3068" t="s">
        <v>52</v>
      </c>
      <c r="E3068" t="s">
        <v>11</v>
      </c>
      <c r="G3068" t="str">
        <f>HYPERLINK(_xlfn.CONCAT("https://tablet.otzar.org/",CHAR(35),"/book/653993/p/-1/t/1/fs/0/start/0/end/0/c"),"עלי ציון - הגדה של פסח")</f>
        <v>עלי ציון - הגדה של פסח</v>
      </c>
      <c r="H3068" t="str">
        <f>_xlfn.CONCAT("https://tablet.otzar.org/",CHAR(35),"/book/653993/p/-1/t/1/fs/0/start/0/end/0/c")</f>
        <v>https://tablet.otzar.org/#/book/653993/p/-1/t/1/fs/0/start/0/end/0/c</v>
      </c>
    </row>
    <row r="3069" spans="1:8" x14ac:dyDescent="0.25">
      <c r="A3069">
        <v>649994</v>
      </c>
      <c r="B3069" t="s">
        <v>6069</v>
      </c>
      <c r="C3069" t="s">
        <v>209</v>
      </c>
      <c r="D3069" t="s">
        <v>52</v>
      </c>
      <c r="E3069" t="s">
        <v>11</v>
      </c>
      <c r="G3069" t="str">
        <f>HYPERLINK(_xlfn.CONCAT("https://tablet.otzar.org/",CHAR(35),"/book/649994/p/-1/t/1/fs/0/start/0/end/0/c"),"עלי ראשי")</f>
        <v>עלי ראשי</v>
      </c>
      <c r="H3069" t="str">
        <f>_xlfn.CONCAT("https://tablet.otzar.org/",CHAR(35),"/book/649994/p/-1/t/1/fs/0/start/0/end/0/c")</f>
        <v>https://tablet.otzar.org/#/book/649994/p/-1/t/1/fs/0/start/0/end/0/c</v>
      </c>
    </row>
    <row r="3070" spans="1:8" x14ac:dyDescent="0.25">
      <c r="A3070">
        <v>648921</v>
      </c>
      <c r="B3070" t="s">
        <v>6070</v>
      </c>
      <c r="C3070" t="s">
        <v>6071</v>
      </c>
      <c r="E3070" t="s">
        <v>77</v>
      </c>
      <c r="G3070" t="str">
        <f>HYPERLINK(_xlfn.CONCAT("https://tablet.otzar.org/",CHAR(35),"/book/648921/p/-1/t/1/fs/0/start/0/end/0/c"),"עלי שי""""ר")</f>
        <v>עלי שי""ר</v>
      </c>
      <c r="H3070" t="str">
        <f>_xlfn.CONCAT("https://tablet.otzar.org/",CHAR(35),"/book/648921/p/-1/t/1/fs/0/start/0/end/0/c")</f>
        <v>https://tablet.otzar.org/#/book/648921/p/-1/t/1/fs/0/start/0/end/0/c</v>
      </c>
    </row>
    <row r="3071" spans="1:8" x14ac:dyDescent="0.25">
      <c r="A3071">
        <v>649434</v>
      </c>
      <c r="B3071" t="s">
        <v>6072</v>
      </c>
      <c r="C3071" t="s">
        <v>6073</v>
      </c>
      <c r="D3071" t="s">
        <v>39</v>
      </c>
      <c r="E3071" t="s">
        <v>2097</v>
      </c>
      <c r="G3071" t="str">
        <f>HYPERLINK(_xlfn.CONCAT("https://tablet.otzar.org/",CHAR(35),"/book/649434/p/-1/t/1/fs/0/start/0/end/0/c"),"עלילות על רופאים יהודיים באספקלריה של תולדות הרפואה")</f>
        <v>עלילות על רופאים יהודיים באספקלריה של תולדות הרפואה</v>
      </c>
      <c r="H3071" t="str">
        <f>_xlfn.CONCAT("https://tablet.otzar.org/",CHAR(35),"/book/649434/p/-1/t/1/fs/0/start/0/end/0/c")</f>
        <v>https://tablet.otzar.org/#/book/649434/p/-1/t/1/fs/0/start/0/end/0/c</v>
      </c>
    </row>
    <row r="3072" spans="1:8" x14ac:dyDescent="0.25">
      <c r="A3072">
        <v>649287</v>
      </c>
      <c r="B3072" t="s">
        <v>6074</v>
      </c>
      <c r="C3072" t="s">
        <v>6075</v>
      </c>
      <c r="D3072" t="s">
        <v>10</v>
      </c>
      <c r="E3072" t="s">
        <v>6076</v>
      </c>
      <c r="G3072" t="str">
        <f>HYPERLINK(_xlfn.CONCAT("https://tablet.otzar.org/",CHAR(35),"/book/649287/p/-1/t/1/fs/0/start/0/end/0/c"),"עלית הקודש")</f>
        <v>עלית הקודש</v>
      </c>
      <c r="H3072" t="str">
        <f>_xlfn.CONCAT("https://tablet.otzar.org/",CHAR(35),"/book/649287/p/-1/t/1/fs/0/start/0/end/0/c")</f>
        <v>https://tablet.otzar.org/#/book/649287/p/-1/t/1/fs/0/start/0/end/0/c</v>
      </c>
    </row>
    <row r="3073" spans="1:8" x14ac:dyDescent="0.25">
      <c r="A3073">
        <v>648185</v>
      </c>
      <c r="B3073" t="s">
        <v>6077</v>
      </c>
      <c r="C3073" t="s">
        <v>382</v>
      </c>
      <c r="E3073" t="s">
        <v>704</v>
      </c>
      <c r="G3073" t="str">
        <f>HYPERLINK(_xlfn.CONCAT("https://tablet.otzar.org/",CHAR(35),"/exKotar/648185"),"עם התורה - 2 כרכים")</f>
        <v>עם התורה - 2 כרכים</v>
      </c>
      <c r="H3073" t="str">
        <f>_xlfn.CONCAT("https://tablet.otzar.org/",CHAR(35),"/exKotar/648185")</f>
        <v>https://tablet.otzar.org/#/exKotar/648185</v>
      </c>
    </row>
    <row r="3074" spans="1:8" x14ac:dyDescent="0.25">
      <c r="A3074">
        <v>650056</v>
      </c>
      <c r="B3074" t="s">
        <v>6078</v>
      </c>
      <c r="C3074" t="s">
        <v>712</v>
      </c>
      <c r="E3074" t="s">
        <v>507</v>
      </c>
      <c r="G3074" t="str">
        <f>HYPERLINK(_xlfn.CONCAT("https://tablet.otzar.org/",CHAR(35),"/book/650056/p/-1/t/1/fs/0/start/0/end/0/c"),"עם סגולה")</f>
        <v>עם סגולה</v>
      </c>
      <c r="H3074" t="str">
        <f>_xlfn.CONCAT("https://tablet.otzar.org/",CHAR(35),"/book/650056/p/-1/t/1/fs/0/start/0/end/0/c")</f>
        <v>https://tablet.otzar.org/#/book/650056/p/-1/t/1/fs/0/start/0/end/0/c</v>
      </c>
    </row>
    <row r="3075" spans="1:8" x14ac:dyDescent="0.25">
      <c r="A3075">
        <v>654296</v>
      </c>
      <c r="B3075" t="s">
        <v>6079</v>
      </c>
      <c r="C3075" t="s">
        <v>6080</v>
      </c>
      <c r="D3075" t="s">
        <v>34</v>
      </c>
      <c r="E3075" t="s">
        <v>35</v>
      </c>
      <c r="G3075" t="str">
        <f>HYPERLINK(_xlfn.CONCAT("https://tablet.otzar.org/",CHAR(35),"/book/654296/p/-1/t/1/fs/0/start/0/end/0/c"),"עמוד הא""""ש")</f>
        <v>עמוד הא""ש</v>
      </c>
      <c r="H3075" t="str">
        <f>_xlfn.CONCAT("https://tablet.otzar.org/",CHAR(35),"/book/654296/p/-1/t/1/fs/0/start/0/end/0/c")</f>
        <v>https://tablet.otzar.org/#/book/654296/p/-1/t/1/fs/0/start/0/end/0/c</v>
      </c>
    </row>
    <row r="3076" spans="1:8" x14ac:dyDescent="0.25">
      <c r="A3076">
        <v>653673</v>
      </c>
      <c r="B3076" t="s">
        <v>6081</v>
      </c>
      <c r="C3076" t="s">
        <v>758</v>
      </c>
      <c r="E3076" t="s">
        <v>6082</v>
      </c>
      <c r="G3076" t="str">
        <f>HYPERLINK(_xlfn.CONCAT("https://tablet.otzar.org/",CHAR(35),"/book/653673/p/-1/t/1/fs/0/start/0/end/0/c"),"עמודא דנהורא")</f>
        <v>עמודא דנהורא</v>
      </c>
      <c r="H3076" t="str">
        <f>_xlfn.CONCAT("https://tablet.otzar.org/",CHAR(35),"/book/653673/p/-1/t/1/fs/0/start/0/end/0/c")</f>
        <v>https://tablet.otzar.org/#/book/653673/p/-1/t/1/fs/0/start/0/end/0/c</v>
      </c>
    </row>
    <row r="3077" spans="1:8" x14ac:dyDescent="0.25">
      <c r="A3077">
        <v>653601</v>
      </c>
      <c r="B3077" t="s">
        <v>6083</v>
      </c>
      <c r="C3077" t="s">
        <v>6084</v>
      </c>
      <c r="E3077" t="s">
        <v>357</v>
      </c>
      <c r="G3077" t="str">
        <f>HYPERLINK(_xlfn.CONCAT("https://tablet.otzar.org/",CHAR(35),"/book/653601/p/-1/t/1/fs/0/start/0/end/0/c"),"עמודי אש")</f>
        <v>עמודי אש</v>
      </c>
      <c r="H3077" t="str">
        <f>_xlfn.CONCAT("https://tablet.otzar.org/",CHAR(35),"/book/653601/p/-1/t/1/fs/0/start/0/end/0/c")</f>
        <v>https://tablet.otzar.org/#/book/653601/p/-1/t/1/fs/0/start/0/end/0/c</v>
      </c>
    </row>
    <row r="3078" spans="1:8" x14ac:dyDescent="0.25">
      <c r="A3078">
        <v>648166</v>
      </c>
      <c r="B3078" t="s">
        <v>6085</v>
      </c>
      <c r="C3078" t="s">
        <v>6086</v>
      </c>
      <c r="E3078" t="s">
        <v>73</v>
      </c>
      <c r="G3078" t="str">
        <f>HYPERLINK(_xlfn.CONCAT("https://tablet.otzar.org/",CHAR(35),"/book/648166/p/-1/t/1/fs/0/start/0/end/0/c"),"עמודי הבית")</f>
        <v>עמודי הבית</v>
      </c>
      <c r="H3078" t="str">
        <f>_xlfn.CONCAT("https://tablet.otzar.org/",CHAR(35),"/book/648166/p/-1/t/1/fs/0/start/0/end/0/c")</f>
        <v>https://tablet.otzar.org/#/book/648166/p/-1/t/1/fs/0/start/0/end/0/c</v>
      </c>
    </row>
    <row r="3079" spans="1:8" x14ac:dyDescent="0.25">
      <c r="A3079">
        <v>655449</v>
      </c>
      <c r="B3079" t="s">
        <v>6087</v>
      </c>
      <c r="C3079" t="s">
        <v>6088</v>
      </c>
      <c r="E3079" t="s">
        <v>1240</v>
      </c>
      <c r="G3079" t="str">
        <f>HYPERLINK(_xlfn.CONCAT("https://tablet.otzar.org/",CHAR(35),"/exKotar/655449"),"עמודי הוראה על המשנה ברורה - 3 כרכים")</f>
        <v>עמודי הוראה על המשנה ברורה - 3 כרכים</v>
      </c>
      <c r="H3079" t="str">
        <f>_xlfn.CONCAT("https://tablet.otzar.org/",CHAR(35),"/exKotar/655449")</f>
        <v>https://tablet.otzar.org/#/exKotar/655449</v>
      </c>
    </row>
    <row r="3080" spans="1:8" x14ac:dyDescent="0.25">
      <c r="A3080">
        <v>647601</v>
      </c>
      <c r="B3080" t="s">
        <v>6089</v>
      </c>
      <c r="C3080" t="s">
        <v>6090</v>
      </c>
      <c r="D3080" t="s">
        <v>6091</v>
      </c>
      <c r="E3080" t="s">
        <v>636</v>
      </c>
      <c r="G3080" t="str">
        <f>HYPERLINK(_xlfn.CONCAT("https://tablet.otzar.org/",CHAR(35),"/book/647601/p/-1/t/1/fs/0/start/0/end/0/c"),"עמודי היהדות")</f>
        <v>עמודי היהדות</v>
      </c>
      <c r="H3080" t="str">
        <f>_xlfn.CONCAT("https://tablet.otzar.org/",CHAR(35),"/book/647601/p/-1/t/1/fs/0/start/0/end/0/c")</f>
        <v>https://tablet.otzar.org/#/book/647601/p/-1/t/1/fs/0/start/0/end/0/c</v>
      </c>
    </row>
    <row r="3081" spans="1:8" x14ac:dyDescent="0.25">
      <c r="A3081">
        <v>654678</v>
      </c>
      <c r="B3081" t="s">
        <v>6092</v>
      </c>
      <c r="C3081" t="s">
        <v>6093</v>
      </c>
      <c r="D3081" t="s">
        <v>10</v>
      </c>
      <c r="E3081" t="s">
        <v>657</v>
      </c>
      <c r="G3081" t="str">
        <f>HYPERLINK(_xlfn.CONCAT("https://tablet.otzar.org/",CHAR(35),"/exKotar/654678"),"עמודי הקבלה - 2 כרכים")</f>
        <v>עמודי הקבלה - 2 כרכים</v>
      </c>
      <c r="H3081" t="str">
        <f>_xlfn.CONCAT("https://tablet.otzar.org/",CHAR(35),"/exKotar/654678")</f>
        <v>https://tablet.otzar.org/#/exKotar/654678</v>
      </c>
    </row>
    <row r="3082" spans="1:8" x14ac:dyDescent="0.25">
      <c r="A3082">
        <v>647659</v>
      </c>
      <c r="B3082" t="s">
        <v>6094</v>
      </c>
      <c r="C3082" t="s">
        <v>6095</v>
      </c>
      <c r="D3082" t="s">
        <v>340</v>
      </c>
      <c r="E3082" t="s">
        <v>70</v>
      </c>
      <c r="G3082" t="str">
        <f>HYPERLINK(_xlfn.CONCAT("https://tablet.otzar.org/",CHAR(35),"/exKotar/647659"),"עמודי השלחן - 3 כרכים")</f>
        <v>עמודי השלחן - 3 כרכים</v>
      </c>
      <c r="H3082" t="str">
        <f>_xlfn.CONCAT("https://tablet.otzar.org/",CHAR(35),"/exKotar/647659")</f>
        <v>https://tablet.otzar.org/#/exKotar/647659</v>
      </c>
    </row>
    <row r="3083" spans="1:8" x14ac:dyDescent="0.25">
      <c r="A3083">
        <v>648971</v>
      </c>
      <c r="B3083" t="s">
        <v>6096</v>
      </c>
      <c r="C3083" t="s">
        <v>6097</v>
      </c>
      <c r="D3083" t="s">
        <v>10</v>
      </c>
      <c r="E3083" t="s">
        <v>690</v>
      </c>
      <c r="G3083" t="str">
        <f>HYPERLINK(_xlfn.CONCAT("https://tablet.otzar.org/",CHAR(35),"/book/648971/p/-1/t/1/fs/0/start/0/end/0/c"),"עמודים בתולדות הספר העברי - בשערי הדפוס")</f>
        <v>עמודים בתולדות הספר העברי - בשערי הדפוס</v>
      </c>
      <c r="H3083" t="str">
        <f>_xlfn.CONCAT("https://tablet.otzar.org/",CHAR(35),"/book/648971/p/-1/t/1/fs/0/start/0/end/0/c")</f>
        <v>https://tablet.otzar.org/#/book/648971/p/-1/t/1/fs/0/start/0/end/0/c</v>
      </c>
    </row>
    <row r="3084" spans="1:8" x14ac:dyDescent="0.25">
      <c r="A3084">
        <v>649707</v>
      </c>
      <c r="B3084" t="s">
        <v>6098</v>
      </c>
      <c r="C3084" t="s">
        <v>6099</v>
      </c>
      <c r="D3084" t="s">
        <v>34</v>
      </c>
      <c r="E3084" t="s">
        <v>205</v>
      </c>
      <c r="G3084" t="str">
        <f>HYPERLINK(_xlfn.CONCAT("https://tablet.otzar.org/",CHAR(35),"/book/649707/p/-1/t/1/fs/0/start/0/end/0/c"),"עמל פה")</f>
        <v>עמל פה</v>
      </c>
      <c r="H3084" t="str">
        <f>_xlfn.CONCAT("https://tablet.otzar.org/",CHAR(35),"/book/649707/p/-1/t/1/fs/0/start/0/end/0/c")</f>
        <v>https://tablet.otzar.org/#/book/649707/p/-1/t/1/fs/0/start/0/end/0/c</v>
      </c>
    </row>
    <row r="3085" spans="1:8" x14ac:dyDescent="0.25">
      <c r="A3085">
        <v>647434</v>
      </c>
      <c r="B3085" t="s">
        <v>6100</v>
      </c>
      <c r="C3085" t="s">
        <v>3215</v>
      </c>
      <c r="D3085" t="s">
        <v>10</v>
      </c>
      <c r="E3085" t="s">
        <v>70</v>
      </c>
      <c r="G3085" t="str">
        <f>HYPERLINK(_xlfn.CONCAT("https://tablet.otzar.org/",CHAR(35),"/book/647434/p/-1/t/1/fs/0/start/0/end/0/c"),"עמלה של תורה - ב")</f>
        <v>עמלה של תורה - ב</v>
      </c>
      <c r="H3085" t="str">
        <f>_xlfn.CONCAT("https://tablet.otzar.org/",CHAR(35),"/book/647434/p/-1/t/1/fs/0/start/0/end/0/c")</f>
        <v>https://tablet.otzar.org/#/book/647434/p/-1/t/1/fs/0/start/0/end/0/c</v>
      </c>
    </row>
    <row r="3086" spans="1:8" x14ac:dyDescent="0.25">
      <c r="A3086">
        <v>655869</v>
      </c>
      <c r="B3086" t="s">
        <v>6101</v>
      </c>
      <c r="C3086" t="s">
        <v>6102</v>
      </c>
      <c r="D3086" t="s">
        <v>52</v>
      </c>
      <c r="E3086" t="s">
        <v>35</v>
      </c>
      <c r="G3086" t="str">
        <f>HYPERLINK(_xlfn.CONCAT("https://tablet.otzar.org/",CHAR(35),"/exKotar/655869"),"עמלה של תורה - 2 כרכים")</f>
        <v>עמלה של תורה - 2 כרכים</v>
      </c>
      <c r="H3086" t="str">
        <f>_xlfn.CONCAT("https://tablet.otzar.org/",CHAR(35),"/exKotar/655869")</f>
        <v>https://tablet.otzar.org/#/exKotar/655869</v>
      </c>
    </row>
    <row r="3087" spans="1:8" x14ac:dyDescent="0.25">
      <c r="A3087">
        <v>649979</v>
      </c>
      <c r="B3087" t="s">
        <v>6103</v>
      </c>
      <c r="C3087" t="s">
        <v>6104</v>
      </c>
      <c r="D3087" t="s">
        <v>1162</v>
      </c>
      <c r="E3087" t="s">
        <v>35</v>
      </c>
      <c r="G3087" t="str">
        <f>HYPERLINK(_xlfn.CONCAT("https://tablet.otzar.org/",CHAR(35),"/book/649979/p/-1/t/1/fs/0/start/0/end/0/c"),"עמק יהושע")</f>
        <v>עמק יהושע</v>
      </c>
      <c r="H3087" t="str">
        <f>_xlfn.CONCAT("https://tablet.otzar.org/",CHAR(35),"/book/649979/p/-1/t/1/fs/0/start/0/end/0/c")</f>
        <v>https://tablet.otzar.org/#/book/649979/p/-1/t/1/fs/0/start/0/end/0/c</v>
      </c>
    </row>
    <row r="3088" spans="1:8" x14ac:dyDescent="0.25">
      <c r="A3088">
        <v>648812</v>
      </c>
      <c r="B3088" t="s">
        <v>6105</v>
      </c>
      <c r="C3088" t="s">
        <v>6106</v>
      </c>
      <c r="E3088" t="s">
        <v>11</v>
      </c>
      <c r="G3088" t="str">
        <f>HYPERLINK(_xlfn.CONCAT("https://tablet.otzar.org/",CHAR(35),"/book/648812/p/-1/t/1/fs/0/start/0/end/0/c"),"עמק שוה - ב (חולין, שו""""ע יו""""ד)")</f>
        <v>עמק שוה - ב (חולין, שו""ע יו""ד)</v>
      </c>
      <c r="H3088" t="str">
        <f>_xlfn.CONCAT("https://tablet.otzar.org/",CHAR(35),"/book/648812/p/-1/t/1/fs/0/start/0/end/0/c")</f>
        <v>https://tablet.otzar.org/#/book/648812/p/-1/t/1/fs/0/start/0/end/0/c</v>
      </c>
    </row>
    <row r="3089" spans="1:8" x14ac:dyDescent="0.25">
      <c r="A3089">
        <v>655951</v>
      </c>
      <c r="B3089" t="s">
        <v>6107</v>
      </c>
      <c r="C3089" t="s">
        <v>3941</v>
      </c>
      <c r="D3089" t="s">
        <v>52</v>
      </c>
      <c r="E3089" t="s">
        <v>1240</v>
      </c>
      <c r="G3089" t="str">
        <f>HYPERLINK(_xlfn.CONCAT("https://tablet.otzar.org/",CHAR(35),"/book/655951/p/-1/t/1/fs/0/start/0/end/0/c"),"עמק שווה")</f>
        <v>עמק שווה</v>
      </c>
      <c r="H3089" t="str">
        <f>_xlfn.CONCAT("https://tablet.otzar.org/",CHAR(35),"/book/655951/p/-1/t/1/fs/0/start/0/end/0/c")</f>
        <v>https://tablet.otzar.org/#/book/655951/p/-1/t/1/fs/0/start/0/end/0/c</v>
      </c>
    </row>
    <row r="3090" spans="1:8" x14ac:dyDescent="0.25">
      <c r="A3090">
        <v>649084</v>
      </c>
      <c r="B3090" t="s">
        <v>6108</v>
      </c>
      <c r="C3090" t="s">
        <v>6109</v>
      </c>
      <c r="D3090" t="s">
        <v>10</v>
      </c>
      <c r="E3090" t="s">
        <v>293</v>
      </c>
      <c r="G3090" t="str">
        <f>HYPERLINK(_xlfn.CONCAT("https://tablet.otzar.org/",CHAR(35),"/book/649084/p/-1/t/1/fs/0/start/0/end/0/c"),"עמר מן &lt;עט הזמיר, חידושים וביאורים&gt;")</f>
        <v>עמר מן &lt;עט הזמיר, חידושים וביאורים&gt;</v>
      </c>
      <c r="H3090" t="str">
        <f>_xlfn.CONCAT("https://tablet.otzar.org/",CHAR(35),"/book/649084/p/-1/t/1/fs/0/start/0/end/0/c")</f>
        <v>https://tablet.otzar.org/#/book/649084/p/-1/t/1/fs/0/start/0/end/0/c</v>
      </c>
    </row>
    <row r="3091" spans="1:8" x14ac:dyDescent="0.25">
      <c r="A3091">
        <v>648874</v>
      </c>
      <c r="B3091" t="s">
        <v>6110</v>
      </c>
      <c r="C3091" t="s">
        <v>2104</v>
      </c>
      <c r="D3091" t="s">
        <v>52</v>
      </c>
      <c r="E3091" t="s">
        <v>224</v>
      </c>
      <c r="G3091" t="str">
        <f>HYPERLINK(_xlfn.CONCAT("https://tablet.otzar.org/",CHAR(35),"/book/648874/p/-1/t/1/fs/0/start/0/end/0/c"),"ענייני חודש תשרי במשנת הדבר יהושע")</f>
        <v>ענייני חודש תשרי במשנת הדבר יהושע</v>
      </c>
      <c r="H3091" t="str">
        <f>_xlfn.CONCAT("https://tablet.otzar.org/",CHAR(35),"/book/648874/p/-1/t/1/fs/0/start/0/end/0/c")</f>
        <v>https://tablet.otzar.org/#/book/648874/p/-1/t/1/fs/0/start/0/end/0/c</v>
      </c>
    </row>
    <row r="3092" spans="1:8" x14ac:dyDescent="0.25">
      <c r="A3092">
        <v>648868</v>
      </c>
      <c r="B3092" t="s">
        <v>6111</v>
      </c>
      <c r="C3092" t="s">
        <v>2104</v>
      </c>
      <c r="D3092" t="s">
        <v>52</v>
      </c>
      <c r="E3092" t="s">
        <v>89</v>
      </c>
      <c r="G3092" t="str">
        <f>HYPERLINK(_xlfn.CONCAT("https://tablet.otzar.org/",CHAR(35),"/book/648868/p/-1/t/1/fs/0/start/0/end/0/c"),"ענייני ליל הסדר")</f>
        <v>ענייני ליל הסדר</v>
      </c>
      <c r="H3092" t="str">
        <f>_xlfn.CONCAT("https://tablet.otzar.org/",CHAR(35),"/book/648868/p/-1/t/1/fs/0/start/0/end/0/c")</f>
        <v>https://tablet.otzar.org/#/book/648868/p/-1/t/1/fs/0/start/0/end/0/c</v>
      </c>
    </row>
    <row r="3093" spans="1:8" x14ac:dyDescent="0.25">
      <c r="A3093">
        <v>648876</v>
      </c>
      <c r="B3093" t="s">
        <v>6112</v>
      </c>
      <c r="C3093" t="s">
        <v>2104</v>
      </c>
      <c r="D3093" t="s">
        <v>52</v>
      </c>
      <c r="E3093" t="s">
        <v>146</v>
      </c>
      <c r="G3093" t="str">
        <f>HYPERLINK(_xlfn.CONCAT("https://tablet.otzar.org/",CHAR(35),"/book/648876/p/-1/t/1/fs/0/start/0/end/0/c"),"ענייני ספירת העומר במשנת הדבר יהושע")</f>
        <v>ענייני ספירת העומר במשנת הדבר יהושע</v>
      </c>
      <c r="H3093" t="str">
        <f>_xlfn.CONCAT("https://tablet.otzar.org/",CHAR(35),"/book/648876/p/-1/t/1/fs/0/start/0/end/0/c")</f>
        <v>https://tablet.otzar.org/#/book/648876/p/-1/t/1/fs/0/start/0/end/0/c</v>
      </c>
    </row>
    <row r="3094" spans="1:8" x14ac:dyDescent="0.25">
      <c r="A3094">
        <v>648870</v>
      </c>
      <c r="B3094" t="s">
        <v>6113</v>
      </c>
      <c r="C3094" t="s">
        <v>2104</v>
      </c>
      <c r="D3094" t="s">
        <v>52</v>
      </c>
      <c r="E3094" t="s">
        <v>224</v>
      </c>
      <c r="G3094" t="str">
        <f>HYPERLINK(_xlfn.CONCAT("https://tablet.otzar.org/",CHAR(35),"/book/648870/p/-1/t/1/fs/0/start/0/end/0/c"),"ענייני קידושין במשנת הדבר יהושע")</f>
        <v>ענייני קידושין במשנת הדבר יהושע</v>
      </c>
      <c r="H3094" t="str">
        <f>_xlfn.CONCAT("https://tablet.otzar.org/",CHAR(35),"/book/648870/p/-1/t/1/fs/0/start/0/end/0/c")</f>
        <v>https://tablet.otzar.org/#/book/648870/p/-1/t/1/fs/0/start/0/end/0/c</v>
      </c>
    </row>
    <row r="3095" spans="1:8" x14ac:dyDescent="0.25">
      <c r="A3095">
        <v>654387</v>
      </c>
      <c r="B3095" t="s">
        <v>6114</v>
      </c>
      <c r="C3095" t="s">
        <v>614</v>
      </c>
      <c r="D3095" t="s">
        <v>34</v>
      </c>
      <c r="E3095" t="s">
        <v>11</v>
      </c>
      <c r="G3095" t="str">
        <f>HYPERLINK(_xlfn.CONCAT("https://tablet.otzar.org/",CHAR(35),"/exKotar/654387"),"עניני עדות - 3 כרכים")</f>
        <v>עניני עדות - 3 כרכים</v>
      </c>
      <c r="H3095" t="str">
        <f>_xlfn.CONCAT("https://tablet.otzar.org/",CHAR(35),"/exKotar/654387")</f>
        <v>https://tablet.otzar.org/#/exKotar/654387</v>
      </c>
    </row>
    <row r="3096" spans="1:8" x14ac:dyDescent="0.25">
      <c r="A3096">
        <v>653227</v>
      </c>
      <c r="B3096" t="s">
        <v>6115</v>
      </c>
      <c r="C3096" t="s">
        <v>6116</v>
      </c>
      <c r="D3096" t="s">
        <v>931</v>
      </c>
      <c r="E3096" t="s">
        <v>405</v>
      </c>
      <c r="G3096" t="str">
        <f>HYPERLINK(_xlfn.CONCAT("https://tablet.otzar.org/",CHAR(35),"/book/653227/p/-1/t/1/fs/0/start/0/end/0/c"),"ענן אש ודיבור")</f>
        <v>ענן אש ודיבור</v>
      </c>
      <c r="H3096" t="str">
        <f>_xlfn.CONCAT("https://tablet.otzar.org/",CHAR(35),"/book/653227/p/-1/t/1/fs/0/start/0/end/0/c")</f>
        <v>https://tablet.otzar.org/#/book/653227/p/-1/t/1/fs/0/start/0/end/0/c</v>
      </c>
    </row>
    <row r="3097" spans="1:8" x14ac:dyDescent="0.25">
      <c r="A3097">
        <v>649851</v>
      </c>
      <c r="B3097" t="s">
        <v>6117</v>
      </c>
      <c r="C3097" t="s">
        <v>6118</v>
      </c>
      <c r="E3097" t="s">
        <v>11</v>
      </c>
      <c r="G3097" t="str">
        <f>HYPERLINK(_xlfn.CONCAT("https://tablet.otzar.org/",CHAR(35),"/book/649851/p/-1/t/1/fs/0/start/0/end/0/c"),"ענף עץ אבות")</f>
        <v>ענף עץ אבות</v>
      </c>
      <c r="H3097" t="str">
        <f>_xlfn.CONCAT("https://tablet.otzar.org/",CHAR(35),"/book/649851/p/-1/t/1/fs/0/start/0/end/0/c")</f>
        <v>https://tablet.otzar.org/#/book/649851/p/-1/t/1/fs/0/start/0/end/0/c</v>
      </c>
    </row>
    <row r="3098" spans="1:8" x14ac:dyDescent="0.25">
      <c r="A3098">
        <v>655278</v>
      </c>
      <c r="B3098" t="s">
        <v>6119</v>
      </c>
      <c r="C3098" t="s">
        <v>2145</v>
      </c>
      <c r="D3098" t="s">
        <v>10</v>
      </c>
      <c r="E3098" t="s">
        <v>11</v>
      </c>
      <c r="G3098" t="str">
        <f>HYPERLINK(_xlfn.CONCAT("https://tablet.otzar.org/",CHAR(35),"/exKotar/655278"),"ענף עץ אבות - 3 כרכים")</f>
        <v>ענף עץ אבות - 3 כרכים</v>
      </c>
      <c r="H3098" t="str">
        <f>_xlfn.CONCAT("https://tablet.otzar.org/",CHAR(35),"/exKotar/655278")</f>
        <v>https://tablet.otzar.org/#/exKotar/655278</v>
      </c>
    </row>
    <row r="3099" spans="1:8" x14ac:dyDescent="0.25">
      <c r="A3099">
        <v>650595</v>
      </c>
      <c r="B3099" t="s">
        <v>6120</v>
      </c>
      <c r="C3099" t="s">
        <v>6121</v>
      </c>
      <c r="D3099" t="s">
        <v>10</v>
      </c>
      <c r="E3099" t="s">
        <v>25</v>
      </c>
      <c r="G3099" t="str">
        <f>HYPERLINK(_xlfn.CONCAT("https://tablet.otzar.org/",CHAR(35),"/book/650595/p/-1/t/1/fs/0/start/0/end/0/c"),"עפר האילים")</f>
        <v>עפר האילים</v>
      </c>
      <c r="H3099" t="str">
        <f>_xlfn.CONCAT("https://tablet.otzar.org/",CHAR(35),"/book/650595/p/-1/t/1/fs/0/start/0/end/0/c")</f>
        <v>https://tablet.otzar.org/#/book/650595/p/-1/t/1/fs/0/start/0/end/0/c</v>
      </c>
    </row>
    <row r="3100" spans="1:8" x14ac:dyDescent="0.25">
      <c r="A3100">
        <v>654419</v>
      </c>
      <c r="B3100" t="s">
        <v>6122</v>
      </c>
      <c r="C3100" t="s">
        <v>6123</v>
      </c>
      <c r="D3100" t="s">
        <v>34</v>
      </c>
      <c r="E3100" t="s">
        <v>11</v>
      </c>
      <c r="G3100" t="str">
        <f>HYPERLINK(_xlfn.CONCAT("https://tablet.otzar.org/",CHAR(35),"/book/654419/p/-1/t/1/fs/0/start/0/end/0/c"),"עץ אבותינו")</f>
        <v>עץ אבותינו</v>
      </c>
      <c r="H3100" t="str">
        <f>_xlfn.CONCAT("https://tablet.otzar.org/",CHAR(35),"/book/654419/p/-1/t/1/fs/0/start/0/end/0/c")</f>
        <v>https://tablet.otzar.org/#/book/654419/p/-1/t/1/fs/0/start/0/end/0/c</v>
      </c>
    </row>
    <row r="3101" spans="1:8" x14ac:dyDescent="0.25">
      <c r="A3101">
        <v>642129</v>
      </c>
      <c r="B3101" t="s">
        <v>6124</v>
      </c>
      <c r="C3101" t="s">
        <v>6124</v>
      </c>
      <c r="D3101" t="s">
        <v>166</v>
      </c>
      <c r="E3101" t="s">
        <v>6125</v>
      </c>
      <c r="G3101" t="str">
        <f>HYPERLINK(_xlfn.CONCAT("https://tablet.otzar.org/",CHAR(35),"/book/642129/p/-1/t/1/fs/0/start/0/end/0/c"),"עץ חיים")</f>
        <v>עץ חיים</v>
      </c>
      <c r="H3101" t="str">
        <f>_xlfn.CONCAT("https://tablet.otzar.org/",CHAR(35),"/book/642129/p/-1/t/1/fs/0/start/0/end/0/c")</f>
        <v>https://tablet.otzar.org/#/book/642129/p/-1/t/1/fs/0/start/0/end/0/c</v>
      </c>
    </row>
    <row r="3102" spans="1:8" x14ac:dyDescent="0.25">
      <c r="A3102">
        <v>655777</v>
      </c>
      <c r="B3102" t="s">
        <v>6126</v>
      </c>
      <c r="C3102" t="s">
        <v>6127</v>
      </c>
      <c r="D3102" t="s">
        <v>273</v>
      </c>
      <c r="E3102" t="s">
        <v>45</v>
      </c>
      <c r="G3102" t="str">
        <f>HYPERLINK(_xlfn.CONCAT("https://tablet.otzar.org/",CHAR(35),"/exKotar/655777"),"עץ יוסף - 5 כרכים")</f>
        <v>עץ יוסף - 5 כרכים</v>
      </c>
      <c r="H3102" t="str">
        <f>_xlfn.CONCAT("https://tablet.otzar.org/",CHAR(35),"/exKotar/655777")</f>
        <v>https://tablet.otzar.org/#/exKotar/655777</v>
      </c>
    </row>
    <row r="3103" spans="1:8" x14ac:dyDescent="0.25">
      <c r="A3103">
        <v>651554</v>
      </c>
      <c r="B3103" t="s">
        <v>6128</v>
      </c>
      <c r="C3103" t="s">
        <v>6129</v>
      </c>
      <c r="D3103" t="s">
        <v>10</v>
      </c>
      <c r="E3103" t="s">
        <v>5839</v>
      </c>
      <c r="G3103" t="str">
        <f>HYPERLINK(_xlfn.CONCAT("https://tablet.otzar.org/",CHAR(35),"/book/651554/p/-1/t/1/fs/0/start/0/end/0/c"),"עץ שתול")</f>
        <v>עץ שתול</v>
      </c>
      <c r="H3103" t="str">
        <f>_xlfn.CONCAT("https://tablet.otzar.org/",CHAR(35),"/book/651554/p/-1/t/1/fs/0/start/0/end/0/c")</f>
        <v>https://tablet.otzar.org/#/book/651554/p/-1/t/1/fs/0/start/0/end/0/c</v>
      </c>
    </row>
    <row r="3104" spans="1:8" x14ac:dyDescent="0.25">
      <c r="A3104">
        <v>650921</v>
      </c>
      <c r="B3104" t="s">
        <v>6130</v>
      </c>
      <c r="C3104" t="s">
        <v>6131</v>
      </c>
      <c r="D3104" t="s">
        <v>34</v>
      </c>
      <c r="E3104" t="s">
        <v>84</v>
      </c>
      <c r="G3104" t="str">
        <f>HYPERLINK(_xlfn.CONCAT("https://tablet.otzar.org/",CHAR(35),"/book/650921/p/-1/t/1/fs/0/start/0/end/0/c"),"עצם השמים לטוהר")</f>
        <v>עצם השמים לטוהר</v>
      </c>
      <c r="H3104" t="str">
        <f>_xlfn.CONCAT("https://tablet.otzar.org/",CHAR(35),"/book/650921/p/-1/t/1/fs/0/start/0/end/0/c")</f>
        <v>https://tablet.otzar.org/#/book/650921/p/-1/t/1/fs/0/start/0/end/0/c</v>
      </c>
    </row>
    <row r="3105" spans="1:8" x14ac:dyDescent="0.25">
      <c r="A3105">
        <v>656190</v>
      </c>
      <c r="B3105" t="s">
        <v>6132</v>
      </c>
      <c r="C3105" t="s">
        <v>6133</v>
      </c>
      <c r="D3105" t="s">
        <v>328</v>
      </c>
      <c r="E3105" t="s">
        <v>29</v>
      </c>
      <c r="G3105" t="str">
        <f>HYPERLINK(_xlfn.CONCAT("https://tablet.otzar.org/",CHAR(35),"/book/656190/p/-1/t/1/fs/0/start/0/end/0/c"),"עקבות יצחק")</f>
        <v>עקבות יצחק</v>
      </c>
      <c r="H3105" t="str">
        <f>_xlfn.CONCAT("https://tablet.otzar.org/",CHAR(35),"/book/656190/p/-1/t/1/fs/0/start/0/end/0/c")</f>
        <v>https://tablet.otzar.org/#/book/656190/p/-1/t/1/fs/0/start/0/end/0/c</v>
      </c>
    </row>
    <row r="3106" spans="1:8" x14ac:dyDescent="0.25">
      <c r="A3106">
        <v>656246</v>
      </c>
      <c r="B3106" t="s">
        <v>6134</v>
      </c>
      <c r="C3106" t="s">
        <v>6135</v>
      </c>
      <c r="D3106" t="s">
        <v>10</v>
      </c>
      <c r="E3106" t="s">
        <v>11</v>
      </c>
      <c r="G3106" t="str">
        <f>HYPERLINK(_xlfn.CONCAT("https://tablet.otzar.org/",CHAR(35),"/book/656246/p/-1/t/1/fs/0/start/0/end/0/c"),"ערבים דברי דוד")</f>
        <v>ערבים דברי דוד</v>
      </c>
      <c r="H3106" t="str">
        <f>_xlfn.CONCAT("https://tablet.otzar.org/",CHAR(35),"/book/656246/p/-1/t/1/fs/0/start/0/end/0/c")</f>
        <v>https://tablet.otzar.org/#/book/656246/p/-1/t/1/fs/0/start/0/end/0/c</v>
      </c>
    </row>
    <row r="3107" spans="1:8" x14ac:dyDescent="0.25">
      <c r="A3107">
        <v>651603</v>
      </c>
      <c r="B3107" t="s">
        <v>6136</v>
      </c>
      <c r="C3107" t="s">
        <v>1406</v>
      </c>
      <c r="D3107" t="s">
        <v>951</v>
      </c>
      <c r="E3107" t="s">
        <v>383</v>
      </c>
      <c r="G3107" t="str">
        <f>HYPERLINK(_xlfn.CONCAT("https://tablet.otzar.org/",CHAR(35),"/exKotar/651603"),"ערוגות הבושם - 6 כרכים")</f>
        <v>ערוגות הבושם - 6 כרכים</v>
      </c>
      <c r="H3107" t="str">
        <f>_xlfn.CONCAT("https://tablet.otzar.org/",CHAR(35),"/exKotar/651603")</f>
        <v>https://tablet.otzar.org/#/exKotar/651603</v>
      </c>
    </row>
    <row r="3108" spans="1:8" x14ac:dyDescent="0.25">
      <c r="A3108">
        <v>655818</v>
      </c>
      <c r="B3108" t="s">
        <v>6137</v>
      </c>
      <c r="C3108" t="s">
        <v>6138</v>
      </c>
      <c r="D3108" t="s">
        <v>10</v>
      </c>
      <c r="E3108" t="s">
        <v>29</v>
      </c>
      <c r="G3108" t="str">
        <f>HYPERLINK(_xlfn.CONCAT("https://tablet.otzar.org/",CHAR(35),"/book/655818/p/-1/t/1/fs/0/start/0/end/0/c"),"ערוגת הבשם - הגדה של פסח")</f>
        <v>ערוגת הבשם - הגדה של פסח</v>
      </c>
      <c r="H3108" t="str">
        <f>_xlfn.CONCAT("https://tablet.otzar.org/",CHAR(35),"/book/655818/p/-1/t/1/fs/0/start/0/end/0/c")</f>
        <v>https://tablet.otzar.org/#/book/655818/p/-1/t/1/fs/0/start/0/end/0/c</v>
      </c>
    </row>
    <row r="3109" spans="1:8" x14ac:dyDescent="0.25">
      <c r="A3109">
        <v>651779</v>
      </c>
      <c r="B3109" t="s">
        <v>6139</v>
      </c>
      <c r="C3109" t="s">
        <v>6140</v>
      </c>
      <c r="D3109" t="s">
        <v>10</v>
      </c>
      <c r="E3109" t="s">
        <v>405</v>
      </c>
      <c r="G3109" t="str">
        <f>HYPERLINK(_xlfn.CONCAT("https://tablet.otzar.org/",CHAR(35),"/book/651779/p/-1/t/1/fs/0/start/0/end/0/c"),"ערוגת צבי - כלאים")</f>
        <v>ערוגת צבי - כלאים</v>
      </c>
      <c r="H3109" t="str">
        <f>_xlfn.CONCAT("https://tablet.otzar.org/",CHAR(35),"/book/651779/p/-1/t/1/fs/0/start/0/end/0/c")</f>
        <v>https://tablet.otzar.org/#/book/651779/p/-1/t/1/fs/0/start/0/end/0/c</v>
      </c>
    </row>
    <row r="3110" spans="1:8" x14ac:dyDescent="0.25">
      <c r="A3110">
        <v>651015</v>
      </c>
      <c r="B3110" t="s">
        <v>6141</v>
      </c>
      <c r="C3110" t="s">
        <v>6142</v>
      </c>
      <c r="D3110" t="s">
        <v>34</v>
      </c>
      <c r="E3110" t="s">
        <v>35</v>
      </c>
      <c r="G3110" t="str">
        <f>HYPERLINK(_xlfn.CONCAT("https://tablet.otzar.org/",CHAR(35),"/book/651015/p/-1/t/1/fs/0/start/0/end/0/c"),"ערוך השלחן העתיד - שביעית")</f>
        <v>ערוך השלחן העתיד - שביעית</v>
      </c>
      <c r="H3110" t="str">
        <f>_xlfn.CONCAT("https://tablet.otzar.org/",CHAR(35),"/book/651015/p/-1/t/1/fs/0/start/0/end/0/c")</f>
        <v>https://tablet.otzar.org/#/book/651015/p/-1/t/1/fs/0/start/0/end/0/c</v>
      </c>
    </row>
    <row r="3111" spans="1:8" x14ac:dyDescent="0.25">
      <c r="A3111">
        <v>653394</v>
      </c>
      <c r="B3111" t="s">
        <v>6143</v>
      </c>
      <c r="C3111" t="s">
        <v>6144</v>
      </c>
      <c r="D3111" t="s">
        <v>10</v>
      </c>
      <c r="E3111" t="s">
        <v>405</v>
      </c>
      <c r="G3111" t="str">
        <f>HYPERLINK(_xlfn.CONCAT("https://tablet.otzar.org/",CHAR(35),"/exKotar/653394"),"ערוך לנר &lt;מהדורה חדשה ומוערת&gt;  - 5 כרכים")</f>
        <v>ערוך לנר &lt;מהדורה חדשה ומוערת&gt;  - 5 כרכים</v>
      </c>
      <c r="H3111" t="str">
        <f>_xlfn.CONCAT("https://tablet.otzar.org/",CHAR(35),"/exKotar/653394")</f>
        <v>https://tablet.otzar.org/#/exKotar/653394</v>
      </c>
    </row>
    <row r="3112" spans="1:8" x14ac:dyDescent="0.25">
      <c r="A3112">
        <v>653949</v>
      </c>
      <c r="B3112" t="s">
        <v>6145</v>
      </c>
      <c r="C3112" t="s">
        <v>1624</v>
      </c>
      <c r="D3112" t="s">
        <v>34</v>
      </c>
      <c r="E3112" t="s">
        <v>11</v>
      </c>
      <c r="G3112" t="str">
        <f>HYPERLINK(_xlfn.CONCAT("https://tablet.otzar.org/",CHAR(35),"/book/653949/p/-1/t/1/fs/0/start/0/end/0/c"),"עריכת ספירה")</f>
        <v>עריכת ספירה</v>
      </c>
      <c r="H3112" t="str">
        <f>_xlfn.CONCAT("https://tablet.otzar.org/",CHAR(35),"/book/653949/p/-1/t/1/fs/0/start/0/end/0/c")</f>
        <v>https://tablet.otzar.org/#/book/653949/p/-1/t/1/fs/0/start/0/end/0/c</v>
      </c>
    </row>
    <row r="3113" spans="1:8" x14ac:dyDescent="0.25">
      <c r="A3113">
        <v>653534</v>
      </c>
      <c r="B3113" t="s">
        <v>6146</v>
      </c>
      <c r="C3113" t="s">
        <v>6147</v>
      </c>
      <c r="E3113" t="s">
        <v>205</v>
      </c>
      <c r="G3113" t="str">
        <f>HYPERLINK(_xlfn.CONCAT("https://tablet.otzar.org/",CHAR(35),"/book/653534/p/-1/t/1/fs/0/start/0/end/0/c"),"ערך הקודש - ערכין")</f>
        <v>ערך הקודש - ערכין</v>
      </c>
      <c r="H3113" t="str">
        <f>_xlfn.CONCAT("https://tablet.otzar.org/",CHAR(35),"/book/653534/p/-1/t/1/fs/0/start/0/end/0/c")</f>
        <v>https://tablet.otzar.org/#/book/653534/p/-1/t/1/fs/0/start/0/end/0/c</v>
      </c>
    </row>
    <row r="3114" spans="1:8" x14ac:dyDescent="0.25">
      <c r="A3114">
        <v>100608</v>
      </c>
      <c r="B3114" t="s">
        <v>6148</v>
      </c>
      <c r="C3114" t="s">
        <v>6149</v>
      </c>
      <c r="D3114" t="s">
        <v>3860</v>
      </c>
      <c r="E3114" t="s">
        <v>261</v>
      </c>
      <c r="G3114" t="str">
        <f>HYPERLINK(_xlfn.CONCAT("https://tablet.otzar.org/",CHAR(35),"/book/100608/p/-1/t/1/fs/0/start/0/end/0/c"),"ערך מלין")</f>
        <v>ערך מלין</v>
      </c>
      <c r="H3114" t="str">
        <f>_xlfn.CONCAT("https://tablet.otzar.org/",CHAR(35),"/book/100608/p/-1/t/1/fs/0/start/0/end/0/c")</f>
        <v>https://tablet.otzar.org/#/book/100608/p/-1/t/1/fs/0/start/0/end/0/c</v>
      </c>
    </row>
    <row r="3115" spans="1:8" x14ac:dyDescent="0.25">
      <c r="A3115">
        <v>650573</v>
      </c>
      <c r="B3115" t="s">
        <v>6150</v>
      </c>
      <c r="C3115" t="s">
        <v>5235</v>
      </c>
      <c r="E3115" t="s">
        <v>237</v>
      </c>
      <c r="G3115" t="str">
        <f>HYPERLINK(_xlfn.CONCAT("https://tablet.otzar.org/",CHAR(35),"/exKotar/650573"),"עשה חיל - 3 כרכים")</f>
        <v>עשה חיל - 3 כרכים</v>
      </c>
      <c r="H3115" t="str">
        <f>_xlfn.CONCAT("https://tablet.otzar.org/",CHAR(35),"/exKotar/650573")</f>
        <v>https://tablet.otzar.org/#/exKotar/650573</v>
      </c>
    </row>
    <row r="3116" spans="1:8" x14ac:dyDescent="0.25">
      <c r="A3116">
        <v>649820</v>
      </c>
      <c r="B3116" t="s">
        <v>6151</v>
      </c>
      <c r="C3116" t="s">
        <v>3074</v>
      </c>
      <c r="D3116" t="s">
        <v>3075</v>
      </c>
      <c r="E3116" t="s">
        <v>11</v>
      </c>
      <c r="G3116" t="str">
        <f>HYPERLINK(_xlfn.CONCAT("https://tablet.otzar.org/",CHAR(35),"/book/649820/p/-1/t/1/fs/0/start/0/end/0/c"),"עשה לך רב")</f>
        <v>עשה לך רב</v>
      </c>
      <c r="H3116" t="str">
        <f>_xlfn.CONCAT("https://tablet.otzar.org/",CHAR(35),"/book/649820/p/-1/t/1/fs/0/start/0/end/0/c")</f>
        <v>https://tablet.otzar.org/#/book/649820/p/-1/t/1/fs/0/start/0/end/0/c</v>
      </c>
    </row>
    <row r="3117" spans="1:8" x14ac:dyDescent="0.25">
      <c r="A3117">
        <v>647373</v>
      </c>
      <c r="B3117" t="s">
        <v>6152</v>
      </c>
      <c r="C3117" t="s">
        <v>6153</v>
      </c>
      <c r="D3117" t="s">
        <v>10</v>
      </c>
      <c r="E3117" t="s">
        <v>1288</v>
      </c>
      <c r="G3117" t="str">
        <f>HYPERLINK(_xlfn.CONCAT("https://tablet.otzar.org/",CHAR(35),"/book/647373/p/-1/t/1/fs/0/start/0/end/0/c"),"עשות חסד")</f>
        <v>עשות חסד</v>
      </c>
      <c r="H3117" t="str">
        <f>_xlfn.CONCAT("https://tablet.otzar.org/",CHAR(35),"/book/647373/p/-1/t/1/fs/0/start/0/end/0/c")</f>
        <v>https://tablet.otzar.org/#/book/647373/p/-1/t/1/fs/0/start/0/end/0/c</v>
      </c>
    </row>
    <row r="3118" spans="1:8" x14ac:dyDescent="0.25">
      <c r="A3118">
        <v>651503</v>
      </c>
      <c r="B3118" t="s">
        <v>6154</v>
      </c>
      <c r="C3118" t="s">
        <v>6155</v>
      </c>
      <c r="D3118" t="s">
        <v>10</v>
      </c>
      <c r="E3118" t="s">
        <v>70</v>
      </c>
      <c r="G3118" t="str">
        <f>HYPERLINK(_xlfn.CONCAT("https://tablet.otzar.org/",CHAR(35),"/exKotar/651503"),"עשות משפט - 2 כרכים")</f>
        <v>עשות משפט - 2 כרכים</v>
      </c>
      <c r="H3118" t="str">
        <f>_xlfn.CONCAT("https://tablet.otzar.org/",CHAR(35),"/exKotar/651503")</f>
        <v>https://tablet.otzar.org/#/exKotar/651503</v>
      </c>
    </row>
    <row r="3119" spans="1:8" x14ac:dyDescent="0.25">
      <c r="A3119">
        <v>649423</v>
      </c>
      <c r="B3119" t="s">
        <v>6156</v>
      </c>
      <c r="C3119" t="s">
        <v>6157</v>
      </c>
      <c r="D3119" t="s">
        <v>6158</v>
      </c>
      <c r="E3119" t="s">
        <v>6159</v>
      </c>
      <c r="G3119" t="str">
        <f>HYPERLINK(_xlfn.CONCAT("https://tablet.otzar.org/",CHAR(35),"/book/649423/p/-1/t/1/fs/0/start/0/end/0/c"),"עשרה למאה")</f>
        <v>עשרה למאה</v>
      </c>
      <c r="H3119" t="str">
        <f>_xlfn.CONCAT("https://tablet.otzar.org/",CHAR(35),"/book/649423/p/-1/t/1/fs/0/start/0/end/0/c")</f>
        <v>https://tablet.otzar.org/#/book/649423/p/-1/t/1/fs/0/start/0/end/0/c</v>
      </c>
    </row>
    <row r="3120" spans="1:8" x14ac:dyDescent="0.25">
      <c r="A3120">
        <v>649300</v>
      </c>
      <c r="B3120" t="s">
        <v>4782</v>
      </c>
      <c r="C3120" t="s">
        <v>6160</v>
      </c>
      <c r="D3120" t="s">
        <v>6161</v>
      </c>
      <c r="E3120" t="s">
        <v>5978</v>
      </c>
      <c r="G3120" t="str">
        <f>HYPERLINK(_xlfn.CONCAT("https://tablet.otzar.org/",CHAR(35),"/book/649300/p/-1/t/1/fs/0/start/0/end/0/c"),"עשרת השבטים")</f>
        <v>עשרת השבטים</v>
      </c>
      <c r="H3120" t="str">
        <f>_xlfn.CONCAT("https://tablet.otzar.org/",CHAR(35),"/book/649300/p/-1/t/1/fs/0/start/0/end/0/c")</f>
        <v>https://tablet.otzar.org/#/book/649300/p/-1/t/1/fs/0/start/0/end/0/c</v>
      </c>
    </row>
    <row r="3121" spans="1:8" x14ac:dyDescent="0.25">
      <c r="A3121">
        <v>650285</v>
      </c>
      <c r="B3121" t="s">
        <v>6162</v>
      </c>
      <c r="C3121" t="s">
        <v>382</v>
      </c>
      <c r="D3121" t="s">
        <v>463</v>
      </c>
      <c r="E3121" t="s">
        <v>11</v>
      </c>
      <c r="G3121" t="str">
        <f>HYPERLINK(_xlfn.CONCAT("https://tablet.otzar.org/",CHAR(35),"/book/650285/p/-1/t/1/fs/0/start/0/end/0/c"),"עשרת ימי תשובה")</f>
        <v>עשרת ימי תשובה</v>
      </c>
      <c r="H3121" t="str">
        <f>_xlfn.CONCAT("https://tablet.otzar.org/",CHAR(35),"/book/650285/p/-1/t/1/fs/0/start/0/end/0/c")</f>
        <v>https://tablet.otzar.org/#/book/650285/p/-1/t/1/fs/0/start/0/end/0/c</v>
      </c>
    </row>
    <row r="3122" spans="1:8" x14ac:dyDescent="0.25">
      <c r="A3122">
        <v>652652</v>
      </c>
      <c r="B3122" t="s">
        <v>6163</v>
      </c>
      <c r="C3122" t="s">
        <v>6164</v>
      </c>
      <c r="E3122" t="s">
        <v>4984</v>
      </c>
      <c r="G3122" t="str">
        <f>HYPERLINK(_xlfn.CONCAT("https://tablet.otzar.org/",CHAR(35),"/book/652652/p/-1/t/1/fs/0/start/0/end/0/c"),"עת הזמיר")</f>
        <v>עת הזמיר</v>
      </c>
      <c r="H3122" t="str">
        <f>_xlfn.CONCAT("https://tablet.otzar.org/",CHAR(35),"/book/652652/p/-1/t/1/fs/0/start/0/end/0/c")</f>
        <v>https://tablet.otzar.org/#/book/652652/p/-1/t/1/fs/0/start/0/end/0/c</v>
      </c>
    </row>
    <row r="3123" spans="1:8" x14ac:dyDescent="0.25">
      <c r="A3123">
        <v>648462</v>
      </c>
      <c r="B3123" t="s">
        <v>6163</v>
      </c>
      <c r="C3123" t="s">
        <v>6165</v>
      </c>
      <c r="D3123" t="s">
        <v>791</v>
      </c>
      <c r="E3123" t="s">
        <v>3629</v>
      </c>
      <c r="G3123" t="str">
        <f>HYPERLINK(_xlfn.CONCAT("https://tablet.otzar.org/",CHAR(35),"/book/648462/p/-1/t/1/fs/0/start/0/end/0/c"),"עת הזמיר")</f>
        <v>עת הזמיר</v>
      </c>
      <c r="H3123" t="str">
        <f>_xlfn.CONCAT("https://tablet.otzar.org/",CHAR(35),"/book/648462/p/-1/t/1/fs/0/start/0/end/0/c")</f>
        <v>https://tablet.otzar.org/#/book/648462/p/-1/t/1/fs/0/start/0/end/0/c</v>
      </c>
    </row>
    <row r="3124" spans="1:8" x14ac:dyDescent="0.25">
      <c r="A3124">
        <v>651632</v>
      </c>
      <c r="B3124" t="s">
        <v>6166</v>
      </c>
      <c r="C3124" t="s">
        <v>6167</v>
      </c>
      <c r="D3124" t="s">
        <v>10</v>
      </c>
      <c r="E3124" t="s">
        <v>35</v>
      </c>
      <c r="G3124" t="str">
        <f>HYPERLINK(_xlfn.CONCAT("https://tablet.otzar.org/",CHAR(35),"/book/651632/p/-1/t/1/fs/0/start/0/end/0/c"),"עת לדרוש")</f>
        <v>עת לדרוש</v>
      </c>
      <c r="H3124" t="str">
        <f>_xlfn.CONCAT("https://tablet.otzar.org/",CHAR(35),"/book/651632/p/-1/t/1/fs/0/start/0/end/0/c")</f>
        <v>https://tablet.otzar.org/#/book/651632/p/-1/t/1/fs/0/start/0/end/0/c</v>
      </c>
    </row>
    <row r="3125" spans="1:8" x14ac:dyDescent="0.25">
      <c r="A3125">
        <v>655474</v>
      </c>
      <c r="B3125" t="s">
        <v>6168</v>
      </c>
      <c r="C3125" t="s">
        <v>6169</v>
      </c>
      <c r="D3125" t="s">
        <v>6170</v>
      </c>
      <c r="E3125" t="s">
        <v>6171</v>
      </c>
      <c r="G3125" t="str">
        <f>HYPERLINK(_xlfn.CONCAT("https://tablet.otzar.org/",CHAR(35),"/book/655474/p/-1/t/1/fs/0/start/0/end/0/c"),"עת לכל חפץ")</f>
        <v>עת לכל חפץ</v>
      </c>
      <c r="H3125" t="str">
        <f>_xlfn.CONCAT("https://tablet.otzar.org/",CHAR(35),"/book/655474/p/-1/t/1/fs/0/start/0/end/0/c")</f>
        <v>https://tablet.otzar.org/#/book/655474/p/-1/t/1/fs/0/start/0/end/0/c</v>
      </c>
    </row>
    <row r="3126" spans="1:8" x14ac:dyDescent="0.25">
      <c r="A3126">
        <v>643135</v>
      </c>
      <c r="B3126" t="s">
        <v>6172</v>
      </c>
      <c r="C3126" t="s">
        <v>6173</v>
      </c>
      <c r="D3126" t="s">
        <v>10</v>
      </c>
      <c r="E3126" t="s">
        <v>70</v>
      </c>
      <c r="G3126" t="str">
        <f>HYPERLINK(_xlfn.CONCAT("https://tablet.otzar.org/",CHAR(35),"/book/643135/p/-1/t/1/fs/0/start/0/end/0/c"),"עת ספוד")</f>
        <v>עת ספוד</v>
      </c>
      <c r="H3126" t="str">
        <f>_xlfn.CONCAT("https://tablet.otzar.org/",CHAR(35),"/book/643135/p/-1/t/1/fs/0/start/0/end/0/c")</f>
        <v>https://tablet.otzar.org/#/book/643135/p/-1/t/1/fs/0/start/0/end/0/c</v>
      </c>
    </row>
    <row r="3127" spans="1:8" x14ac:dyDescent="0.25">
      <c r="A3127">
        <v>647650</v>
      </c>
      <c r="B3127" t="s">
        <v>6174</v>
      </c>
      <c r="C3127" t="s">
        <v>2392</v>
      </c>
      <c r="D3127" t="s">
        <v>139</v>
      </c>
      <c r="E3127" t="s">
        <v>45</v>
      </c>
      <c r="G3127" t="str">
        <f>HYPERLINK(_xlfn.CONCAT("https://tablet.otzar.org/",CHAR(35),"/book/647650/p/-1/t/1/fs/0/start/0/end/0/c"),"פאר והדר - הלכות שכר שכיר בזמנו")</f>
        <v>פאר והדר - הלכות שכר שכיר בזמנו</v>
      </c>
      <c r="H3127" t="str">
        <f>_xlfn.CONCAT("https://tablet.otzar.org/",CHAR(35),"/book/647650/p/-1/t/1/fs/0/start/0/end/0/c")</f>
        <v>https://tablet.otzar.org/#/book/647650/p/-1/t/1/fs/0/start/0/end/0/c</v>
      </c>
    </row>
    <row r="3128" spans="1:8" x14ac:dyDescent="0.25">
      <c r="A3128">
        <v>647635</v>
      </c>
      <c r="B3128" t="s">
        <v>6175</v>
      </c>
      <c r="C3128" t="s">
        <v>6176</v>
      </c>
      <c r="D3128" t="s">
        <v>10</v>
      </c>
      <c r="E3128" t="s">
        <v>6177</v>
      </c>
      <c r="G3128" t="str">
        <f>HYPERLINK(_xlfn.CONCAT("https://tablet.otzar.org/",CHAR(35),"/book/647635/p/-1/t/1/fs/0/start/0/end/0/c"),"פאר וכבוד")</f>
        <v>פאר וכבוד</v>
      </c>
      <c r="H3128" t="str">
        <f>_xlfn.CONCAT("https://tablet.otzar.org/",CHAR(35),"/book/647635/p/-1/t/1/fs/0/start/0/end/0/c")</f>
        <v>https://tablet.otzar.org/#/book/647635/p/-1/t/1/fs/0/start/0/end/0/c</v>
      </c>
    </row>
    <row r="3129" spans="1:8" x14ac:dyDescent="0.25">
      <c r="A3129">
        <v>649983</v>
      </c>
      <c r="B3129" t="s">
        <v>6178</v>
      </c>
      <c r="C3129" t="s">
        <v>6179</v>
      </c>
      <c r="E3129" t="s">
        <v>213</v>
      </c>
      <c r="G3129" t="str">
        <f>HYPERLINK(_xlfn.CONCAT("https://tablet.otzar.org/",CHAR(35),"/book/649983/p/-1/t/1/fs/0/start/0/end/0/c"),"פאר מקודשים")</f>
        <v>פאר מקודשים</v>
      </c>
      <c r="H3129" t="str">
        <f>_xlfn.CONCAT("https://tablet.otzar.org/",CHAR(35),"/book/649983/p/-1/t/1/fs/0/start/0/end/0/c")</f>
        <v>https://tablet.otzar.org/#/book/649983/p/-1/t/1/fs/0/start/0/end/0/c</v>
      </c>
    </row>
    <row r="3130" spans="1:8" x14ac:dyDescent="0.25">
      <c r="A3130">
        <v>654061</v>
      </c>
      <c r="B3130" t="s">
        <v>6180</v>
      </c>
      <c r="C3130" t="s">
        <v>1817</v>
      </c>
      <c r="D3130" t="s">
        <v>1586</v>
      </c>
      <c r="E3130" t="s">
        <v>352</v>
      </c>
      <c r="G3130" t="str">
        <f>HYPERLINK(_xlfn.CONCAT("https://tablet.otzar.org/",CHAR(35),"/book/654061/p/-1/t/1/fs/0/start/0/end/0/c"),"פאר משה")</f>
        <v>פאר משה</v>
      </c>
      <c r="H3130" t="str">
        <f>_xlfn.CONCAT("https://tablet.otzar.org/",CHAR(35),"/book/654061/p/-1/t/1/fs/0/start/0/end/0/c")</f>
        <v>https://tablet.otzar.org/#/book/654061/p/-1/t/1/fs/0/start/0/end/0/c</v>
      </c>
    </row>
    <row r="3131" spans="1:8" x14ac:dyDescent="0.25">
      <c r="A3131">
        <v>651016</v>
      </c>
      <c r="B3131" t="s">
        <v>6181</v>
      </c>
      <c r="C3131" t="s">
        <v>6182</v>
      </c>
      <c r="D3131" t="s">
        <v>52</v>
      </c>
      <c r="E3131" t="s">
        <v>35</v>
      </c>
      <c r="G3131" t="str">
        <f>HYPERLINK(_xlfn.CONCAT("https://tablet.otzar.org/",CHAR(35),"/book/651016/p/-1/t/1/fs/0/start/0/end/0/c"),"פאת הקדש - סנהדרין")</f>
        <v>פאת הקדש - סנהדרין</v>
      </c>
      <c r="H3131" t="str">
        <f>_xlfn.CONCAT("https://tablet.otzar.org/",CHAR(35),"/book/651016/p/-1/t/1/fs/0/start/0/end/0/c")</f>
        <v>https://tablet.otzar.org/#/book/651016/p/-1/t/1/fs/0/start/0/end/0/c</v>
      </c>
    </row>
    <row r="3132" spans="1:8" x14ac:dyDescent="0.25">
      <c r="A3132">
        <v>648800</v>
      </c>
      <c r="B3132" t="s">
        <v>6183</v>
      </c>
      <c r="C3132" t="s">
        <v>6184</v>
      </c>
      <c r="D3132" t="s">
        <v>10</v>
      </c>
      <c r="E3132" t="s">
        <v>70</v>
      </c>
      <c r="G3132" t="str">
        <f>HYPERLINK(_xlfn.CONCAT("https://tablet.otzar.org/",CHAR(35),"/book/648800/p/-1/t/1/fs/0/start/0/end/0/c"),"פון דער פרשה")</f>
        <v>פון דער פרשה</v>
      </c>
      <c r="H3132" t="str">
        <f>_xlfn.CONCAT("https://tablet.otzar.org/",CHAR(35),"/book/648800/p/-1/t/1/fs/0/start/0/end/0/c")</f>
        <v>https://tablet.otzar.org/#/book/648800/p/-1/t/1/fs/0/start/0/end/0/c</v>
      </c>
    </row>
    <row r="3133" spans="1:8" x14ac:dyDescent="0.25">
      <c r="A3133">
        <v>636378</v>
      </c>
      <c r="B3133" t="s">
        <v>6185</v>
      </c>
      <c r="C3133" t="s">
        <v>6186</v>
      </c>
      <c r="D3133" t="s">
        <v>6187</v>
      </c>
      <c r="E3133">
        <v>1947</v>
      </c>
      <c r="G3133" t="str">
        <f>HYPERLINK(_xlfn.CONCAT("https://tablet.otzar.org/",CHAR(35),"/book/636378/p/-1/t/1/fs/0/start/0/end/0/c"),"פון לעצטן חורבן - 6")</f>
        <v>פון לעצטן חורבן - 6</v>
      </c>
      <c r="H3133" t="str">
        <f>_xlfn.CONCAT("https://tablet.otzar.org/",CHAR(35),"/book/636378/p/-1/t/1/fs/0/start/0/end/0/c")</f>
        <v>https://tablet.otzar.org/#/book/636378/p/-1/t/1/fs/0/start/0/end/0/c</v>
      </c>
    </row>
    <row r="3134" spans="1:8" x14ac:dyDescent="0.25">
      <c r="A3134">
        <v>656066</v>
      </c>
      <c r="B3134" t="s">
        <v>6188</v>
      </c>
      <c r="C3134" t="s">
        <v>1293</v>
      </c>
      <c r="D3134" t="s">
        <v>606</v>
      </c>
      <c r="E3134" t="s">
        <v>35</v>
      </c>
      <c r="G3134" t="str">
        <f>HYPERLINK(_xlfn.CONCAT("https://tablet.otzar.org/",CHAR(35),"/book/656066/p/-1/t/1/fs/0/start/0/end/0/c"),"פורים בחיפה")</f>
        <v>פורים בחיפה</v>
      </c>
      <c r="H3134" t="str">
        <f>_xlfn.CONCAT("https://tablet.otzar.org/",CHAR(35),"/book/656066/p/-1/t/1/fs/0/start/0/end/0/c")</f>
        <v>https://tablet.otzar.org/#/book/656066/p/-1/t/1/fs/0/start/0/end/0/c</v>
      </c>
    </row>
    <row r="3135" spans="1:8" x14ac:dyDescent="0.25">
      <c r="A3135">
        <v>647781</v>
      </c>
      <c r="B3135" t="s">
        <v>6189</v>
      </c>
      <c r="C3135" t="s">
        <v>6190</v>
      </c>
      <c r="D3135" t="s">
        <v>28</v>
      </c>
      <c r="E3135" t="s">
        <v>11</v>
      </c>
      <c r="G3135" t="str">
        <f>HYPERLINK(_xlfn.CONCAT("https://tablet.otzar.org/",CHAR(35),"/book/647781/p/-1/t/1/fs/0/start/0/end/0/c"),"פותח שערים השלם")</f>
        <v>פותח שערים השלם</v>
      </c>
      <c r="H3135" t="str">
        <f>_xlfn.CONCAT("https://tablet.otzar.org/",CHAR(35),"/book/647781/p/-1/t/1/fs/0/start/0/end/0/c")</f>
        <v>https://tablet.otzar.org/#/book/647781/p/-1/t/1/fs/0/start/0/end/0/c</v>
      </c>
    </row>
    <row r="3136" spans="1:8" x14ac:dyDescent="0.25">
      <c r="A3136">
        <v>650759</v>
      </c>
      <c r="B3136" t="s">
        <v>6191</v>
      </c>
      <c r="C3136" t="s">
        <v>4588</v>
      </c>
      <c r="D3136" t="s">
        <v>4203</v>
      </c>
      <c r="E3136" t="s">
        <v>11</v>
      </c>
      <c r="G3136" t="str">
        <f>HYPERLINK(_xlfn.CONCAT("https://tablet.otzar.org/",CHAR(35),"/book/650759/p/-1/t/1/fs/0/start/0/end/0/c"),"פזר נתן - הלכות צדקה ומעשר כספים")</f>
        <v>פזר נתן - הלכות צדקה ומעשר כספים</v>
      </c>
      <c r="H3136" t="str">
        <f>_xlfn.CONCAT("https://tablet.otzar.org/",CHAR(35),"/book/650759/p/-1/t/1/fs/0/start/0/end/0/c")</f>
        <v>https://tablet.otzar.org/#/book/650759/p/-1/t/1/fs/0/start/0/end/0/c</v>
      </c>
    </row>
    <row r="3137" spans="1:8" x14ac:dyDescent="0.25">
      <c r="A3137">
        <v>656795</v>
      </c>
      <c r="B3137" t="s">
        <v>6192</v>
      </c>
      <c r="C3137" t="s">
        <v>4443</v>
      </c>
      <c r="D3137" t="s">
        <v>10</v>
      </c>
      <c r="E3137" t="s">
        <v>45</v>
      </c>
      <c r="G3137" t="str">
        <f>HYPERLINK(_xlfn.CONCAT("https://tablet.otzar.org/",CHAR(35),"/exKotar/656795"),"פחד יצחק - 5 כרכים")</f>
        <v>פחד יצחק - 5 כרכים</v>
      </c>
      <c r="H3137" t="str">
        <f>_xlfn.CONCAT("https://tablet.otzar.org/",CHAR(35),"/exKotar/656795")</f>
        <v>https://tablet.otzar.org/#/exKotar/656795</v>
      </c>
    </row>
    <row r="3138" spans="1:8" x14ac:dyDescent="0.25">
      <c r="A3138">
        <v>656352</v>
      </c>
      <c r="B3138" t="s">
        <v>6193</v>
      </c>
      <c r="C3138" t="s">
        <v>1164</v>
      </c>
      <c r="D3138" t="s">
        <v>10</v>
      </c>
      <c r="E3138" t="s">
        <v>29</v>
      </c>
      <c r="G3138" t="str">
        <f>HYPERLINK(_xlfn.CONCAT("https://tablet.otzar.org/",CHAR(35),"/exKotar/656352"),"פחד יצחק - 2 כרכים")</f>
        <v>פחד יצחק - 2 כרכים</v>
      </c>
      <c r="H3138" t="str">
        <f>_xlfn.CONCAT("https://tablet.otzar.org/",CHAR(35),"/exKotar/656352")</f>
        <v>https://tablet.otzar.org/#/exKotar/656352</v>
      </c>
    </row>
    <row r="3139" spans="1:8" x14ac:dyDescent="0.25">
      <c r="A3139">
        <v>651082</v>
      </c>
      <c r="B3139" t="s">
        <v>6194</v>
      </c>
      <c r="C3139" t="s">
        <v>3690</v>
      </c>
      <c r="D3139" t="s">
        <v>10</v>
      </c>
      <c r="E3139" t="s">
        <v>45</v>
      </c>
      <c r="G3139" t="str">
        <f>HYPERLINK(_xlfn.CONCAT("https://tablet.otzar.org/",CHAR(35),"/book/651082/p/-1/t/1/fs/0/start/0/end/0/c"),"פי כהן - מסילת ישרים")</f>
        <v>פי כהן - מסילת ישרים</v>
      </c>
      <c r="H3139" t="str">
        <f>_xlfn.CONCAT("https://tablet.otzar.org/",CHAR(35),"/book/651082/p/-1/t/1/fs/0/start/0/end/0/c")</f>
        <v>https://tablet.otzar.org/#/book/651082/p/-1/t/1/fs/0/start/0/end/0/c</v>
      </c>
    </row>
    <row r="3140" spans="1:8" x14ac:dyDescent="0.25">
      <c r="A3140">
        <v>652860</v>
      </c>
      <c r="B3140" t="s">
        <v>6195</v>
      </c>
      <c r="C3140" t="s">
        <v>6196</v>
      </c>
      <c r="D3140" t="s">
        <v>10</v>
      </c>
      <c r="E3140" t="s">
        <v>11</v>
      </c>
      <c r="G3140" t="str">
        <f>HYPERLINK(_xlfn.CONCAT("https://tablet.otzar.org/",CHAR(35),"/exKotar/652860"),"פי כהן - 8 כרכים")</f>
        <v>פי כהן - 8 כרכים</v>
      </c>
      <c r="H3140" t="str">
        <f>_xlfn.CONCAT("https://tablet.otzar.org/",CHAR(35),"/exKotar/652860")</f>
        <v>https://tablet.otzar.org/#/exKotar/652860</v>
      </c>
    </row>
    <row r="3141" spans="1:8" x14ac:dyDescent="0.25">
      <c r="A3141">
        <v>641423</v>
      </c>
      <c r="B3141" t="s">
        <v>6197</v>
      </c>
      <c r="C3141" t="s">
        <v>5762</v>
      </c>
      <c r="E3141" t="s">
        <v>690</v>
      </c>
      <c r="G3141" t="str">
        <f>HYPERLINK(_xlfn.CONCAT("https://tablet.otzar.org/",CHAR(35),"/book/641423/p/-1/t/1/fs/0/start/0/end/0/c"),"פיוטים לארבע פרשיות עם פירוש רש""""י ובית מדרשו")</f>
        <v>פיוטים לארבע פרשיות עם פירוש רש""י ובית מדרשו</v>
      </c>
      <c r="H3141" t="str">
        <f>_xlfn.CONCAT("https://tablet.otzar.org/",CHAR(35),"/book/641423/p/-1/t/1/fs/0/start/0/end/0/c")</f>
        <v>https://tablet.otzar.org/#/book/641423/p/-1/t/1/fs/0/start/0/end/0/c</v>
      </c>
    </row>
    <row r="3142" spans="1:8" x14ac:dyDescent="0.25">
      <c r="A3142">
        <v>643293</v>
      </c>
      <c r="B3142" t="s">
        <v>6198</v>
      </c>
      <c r="C3142" t="s">
        <v>6199</v>
      </c>
      <c r="D3142" t="s">
        <v>10</v>
      </c>
      <c r="E3142" t="s">
        <v>558</v>
      </c>
      <c r="G3142" t="str">
        <f>HYPERLINK(_xlfn.CONCAT("https://tablet.otzar.org/",CHAR(35),"/book/643293/p/-1/t/1/fs/0/start/0/end/0/c"),"פינת יקרת")</f>
        <v>פינת יקרת</v>
      </c>
      <c r="H3142" t="str">
        <f>_xlfn.CONCAT("https://tablet.otzar.org/",CHAR(35),"/book/643293/p/-1/t/1/fs/0/start/0/end/0/c")</f>
        <v>https://tablet.otzar.org/#/book/643293/p/-1/t/1/fs/0/start/0/end/0/c</v>
      </c>
    </row>
    <row r="3143" spans="1:8" x14ac:dyDescent="0.25">
      <c r="A3143">
        <v>655804</v>
      </c>
      <c r="B3143" t="s">
        <v>6200</v>
      </c>
      <c r="C3143" t="s">
        <v>6201</v>
      </c>
      <c r="D3143" t="s">
        <v>52</v>
      </c>
      <c r="E3143" t="s">
        <v>35</v>
      </c>
      <c r="G3143" t="str">
        <f>HYPERLINK(_xlfn.CONCAT("https://tablet.otzar.org/",CHAR(35),"/exKotar/655804"),"פינת יקרת - 3 כרכים")</f>
        <v>פינת יקרת - 3 כרכים</v>
      </c>
      <c r="H3143" t="str">
        <f>_xlfn.CONCAT("https://tablet.otzar.org/",CHAR(35),"/exKotar/655804")</f>
        <v>https://tablet.otzar.org/#/exKotar/655804</v>
      </c>
    </row>
    <row r="3144" spans="1:8" x14ac:dyDescent="0.25">
      <c r="A3144">
        <v>650926</v>
      </c>
      <c r="B3144" t="s">
        <v>6202</v>
      </c>
      <c r="C3144" t="s">
        <v>6203</v>
      </c>
      <c r="D3144" t="s">
        <v>10</v>
      </c>
      <c r="E3144" t="s">
        <v>114</v>
      </c>
      <c r="G3144" t="str">
        <f>HYPERLINK(_xlfn.CONCAT("https://tablet.otzar.org/",CHAR(35),"/exKotar/650926"),"פירוש הטור הארוך על התורה - 2 כרכים")</f>
        <v>פירוש הטור הארוך על התורה - 2 כרכים</v>
      </c>
      <c r="H3144" t="str">
        <f>_xlfn.CONCAT("https://tablet.otzar.org/",CHAR(35),"/exKotar/650926")</f>
        <v>https://tablet.otzar.org/#/exKotar/650926</v>
      </c>
    </row>
    <row r="3145" spans="1:8" x14ac:dyDescent="0.25">
      <c r="A3145">
        <v>649424</v>
      </c>
      <c r="B3145" t="s">
        <v>6204</v>
      </c>
      <c r="C3145" t="s">
        <v>6205</v>
      </c>
      <c r="D3145" t="s">
        <v>6206</v>
      </c>
      <c r="E3145" t="s">
        <v>4613</v>
      </c>
      <c r="G3145" t="str">
        <f>HYPERLINK(_xlfn.CONCAT("https://tablet.otzar.org/",CHAR(35),"/book/649424/p/-1/t/1/fs/0/start/0/end/0/c"),"פירוש על שיר השירים")</f>
        <v>פירוש על שיר השירים</v>
      </c>
      <c r="H3145" t="str">
        <f>_xlfn.CONCAT("https://tablet.otzar.org/",CHAR(35),"/book/649424/p/-1/t/1/fs/0/start/0/end/0/c")</f>
        <v>https://tablet.otzar.org/#/book/649424/p/-1/t/1/fs/0/start/0/end/0/c</v>
      </c>
    </row>
    <row r="3146" spans="1:8" x14ac:dyDescent="0.25">
      <c r="A3146">
        <v>655470</v>
      </c>
      <c r="B3146" t="s">
        <v>6207</v>
      </c>
      <c r="C3146" t="s">
        <v>5762</v>
      </c>
      <c r="D3146" t="s">
        <v>573</v>
      </c>
      <c r="E3146" t="s">
        <v>763</v>
      </c>
      <c r="G3146" t="str">
        <f>HYPERLINK(_xlfn.CONCAT("https://tablet.otzar.org/",CHAR(35),"/book/655470/p/-1/t/1/fs/0/start/0/end/0/c"),"פירוש רש""""י לתורה &lt;דפוס רומי רכ""""ט עם חילופי נוסחאות מכת""""י ודפו""""ר&gt; - ויקרא")</f>
        <v>פירוש רש""י לתורה &lt;דפוס רומי רכ""ט עם חילופי נוסחאות מכת""י ודפו""ר&gt; - ויקרא</v>
      </c>
      <c r="H3146" t="str">
        <f>_xlfn.CONCAT("https://tablet.otzar.org/",CHAR(35),"/book/655470/p/-1/t/1/fs/0/start/0/end/0/c")</f>
        <v>https://tablet.otzar.org/#/book/655470/p/-1/t/1/fs/0/start/0/end/0/c</v>
      </c>
    </row>
    <row r="3147" spans="1:8" x14ac:dyDescent="0.25">
      <c r="A3147">
        <v>650624</v>
      </c>
      <c r="B3147" t="s">
        <v>6208</v>
      </c>
      <c r="C3147" t="s">
        <v>6209</v>
      </c>
      <c r="D3147" t="s">
        <v>1453</v>
      </c>
      <c r="E3147" t="s">
        <v>35</v>
      </c>
      <c r="G3147" t="str">
        <f>HYPERLINK(_xlfn.CONCAT("https://tablet.otzar.org/",CHAR(35),"/book/650624/p/-1/t/1/fs/0/start/0/end/0/c"),"פירוש רש""""י לתורה בעידן הדפוס &lt;פירוש רש""""י על התורה רומא&gt;")</f>
        <v>פירוש רש""י לתורה בעידן הדפוס &lt;פירוש רש""י על התורה רומא&gt;</v>
      </c>
      <c r="H3147" t="str">
        <f>_xlfn.CONCAT("https://tablet.otzar.org/",CHAR(35),"/book/650624/p/-1/t/1/fs/0/start/0/end/0/c")</f>
        <v>https://tablet.otzar.org/#/book/650624/p/-1/t/1/fs/0/start/0/end/0/c</v>
      </c>
    </row>
    <row r="3148" spans="1:8" x14ac:dyDescent="0.25">
      <c r="A3148">
        <v>654696</v>
      </c>
      <c r="B3148" t="s">
        <v>6210</v>
      </c>
      <c r="C3148" t="s">
        <v>160</v>
      </c>
      <c r="D3148" t="s">
        <v>10</v>
      </c>
      <c r="E3148" t="s">
        <v>6076</v>
      </c>
      <c r="G3148" t="str">
        <f>HYPERLINK(_xlfn.CONCAT("https://tablet.otzar.org/",CHAR(35),"/book/654696/p/-1/t/1/fs/0/start/0/end/0/c"),"פירושי הראשונים על מסכת אבות &lt;מהדורת תושיה&gt;")</f>
        <v>פירושי הראשונים על מסכת אבות &lt;מהדורת תושיה&gt;</v>
      </c>
      <c r="H3148" t="str">
        <f>_xlfn.CONCAT("https://tablet.otzar.org/",CHAR(35),"/book/654696/p/-1/t/1/fs/0/start/0/end/0/c")</f>
        <v>https://tablet.otzar.org/#/book/654696/p/-1/t/1/fs/0/start/0/end/0/c</v>
      </c>
    </row>
    <row r="3149" spans="1:8" x14ac:dyDescent="0.25">
      <c r="A3149">
        <v>654923</v>
      </c>
      <c r="B3149" t="s">
        <v>6211</v>
      </c>
      <c r="C3149" t="s">
        <v>6212</v>
      </c>
      <c r="E3149" t="s">
        <v>35</v>
      </c>
      <c r="G3149" t="str">
        <f>HYPERLINK(_xlfn.CONCAT("https://tablet.otzar.org/",CHAR(35),"/book/654923/p/-1/t/1/fs/0/start/0/end/0/c"),"פירושי רש""""י ובית מדרשו על תפילת טל וגשם")</f>
        <v>פירושי רש""י ובית מדרשו על תפילת טל וגשם</v>
      </c>
      <c r="H3149" t="str">
        <f>_xlfn.CONCAT("https://tablet.otzar.org/",CHAR(35),"/book/654923/p/-1/t/1/fs/0/start/0/end/0/c")</f>
        <v>https://tablet.otzar.org/#/book/654923/p/-1/t/1/fs/0/start/0/end/0/c</v>
      </c>
    </row>
    <row r="3150" spans="1:8" x14ac:dyDescent="0.25">
      <c r="A3150">
        <v>651706</v>
      </c>
      <c r="B3150" t="s">
        <v>6213</v>
      </c>
      <c r="C3150" t="s">
        <v>6214</v>
      </c>
      <c r="D3150" t="s">
        <v>10</v>
      </c>
      <c r="E3150" t="s">
        <v>11</v>
      </c>
      <c r="G3150" t="str">
        <f>HYPERLINK(_xlfn.CONCAT("https://tablet.otzar.org/",CHAR(35),"/book/651706/p/-1/t/1/fs/0/start/0/end/0/c"),"פירות הבית - שבת")</f>
        <v>פירות הבית - שבת</v>
      </c>
      <c r="H3150" t="str">
        <f>_xlfn.CONCAT("https://tablet.otzar.org/",CHAR(35),"/book/651706/p/-1/t/1/fs/0/start/0/end/0/c")</f>
        <v>https://tablet.otzar.org/#/book/651706/p/-1/t/1/fs/0/start/0/end/0/c</v>
      </c>
    </row>
    <row r="3151" spans="1:8" x14ac:dyDescent="0.25">
      <c r="A3151">
        <v>647651</v>
      </c>
      <c r="B3151" t="s">
        <v>6215</v>
      </c>
      <c r="C3151" t="s">
        <v>2392</v>
      </c>
      <c r="D3151" t="s">
        <v>139</v>
      </c>
      <c r="E3151" t="s">
        <v>35</v>
      </c>
      <c r="G3151" t="str">
        <f>HYPERLINK(_xlfn.CONCAT("https://tablet.otzar.org/",CHAR(35),"/book/647651/p/-1/t/1/fs/0/start/0/end/0/c"),"פירות הדר - ג")</f>
        <v>פירות הדר - ג</v>
      </c>
      <c r="H3151" t="str">
        <f>_xlfn.CONCAT("https://tablet.otzar.org/",CHAR(35),"/book/647651/p/-1/t/1/fs/0/start/0/end/0/c")</f>
        <v>https://tablet.otzar.org/#/book/647651/p/-1/t/1/fs/0/start/0/end/0/c</v>
      </c>
    </row>
    <row r="3152" spans="1:8" x14ac:dyDescent="0.25">
      <c r="A3152">
        <v>652641</v>
      </c>
      <c r="B3152" t="s">
        <v>6216</v>
      </c>
      <c r="C3152" t="s">
        <v>6217</v>
      </c>
      <c r="D3152" t="s">
        <v>424</v>
      </c>
      <c r="E3152" t="s">
        <v>270</v>
      </c>
      <c r="G3152" t="str">
        <f>HYPERLINK(_xlfn.CONCAT("https://tablet.otzar.org/",CHAR(35),"/book/652641/p/-1/t/1/fs/0/start/0/end/0/c"),"פירות עץ חיים")</f>
        <v>פירות עץ חיים</v>
      </c>
      <c r="H3152" t="str">
        <f>_xlfn.CONCAT("https://tablet.otzar.org/",CHAR(35),"/book/652641/p/-1/t/1/fs/0/start/0/end/0/c")</f>
        <v>https://tablet.otzar.org/#/book/652641/p/-1/t/1/fs/0/start/0/end/0/c</v>
      </c>
    </row>
    <row r="3153" spans="1:8" x14ac:dyDescent="0.25">
      <c r="A3153">
        <v>647446</v>
      </c>
      <c r="B3153" t="s">
        <v>6218</v>
      </c>
      <c r="C3153" t="s">
        <v>6219</v>
      </c>
      <c r="D3153" t="s">
        <v>34</v>
      </c>
      <c r="E3153" t="s">
        <v>70</v>
      </c>
      <c r="G3153" t="str">
        <f>HYPERLINK(_xlfn.CONCAT("https://tablet.otzar.org/",CHAR(35),"/book/647446/p/-1/t/1/fs/0/start/0/end/0/c"),"פיתחא זעירא")</f>
        <v>פיתחא זעירא</v>
      </c>
      <c r="H3153" t="str">
        <f>_xlfn.CONCAT("https://tablet.otzar.org/",CHAR(35),"/book/647446/p/-1/t/1/fs/0/start/0/end/0/c")</f>
        <v>https://tablet.otzar.org/#/book/647446/p/-1/t/1/fs/0/start/0/end/0/c</v>
      </c>
    </row>
    <row r="3154" spans="1:8" x14ac:dyDescent="0.25">
      <c r="A3154">
        <v>654692</v>
      </c>
      <c r="B3154" t="s">
        <v>6220</v>
      </c>
      <c r="C3154" t="s">
        <v>543</v>
      </c>
      <c r="D3154" t="s">
        <v>10</v>
      </c>
      <c r="E3154" t="s">
        <v>416</v>
      </c>
      <c r="G3154" t="str">
        <f>HYPERLINK(_xlfn.CONCAT("https://tablet.otzar.org/",CHAR(35),"/exKotar/654692"),"פלא יועץ השלם &lt;הוצאת תושיה&gt; - 2 כרכים")</f>
        <v>פלא יועץ השלם &lt;הוצאת תושיה&gt; - 2 כרכים</v>
      </c>
      <c r="H3154" t="str">
        <f>_xlfn.CONCAT("https://tablet.otzar.org/",CHAR(35),"/exKotar/654692")</f>
        <v>https://tablet.otzar.org/#/exKotar/654692</v>
      </c>
    </row>
    <row r="3155" spans="1:8" x14ac:dyDescent="0.25">
      <c r="A3155">
        <v>653220</v>
      </c>
      <c r="B3155" t="s">
        <v>6221</v>
      </c>
      <c r="C3155" t="s">
        <v>6222</v>
      </c>
      <c r="D3155" t="s">
        <v>1556</v>
      </c>
      <c r="E3155" t="s">
        <v>77</v>
      </c>
      <c r="G3155" t="str">
        <f>HYPERLINK(_xlfn.CONCAT("https://tablet.otzar.org/",CHAR(35),"/exKotar/653220"),"פלאות עדותיך - 4 כרכים")</f>
        <v>פלאות עדותיך - 4 כרכים</v>
      </c>
      <c r="H3155" t="str">
        <f>_xlfn.CONCAT("https://tablet.otzar.org/",CHAR(35),"/exKotar/653220")</f>
        <v>https://tablet.otzar.org/#/exKotar/653220</v>
      </c>
    </row>
    <row r="3156" spans="1:8" x14ac:dyDescent="0.25">
      <c r="A3156">
        <v>647450</v>
      </c>
      <c r="B3156" t="s">
        <v>6223</v>
      </c>
      <c r="C3156" t="s">
        <v>6224</v>
      </c>
      <c r="D3156" t="s">
        <v>10</v>
      </c>
      <c r="E3156" t="s">
        <v>1937</v>
      </c>
      <c r="G3156" t="str">
        <f>HYPERLINK(_xlfn.CONCAT("https://tablet.otzar.org/",CHAR(35),"/book/647450/p/-1/t/1/fs/0/start/0/end/0/c"),"פלאי מלחמת ששת הימים ולקחה")</f>
        <v>פלאי מלחמת ששת הימים ולקחה</v>
      </c>
      <c r="H3156" t="str">
        <f>_xlfn.CONCAT("https://tablet.otzar.org/",CHAR(35),"/book/647450/p/-1/t/1/fs/0/start/0/end/0/c")</f>
        <v>https://tablet.otzar.org/#/book/647450/p/-1/t/1/fs/0/start/0/end/0/c</v>
      </c>
    </row>
    <row r="3157" spans="1:8" x14ac:dyDescent="0.25">
      <c r="A3157">
        <v>650276</v>
      </c>
      <c r="B3157" t="s">
        <v>6225</v>
      </c>
      <c r="C3157" t="s">
        <v>6226</v>
      </c>
      <c r="D3157" t="s">
        <v>10</v>
      </c>
      <c r="E3157" t="s">
        <v>73</v>
      </c>
      <c r="G3157" t="str">
        <f>HYPERLINK(_xlfn.CONCAT("https://tablet.otzar.org/",CHAR(35),"/book/650276/p/-1/t/1/fs/0/start/0/end/0/c"),"פלח הרימון")</f>
        <v>פלח הרימון</v>
      </c>
      <c r="H3157" t="str">
        <f>_xlfn.CONCAT("https://tablet.otzar.org/",CHAR(35),"/book/650276/p/-1/t/1/fs/0/start/0/end/0/c")</f>
        <v>https://tablet.otzar.org/#/book/650276/p/-1/t/1/fs/0/start/0/end/0/c</v>
      </c>
    </row>
    <row r="3158" spans="1:8" x14ac:dyDescent="0.25">
      <c r="A3158">
        <v>653841</v>
      </c>
      <c r="B3158" t="s">
        <v>6227</v>
      </c>
      <c r="C3158" t="s">
        <v>6228</v>
      </c>
      <c r="D3158" t="s">
        <v>10</v>
      </c>
      <c r="E3158" t="s">
        <v>697</v>
      </c>
      <c r="G3158" t="str">
        <f>HYPERLINK(_xlfn.CONCAT("https://tablet.otzar.org/",CHAR(35),"/book/653841/p/-1/t/1/fs/0/start/0/end/0/c"),"פליט ושריד בימי השואה")</f>
        <v>פליט ושריד בימי השואה</v>
      </c>
      <c r="H3158" t="str">
        <f>_xlfn.CONCAT("https://tablet.otzar.org/",CHAR(35),"/book/653841/p/-1/t/1/fs/0/start/0/end/0/c")</f>
        <v>https://tablet.otzar.org/#/book/653841/p/-1/t/1/fs/0/start/0/end/0/c</v>
      </c>
    </row>
    <row r="3159" spans="1:8" x14ac:dyDescent="0.25">
      <c r="A3159">
        <v>643147</v>
      </c>
      <c r="B3159" t="s">
        <v>6229</v>
      </c>
      <c r="C3159" t="s">
        <v>382</v>
      </c>
      <c r="D3159" t="s">
        <v>10</v>
      </c>
      <c r="E3159" t="s">
        <v>106</v>
      </c>
      <c r="G3159" t="str">
        <f>HYPERLINK(_xlfn.CONCAT("https://tablet.otzar.org/",CHAR(35),"/book/643147/p/-1/t/1/fs/0/start/0/end/0/c"),"פלפול התלמידים - (ישיבת תורת אמת) - ב")</f>
        <v>פלפול התלמידים - (ישיבת תורת אמת) - ב</v>
      </c>
      <c r="H3159" t="str">
        <f>_xlfn.CONCAT("https://tablet.otzar.org/",CHAR(35),"/book/643147/p/-1/t/1/fs/0/start/0/end/0/c")</f>
        <v>https://tablet.otzar.org/#/book/643147/p/-1/t/1/fs/0/start/0/end/0/c</v>
      </c>
    </row>
    <row r="3160" spans="1:8" x14ac:dyDescent="0.25">
      <c r="A3160">
        <v>654434</v>
      </c>
      <c r="B3160" t="s">
        <v>6230</v>
      </c>
      <c r="C3160" t="s">
        <v>6231</v>
      </c>
      <c r="E3160" t="s">
        <v>11</v>
      </c>
      <c r="G3160" t="str">
        <f>HYPERLINK(_xlfn.CONCAT("https://tablet.otzar.org/",CHAR(35),"/book/654434/p/-1/t/1/fs/0/start/0/end/0/c"),"פלפולא דאורייתא - ב")</f>
        <v>פלפולא דאורייתא - ב</v>
      </c>
      <c r="H3160" t="str">
        <f>_xlfn.CONCAT("https://tablet.otzar.org/",CHAR(35),"/book/654434/p/-1/t/1/fs/0/start/0/end/0/c")</f>
        <v>https://tablet.otzar.org/#/book/654434/p/-1/t/1/fs/0/start/0/end/0/c</v>
      </c>
    </row>
    <row r="3161" spans="1:8" x14ac:dyDescent="0.25">
      <c r="A3161">
        <v>650394</v>
      </c>
      <c r="B3161" t="s">
        <v>6232</v>
      </c>
      <c r="C3161" t="s">
        <v>6233</v>
      </c>
      <c r="E3161" t="s">
        <v>45</v>
      </c>
      <c r="G3161" t="str">
        <f>HYPERLINK(_xlfn.CONCAT("https://tablet.otzar.org/",CHAR(35),"/exKotar/650394"),"פני בנימין - 2 כרכים")</f>
        <v>פני בנימין - 2 כרכים</v>
      </c>
      <c r="H3161" t="str">
        <f>_xlfn.CONCAT("https://tablet.otzar.org/",CHAR(35),"/exKotar/650394")</f>
        <v>https://tablet.otzar.org/#/exKotar/650394</v>
      </c>
    </row>
    <row r="3162" spans="1:8" x14ac:dyDescent="0.25">
      <c r="A3162">
        <v>647496</v>
      </c>
      <c r="B3162" t="s">
        <v>6234</v>
      </c>
      <c r="C3162" t="s">
        <v>6235</v>
      </c>
      <c r="E3162" t="s">
        <v>670</v>
      </c>
      <c r="G3162" t="str">
        <f>HYPERLINK(_xlfn.CONCAT("https://tablet.otzar.org/",CHAR(35),"/book/647496/p/-1/t/1/fs/0/start/0/end/0/c"),"פני המים")</f>
        <v>פני המים</v>
      </c>
      <c r="H3162" t="str">
        <f>_xlfn.CONCAT("https://tablet.otzar.org/",CHAR(35),"/book/647496/p/-1/t/1/fs/0/start/0/end/0/c")</f>
        <v>https://tablet.otzar.org/#/book/647496/p/-1/t/1/fs/0/start/0/end/0/c</v>
      </c>
    </row>
    <row r="3163" spans="1:8" x14ac:dyDescent="0.25">
      <c r="A3163">
        <v>654294</v>
      </c>
      <c r="B3163" t="s">
        <v>6236</v>
      </c>
      <c r="C3163" t="s">
        <v>301</v>
      </c>
      <c r="E3163" t="s">
        <v>11</v>
      </c>
      <c r="G3163" t="str">
        <f>HYPERLINK(_xlfn.CONCAT("https://tablet.otzar.org/",CHAR(35),"/book/654294/p/-1/t/1/fs/0/start/0/end/0/c"),"פני זקן")</f>
        <v>פני זקן</v>
      </c>
      <c r="H3163" t="str">
        <f>_xlfn.CONCAT("https://tablet.otzar.org/",CHAR(35),"/book/654294/p/-1/t/1/fs/0/start/0/end/0/c")</f>
        <v>https://tablet.otzar.org/#/book/654294/p/-1/t/1/fs/0/start/0/end/0/c</v>
      </c>
    </row>
    <row r="3164" spans="1:8" x14ac:dyDescent="0.25">
      <c r="A3164">
        <v>648357</v>
      </c>
      <c r="B3164" t="s">
        <v>6237</v>
      </c>
      <c r="C3164" t="s">
        <v>6238</v>
      </c>
      <c r="E3164" t="s">
        <v>891</v>
      </c>
      <c r="G3164" t="str">
        <f>HYPERLINK(_xlfn.CONCAT("https://tablet.otzar.org/",CHAR(35),"/book/648357/p/-1/t/1/fs/0/start/0/end/0/c"),"פני יצחק - ביצה")</f>
        <v>פני יצחק - ביצה</v>
      </c>
      <c r="H3164" t="str">
        <f>_xlfn.CONCAT("https://tablet.otzar.org/",CHAR(35),"/book/648357/p/-1/t/1/fs/0/start/0/end/0/c")</f>
        <v>https://tablet.otzar.org/#/book/648357/p/-1/t/1/fs/0/start/0/end/0/c</v>
      </c>
    </row>
    <row r="3165" spans="1:8" x14ac:dyDescent="0.25">
      <c r="A3165">
        <v>655162</v>
      </c>
      <c r="B3165" t="s">
        <v>6239</v>
      </c>
      <c r="C3165" t="s">
        <v>6240</v>
      </c>
      <c r="D3165" t="s">
        <v>52</v>
      </c>
      <c r="E3165" t="s">
        <v>11</v>
      </c>
      <c r="G3165" t="str">
        <f>HYPERLINK(_xlfn.CONCAT("https://tablet.otzar.org/",CHAR(35),"/exKotar/655162"),"פני מלך - 2 כרכים")</f>
        <v>פני מלך - 2 כרכים</v>
      </c>
      <c r="H3165" t="str">
        <f>_xlfn.CONCAT("https://tablet.otzar.org/",CHAR(35),"/exKotar/655162")</f>
        <v>https://tablet.otzar.org/#/exKotar/655162</v>
      </c>
    </row>
    <row r="3166" spans="1:8" x14ac:dyDescent="0.25">
      <c r="A3166">
        <v>652614</v>
      </c>
      <c r="B3166" t="s">
        <v>6241</v>
      </c>
      <c r="C3166" t="s">
        <v>6242</v>
      </c>
      <c r="D3166" t="s">
        <v>34</v>
      </c>
      <c r="E3166" t="s">
        <v>19</v>
      </c>
      <c r="G3166" t="str">
        <f>HYPERLINK(_xlfn.CONCAT("https://tablet.otzar.org/",CHAR(35),"/book/652614/p/-1/t/1/fs/0/start/0/end/0/c"),"פני משה")</f>
        <v>פני משה</v>
      </c>
      <c r="H3166" t="str">
        <f>_xlfn.CONCAT("https://tablet.otzar.org/",CHAR(35),"/book/652614/p/-1/t/1/fs/0/start/0/end/0/c")</f>
        <v>https://tablet.otzar.org/#/book/652614/p/-1/t/1/fs/0/start/0/end/0/c</v>
      </c>
    </row>
    <row r="3167" spans="1:8" x14ac:dyDescent="0.25">
      <c r="A3167">
        <v>647985</v>
      </c>
      <c r="B3167" t="s">
        <v>6243</v>
      </c>
      <c r="C3167" t="s">
        <v>6244</v>
      </c>
      <c r="D3167" t="s">
        <v>34</v>
      </c>
      <c r="E3167" t="s">
        <v>11</v>
      </c>
      <c r="G3167" t="str">
        <f>HYPERLINK(_xlfn.CONCAT("https://tablet.otzar.org/",CHAR(35),"/book/647985/p/-1/t/1/fs/0/start/0/end/0/c"),"פני שבת נקבלה")</f>
        <v>פני שבת נקבלה</v>
      </c>
      <c r="H3167" t="str">
        <f>_xlfn.CONCAT("https://tablet.otzar.org/",CHAR(35),"/book/647985/p/-1/t/1/fs/0/start/0/end/0/c")</f>
        <v>https://tablet.otzar.org/#/book/647985/p/-1/t/1/fs/0/start/0/end/0/c</v>
      </c>
    </row>
    <row r="3168" spans="1:8" x14ac:dyDescent="0.25">
      <c r="A3168">
        <v>650923</v>
      </c>
      <c r="B3168" t="s">
        <v>6245</v>
      </c>
      <c r="C3168" t="s">
        <v>1592</v>
      </c>
      <c r="D3168" t="s">
        <v>1593</v>
      </c>
      <c r="E3168" t="s">
        <v>213</v>
      </c>
      <c r="G3168" t="str">
        <f>HYPERLINK(_xlfn.CONCAT("https://tablet.otzar.org/",CHAR(35),"/exKotar/650923"),"פניני אור - 4 כרכים")</f>
        <v>פניני אור - 4 כרכים</v>
      </c>
      <c r="H3168" t="str">
        <f>_xlfn.CONCAT("https://tablet.otzar.org/",CHAR(35),"/exKotar/650923")</f>
        <v>https://tablet.otzar.org/#/exKotar/650923</v>
      </c>
    </row>
    <row r="3169" spans="1:8" x14ac:dyDescent="0.25">
      <c r="A3169">
        <v>656047</v>
      </c>
      <c r="B3169" t="s">
        <v>6246</v>
      </c>
      <c r="C3169" t="s">
        <v>6247</v>
      </c>
      <c r="D3169" t="s">
        <v>340</v>
      </c>
      <c r="E3169" t="s">
        <v>84</v>
      </c>
      <c r="G3169" t="str">
        <f>HYPERLINK(_xlfn.CONCAT("https://tablet.otzar.org/",CHAR(35),"/exKotar/656047"),"פניני אפרים - 4 כרכים")</f>
        <v>פניני אפרים - 4 כרכים</v>
      </c>
      <c r="H3169" t="str">
        <f>_xlfn.CONCAT("https://tablet.otzar.org/",CHAR(35),"/exKotar/656047")</f>
        <v>https://tablet.otzar.org/#/exKotar/656047</v>
      </c>
    </row>
    <row r="3170" spans="1:8" x14ac:dyDescent="0.25">
      <c r="A3170">
        <v>654560</v>
      </c>
      <c r="B3170" t="s">
        <v>6248</v>
      </c>
      <c r="C3170" t="s">
        <v>6249</v>
      </c>
      <c r="D3170" t="s">
        <v>52</v>
      </c>
      <c r="E3170" t="s">
        <v>70</v>
      </c>
      <c r="G3170" t="str">
        <f>HYPERLINK(_xlfn.CONCAT("https://tablet.otzar.org/",CHAR(35),"/book/654560/p/-1/t/1/fs/0/start/0/end/0/c"),"פניני המועדים")</f>
        <v>פניני המועדים</v>
      </c>
      <c r="H3170" t="str">
        <f>_xlfn.CONCAT("https://tablet.otzar.org/",CHAR(35),"/book/654560/p/-1/t/1/fs/0/start/0/end/0/c")</f>
        <v>https://tablet.otzar.org/#/book/654560/p/-1/t/1/fs/0/start/0/end/0/c</v>
      </c>
    </row>
    <row r="3171" spans="1:8" x14ac:dyDescent="0.25">
      <c r="A3171">
        <v>650680</v>
      </c>
      <c r="B3171" t="s">
        <v>6250</v>
      </c>
      <c r="C3171" t="s">
        <v>5993</v>
      </c>
      <c r="D3171" t="s">
        <v>573</v>
      </c>
      <c r="E3171" t="s">
        <v>77</v>
      </c>
      <c r="G3171" t="str">
        <f>HYPERLINK(_xlfn.CONCAT("https://tablet.otzar.org/",CHAR(35),"/exKotar/650680"),"פניני המלבי""""ם - 2 כרכים")</f>
        <v>פניני המלבי""ם - 2 כרכים</v>
      </c>
      <c r="H3171" t="str">
        <f>_xlfn.CONCAT("https://tablet.otzar.org/",CHAR(35),"/exKotar/650680")</f>
        <v>https://tablet.otzar.org/#/exKotar/650680</v>
      </c>
    </row>
    <row r="3172" spans="1:8" x14ac:dyDescent="0.25">
      <c r="A3172">
        <v>654461</v>
      </c>
      <c r="B3172" t="s">
        <v>6251</v>
      </c>
      <c r="C3172" t="s">
        <v>6249</v>
      </c>
      <c r="D3172" t="s">
        <v>52</v>
      </c>
      <c r="E3172" t="s">
        <v>11</v>
      </c>
      <c r="G3172" t="str">
        <f>HYPERLINK(_xlfn.CONCAT("https://tablet.otzar.org/",CHAR(35),"/exKotar/654461"),"פניני השבוע - 2 כרכים")</f>
        <v>פניני השבוע - 2 כרכים</v>
      </c>
      <c r="H3172" t="str">
        <f>_xlfn.CONCAT("https://tablet.otzar.org/",CHAR(35),"/exKotar/654461")</f>
        <v>https://tablet.otzar.org/#/exKotar/654461</v>
      </c>
    </row>
    <row r="3173" spans="1:8" x14ac:dyDescent="0.25">
      <c r="A3173">
        <v>649488</v>
      </c>
      <c r="B3173" t="s">
        <v>6252</v>
      </c>
      <c r="C3173" t="s">
        <v>6253</v>
      </c>
      <c r="D3173" t="s">
        <v>10</v>
      </c>
      <c r="E3173" t="s">
        <v>70</v>
      </c>
      <c r="G3173" t="str">
        <f>HYPERLINK(_xlfn.CONCAT("https://tablet.otzar.org/",CHAR(35),"/book/649488/p/-1/t/1/fs/0/start/0/end/0/c"),"פניני יום טוב והמועד")</f>
        <v>פניני יום טוב והמועד</v>
      </c>
      <c r="H3173" t="str">
        <f>_xlfn.CONCAT("https://tablet.otzar.org/",CHAR(35),"/book/649488/p/-1/t/1/fs/0/start/0/end/0/c")</f>
        <v>https://tablet.otzar.org/#/book/649488/p/-1/t/1/fs/0/start/0/end/0/c</v>
      </c>
    </row>
    <row r="3174" spans="1:8" x14ac:dyDescent="0.25">
      <c r="A3174">
        <v>656107</v>
      </c>
      <c r="B3174" t="s">
        <v>6254</v>
      </c>
      <c r="C3174" t="s">
        <v>6255</v>
      </c>
      <c r="D3174" t="s">
        <v>10</v>
      </c>
      <c r="E3174" t="s">
        <v>84</v>
      </c>
      <c r="G3174" t="str">
        <f>HYPERLINK(_xlfn.CONCAT("https://tablet.otzar.org/",CHAR(35),"/book/656107/p/-1/t/1/fs/0/start/0/end/0/c"),"פניני מיכאל - או''ח, עניינים בסדר מועד")</f>
        <v>פניני מיכאל - או''ח, עניינים בסדר מועד</v>
      </c>
      <c r="H3174" t="str">
        <f>_xlfn.CONCAT("https://tablet.otzar.org/",CHAR(35),"/book/656107/p/-1/t/1/fs/0/start/0/end/0/c")</f>
        <v>https://tablet.otzar.org/#/book/656107/p/-1/t/1/fs/0/start/0/end/0/c</v>
      </c>
    </row>
    <row r="3175" spans="1:8" x14ac:dyDescent="0.25">
      <c r="A3175">
        <v>651553</v>
      </c>
      <c r="B3175" t="s">
        <v>6256</v>
      </c>
      <c r="C3175" t="s">
        <v>6257</v>
      </c>
      <c r="D3175" t="s">
        <v>139</v>
      </c>
      <c r="E3175" t="s">
        <v>11</v>
      </c>
      <c r="G3175" t="str">
        <f>HYPERLINK(_xlfn.CONCAT("https://tablet.otzar.org/",CHAR(35),"/exKotar/651553"),"פניני משה - 2 כרכים")</f>
        <v>פניני משה - 2 כרכים</v>
      </c>
      <c r="H3175" t="str">
        <f>_xlfn.CONCAT("https://tablet.otzar.org/",CHAR(35),"/exKotar/651553")</f>
        <v>https://tablet.otzar.org/#/exKotar/651553</v>
      </c>
    </row>
    <row r="3176" spans="1:8" x14ac:dyDescent="0.25">
      <c r="A3176">
        <v>645030</v>
      </c>
      <c r="B3176" t="s">
        <v>6258</v>
      </c>
      <c r="C3176" t="s">
        <v>6259</v>
      </c>
      <c r="E3176" t="s">
        <v>507</v>
      </c>
      <c r="G3176" t="str">
        <f>HYPERLINK(_xlfn.CONCAT("https://tablet.otzar.org/",CHAR(35),"/book/645030/p/-1/t/1/fs/0/start/0/end/0/c"),"פניני פרשת השבוע - ג")</f>
        <v>פניני פרשת השבוע - ג</v>
      </c>
      <c r="H3176" t="str">
        <f>_xlfn.CONCAT("https://tablet.otzar.org/",CHAR(35),"/book/645030/p/-1/t/1/fs/0/start/0/end/0/c")</f>
        <v>https://tablet.otzar.org/#/book/645030/p/-1/t/1/fs/0/start/0/end/0/c</v>
      </c>
    </row>
    <row r="3177" spans="1:8" x14ac:dyDescent="0.25">
      <c r="A3177">
        <v>655779</v>
      </c>
      <c r="B3177" t="s">
        <v>6260</v>
      </c>
      <c r="C3177" t="s">
        <v>2991</v>
      </c>
      <c r="D3177" t="s">
        <v>1593</v>
      </c>
      <c r="E3177" t="s">
        <v>1240</v>
      </c>
      <c r="G3177" t="str">
        <f>HYPERLINK(_xlfn.CONCAT("https://tablet.otzar.org/",CHAR(35),"/book/655779/p/-1/t/1/fs/0/start/0/end/0/c"),"פניני שמעון")</f>
        <v>פניני שמעון</v>
      </c>
      <c r="H3177" t="str">
        <f>_xlfn.CONCAT("https://tablet.otzar.org/",CHAR(35),"/book/655779/p/-1/t/1/fs/0/start/0/end/0/c")</f>
        <v>https://tablet.otzar.org/#/book/655779/p/-1/t/1/fs/0/start/0/end/0/c</v>
      </c>
    </row>
    <row r="3178" spans="1:8" x14ac:dyDescent="0.25">
      <c r="A3178">
        <v>651976</v>
      </c>
      <c r="B3178" t="s">
        <v>6261</v>
      </c>
      <c r="C3178" t="s">
        <v>382</v>
      </c>
      <c r="D3178" t="s">
        <v>99</v>
      </c>
      <c r="E3178" t="s">
        <v>35</v>
      </c>
      <c r="G3178" t="str">
        <f>HYPERLINK(_xlfn.CONCAT("https://tablet.otzar.org/",CHAR(35),"/book/651976/p/-1/t/1/fs/0/start/0/end/0/c"),"פניני תורה - ג")</f>
        <v>פניני תורה - ג</v>
      </c>
      <c r="H3178" t="str">
        <f>_xlfn.CONCAT("https://tablet.otzar.org/",CHAR(35),"/book/651976/p/-1/t/1/fs/0/start/0/end/0/c")</f>
        <v>https://tablet.otzar.org/#/book/651976/p/-1/t/1/fs/0/start/0/end/0/c</v>
      </c>
    </row>
    <row r="3179" spans="1:8" x14ac:dyDescent="0.25">
      <c r="A3179">
        <v>646252</v>
      </c>
      <c r="B3179" t="s">
        <v>6262</v>
      </c>
      <c r="C3179" t="s">
        <v>6263</v>
      </c>
      <c r="D3179" t="s">
        <v>3946</v>
      </c>
      <c r="E3179" t="s">
        <v>11</v>
      </c>
      <c r="G3179" t="str">
        <f>HYPERLINK(_xlfn.CONCAT("https://tablet.otzar.org/",CHAR(35),"/book/646252/p/-1/t/1/fs/0/start/0/end/0/c"),"פניני תרגום יונתן - בראשית")</f>
        <v>פניני תרגום יונתן - בראשית</v>
      </c>
      <c r="H3179" t="str">
        <f>_xlfn.CONCAT("https://tablet.otzar.org/",CHAR(35),"/book/646252/p/-1/t/1/fs/0/start/0/end/0/c")</f>
        <v>https://tablet.otzar.org/#/book/646252/p/-1/t/1/fs/0/start/0/end/0/c</v>
      </c>
    </row>
    <row r="3180" spans="1:8" x14ac:dyDescent="0.25">
      <c r="A3180">
        <v>647603</v>
      </c>
      <c r="B3180" t="s">
        <v>6264</v>
      </c>
      <c r="C3180" t="s">
        <v>6265</v>
      </c>
      <c r="D3180" t="s">
        <v>10</v>
      </c>
      <c r="E3180" t="s">
        <v>77</v>
      </c>
      <c r="G3180" t="str">
        <f>HYPERLINK(_xlfn.CONCAT("https://tablet.otzar.org/",CHAR(35),"/book/647603/p/-1/t/1/fs/0/start/0/end/0/c"),"פנינים - שמות")</f>
        <v>פנינים - שמות</v>
      </c>
      <c r="H3180" t="str">
        <f>_xlfn.CONCAT("https://tablet.otzar.org/",CHAR(35),"/book/647603/p/-1/t/1/fs/0/start/0/end/0/c")</f>
        <v>https://tablet.otzar.org/#/book/647603/p/-1/t/1/fs/0/start/0/end/0/c</v>
      </c>
    </row>
    <row r="3181" spans="1:8" x14ac:dyDescent="0.25">
      <c r="A3181">
        <v>647535</v>
      </c>
      <c r="B3181" t="s">
        <v>6266</v>
      </c>
      <c r="C3181" t="s">
        <v>6267</v>
      </c>
      <c r="D3181" t="s">
        <v>10</v>
      </c>
      <c r="E3181" t="s">
        <v>690</v>
      </c>
      <c r="G3181" t="str">
        <f>HYPERLINK(_xlfn.CONCAT("https://tablet.otzar.org/",CHAR(35),"/exKotar/647535"),"פנקס בית הדין """"החורבה"""" - 2 כרכים")</f>
        <v>פנקס בית הדין ""החורבה"" - 2 כרכים</v>
      </c>
      <c r="H3181" t="str">
        <f>_xlfn.CONCAT("https://tablet.otzar.org/",CHAR(35),"/exKotar/647535")</f>
        <v>https://tablet.otzar.org/#/exKotar/647535</v>
      </c>
    </row>
    <row r="3182" spans="1:8" x14ac:dyDescent="0.25">
      <c r="A3182">
        <v>650009</v>
      </c>
      <c r="B3182" t="s">
        <v>6268</v>
      </c>
      <c r="C3182" t="s">
        <v>548</v>
      </c>
      <c r="D3182" t="s">
        <v>10</v>
      </c>
      <c r="E3182" t="s">
        <v>11</v>
      </c>
      <c r="G3182" t="str">
        <f>HYPERLINK(_xlfn.CONCAT("https://tablet.otzar.org/",CHAR(35),"/book/650009/p/-1/t/1/fs/0/start/0/end/0/c"),"פנקסי הראי""""ה - ז מציאות קטן ג")</f>
        <v>פנקסי הראי""ה - ז מציאות קטן ג</v>
      </c>
      <c r="H3182" t="str">
        <f>_xlfn.CONCAT("https://tablet.otzar.org/",CHAR(35),"/book/650009/p/-1/t/1/fs/0/start/0/end/0/c")</f>
        <v>https://tablet.otzar.org/#/book/650009/p/-1/t/1/fs/0/start/0/end/0/c</v>
      </c>
    </row>
    <row r="3183" spans="1:8" x14ac:dyDescent="0.25">
      <c r="A3183">
        <v>650372</v>
      </c>
      <c r="B3183" t="s">
        <v>6269</v>
      </c>
      <c r="C3183" t="s">
        <v>6270</v>
      </c>
      <c r="D3183" t="s">
        <v>10</v>
      </c>
      <c r="E3183" t="s">
        <v>11</v>
      </c>
      <c r="G3183" t="str">
        <f>HYPERLINK(_xlfn.CONCAT("https://tablet.otzar.org/",CHAR(35),"/book/650372/p/-1/t/1/fs/0/start/0/end/0/c"),"פסח כהלכתו")</f>
        <v>פסח כהלכתו</v>
      </c>
      <c r="H3183" t="str">
        <f>_xlfn.CONCAT("https://tablet.otzar.org/",CHAR(35),"/book/650372/p/-1/t/1/fs/0/start/0/end/0/c")</f>
        <v>https://tablet.otzar.org/#/book/650372/p/-1/t/1/fs/0/start/0/end/0/c</v>
      </c>
    </row>
    <row r="3184" spans="1:8" x14ac:dyDescent="0.25">
      <c r="A3184">
        <v>650654</v>
      </c>
      <c r="B3184" t="s">
        <v>6271</v>
      </c>
      <c r="C3184" t="s">
        <v>4346</v>
      </c>
      <c r="D3184" t="s">
        <v>4347</v>
      </c>
      <c r="E3184" t="s">
        <v>11</v>
      </c>
      <c r="G3184" t="str">
        <f>HYPERLINK(_xlfn.CONCAT("https://tablet.otzar.org/",CHAR(35),"/book/650654/p/-1/t/1/fs/0/start/0/end/0/c"),"פסח לה'")</f>
        <v>פסח לה'</v>
      </c>
      <c r="H3184" t="str">
        <f>_xlfn.CONCAT("https://tablet.otzar.org/",CHAR(35),"/book/650654/p/-1/t/1/fs/0/start/0/end/0/c")</f>
        <v>https://tablet.otzar.org/#/book/650654/p/-1/t/1/fs/0/start/0/end/0/c</v>
      </c>
    </row>
    <row r="3185" spans="1:8" x14ac:dyDescent="0.25">
      <c r="A3185">
        <v>653248</v>
      </c>
      <c r="B3185" t="s">
        <v>6272</v>
      </c>
      <c r="C3185" t="s">
        <v>3007</v>
      </c>
      <c r="D3185" t="s">
        <v>1813</v>
      </c>
      <c r="E3185" t="s">
        <v>213</v>
      </c>
      <c r="G3185" t="str">
        <f>HYPERLINK(_xlfn.CONCAT("https://tablet.otzar.org/",CHAR(35),"/book/653248/p/-1/t/1/fs/0/start/0/end/0/c"),"פסח על שום מה")</f>
        <v>פסח על שום מה</v>
      </c>
      <c r="H3185" t="str">
        <f>_xlfn.CONCAT("https://tablet.otzar.org/",CHAR(35),"/book/653248/p/-1/t/1/fs/0/start/0/end/0/c")</f>
        <v>https://tablet.otzar.org/#/book/653248/p/-1/t/1/fs/0/start/0/end/0/c</v>
      </c>
    </row>
    <row r="3186" spans="1:8" x14ac:dyDescent="0.25">
      <c r="A3186">
        <v>649264</v>
      </c>
      <c r="B3186" t="s">
        <v>6273</v>
      </c>
      <c r="C3186" t="s">
        <v>6274</v>
      </c>
      <c r="D3186" t="s">
        <v>6275</v>
      </c>
      <c r="E3186">
        <v>1866</v>
      </c>
      <c r="G3186" t="str">
        <f>HYPERLINK(_xlfn.CONCAT("https://tablet.otzar.org/",CHAR(35),"/book/649264/p/-1/t/1/fs/0/start/0/end/0/c"),"פסק בית דין")</f>
        <v>פסק בית דין</v>
      </c>
      <c r="H3186" t="str">
        <f>_xlfn.CONCAT("https://tablet.otzar.org/",CHAR(35),"/book/649264/p/-1/t/1/fs/0/start/0/end/0/c")</f>
        <v>https://tablet.otzar.org/#/book/649264/p/-1/t/1/fs/0/start/0/end/0/c</v>
      </c>
    </row>
    <row r="3187" spans="1:8" x14ac:dyDescent="0.25">
      <c r="A3187">
        <v>649547</v>
      </c>
      <c r="B3187" t="s">
        <v>6276</v>
      </c>
      <c r="C3187" t="s">
        <v>6277</v>
      </c>
      <c r="D3187" t="s">
        <v>34</v>
      </c>
      <c r="E3187" t="s">
        <v>6278</v>
      </c>
      <c r="G3187" t="str">
        <f>HYPERLINK(_xlfn.CONCAT("https://tablet.otzar.org/",CHAR(35),"/book/649547/p/-1/t/1/fs/0/start/0/end/0/c"),"פסק דין")</f>
        <v>פסק דין</v>
      </c>
      <c r="H3187" t="str">
        <f>_xlfn.CONCAT("https://tablet.otzar.org/",CHAR(35),"/book/649547/p/-1/t/1/fs/0/start/0/end/0/c")</f>
        <v>https://tablet.otzar.org/#/book/649547/p/-1/t/1/fs/0/start/0/end/0/c</v>
      </c>
    </row>
    <row r="3188" spans="1:8" x14ac:dyDescent="0.25">
      <c r="A3188">
        <v>648977</v>
      </c>
      <c r="B3188" t="s">
        <v>6279</v>
      </c>
      <c r="C3188" t="s">
        <v>6280</v>
      </c>
      <c r="E3188" t="s">
        <v>35</v>
      </c>
      <c r="G3188" t="str">
        <f>HYPERLINK(_xlfn.CONCAT("https://tablet.otzar.org/",CHAR(35),"/book/648977/p/-1/t/1/fs/0/start/0/end/0/c"),"פסקי הלכות מלאכות שבת")</f>
        <v>פסקי הלכות מלאכות שבת</v>
      </c>
      <c r="H3188" t="str">
        <f>_xlfn.CONCAT("https://tablet.otzar.org/",CHAR(35),"/book/648977/p/-1/t/1/fs/0/start/0/end/0/c")</f>
        <v>https://tablet.otzar.org/#/book/648977/p/-1/t/1/fs/0/start/0/end/0/c</v>
      </c>
    </row>
    <row r="3189" spans="1:8" x14ac:dyDescent="0.25">
      <c r="A3189">
        <v>651037</v>
      </c>
      <c r="B3189" t="s">
        <v>6281</v>
      </c>
      <c r="C3189" t="s">
        <v>2939</v>
      </c>
      <c r="E3189" t="s">
        <v>84</v>
      </c>
      <c r="G3189" t="str">
        <f>HYPERLINK(_xlfn.CONCAT("https://tablet.otzar.org/",CHAR(35),"/exKotar/651037"),"פסקי הלכות נשמת שבת - 3 כרכים")</f>
        <v>פסקי הלכות נשמת שבת - 3 כרכים</v>
      </c>
      <c r="H3189" t="str">
        <f>_xlfn.CONCAT("https://tablet.otzar.org/",CHAR(35),"/exKotar/651037")</f>
        <v>https://tablet.otzar.org/#/exKotar/651037</v>
      </c>
    </row>
    <row r="3190" spans="1:8" x14ac:dyDescent="0.25">
      <c r="A3190">
        <v>650268</v>
      </c>
      <c r="B3190" t="s">
        <v>6282</v>
      </c>
      <c r="C3190" t="s">
        <v>6283</v>
      </c>
      <c r="D3190" t="s">
        <v>463</v>
      </c>
      <c r="E3190" t="s">
        <v>11</v>
      </c>
      <c r="G3190" t="str">
        <f>HYPERLINK(_xlfn.CONCAT("https://tablet.otzar.org/",CHAR(35),"/book/650268/p/-1/t/1/fs/0/start/0/end/0/c"),"פסקי הרב על הלכות מילה")</f>
        <v>פסקי הרב על הלכות מילה</v>
      </c>
      <c r="H3190" t="str">
        <f>_xlfn.CONCAT("https://tablet.otzar.org/",CHAR(35),"/book/650268/p/-1/t/1/fs/0/start/0/end/0/c")</f>
        <v>https://tablet.otzar.org/#/book/650268/p/-1/t/1/fs/0/start/0/end/0/c</v>
      </c>
    </row>
    <row r="3191" spans="1:8" x14ac:dyDescent="0.25">
      <c r="A3191">
        <v>654460</v>
      </c>
      <c r="B3191" t="s">
        <v>6284</v>
      </c>
      <c r="C3191" t="s">
        <v>6285</v>
      </c>
      <c r="E3191" t="s">
        <v>11</v>
      </c>
      <c r="G3191" t="str">
        <f>HYPERLINK(_xlfn.CONCAT("https://tablet.otzar.org/",CHAR(35),"/book/654460/p/-1/t/1/fs/0/start/0/end/0/c"),"פסקי משפט")</f>
        <v>פסקי משפט</v>
      </c>
      <c r="H3191" t="str">
        <f>_xlfn.CONCAT("https://tablet.otzar.org/",CHAR(35),"/book/654460/p/-1/t/1/fs/0/start/0/end/0/c")</f>
        <v>https://tablet.otzar.org/#/book/654460/p/-1/t/1/fs/0/start/0/end/0/c</v>
      </c>
    </row>
    <row r="3192" spans="1:8" x14ac:dyDescent="0.25">
      <c r="A3192">
        <v>647930</v>
      </c>
      <c r="B3192" t="s">
        <v>6286</v>
      </c>
      <c r="C3192" t="s">
        <v>548</v>
      </c>
      <c r="D3192" t="s">
        <v>58</v>
      </c>
      <c r="E3192" t="s">
        <v>70</v>
      </c>
      <c r="G3192" t="str">
        <f>HYPERLINK(_xlfn.CONCAT("https://tablet.otzar.org/",CHAR(35),"/book/647930/p/-1/t/1/fs/0/start/0/end/0/c"),"פצעי אוהב")</f>
        <v>פצעי אוהב</v>
      </c>
      <c r="H3192" t="str">
        <f>_xlfn.CONCAT("https://tablet.otzar.org/",CHAR(35),"/book/647930/p/-1/t/1/fs/0/start/0/end/0/c")</f>
        <v>https://tablet.otzar.org/#/book/647930/p/-1/t/1/fs/0/start/0/end/0/c</v>
      </c>
    </row>
    <row r="3193" spans="1:8" x14ac:dyDescent="0.25">
      <c r="A3193">
        <v>647357</v>
      </c>
      <c r="B3193" t="s">
        <v>6287</v>
      </c>
      <c r="C3193" t="s">
        <v>857</v>
      </c>
      <c r="D3193" t="s">
        <v>858</v>
      </c>
      <c r="E3193" t="s">
        <v>70</v>
      </c>
      <c r="G3193" t="str">
        <f>HYPERLINK(_xlfn.CONCAT("https://tablet.otzar.org/",CHAR(35),"/book/647357/p/-1/t/1/fs/0/start/0/end/0/c"),"פראכטפולע רעדעס")</f>
        <v>פראכטפולע רעדעס</v>
      </c>
      <c r="H3193" t="str">
        <f>_xlfn.CONCAT("https://tablet.otzar.org/",CHAR(35),"/book/647357/p/-1/t/1/fs/0/start/0/end/0/c")</f>
        <v>https://tablet.otzar.org/#/book/647357/p/-1/t/1/fs/0/start/0/end/0/c</v>
      </c>
    </row>
    <row r="3194" spans="1:8" x14ac:dyDescent="0.25">
      <c r="A3194">
        <v>641181</v>
      </c>
      <c r="B3194" t="s">
        <v>6288</v>
      </c>
      <c r="C3194" t="s">
        <v>6289</v>
      </c>
      <c r="D3194" t="s">
        <v>6290</v>
      </c>
      <c r="E3194" t="s">
        <v>435</v>
      </c>
      <c r="G3194" t="str">
        <f>HYPERLINK(_xlfn.CONCAT("https://tablet.otzar.org/",CHAR(35),"/book/641181/p/-1/t/1/fs/0/start/0/end/0/c"),"פראקטישע מעטאדע")</f>
        <v>פראקטישע מעטאדע</v>
      </c>
      <c r="H3194" t="str">
        <f>_xlfn.CONCAT("https://tablet.otzar.org/",CHAR(35),"/book/641181/p/-1/t/1/fs/0/start/0/end/0/c")</f>
        <v>https://tablet.otzar.org/#/book/641181/p/-1/t/1/fs/0/start/0/end/0/c</v>
      </c>
    </row>
    <row r="3195" spans="1:8" x14ac:dyDescent="0.25">
      <c r="A3195">
        <v>647760</v>
      </c>
      <c r="B3195" t="s">
        <v>6291</v>
      </c>
      <c r="C3195" t="s">
        <v>3705</v>
      </c>
      <c r="E3195" t="s">
        <v>6292</v>
      </c>
      <c r="G3195" t="str">
        <f>HYPERLINK(_xlfn.CONCAT("https://tablet.otzar.org/",CHAR(35),"/exKotar/647760"),"פרד""""ס לשולחן שבת - 2 כרכים")</f>
        <v>פרד""ס לשולחן שבת - 2 כרכים</v>
      </c>
      <c r="H3195" t="str">
        <f>_xlfn.CONCAT("https://tablet.otzar.org/",CHAR(35),"/exKotar/647760")</f>
        <v>https://tablet.otzar.org/#/exKotar/647760</v>
      </c>
    </row>
    <row r="3196" spans="1:8" x14ac:dyDescent="0.25">
      <c r="A3196">
        <v>652948</v>
      </c>
      <c r="B3196" t="s">
        <v>6293</v>
      </c>
      <c r="C3196" t="s">
        <v>3724</v>
      </c>
      <c r="D3196" t="s">
        <v>10</v>
      </c>
      <c r="E3196" t="s">
        <v>126</v>
      </c>
      <c r="G3196" t="str">
        <f>HYPERLINK(_xlfn.CONCAT("https://tablet.otzar.org/",CHAR(35),"/book/652948/p/-1/t/1/fs/0/start/0/end/0/c"),"פרדס האבות")</f>
        <v>פרדס האבות</v>
      </c>
      <c r="H3196" t="str">
        <f>_xlfn.CONCAT("https://tablet.otzar.org/",CHAR(35),"/book/652948/p/-1/t/1/fs/0/start/0/end/0/c")</f>
        <v>https://tablet.otzar.org/#/book/652948/p/-1/t/1/fs/0/start/0/end/0/c</v>
      </c>
    </row>
    <row r="3197" spans="1:8" x14ac:dyDescent="0.25">
      <c r="A3197">
        <v>647925</v>
      </c>
      <c r="B3197" t="s">
        <v>6294</v>
      </c>
      <c r="C3197" t="s">
        <v>2739</v>
      </c>
      <c r="D3197" t="s">
        <v>10</v>
      </c>
      <c r="E3197" t="s">
        <v>3335</v>
      </c>
      <c r="G3197" t="str">
        <f>HYPERLINK(_xlfn.CONCAT("https://tablet.otzar.org/",CHAR(35),"/book/647925/p/-1/t/1/fs/0/start/0/end/0/c"),"פרדס התורה והחכמה - זכור ליצחק ח""""א")</f>
        <v>פרדס התורה והחכמה - זכור ליצחק ח""א</v>
      </c>
      <c r="H3197" t="str">
        <f>_xlfn.CONCAT("https://tablet.otzar.org/",CHAR(35),"/book/647925/p/-1/t/1/fs/0/start/0/end/0/c")</f>
        <v>https://tablet.otzar.org/#/book/647925/p/-1/t/1/fs/0/start/0/end/0/c</v>
      </c>
    </row>
    <row r="3198" spans="1:8" x14ac:dyDescent="0.25">
      <c r="A3198">
        <v>651697</v>
      </c>
      <c r="B3198" t="s">
        <v>6295</v>
      </c>
      <c r="C3198" t="s">
        <v>6296</v>
      </c>
      <c r="D3198" t="s">
        <v>52</v>
      </c>
      <c r="E3198" t="s">
        <v>11</v>
      </c>
      <c r="G3198" t="str">
        <f>HYPERLINK(_xlfn.CONCAT("https://tablet.otzar.org/",CHAR(35),"/exKotar/651697"),"פרדס יהודה - 2 כרכים")</f>
        <v>פרדס יהודה - 2 כרכים</v>
      </c>
      <c r="H3198" t="str">
        <f>_xlfn.CONCAT("https://tablet.otzar.org/",CHAR(35),"/exKotar/651697")</f>
        <v>https://tablet.otzar.org/#/exKotar/651697</v>
      </c>
    </row>
    <row r="3199" spans="1:8" x14ac:dyDescent="0.25">
      <c r="A3199">
        <v>654846</v>
      </c>
      <c r="B3199" t="s">
        <v>6297</v>
      </c>
      <c r="C3199" t="s">
        <v>6298</v>
      </c>
      <c r="D3199" t="s">
        <v>10</v>
      </c>
      <c r="E3199" t="s">
        <v>77</v>
      </c>
      <c r="G3199" t="str">
        <f>HYPERLINK(_xlfn.CONCAT("https://tablet.otzar.org/",CHAR(35),"/exKotar/654846"),"פרדס רמונים &lt;מהדורה חדשה&gt; - 2 כרכים")</f>
        <v>פרדס רמונים &lt;מהדורה חדשה&gt; - 2 כרכים</v>
      </c>
      <c r="H3199" t="str">
        <f>_xlfn.CONCAT("https://tablet.otzar.org/",CHAR(35),"/exKotar/654846")</f>
        <v>https://tablet.otzar.org/#/exKotar/654846</v>
      </c>
    </row>
    <row r="3200" spans="1:8" x14ac:dyDescent="0.25">
      <c r="A3200">
        <v>650013</v>
      </c>
      <c r="B3200" t="s">
        <v>6299</v>
      </c>
      <c r="C3200" t="s">
        <v>6300</v>
      </c>
      <c r="D3200" t="s">
        <v>600</v>
      </c>
      <c r="E3200" t="s">
        <v>6301</v>
      </c>
      <c r="G3200" t="str">
        <f>HYPERLINK(_xlfn.CONCAT("https://tablet.otzar.org/",CHAR(35),"/book/650013/p/-1/t/1/fs/0/start/0/end/0/c"),"פרדס שושנים")</f>
        <v>פרדס שושנים</v>
      </c>
      <c r="H3200" t="str">
        <f>_xlfn.CONCAT("https://tablet.otzar.org/",CHAR(35),"/book/650013/p/-1/t/1/fs/0/start/0/end/0/c")</f>
        <v>https://tablet.otzar.org/#/book/650013/p/-1/t/1/fs/0/start/0/end/0/c</v>
      </c>
    </row>
    <row r="3201" spans="1:8" x14ac:dyDescent="0.25">
      <c r="A3201">
        <v>649819</v>
      </c>
      <c r="B3201" t="s">
        <v>6302</v>
      </c>
      <c r="C3201" t="s">
        <v>3074</v>
      </c>
      <c r="D3201" t="s">
        <v>3075</v>
      </c>
      <c r="E3201" t="s">
        <v>11</v>
      </c>
      <c r="G3201" t="str">
        <f>HYPERLINK(_xlfn.CONCAT("https://tablet.otzar.org/",CHAR(35),"/book/649819/p/-1/t/1/fs/0/start/0/end/0/c"),"פרוז ומוקף")</f>
        <v>פרוז ומוקף</v>
      </c>
      <c r="H3201" t="str">
        <f>_xlfn.CONCAT("https://tablet.otzar.org/",CHAR(35),"/book/649819/p/-1/t/1/fs/0/start/0/end/0/c")</f>
        <v>https://tablet.otzar.org/#/book/649819/p/-1/t/1/fs/0/start/0/end/0/c</v>
      </c>
    </row>
    <row r="3202" spans="1:8" x14ac:dyDescent="0.25">
      <c r="A3202">
        <v>651659</v>
      </c>
      <c r="B3202" t="s">
        <v>6303</v>
      </c>
      <c r="C3202" t="s">
        <v>614</v>
      </c>
      <c r="D3202" t="s">
        <v>10</v>
      </c>
      <c r="E3202" t="s">
        <v>11</v>
      </c>
      <c r="G3202" t="str">
        <f>HYPERLINK(_xlfn.CONCAT("https://tablet.otzar.org/",CHAR(35),"/book/651659/p/-1/t/1/fs/0/start/0/end/0/c"),"פרות לבי")</f>
        <v>פרות לבי</v>
      </c>
      <c r="H3202" t="str">
        <f>_xlfn.CONCAT("https://tablet.otzar.org/",CHAR(35),"/book/651659/p/-1/t/1/fs/0/start/0/end/0/c")</f>
        <v>https://tablet.otzar.org/#/book/651659/p/-1/t/1/fs/0/start/0/end/0/c</v>
      </c>
    </row>
    <row r="3203" spans="1:8" x14ac:dyDescent="0.25">
      <c r="A3203">
        <v>649311</v>
      </c>
      <c r="B3203" t="s">
        <v>6304</v>
      </c>
      <c r="C3203" t="s">
        <v>6305</v>
      </c>
      <c r="D3203" t="s">
        <v>6306</v>
      </c>
      <c r="E3203" t="s">
        <v>6307</v>
      </c>
      <c r="G3203" t="str">
        <f>HYPERLINK(_xlfn.CONCAT("https://tablet.otzar.org/",CHAR(35),"/book/649311/p/-1/t/1/fs/0/start/0/end/0/c"),"פרחי ארץ הקדושה")</f>
        <v>פרחי ארץ הקדושה</v>
      </c>
      <c r="H3203" t="str">
        <f>_xlfn.CONCAT("https://tablet.otzar.org/",CHAR(35),"/book/649311/p/-1/t/1/fs/0/start/0/end/0/c")</f>
        <v>https://tablet.otzar.org/#/book/649311/p/-1/t/1/fs/0/start/0/end/0/c</v>
      </c>
    </row>
    <row r="3204" spans="1:8" x14ac:dyDescent="0.25">
      <c r="A3204">
        <v>655611</v>
      </c>
      <c r="B3204" t="s">
        <v>6308</v>
      </c>
      <c r="C3204" t="s">
        <v>6309</v>
      </c>
      <c r="D3204" t="s">
        <v>347</v>
      </c>
      <c r="E3204" t="s">
        <v>45</v>
      </c>
      <c r="G3204" t="str">
        <f>HYPERLINK(_xlfn.CONCAT("https://tablet.otzar.org/",CHAR(35),"/exKotar/655611"),"פרחי שמואל - 2 כרכים")</f>
        <v>פרחי שמואל - 2 כרכים</v>
      </c>
      <c r="H3204" t="str">
        <f>_xlfn.CONCAT("https://tablet.otzar.org/",CHAR(35),"/exKotar/655611")</f>
        <v>https://tablet.otzar.org/#/exKotar/655611</v>
      </c>
    </row>
    <row r="3205" spans="1:8" x14ac:dyDescent="0.25">
      <c r="A3205">
        <v>655780</v>
      </c>
      <c r="B3205" t="s">
        <v>6310</v>
      </c>
      <c r="C3205" t="s">
        <v>2991</v>
      </c>
      <c r="D3205" t="s">
        <v>1593</v>
      </c>
      <c r="E3205" t="s">
        <v>62</v>
      </c>
      <c r="G3205" t="str">
        <f>HYPERLINK(_xlfn.CONCAT("https://tablet.otzar.org/",CHAR(35),"/book/655780/p/-1/t/1/fs/0/start/0/end/0/c"),"פרי  שמעון")</f>
        <v>פרי  שמעון</v>
      </c>
      <c r="H3205" t="str">
        <f>_xlfn.CONCAT("https://tablet.otzar.org/",CHAR(35),"/book/655780/p/-1/t/1/fs/0/start/0/end/0/c")</f>
        <v>https://tablet.otzar.org/#/book/655780/p/-1/t/1/fs/0/start/0/end/0/c</v>
      </c>
    </row>
    <row r="3206" spans="1:8" x14ac:dyDescent="0.25">
      <c r="A3206">
        <v>650617</v>
      </c>
      <c r="B3206" t="s">
        <v>6311</v>
      </c>
      <c r="C3206" t="s">
        <v>6312</v>
      </c>
      <c r="D3206" t="s">
        <v>34</v>
      </c>
      <c r="E3206" t="s">
        <v>117</v>
      </c>
      <c r="G3206" t="str">
        <f>HYPERLINK(_xlfn.CONCAT("https://tablet.otzar.org/",CHAR(35),"/book/650617/p/-1/t/1/fs/0/start/0/end/0/c"),"פרי אברהם - ב")</f>
        <v>פרי אברהם - ב</v>
      </c>
      <c r="H3206" t="str">
        <f>_xlfn.CONCAT("https://tablet.otzar.org/",CHAR(35),"/book/650617/p/-1/t/1/fs/0/start/0/end/0/c")</f>
        <v>https://tablet.otzar.org/#/book/650617/p/-1/t/1/fs/0/start/0/end/0/c</v>
      </c>
    </row>
    <row r="3207" spans="1:8" x14ac:dyDescent="0.25">
      <c r="A3207">
        <v>655159</v>
      </c>
      <c r="B3207" t="s">
        <v>6313</v>
      </c>
      <c r="C3207" t="s">
        <v>6314</v>
      </c>
      <c r="D3207" t="s">
        <v>10</v>
      </c>
      <c r="E3207" t="s">
        <v>11</v>
      </c>
      <c r="G3207" t="str">
        <f>HYPERLINK(_xlfn.CONCAT("https://tablet.otzar.org/",CHAR(35),"/book/655159/p/-1/t/1/fs/0/start/0/end/0/c"),"פרי אליעזר - ג")</f>
        <v>פרי אליעזר - ג</v>
      </c>
      <c r="H3207" t="str">
        <f>_xlfn.CONCAT("https://tablet.otzar.org/",CHAR(35),"/book/655159/p/-1/t/1/fs/0/start/0/end/0/c")</f>
        <v>https://tablet.otzar.org/#/book/655159/p/-1/t/1/fs/0/start/0/end/0/c</v>
      </c>
    </row>
    <row r="3208" spans="1:8" x14ac:dyDescent="0.25">
      <c r="A3208">
        <v>611217</v>
      </c>
      <c r="B3208" t="s">
        <v>6315</v>
      </c>
      <c r="C3208" t="s">
        <v>6316</v>
      </c>
      <c r="D3208" t="s">
        <v>88</v>
      </c>
      <c r="E3208" t="s">
        <v>77</v>
      </c>
      <c r="G3208" t="str">
        <f>HYPERLINK(_xlfn.CONCAT("https://tablet.otzar.org/",CHAR(35),"/book/611217/p/-1/t/1/fs/0/start/0/end/0/c"),"פרי אפרים")</f>
        <v>פרי אפרים</v>
      </c>
      <c r="H3208" t="str">
        <f>_xlfn.CONCAT("https://tablet.otzar.org/",CHAR(35),"/book/611217/p/-1/t/1/fs/0/start/0/end/0/c")</f>
        <v>https://tablet.otzar.org/#/book/611217/p/-1/t/1/fs/0/start/0/end/0/c</v>
      </c>
    </row>
    <row r="3209" spans="1:8" x14ac:dyDescent="0.25">
      <c r="A3209">
        <v>649727</v>
      </c>
      <c r="B3209" t="s">
        <v>6317</v>
      </c>
      <c r="C3209" t="s">
        <v>6318</v>
      </c>
      <c r="D3209" t="s">
        <v>10</v>
      </c>
      <c r="E3209" t="s">
        <v>11</v>
      </c>
      <c r="G3209" t="str">
        <f>HYPERLINK(_xlfn.CONCAT("https://tablet.otzar.org/",CHAR(35),"/book/649727/p/-1/t/1/fs/0/start/0/end/0/c"),"פרי גני - ליקוטי הלכות ז")</f>
        <v>פרי גני - ליקוטי הלכות ז</v>
      </c>
      <c r="H3209" t="str">
        <f>_xlfn.CONCAT("https://tablet.otzar.org/",CHAR(35),"/book/649727/p/-1/t/1/fs/0/start/0/end/0/c")</f>
        <v>https://tablet.otzar.org/#/book/649727/p/-1/t/1/fs/0/start/0/end/0/c</v>
      </c>
    </row>
    <row r="3210" spans="1:8" x14ac:dyDescent="0.25">
      <c r="A3210">
        <v>655099</v>
      </c>
      <c r="B3210" t="s">
        <v>6319</v>
      </c>
      <c r="C3210" t="s">
        <v>6320</v>
      </c>
      <c r="D3210" t="s">
        <v>52</v>
      </c>
      <c r="E3210" t="s">
        <v>11</v>
      </c>
      <c r="G3210" t="str">
        <f>HYPERLINK(_xlfn.CONCAT("https://tablet.otzar.org/",CHAR(35),"/book/655099/p/-1/t/1/fs/0/start/0/end/0/c"),"פרי חביב")</f>
        <v>פרי חביב</v>
      </c>
      <c r="H3210" t="str">
        <f>_xlfn.CONCAT("https://tablet.otzar.org/",CHAR(35),"/book/655099/p/-1/t/1/fs/0/start/0/end/0/c")</f>
        <v>https://tablet.otzar.org/#/book/655099/p/-1/t/1/fs/0/start/0/end/0/c</v>
      </c>
    </row>
    <row r="3211" spans="1:8" x14ac:dyDescent="0.25">
      <c r="A3211">
        <v>653728</v>
      </c>
      <c r="B3211" t="s">
        <v>6321</v>
      </c>
      <c r="C3211" t="s">
        <v>6322</v>
      </c>
      <c r="D3211" t="s">
        <v>2314</v>
      </c>
      <c r="E3211" t="s">
        <v>11</v>
      </c>
      <c r="G3211" t="str">
        <f>HYPERLINK(_xlfn.CONCAT("https://tablet.otzar.org/",CHAR(35),"/book/653728/p/-1/t/1/fs/0/start/0/end/0/c"),"פרי חיים - אגדות הש""""ס")</f>
        <v>פרי חיים - אגדות הש""ס</v>
      </c>
      <c r="H3211" t="str">
        <f>_xlfn.CONCAT("https://tablet.otzar.org/",CHAR(35),"/book/653728/p/-1/t/1/fs/0/start/0/end/0/c")</f>
        <v>https://tablet.otzar.org/#/book/653728/p/-1/t/1/fs/0/start/0/end/0/c</v>
      </c>
    </row>
    <row r="3212" spans="1:8" x14ac:dyDescent="0.25">
      <c r="A3212">
        <v>651884</v>
      </c>
      <c r="B3212" t="s">
        <v>6323</v>
      </c>
      <c r="C3212" t="s">
        <v>6324</v>
      </c>
      <c r="D3212" t="s">
        <v>52</v>
      </c>
      <c r="E3212" t="s">
        <v>117</v>
      </c>
      <c r="G3212" t="str">
        <f>HYPERLINK(_xlfn.CONCAT("https://tablet.otzar.org/",CHAR(35),"/exKotar/651884"),"פרי חיים - 2 כרכים")</f>
        <v>פרי חיים - 2 כרכים</v>
      </c>
      <c r="H3212" t="str">
        <f>_xlfn.CONCAT("https://tablet.otzar.org/",CHAR(35),"/exKotar/651884")</f>
        <v>https://tablet.otzar.org/#/exKotar/651884</v>
      </c>
    </row>
    <row r="3213" spans="1:8" x14ac:dyDescent="0.25">
      <c r="A3213">
        <v>656213</v>
      </c>
      <c r="B3213" t="s">
        <v>6325</v>
      </c>
      <c r="C3213" t="s">
        <v>6326</v>
      </c>
      <c r="D3213" t="s">
        <v>10</v>
      </c>
      <c r="E3213" t="s">
        <v>507</v>
      </c>
      <c r="G3213" t="str">
        <f>HYPERLINK(_xlfn.CONCAT("https://tablet.otzar.org/",CHAR(35),"/book/656213/p/-1/t/1/fs/0/start/0/end/0/c"),"פרי יוסף &lt;מכון כנסת&gt; - מכות")</f>
        <v>פרי יוסף &lt;מכון כנסת&gt; - מכות</v>
      </c>
      <c r="H3213" t="str">
        <f>_xlfn.CONCAT("https://tablet.otzar.org/",CHAR(35),"/book/656213/p/-1/t/1/fs/0/start/0/end/0/c")</f>
        <v>https://tablet.otzar.org/#/book/656213/p/-1/t/1/fs/0/start/0/end/0/c</v>
      </c>
    </row>
    <row r="3214" spans="1:8" x14ac:dyDescent="0.25">
      <c r="A3214">
        <v>649150</v>
      </c>
      <c r="B3214" t="s">
        <v>6327</v>
      </c>
      <c r="C3214" t="s">
        <v>6328</v>
      </c>
      <c r="D3214" t="s">
        <v>10</v>
      </c>
      <c r="E3214" t="s">
        <v>237</v>
      </c>
      <c r="G3214" t="str">
        <f>HYPERLINK(_xlfn.CONCAT("https://tablet.otzar.org/",CHAR(35),"/book/649150/p/-1/t/1/fs/0/start/0/end/0/c"),"פרי ישע אהרן - א")</f>
        <v>פרי ישע אהרן - א</v>
      </c>
      <c r="H3214" t="str">
        <f>_xlfn.CONCAT("https://tablet.otzar.org/",CHAR(35),"/book/649150/p/-1/t/1/fs/0/start/0/end/0/c")</f>
        <v>https://tablet.otzar.org/#/book/649150/p/-1/t/1/fs/0/start/0/end/0/c</v>
      </c>
    </row>
    <row r="3215" spans="1:8" x14ac:dyDescent="0.25">
      <c r="A3215">
        <v>647715</v>
      </c>
      <c r="B3215" t="s">
        <v>6329</v>
      </c>
      <c r="D3215" t="s">
        <v>2069</v>
      </c>
      <c r="E3215" t="s">
        <v>205</v>
      </c>
      <c r="G3215" t="str">
        <f>HYPERLINK(_xlfn.CONCAT("https://tablet.otzar.org/",CHAR(35),"/book/647715/p/-1/t/1/fs/0/start/0/end/0/c"),"פרי מגדים - מעדני שמואל")</f>
        <v>פרי מגדים - מעדני שמואל</v>
      </c>
      <c r="H3215" t="str">
        <f>_xlfn.CONCAT("https://tablet.otzar.org/",CHAR(35),"/book/647715/p/-1/t/1/fs/0/start/0/end/0/c")</f>
        <v>https://tablet.otzar.org/#/book/647715/p/-1/t/1/fs/0/start/0/end/0/c</v>
      </c>
    </row>
    <row r="3216" spans="1:8" x14ac:dyDescent="0.25">
      <c r="A3216">
        <v>655885</v>
      </c>
      <c r="B3216" t="s">
        <v>6330</v>
      </c>
      <c r="C3216" t="s">
        <v>1595</v>
      </c>
      <c r="D3216" t="s">
        <v>287</v>
      </c>
      <c r="E3216" t="s">
        <v>11</v>
      </c>
      <c r="G3216" t="str">
        <f>HYPERLINK(_xlfn.CONCAT("https://tablet.otzar.org/",CHAR(35),"/book/655885/p/-1/t/1/fs/0/start/0/end/0/c"),"פרי מגדים &lt;באר הפרי - באר מגדים&gt; - עירובי חצירות")</f>
        <v>פרי מגדים &lt;באר הפרי - באר מגדים&gt; - עירובי חצירות</v>
      </c>
      <c r="H3216" t="str">
        <f>_xlfn.CONCAT("https://tablet.otzar.org/",CHAR(35),"/book/655885/p/-1/t/1/fs/0/start/0/end/0/c")</f>
        <v>https://tablet.otzar.org/#/book/655885/p/-1/t/1/fs/0/start/0/end/0/c</v>
      </c>
    </row>
    <row r="3217" spans="1:8" x14ac:dyDescent="0.25">
      <c r="A3217">
        <v>650639</v>
      </c>
      <c r="B3217" t="s">
        <v>6331</v>
      </c>
      <c r="C3217" t="s">
        <v>6332</v>
      </c>
      <c r="E3217" t="s">
        <v>70</v>
      </c>
      <c r="G3217" t="str">
        <f>HYPERLINK(_xlfn.CONCAT("https://tablet.otzar.org/",CHAR(35),"/book/650639/p/-1/t/1/fs/0/start/0/end/0/c"),"פרי מחשבה - תורה וגלגולים")</f>
        <v>פרי מחשבה - תורה וגלגולים</v>
      </c>
      <c r="H3217" t="str">
        <f>_xlfn.CONCAT("https://tablet.otzar.org/",CHAR(35),"/book/650639/p/-1/t/1/fs/0/start/0/end/0/c")</f>
        <v>https://tablet.otzar.org/#/book/650639/p/-1/t/1/fs/0/start/0/end/0/c</v>
      </c>
    </row>
    <row r="3218" spans="1:8" x14ac:dyDescent="0.25">
      <c r="A3218">
        <v>640963</v>
      </c>
      <c r="B3218" t="s">
        <v>6333</v>
      </c>
      <c r="C3218" t="s">
        <v>6334</v>
      </c>
      <c r="D3218" t="s">
        <v>2519</v>
      </c>
      <c r="E3218" t="s">
        <v>3523</v>
      </c>
      <c r="G3218" t="str">
        <f>HYPERLINK(_xlfn.CONCAT("https://tablet.otzar.org/",CHAR(35),"/book/640963/p/-1/t/1/fs/0/start/0/end/0/c"),"פרי עץ הדר")</f>
        <v>פרי עץ הדר</v>
      </c>
      <c r="H3218" t="str">
        <f>_xlfn.CONCAT("https://tablet.otzar.org/",CHAR(35),"/book/640963/p/-1/t/1/fs/0/start/0/end/0/c")</f>
        <v>https://tablet.otzar.org/#/book/640963/p/-1/t/1/fs/0/start/0/end/0/c</v>
      </c>
    </row>
    <row r="3219" spans="1:8" x14ac:dyDescent="0.25">
      <c r="A3219">
        <v>647893</v>
      </c>
      <c r="B3219" t="s">
        <v>6333</v>
      </c>
      <c r="C3219" t="s">
        <v>6335</v>
      </c>
      <c r="D3219" t="s">
        <v>58</v>
      </c>
      <c r="E3219" t="s">
        <v>4213</v>
      </c>
      <c r="G3219" t="str">
        <f>HYPERLINK(_xlfn.CONCAT("https://tablet.otzar.org/",CHAR(35),"/book/647893/p/-1/t/1/fs/0/start/0/end/0/c"),"פרי עץ הדר")</f>
        <v>פרי עץ הדר</v>
      </c>
      <c r="H3219" t="str">
        <f>_xlfn.CONCAT("https://tablet.otzar.org/",CHAR(35),"/book/647893/p/-1/t/1/fs/0/start/0/end/0/c")</f>
        <v>https://tablet.otzar.org/#/book/647893/p/-1/t/1/fs/0/start/0/end/0/c</v>
      </c>
    </row>
    <row r="3220" spans="1:8" x14ac:dyDescent="0.25">
      <c r="A3220">
        <v>655164</v>
      </c>
      <c r="B3220" t="s">
        <v>6336</v>
      </c>
      <c r="C3220" t="s">
        <v>2545</v>
      </c>
      <c r="D3220" t="s">
        <v>10</v>
      </c>
      <c r="E3220" t="s">
        <v>657</v>
      </c>
      <c r="G3220" t="str">
        <f>HYPERLINK(_xlfn.CONCAT("https://tablet.otzar.org/",CHAR(35),"/book/655164/p/-1/t/1/fs/0/start/0/end/0/c"),"פרי עץ הדר - ארבעת המינים")</f>
        <v>פרי עץ הדר - ארבעת המינים</v>
      </c>
      <c r="H3220" t="str">
        <f>_xlfn.CONCAT("https://tablet.otzar.org/",CHAR(35),"/book/655164/p/-1/t/1/fs/0/start/0/end/0/c")</f>
        <v>https://tablet.otzar.org/#/book/655164/p/-1/t/1/fs/0/start/0/end/0/c</v>
      </c>
    </row>
    <row r="3221" spans="1:8" x14ac:dyDescent="0.25">
      <c r="A3221">
        <v>652822</v>
      </c>
      <c r="B3221" t="s">
        <v>6337</v>
      </c>
      <c r="C3221" t="s">
        <v>6338</v>
      </c>
      <c r="G3221" t="str">
        <f>HYPERLINK(_xlfn.CONCAT("https://tablet.otzar.org/",CHAR(35),"/book/652822/p/-1/t/1/fs/0/start/0/end/0/c"),"פרי עץ הדר עם דבר אל הקורא")</f>
        <v>פרי עץ הדר עם דבר אל הקורא</v>
      </c>
      <c r="H3221" t="str">
        <f>_xlfn.CONCAT("https://tablet.otzar.org/",CHAR(35),"/book/652822/p/-1/t/1/fs/0/start/0/end/0/c")</f>
        <v>https://tablet.otzar.org/#/book/652822/p/-1/t/1/fs/0/start/0/end/0/c</v>
      </c>
    </row>
    <row r="3222" spans="1:8" x14ac:dyDescent="0.25">
      <c r="A3222">
        <v>647574</v>
      </c>
      <c r="B3222" t="s">
        <v>6339</v>
      </c>
      <c r="C3222" t="s">
        <v>6340</v>
      </c>
      <c r="E3222" t="s">
        <v>366</v>
      </c>
      <c r="G3222" t="str">
        <f>HYPERLINK(_xlfn.CONCAT("https://tablet.otzar.org/",CHAR(35),"/book/647574/p/-1/t/1/fs/0/start/0/end/0/c"),"פרי עץ חיים - ב")</f>
        <v>פרי עץ חיים - ב</v>
      </c>
      <c r="H3222" t="str">
        <f>_xlfn.CONCAT("https://tablet.otzar.org/",CHAR(35),"/book/647574/p/-1/t/1/fs/0/start/0/end/0/c")</f>
        <v>https://tablet.otzar.org/#/book/647574/p/-1/t/1/fs/0/start/0/end/0/c</v>
      </c>
    </row>
    <row r="3223" spans="1:8" x14ac:dyDescent="0.25">
      <c r="A3223">
        <v>652477</v>
      </c>
      <c r="B3223" t="s">
        <v>6341</v>
      </c>
      <c r="C3223" t="s">
        <v>6342</v>
      </c>
      <c r="D3223" t="s">
        <v>10</v>
      </c>
      <c r="E3223" t="s">
        <v>763</v>
      </c>
      <c r="G3223" t="str">
        <f>HYPERLINK(_xlfn.CONCAT("https://tablet.otzar.org/",CHAR(35),"/exKotar/652477"),"פרי צדיק &lt;מהדורה חדשה&gt;  - 5 כרכים")</f>
        <v>פרי צדיק &lt;מהדורה חדשה&gt;  - 5 כרכים</v>
      </c>
      <c r="H3223" t="str">
        <f>_xlfn.CONCAT("https://tablet.otzar.org/",CHAR(35),"/exKotar/652477")</f>
        <v>https://tablet.otzar.org/#/exKotar/652477</v>
      </c>
    </row>
    <row r="3224" spans="1:8" x14ac:dyDescent="0.25">
      <c r="A3224">
        <v>650002</v>
      </c>
      <c r="B3224" t="s">
        <v>6343</v>
      </c>
      <c r="C3224" t="s">
        <v>209</v>
      </c>
      <c r="D3224" t="s">
        <v>52</v>
      </c>
      <c r="E3224" t="s">
        <v>35</v>
      </c>
      <c r="G3224" t="str">
        <f>HYPERLINK(_xlfn.CONCAT("https://tablet.otzar.org/",CHAR(35),"/book/650002/p/-1/t/1/fs/0/start/0/end/0/c"),"פרי תואר")</f>
        <v>פרי תואר</v>
      </c>
      <c r="H3224" t="str">
        <f>_xlfn.CONCAT("https://tablet.otzar.org/",CHAR(35),"/book/650002/p/-1/t/1/fs/0/start/0/end/0/c")</f>
        <v>https://tablet.otzar.org/#/book/650002/p/-1/t/1/fs/0/start/0/end/0/c</v>
      </c>
    </row>
    <row r="3225" spans="1:8" x14ac:dyDescent="0.25">
      <c r="A3225">
        <v>653990</v>
      </c>
      <c r="B3225" t="s">
        <v>6344</v>
      </c>
      <c r="C3225" t="s">
        <v>6345</v>
      </c>
      <c r="D3225" t="s">
        <v>10</v>
      </c>
      <c r="E3225" t="s">
        <v>11</v>
      </c>
      <c r="G3225" t="str">
        <f>HYPERLINK(_xlfn.CONCAT("https://tablet.otzar.org/",CHAR(35),"/book/653990/p/-1/t/1/fs/0/start/0/end/0/c"),"פריסת שלומים - פורס מפה ומקדש")</f>
        <v>פריסת שלומים - פורס מפה ומקדש</v>
      </c>
      <c r="H3225" t="str">
        <f>_xlfn.CONCAT("https://tablet.otzar.org/",CHAR(35),"/book/653990/p/-1/t/1/fs/0/start/0/end/0/c")</f>
        <v>https://tablet.otzar.org/#/book/653990/p/-1/t/1/fs/0/start/0/end/0/c</v>
      </c>
    </row>
    <row r="3226" spans="1:8" x14ac:dyDescent="0.25">
      <c r="A3226">
        <v>647477</v>
      </c>
      <c r="B3226" t="s">
        <v>6346</v>
      </c>
      <c r="C3226" t="s">
        <v>6347</v>
      </c>
      <c r="D3226" t="s">
        <v>10</v>
      </c>
      <c r="E3226" t="s">
        <v>1101</v>
      </c>
      <c r="G3226" t="str">
        <f>HYPERLINK(_xlfn.CONCAT("https://tablet.otzar.org/",CHAR(35),"/book/647477/p/-1/t/1/fs/0/start/0/end/0/c"),"פרס ירושלים לספרות תורנית ומחשבת ישראל ע""""ש הגראי""""ה קוק")</f>
        <v>פרס ירושלים לספרות תורנית ומחשבת ישראל ע""ש הגראי""ה קוק</v>
      </c>
      <c r="H3226" t="str">
        <f>_xlfn.CONCAT("https://tablet.otzar.org/",CHAR(35),"/book/647477/p/-1/t/1/fs/0/start/0/end/0/c")</f>
        <v>https://tablet.otzar.org/#/book/647477/p/-1/t/1/fs/0/start/0/end/0/c</v>
      </c>
    </row>
    <row r="3227" spans="1:8" x14ac:dyDescent="0.25">
      <c r="A3227">
        <v>653709</v>
      </c>
      <c r="B3227" t="s">
        <v>6348</v>
      </c>
      <c r="C3227" t="s">
        <v>5300</v>
      </c>
      <c r="E3227" t="s">
        <v>11</v>
      </c>
      <c r="G3227" t="str">
        <f>HYPERLINK(_xlfn.CONCAT("https://tablet.otzar.org/",CHAR(35),"/exKotar/653709"),"פרסום ראשון - 14 כרכים")</f>
        <v>פרסום ראשון - 14 כרכים</v>
      </c>
      <c r="H3227" t="str">
        <f>_xlfn.CONCAT("https://tablet.otzar.org/",CHAR(35),"/exKotar/653709")</f>
        <v>https://tablet.otzar.org/#/exKotar/653709</v>
      </c>
    </row>
    <row r="3228" spans="1:8" x14ac:dyDescent="0.25">
      <c r="A3228">
        <v>650228</v>
      </c>
      <c r="B3228" t="s">
        <v>6349</v>
      </c>
      <c r="C3228" t="s">
        <v>6350</v>
      </c>
      <c r="D3228" t="s">
        <v>1961</v>
      </c>
      <c r="E3228" t="s">
        <v>261</v>
      </c>
      <c r="G3228" t="str">
        <f>HYPERLINK(_xlfn.CONCAT("https://tablet.otzar.org/",CHAR(35),"/book/650228/p/-1/t/1/fs/0/start/0/end/0/c"),"פרעמד ווערטער בוך")</f>
        <v>פרעמד ווערטער בוך</v>
      </c>
      <c r="H3228" t="str">
        <f>_xlfn.CONCAT("https://tablet.otzar.org/",CHAR(35),"/book/650228/p/-1/t/1/fs/0/start/0/end/0/c")</f>
        <v>https://tablet.otzar.org/#/book/650228/p/-1/t/1/fs/0/start/0/end/0/c</v>
      </c>
    </row>
    <row r="3229" spans="1:8" x14ac:dyDescent="0.25">
      <c r="A3229">
        <v>654422</v>
      </c>
      <c r="B3229" t="s">
        <v>6351</v>
      </c>
      <c r="C3229" t="s">
        <v>2725</v>
      </c>
      <c r="D3229" t="s">
        <v>212</v>
      </c>
      <c r="E3229" t="s">
        <v>11</v>
      </c>
      <c r="G3229" t="str">
        <f>HYPERLINK(_xlfn.CONCAT("https://tablet.otzar.org/",CHAR(35),"/book/654422/p/-1/t/1/fs/0/start/0/end/0/c"),"פרפראות בדברי חז''ל - ב")</f>
        <v>פרפראות בדברי חז''ל - ב</v>
      </c>
      <c r="H3229" t="str">
        <f>_xlfn.CONCAT("https://tablet.otzar.org/",CHAR(35),"/book/654422/p/-1/t/1/fs/0/start/0/end/0/c")</f>
        <v>https://tablet.otzar.org/#/book/654422/p/-1/t/1/fs/0/start/0/end/0/c</v>
      </c>
    </row>
    <row r="3230" spans="1:8" x14ac:dyDescent="0.25">
      <c r="A3230">
        <v>652767</v>
      </c>
      <c r="B3230" t="s">
        <v>6352</v>
      </c>
      <c r="C3230" t="s">
        <v>5488</v>
      </c>
      <c r="D3230" t="s">
        <v>10</v>
      </c>
      <c r="E3230" t="s">
        <v>817</v>
      </c>
      <c r="G3230" t="str">
        <f>HYPERLINK(_xlfn.CONCAT("https://tablet.otzar.org/",CHAR(35),"/book/652767/p/-1/t/1/fs/0/start/0/end/0/c"),"פרפראות לחכמה &lt;מהדורה חדשה&gt;")</f>
        <v>פרפראות לחכמה &lt;מהדורה חדשה&gt;</v>
      </c>
      <c r="H3230" t="str">
        <f>_xlfn.CONCAT("https://tablet.otzar.org/",CHAR(35),"/book/652767/p/-1/t/1/fs/0/start/0/end/0/c")</f>
        <v>https://tablet.otzar.org/#/book/652767/p/-1/t/1/fs/0/start/0/end/0/c</v>
      </c>
    </row>
    <row r="3231" spans="1:8" x14ac:dyDescent="0.25">
      <c r="A3231">
        <v>650599</v>
      </c>
      <c r="B3231" t="s">
        <v>6353</v>
      </c>
      <c r="C3231" t="s">
        <v>6354</v>
      </c>
      <c r="D3231" t="s">
        <v>6355</v>
      </c>
      <c r="E3231" t="s">
        <v>1981</v>
      </c>
      <c r="G3231" t="str">
        <f>HYPERLINK(_xlfn.CONCAT("https://tablet.otzar.org/",CHAR(35),"/book/650599/p/-1/t/1/fs/0/start/0/end/0/c"),"פרקי אבות &lt;תרגום לאנגלית ולקט ביאורים ביידיש&gt;")</f>
        <v>פרקי אבות &lt;תרגום לאנגלית ולקט ביאורים ביידיש&gt;</v>
      </c>
      <c r="H3231" t="str">
        <f>_xlfn.CONCAT("https://tablet.otzar.org/",CHAR(35),"/book/650599/p/-1/t/1/fs/0/start/0/end/0/c")</f>
        <v>https://tablet.otzar.org/#/book/650599/p/-1/t/1/fs/0/start/0/end/0/c</v>
      </c>
    </row>
    <row r="3232" spans="1:8" x14ac:dyDescent="0.25">
      <c r="A3232">
        <v>653405</v>
      </c>
      <c r="B3232" t="s">
        <v>6356</v>
      </c>
      <c r="C3232" t="s">
        <v>6357</v>
      </c>
      <c r="D3232" t="s">
        <v>34</v>
      </c>
      <c r="E3232" t="s">
        <v>11</v>
      </c>
      <c r="G3232" t="str">
        <f>HYPERLINK(_xlfn.CONCAT("https://tablet.otzar.org/",CHAR(35),"/book/653405/p/-1/t/1/fs/0/start/0/end/0/c"),"פרקי אבות &lt;מילי דאבות&gt;")</f>
        <v>פרקי אבות &lt;מילי דאבות&gt;</v>
      </c>
      <c r="H3232" t="str">
        <f>_xlfn.CONCAT("https://tablet.otzar.org/",CHAR(35),"/book/653405/p/-1/t/1/fs/0/start/0/end/0/c")</f>
        <v>https://tablet.otzar.org/#/book/653405/p/-1/t/1/fs/0/start/0/end/0/c</v>
      </c>
    </row>
    <row r="3233" spans="1:8" x14ac:dyDescent="0.25">
      <c r="A3233">
        <v>655238</v>
      </c>
      <c r="B3233" t="s">
        <v>6358</v>
      </c>
      <c r="C3233" t="s">
        <v>911</v>
      </c>
      <c r="D3233" t="s">
        <v>10</v>
      </c>
      <c r="E3233" t="s">
        <v>11</v>
      </c>
      <c r="G3233" t="str">
        <f>HYPERLINK(_xlfn.CONCAT("https://tablet.otzar.org/",CHAR(35),"/book/655238/p/-1/t/1/fs/0/start/0/end/0/c"),"פרקי אבות &lt;מאירת עינים - שמחת הלב&gt;")</f>
        <v>פרקי אבות &lt;מאירת עינים - שמחת הלב&gt;</v>
      </c>
      <c r="H3233" t="str">
        <f>_xlfn.CONCAT("https://tablet.otzar.org/",CHAR(35),"/book/655238/p/-1/t/1/fs/0/start/0/end/0/c")</f>
        <v>https://tablet.otzar.org/#/book/655238/p/-1/t/1/fs/0/start/0/end/0/c</v>
      </c>
    </row>
    <row r="3234" spans="1:8" x14ac:dyDescent="0.25">
      <c r="A3234">
        <v>649180</v>
      </c>
      <c r="B3234" t="s">
        <v>6359</v>
      </c>
      <c r="C3234" t="s">
        <v>4734</v>
      </c>
      <c r="E3234" t="s">
        <v>35</v>
      </c>
      <c r="G3234" t="str">
        <f>HYPERLINK(_xlfn.CONCAT("https://tablet.otzar.org/",CHAR(35),"/book/649180/p/-1/t/1/fs/0/start/0/end/0/c"),"פרקי אמונה &lt;&lt;מהדורה חדשה&gt;")</f>
        <v>פרקי אמונה &lt;&lt;מהדורה חדשה&gt;</v>
      </c>
      <c r="H3234" t="str">
        <f>_xlfn.CONCAT("https://tablet.otzar.org/",CHAR(35),"/book/649180/p/-1/t/1/fs/0/start/0/end/0/c")</f>
        <v>https://tablet.otzar.org/#/book/649180/p/-1/t/1/fs/0/start/0/end/0/c</v>
      </c>
    </row>
    <row r="3235" spans="1:8" x14ac:dyDescent="0.25">
      <c r="A3235">
        <v>650146</v>
      </c>
      <c r="B3235" t="s">
        <v>6360</v>
      </c>
      <c r="C3235" t="s">
        <v>6361</v>
      </c>
      <c r="D3235" t="s">
        <v>52</v>
      </c>
      <c r="E3235" t="s">
        <v>416</v>
      </c>
      <c r="G3235" t="str">
        <f>HYPERLINK(_xlfn.CONCAT("https://tablet.otzar.org/",CHAR(35),"/book/650146/p/-1/t/1/fs/0/start/0/end/0/c"),"פרקי דרבי אליעזר על הדמשק אליעזר")</f>
        <v>פרקי דרבי אליעזר על הדמשק אליעזר</v>
      </c>
      <c r="H3235" t="str">
        <f>_xlfn.CONCAT("https://tablet.otzar.org/",CHAR(35),"/book/650146/p/-1/t/1/fs/0/start/0/end/0/c")</f>
        <v>https://tablet.otzar.org/#/book/650146/p/-1/t/1/fs/0/start/0/end/0/c</v>
      </c>
    </row>
    <row r="3236" spans="1:8" x14ac:dyDescent="0.25">
      <c r="A3236">
        <v>651051</v>
      </c>
      <c r="B3236" t="s">
        <v>6362</v>
      </c>
      <c r="C3236" t="s">
        <v>2357</v>
      </c>
      <c r="D3236" t="s">
        <v>731</v>
      </c>
      <c r="E3236" t="s">
        <v>11</v>
      </c>
      <c r="G3236" t="str">
        <f>HYPERLINK(_xlfn.CONCAT("https://tablet.otzar.org/",CHAR(35),"/book/651051/p/-1/t/1/fs/0/start/0/end/0/c"),"פרקי חינוך - בראשית")</f>
        <v>פרקי חינוך - בראשית</v>
      </c>
      <c r="H3236" t="str">
        <f>_xlfn.CONCAT("https://tablet.otzar.org/",CHAR(35),"/book/651051/p/-1/t/1/fs/0/start/0/end/0/c")</f>
        <v>https://tablet.otzar.org/#/book/651051/p/-1/t/1/fs/0/start/0/end/0/c</v>
      </c>
    </row>
    <row r="3237" spans="1:8" x14ac:dyDescent="0.25">
      <c r="A3237">
        <v>648277</v>
      </c>
      <c r="B3237" t="s">
        <v>6363</v>
      </c>
      <c r="C3237" t="s">
        <v>178</v>
      </c>
      <c r="D3237" t="s">
        <v>3577</v>
      </c>
      <c r="E3237" t="s">
        <v>6364</v>
      </c>
      <c r="G3237" t="str">
        <f>HYPERLINK(_xlfn.CONCAT("https://tablet.otzar.org/",CHAR(35),"/book/648277/p/-1/t/1/fs/0/start/0/end/0/c"),"פרקי משה")</f>
        <v>פרקי משה</v>
      </c>
      <c r="H3237" t="str">
        <f>_xlfn.CONCAT("https://tablet.otzar.org/",CHAR(35),"/book/648277/p/-1/t/1/fs/0/start/0/end/0/c")</f>
        <v>https://tablet.otzar.org/#/book/648277/p/-1/t/1/fs/0/start/0/end/0/c</v>
      </c>
    </row>
    <row r="3238" spans="1:8" x14ac:dyDescent="0.25">
      <c r="A3238">
        <v>653357</v>
      </c>
      <c r="B3238" t="s">
        <v>6365</v>
      </c>
      <c r="C3238" t="s">
        <v>6366</v>
      </c>
      <c r="E3238" t="s">
        <v>507</v>
      </c>
      <c r="G3238" t="str">
        <f>HYPERLINK(_xlfn.CONCAT("https://tablet.otzar.org/",CHAR(35),"/book/653357/p/-1/t/1/fs/0/start/0/end/0/c"),"פרקי עיון וספרות")</f>
        <v>פרקי עיון וספרות</v>
      </c>
      <c r="H3238" t="str">
        <f>_xlfn.CONCAT("https://tablet.otzar.org/",CHAR(35),"/book/653357/p/-1/t/1/fs/0/start/0/end/0/c")</f>
        <v>https://tablet.otzar.org/#/book/653357/p/-1/t/1/fs/0/start/0/end/0/c</v>
      </c>
    </row>
    <row r="3239" spans="1:8" x14ac:dyDescent="0.25">
      <c r="A3239">
        <v>655464</v>
      </c>
      <c r="B3239" t="s">
        <v>6367</v>
      </c>
      <c r="C3239" t="s">
        <v>4734</v>
      </c>
      <c r="D3239" t="s">
        <v>6368</v>
      </c>
      <c r="E3239" t="s">
        <v>6369</v>
      </c>
      <c r="G3239" t="str">
        <f>HYPERLINK(_xlfn.CONCAT("https://tablet.otzar.org/",CHAR(35),"/exKotar/655464"),"פרקי תורה &lt;מהדורה חדשה&gt; - 2 כרכים")</f>
        <v>פרקי תורה &lt;מהדורה חדשה&gt; - 2 כרכים</v>
      </c>
      <c r="H3239" t="str">
        <f>_xlfn.CONCAT("https://tablet.otzar.org/",CHAR(35),"/exKotar/655464")</f>
        <v>https://tablet.otzar.org/#/exKotar/655464</v>
      </c>
    </row>
    <row r="3240" spans="1:8" x14ac:dyDescent="0.25">
      <c r="A3240">
        <v>653228</v>
      </c>
      <c r="B3240" t="s">
        <v>6370</v>
      </c>
      <c r="C3240" t="s">
        <v>6371</v>
      </c>
      <c r="D3240" t="s">
        <v>931</v>
      </c>
      <c r="E3240" t="s">
        <v>197</v>
      </c>
      <c r="G3240" t="str">
        <f>HYPERLINK(_xlfn.CONCAT("https://tablet.otzar.org/",CHAR(35),"/book/653228/p/-1/t/1/fs/0/start/0/end/0/c"),"פרקי תורה ומדינה")</f>
        <v>פרקי תורה ומדינה</v>
      </c>
      <c r="H3240" t="str">
        <f>_xlfn.CONCAT("https://tablet.otzar.org/",CHAR(35),"/book/653228/p/-1/t/1/fs/0/start/0/end/0/c")</f>
        <v>https://tablet.otzar.org/#/book/653228/p/-1/t/1/fs/0/start/0/end/0/c</v>
      </c>
    </row>
    <row r="3241" spans="1:8" x14ac:dyDescent="0.25">
      <c r="A3241">
        <v>652899</v>
      </c>
      <c r="B3241" t="s">
        <v>6372</v>
      </c>
      <c r="C3241" t="s">
        <v>6373</v>
      </c>
      <c r="D3241" t="s">
        <v>606</v>
      </c>
      <c r="E3241" t="s">
        <v>70</v>
      </c>
      <c r="G3241" t="str">
        <f>HYPERLINK(_xlfn.CONCAT("https://tablet.otzar.org/",CHAR(35),"/book/652899/p/-1/t/1/fs/0/start/0/end/0/c"),"פרקי תלמוד &lt;מקור ופירוש רש""""י&gt; - בבא מציעא ב")</f>
        <v>פרקי תלמוד &lt;מקור ופירוש רש""י&gt; - בבא מציעא ב</v>
      </c>
      <c r="H3241" t="str">
        <f>_xlfn.CONCAT("https://tablet.otzar.org/",CHAR(35),"/book/652899/p/-1/t/1/fs/0/start/0/end/0/c")</f>
        <v>https://tablet.otzar.org/#/book/652899/p/-1/t/1/fs/0/start/0/end/0/c</v>
      </c>
    </row>
    <row r="3242" spans="1:8" x14ac:dyDescent="0.25">
      <c r="A3242">
        <v>641679</v>
      </c>
      <c r="B3242" t="s">
        <v>6374</v>
      </c>
      <c r="C3242" t="s">
        <v>1100</v>
      </c>
      <c r="D3242" t="s">
        <v>129</v>
      </c>
      <c r="E3242" t="s">
        <v>649</v>
      </c>
      <c r="G3242" t="str">
        <f>HYPERLINK(_xlfn.CONCAT("https://tablet.otzar.org/",CHAR(35),"/book/641679/p/-1/t/1/fs/0/start/0/end/0/c"),"פרקים בתורת החנוך")</f>
        <v>פרקים בתורת החנוך</v>
      </c>
      <c r="H3242" t="str">
        <f>_xlfn.CONCAT("https://tablet.otzar.org/",CHAR(35),"/book/641679/p/-1/t/1/fs/0/start/0/end/0/c")</f>
        <v>https://tablet.otzar.org/#/book/641679/p/-1/t/1/fs/0/start/0/end/0/c</v>
      </c>
    </row>
    <row r="3243" spans="1:8" x14ac:dyDescent="0.25">
      <c r="A3243">
        <v>656182</v>
      </c>
      <c r="B3243" t="s">
        <v>6375</v>
      </c>
      <c r="C3243" t="s">
        <v>1105</v>
      </c>
      <c r="D3243" t="s">
        <v>193</v>
      </c>
      <c r="E3243" t="s">
        <v>399</v>
      </c>
      <c r="G3243" t="str">
        <f>HYPERLINK(_xlfn.CONCAT("https://tablet.otzar.org/",CHAR(35),"/book/656182/p/-1/t/1/fs/0/start/0/end/0/c"),"פרשה סדורה")</f>
        <v>פרשה סדורה</v>
      </c>
      <c r="H3243" t="str">
        <f>_xlfn.CONCAT("https://tablet.otzar.org/",CHAR(35),"/book/656182/p/-1/t/1/fs/0/start/0/end/0/c")</f>
        <v>https://tablet.otzar.org/#/book/656182/p/-1/t/1/fs/0/start/0/end/0/c</v>
      </c>
    </row>
    <row r="3244" spans="1:8" x14ac:dyDescent="0.25">
      <c r="A3244">
        <v>649445</v>
      </c>
      <c r="B3244" t="s">
        <v>6376</v>
      </c>
      <c r="C3244" t="s">
        <v>6377</v>
      </c>
      <c r="D3244" t="s">
        <v>39</v>
      </c>
      <c r="E3244" t="s">
        <v>3925</v>
      </c>
      <c r="G3244" t="str">
        <f>HYPERLINK(_xlfn.CONCAT("https://tablet.otzar.org/",CHAR(35),"/book/649445/p/-1/t/1/fs/0/start/0/end/0/c"),"פרשת אלה מסעי")</f>
        <v>פרשת אלה מסעי</v>
      </c>
      <c r="H3244" t="str">
        <f>_xlfn.CONCAT("https://tablet.otzar.org/",CHAR(35),"/book/649445/p/-1/t/1/fs/0/start/0/end/0/c")</f>
        <v>https://tablet.otzar.org/#/book/649445/p/-1/t/1/fs/0/start/0/end/0/c</v>
      </c>
    </row>
    <row r="3245" spans="1:8" x14ac:dyDescent="0.25">
      <c r="A3245">
        <v>655941</v>
      </c>
      <c r="B3245" t="s">
        <v>6378</v>
      </c>
      <c r="C3245" t="s">
        <v>2517</v>
      </c>
      <c r="D3245" t="s">
        <v>139</v>
      </c>
      <c r="E3245" t="s">
        <v>84</v>
      </c>
      <c r="G3245" t="str">
        <f>HYPERLINK(_xlfn.CONCAT("https://tablet.otzar.org/",CHAR(35),"/book/655941/p/-1/t/1/fs/0/start/0/end/0/c"),"פרשת העיבור")</f>
        <v>פרשת העיבור</v>
      </c>
      <c r="H3245" t="str">
        <f>_xlfn.CONCAT("https://tablet.otzar.org/",CHAR(35),"/book/655941/p/-1/t/1/fs/0/start/0/end/0/c")</f>
        <v>https://tablet.otzar.org/#/book/655941/p/-1/t/1/fs/0/start/0/end/0/c</v>
      </c>
    </row>
    <row r="3246" spans="1:8" x14ac:dyDescent="0.25">
      <c r="A3246">
        <v>653766</v>
      </c>
      <c r="B3246" t="s">
        <v>6379</v>
      </c>
      <c r="C3246" t="s">
        <v>1018</v>
      </c>
      <c r="D3246" t="s">
        <v>52</v>
      </c>
      <c r="E3246" t="s">
        <v>146</v>
      </c>
      <c r="G3246" t="str">
        <f>HYPERLINK(_xlfn.CONCAT("https://tablet.otzar.org/",CHAR(35),"/book/653766/p/-1/t/1/fs/0/start/0/end/0/c"),"פרשת פנחס - רבי פנחס מקוריץ")</f>
        <v>פרשת פנחס - רבי פנחס מקוריץ</v>
      </c>
      <c r="H3246" t="str">
        <f>_xlfn.CONCAT("https://tablet.otzar.org/",CHAR(35),"/book/653766/p/-1/t/1/fs/0/start/0/end/0/c")</f>
        <v>https://tablet.otzar.org/#/book/653766/p/-1/t/1/fs/0/start/0/end/0/c</v>
      </c>
    </row>
    <row r="3247" spans="1:8" x14ac:dyDescent="0.25">
      <c r="A3247">
        <v>639554</v>
      </c>
      <c r="B3247" t="s">
        <v>6380</v>
      </c>
      <c r="C3247" t="s">
        <v>1748</v>
      </c>
      <c r="D3247" t="s">
        <v>52</v>
      </c>
      <c r="E3247" t="s">
        <v>70</v>
      </c>
      <c r="G3247" t="str">
        <f>HYPERLINK(_xlfn.CONCAT("https://tablet.otzar.org/",CHAR(35),"/book/639554/p/-1/t/1/fs/0/start/0/end/0/c"),"פתאום יבוא")</f>
        <v>פתאום יבוא</v>
      </c>
      <c r="H3247" t="str">
        <f>_xlfn.CONCAT("https://tablet.otzar.org/",CHAR(35),"/book/639554/p/-1/t/1/fs/0/start/0/end/0/c")</f>
        <v>https://tablet.otzar.org/#/book/639554/p/-1/t/1/fs/0/start/0/end/0/c</v>
      </c>
    </row>
    <row r="3248" spans="1:8" x14ac:dyDescent="0.25">
      <c r="A3248">
        <v>654562</v>
      </c>
      <c r="B3248" t="s">
        <v>6381</v>
      </c>
      <c r="C3248" t="s">
        <v>6382</v>
      </c>
      <c r="D3248" t="s">
        <v>52</v>
      </c>
      <c r="E3248" t="s">
        <v>11</v>
      </c>
      <c r="G3248" t="str">
        <f>HYPERLINK(_xlfn.CONCAT("https://tablet.otzar.org/",CHAR(35),"/book/654562/p/-1/t/1/fs/0/start/0/end/0/c"),"פתגמי קודש")</f>
        <v>פתגמי קודש</v>
      </c>
      <c r="H3248" t="str">
        <f>_xlfn.CONCAT("https://tablet.otzar.org/",CHAR(35),"/book/654562/p/-1/t/1/fs/0/start/0/end/0/c")</f>
        <v>https://tablet.otzar.org/#/book/654562/p/-1/t/1/fs/0/start/0/end/0/c</v>
      </c>
    </row>
    <row r="3249" spans="1:8" x14ac:dyDescent="0.25">
      <c r="A3249">
        <v>648438</v>
      </c>
      <c r="B3249" t="s">
        <v>6383</v>
      </c>
      <c r="C3249" t="s">
        <v>6384</v>
      </c>
      <c r="D3249" t="s">
        <v>6385</v>
      </c>
      <c r="E3249" t="s">
        <v>146</v>
      </c>
      <c r="G3249" t="str">
        <f>HYPERLINK(_xlfn.CONCAT("https://tablet.otzar.org/",CHAR(35),"/book/648438/p/-1/t/1/fs/0/start/0/end/0/c"),"פתגמין קדישין - תע""""ב")</f>
        <v>פתגמין קדישין - תע""ב</v>
      </c>
      <c r="H3249" t="str">
        <f>_xlfn.CONCAT("https://tablet.otzar.org/",CHAR(35),"/book/648438/p/-1/t/1/fs/0/start/0/end/0/c")</f>
        <v>https://tablet.otzar.org/#/book/648438/p/-1/t/1/fs/0/start/0/end/0/c</v>
      </c>
    </row>
    <row r="3250" spans="1:8" x14ac:dyDescent="0.25">
      <c r="A3250">
        <v>653453</v>
      </c>
      <c r="B3250" t="s">
        <v>6386</v>
      </c>
      <c r="C3250" t="s">
        <v>6387</v>
      </c>
      <c r="D3250" t="s">
        <v>52</v>
      </c>
      <c r="E3250" t="s">
        <v>70</v>
      </c>
      <c r="G3250" t="str">
        <f>HYPERLINK(_xlfn.CONCAT("https://tablet.otzar.org/",CHAR(35),"/book/653453/p/-1/t/1/fs/0/start/0/end/0/c"),"פתח הסוגיא - כתובות, פסחים")</f>
        <v>פתח הסוגיא - כתובות, פסחים</v>
      </c>
      <c r="H3250" t="str">
        <f>_xlfn.CONCAT("https://tablet.otzar.org/",CHAR(35),"/book/653453/p/-1/t/1/fs/0/start/0/end/0/c")</f>
        <v>https://tablet.otzar.org/#/book/653453/p/-1/t/1/fs/0/start/0/end/0/c</v>
      </c>
    </row>
    <row r="3251" spans="1:8" x14ac:dyDescent="0.25">
      <c r="A3251">
        <v>654995</v>
      </c>
      <c r="B3251" t="s">
        <v>6388</v>
      </c>
      <c r="C3251" t="s">
        <v>6389</v>
      </c>
      <c r="D3251" t="s">
        <v>10</v>
      </c>
      <c r="E3251" t="s">
        <v>84</v>
      </c>
      <c r="G3251" t="str">
        <f>HYPERLINK(_xlfn.CONCAT("https://tablet.otzar.org/",CHAR(35),"/exKotar/654995"),"פתח שערי שמים - 3 כרכים")</f>
        <v>פתח שערי שמים - 3 כרכים</v>
      </c>
      <c r="H3251" t="str">
        <f>_xlfn.CONCAT("https://tablet.otzar.org/",CHAR(35),"/exKotar/654995")</f>
        <v>https://tablet.otzar.org/#/exKotar/654995</v>
      </c>
    </row>
    <row r="3252" spans="1:8" x14ac:dyDescent="0.25">
      <c r="A3252">
        <v>643297</v>
      </c>
      <c r="B3252" t="s">
        <v>6390</v>
      </c>
      <c r="C3252" t="s">
        <v>6391</v>
      </c>
      <c r="E3252" t="s">
        <v>1456</v>
      </c>
      <c r="G3252" t="str">
        <f>HYPERLINK(_xlfn.CONCAT("https://tablet.otzar.org/",CHAR(35),"/book/643297/p/-1/t/1/fs/0/start/0/end/0/c"),"פתחו שערים")</f>
        <v>פתחו שערים</v>
      </c>
      <c r="H3252" t="str">
        <f>_xlfn.CONCAT("https://tablet.otzar.org/",CHAR(35),"/book/643297/p/-1/t/1/fs/0/start/0/end/0/c")</f>
        <v>https://tablet.otzar.org/#/book/643297/p/-1/t/1/fs/0/start/0/end/0/c</v>
      </c>
    </row>
    <row r="3253" spans="1:8" x14ac:dyDescent="0.25">
      <c r="A3253">
        <v>653451</v>
      </c>
      <c r="B3253" t="s">
        <v>6392</v>
      </c>
      <c r="C3253" t="s">
        <v>6387</v>
      </c>
      <c r="D3253" t="s">
        <v>52</v>
      </c>
      <c r="E3253" t="s">
        <v>35</v>
      </c>
      <c r="G3253" t="str">
        <f>HYPERLINK(_xlfn.CONCAT("https://tablet.otzar.org/",CHAR(35),"/book/653451/p/-1/t/1/fs/0/start/0/end/0/c"),"פתחי אמונה - דמאי, כלאים")</f>
        <v>פתחי אמונה - דמאי, כלאים</v>
      </c>
      <c r="H3253" t="str">
        <f>_xlfn.CONCAT("https://tablet.otzar.org/",CHAR(35),"/book/653451/p/-1/t/1/fs/0/start/0/end/0/c")</f>
        <v>https://tablet.otzar.org/#/book/653451/p/-1/t/1/fs/0/start/0/end/0/c</v>
      </c>
    </row>
    <row r="3254" spans="1:8" x14ac:dyDescent="0.25">
      <c r="A3254">
        <v>632689</v>
      </c>
      <c r="B3254" t="s">
        <v>6393</v>
      </c>
      <c r="C3254" t="s">
        <v>6394</v>
      </c>
      <c r="D3254" t="s">
        <v>28</v>
      </c>
      <c r="E3254" t="s">
        <v>184</v>
      </c>
      <c r="G3254" t="str">
        <f>HYPERLINK(_xlfn.CONCAT("https://tablet.otzar.org/",CHAR(35),"/book/632689/p/-1/t/1/fs/0/start/0/end/0/c"),"פתחי דעת - נדה")</f>
        <v>פתחי דעת - נדה</v>
      </c>
      <c r="H3254" t="str">
        <f>_xlfn.CONCAT("https://tablet.otzar.org/",CHAR(35),"/book/632689/p/-1/t/1/fs/0/start/0/end/0/c")</f>
        <v>https://tablet.otzar.org/#/book/632689/p/-1/t/1/fs/0/start/0/end/0/c</v>
      </c>
    </row>
    <row r="3255" spans="1:8" x14ac:dyDescent="0.25">
      <c r="A3255">
        <v>653744</v>
      </c>
      <c r="B3255" t="s">
        <v>6395</v>
      </c>
      <c r="C3255" t="s">
        <v>2131</v>
      </c>
      <c r="D3255" t="s">
        <v>2132</v>
      </c>
      <c r="E3255" t="s">
        <v>11</v>
      </c>
      <c r="G3255" t="str">
        <f>HYPERLINK(_xlfn.CONCAT("https://tablet.otzar.org/",CHAR(35),"/book/653744/p/-1/t/1/fs/0/start/0/end/0/c"),"פתחי דעת")</f>
        <v>פתחי דעת</v>
      </c>
      <c r="H3255" t="str">
        <f>_xlfn.CONCAT("https://tablet.otzar.org/",CHAR(35),"/book/653744/p/-1/t/1/fs/0/start/0/end/0/c")</f>
        <v>https://tablet.otzar.org/#/book/653744/p/-1/t/1/fs/0/start/0/end/0/c</v>
      </c>
    </row>
    <row r="3256" spans="1:8" x14ac:dyDescent="0.25">
      <c r="A3256">
        <v>653455</v>
      </c>
      <c r="B3256" t="s">
        <v>6396</v>
      </c>
      <c r="C3256" t="s">
        <v>6387</v>
      </c>
      <c r="D3256" t="s">
        <v>52</v>
      </c>
      <c r="E3256" t="s">
        <v>35</v>
      </c>
      <c r="G3256" t="str">
        <f>HYPERLINK(_xlfn.CONCAT("https://tablet.otzar.org/",CHAR(35),"/exKotar/653455"),"פתחי זרעים - 2 כרכים")</f>
        <v>פתחי זרעים - 2 כרכים</v>
      </c>
      <c r="H3256" t="str">
        <f>_xlfn.CONCAT("https://tablet.otzar.org/",CHAR(35),"/exKotar/653455")</f>
        <v>https://tablet.otzar.org/#/exKotar/653455</v>
      </c>
    </row>
    <row r="3257" spans="1:8" x14ac:dyDescent="0.25">
      <c r="A3257">
        <v>655864</v>
      </c>
      <c r="B3257" t="s">
        <v>6397</v>
      </c>
      <c r="C3257" t="s">
        <v>3031</v>
      </c>
      <c r="D3257" t="s">
        <v>3032</v>
      </c>
      <c r="E3257" t="s">
        <v>84</v>
      </c>
      <c r="G3257" t="str">
        <f>HYPERLINK(_xlfn.CONCAT("https://tablet.otzar.org/",CHAR(35),"/book/655864/p/-1/t/1/fs/0/start/0/end/0/c"),"פתחי חדש")</f>
        <v>פתחי חדש</v>
      </c>
      <c r="H3257" t="str">
        <f>_xlfn.CONCAT("https://tablet.otzar.org/",CHAR(35),"/book/655864/p/-1/t/1/fs/0/start/0/end/0/c")</f>
        <v>https://tablet.otzar.org/#/book/655864/p/-1/t/1/fs/0/start/0/end/0/c</v>
      </c>
    </row>
    <row r="3258" spans="1:8" x14ac:dyDescent="0.25">
      <c r="A3258">
        <v>649190</v>
      </c>
      <c r="B3258" t="s">
        <v>6398</v>
      </c>
      <c r="C3258" t="s">
        <v>1050</v>
      </c>
      <c r="D3258" t="s">
        <v>139</v>
      </c>
      <c r="E3258" t="s">
        <v>11</v>
      </c>
      <c r="G3258" t="str">
        <f>HYPERLINK(_xlfn.CONCAT("https://tablet.otzar.org/",CHAR(35),"/book/649190/p/-1/t/1/fs/0/start/0/end/0/c"),"פתחי טהרה")</f>
        <v>פתחי טהרה</v>
      </c>
      <c r="H3258" t="str">
        <f>_xlfn.CONCAT("https://tablet.otzar.org/",CHAR(35),"/book/649190/p/-1/t/1/fs/0/start/0/end/0/c")</f>
        <v>https://tablet.otzar.org/#/book/649190/p/-1/t/1/fs/0/start/0/end/0/c</v>
      </c>
    </row>
    <row r="3259" spans="1:8" x14ac:dyDescent="0.25">
      <c r="A3259">
        <v>646750</v>
      </c>
      <c r="B3259" t="s">
        <v>6399</v>
      </c>
      <c r="C3259" t="s">
        <v>6400</v>
      </c>
      <c r="D3259" t="s">
        <v>10</v>
      </c>
      <c r="E3259" t="s">
        <v>704</v>
      </c>
      <c r="G3259" t="str">
        <f>HYPERLINK(_xlfn.CONCAT("https://tablet.otzar.org/",CHAR(35),"/book/646750/p/-1/t/1/fs/0/start/0/end/0/c"),"פתחי מועד - חול המועד")</f>
        <v>פתחי מועד - חול המועד</v>
      </c>
      <c r="H3259" t="str">
        <f>_xlfn.CONCAT("https://tablet.otzar.org/",CHAR(35),"/book/646750/p/-1/t/1/fs/0/start/0/end/0/c")</f>
        <v>https://tablet.otzar.org/#/book/646750/p/-1/t/1/fs/0/start/0/end/0/c</v>
      </c>
    </row>
    <row r="3260" spans="1:8" x14ac:dyDescent="0.25">
      <c r="A3260">
        <v>655866</v>
      </c>
      <c r="B3260" t="s">
        <v>6401</v>
      </c>
      <c r="C3260" t="s">
        <v>3031</v>
      </c>
      <c r="D3260" t="s">
        <v>3032</v>
      </c>
      <c r="E3260" t="s">
        <v>84</v>
      </c>
      <c r="G3260" t="str">
        <f>HYPERLINK(_xlfn.CONCAT("https://tablet.otzar.org/",CHAR(35),"/book/655866/p/-1/t/1/fs/0/start/0/end/0/c"),"פתחי מזוזה")</f>
        <v>פתחי מזוזה</v>
      </c>
      <c r="H3260" t="str">
        <f>_xlfn.CONCAT("https://tablet.otzar.org/",CHAR(35),"/book/655866/p/-1/t/1/fs/0/start/0/end/0/c")</f>
        <v>https://tablet.otzar.org/#/book/655866/p/-1/t/1/fs/0/start/0/end/0/c</v>
      </c>
    </row>
    <row r="3261" spans="1:8" x14ac:dyDescent="0.25">
      <c r="A3261">
        <v>647626</v>
      </c>
      <c r="B3261" t="s">
        <v>6402</v>
      </c>
      <c r="C3261" t="s">
        <v>6403</v>
      </c>
      <c r="D3261" t="s">
        <v>609</v>
      </c>
      <c r="E3261" t="s">
        <v>35</v>
      </c>
      <c r="G3261" t="str">
        <f>HYPERLINK(_xlfn.CONCAT("https://tablet.otzar.org/",CHAR(35),"/book/647626/p/-1/t/1/fs/0/start/0/end/0/c"),"פתחי נדה")</f>
        <v>פתחי נדה</v>
      </c>
      <c r="H3261" t="str">
        <f>_xlfn.CONCAT("https://tablet.otzar.org/",CHAR(35),"/book/647626/p/-1/t/1/fs/0/start/0/end/0/c")</f>
        <v>https://tablet.otzar.org/#/book/647626/p/-1/t/1/fs/0/start/0/end/0/c</v>
      </c>
    </row>
    <row r="3262" spans="1:8" x14ac:dyDescent="0.25">
      <c r="A3262">
        <v>655867</v>
      </c>
      <c r="B3262" t="s">
        <v>6404</v>
      </c>
      <c r="C3262" t="s">
        <v>3031</v>
      </c>
      <c r="D3262" t="s">
        <v>3032</v>
      </c>
      <c r="E3262" t="s">
        <v>84</v>
      </c>
      <c r="G3262" t="str">
        <f>HYPERLINK(_xlfn.CONCAT("https://tablet.otzar.org/",CHAR(35),"/book/655867/p/-1/t/1/fs/0/start/0/end/0/c"),"פתחי שילוח")</f>
        <v>פתחי שילוח</v>
      </c>
      <c r="H3262" t="str">
        <f>_xlfn.CONCAT("https://tablet.otzar.org/",CHAR(35),"/book/655867/p/-1/t/1/fs/0/start/0/end/0/c")</f>
        <v>https://tablet.otzar.org/#/book/655867/p/-1/t/1/fs/0/start/0/end/0/c</v>
      </c>
    </row>
    <row r="3263" spans="1:8" x14ac:dyDescent="0.25">
      <c r="A3263">
        <v>649789</v>
      </c>
      <c r="B3263" t="s">
        <v>6405</v>
      </c>
      <c r="C3263" t="s">
        <v>6406</v>
      </c>
      <c r="E3263" t="s">
        <v>25</v>
      </c>
      <c r="G3263" t="str">
        <f>HYPERLINK(_xlfn.CONCAT("https://tablet.otzar.org/",CHAR(35),"/exKotar/649789"),"פתחי שמועות - 2 כרכים")</f>
        <v>פתחי שמועות - 2 כרכים</v>
      </c>
      <c r="H3263" t="str">
        <f>_xlfn.CONCAT("https://tablet.otzar.org/",CHAR(35),"/exKotar/649789")</f>
        <v>https://tablet.otzar.org/#/exKotar/649789</v>
      </c>
    </row>
    <row r="3264" spans="1:8" x14ac:dyDescent="0.25">
      <c r="A3264">
        <v>649341</v>
      </c>
      <c r="B3264" t="s">
        <v>6407</v>
      </c>
      <c r="C3264" t="s">
        <v>6408</v>
      </c>
      <c r="D3264" t="s">
        <v>34</v>
      </c>
      <c r="E3264" t="s">
        <v>70</v>
      </c>
      <c r="G3264" t="str">
        <f>HYPERLINK(_xlfn.CONCAT("https://tablet.otzar.org/",CHAR(35),"/book/649341/p/-1/t/1/fs/0/start/0/end/0/c"),"פתחי תורה")</f>
        <v>פתחי תורה</v>
      </c>
      <c r="H3264" t="str">
        <f>_xlfn.CONCAT("https://tablet.otzar.org/",CHAR(35),"/book/649341/p/-1/t/1/fs/0/start/0/end/0/c")</f>
        <v>https://tablet.otzar.org/#/book/649341/p/-1/t/1/fs/0/start/0/end/0/c</v>
      </c>
    </row>
    <row r="3265" spans="1:8" x14ac:dyDescent="0.25">
      <c r="A3265">
        <v>646028</v>
      </c>
      <c r="B3265" t="s">
        <v>6409</v>
      </c>
      <c r="C3265" t="s">
        <v>6410</v>
      </c>
      <c r="D3265" t="s">
        <v>340</v>
      </c>
      <c r="E3265" t="s">
        <v>117</v>
      </c>
      <c r="G3265" t="str">
        <f>HYPERLINK(_xlfn.CONCAT("https://tablet.otzar.org/",CHAR(35),"/exKotar/646028"),"פתילי ברוך - 2 כרכים")</f>
        <v>פתילי ברוך - 2 כרכים</v>
      </c>
      <c r="H3265" t="str">
        <f>_xlfn.CONCAT("https://tablet.otzar.org/",CHAR(35),"/exKotar/646028")</f>
        <v>https://tablet.otzar.org/#/exKotar/646028</v>
      </c>
    </row>
    <row r="3266" spans="1:8" x14ac:dyDescent="0.25">
      <c r="A3266">
        <v>648048</v>
      </c>
      <c r="B3266" t="s">
        <v>6411</v>
      </c>
      <c r="C3266" t="s">
        <v>6412</v>
      </c>
      <c r="D3266" t="s">
        <v>39</v>
      </c>
      <c r="E3266">
        <v>1967</v>
      </c>
      <c r="G3266" t="str">
        <f>HYPERLINK(_xlfn.CONCAT("https://tablet.otzar.org/",CHAR(35),"/book/648048/p/-1/t/1/fs/0/start/0/end/0/c"),"צא ולמד")</f>
        <v>צא ולמד</v>
      </c>
      <c r="H3266" t="str">
        <f>_xlfn.CONCAT("https://tablet.otzar.org/",CHAR(35),"/book/648048/p/-1/t/1/fs/0/start/0/end/0/c")</f>
        <v>https://tablet.otzar.org/#/book/648048/p/-1/t/1/fs/0/start/0/end/0/c</v>
      </c>
    </row>
    <row r="3267" spans="1:8" x14ac:dyDescent="0.25">
      <c r="A3267">
        <v>651988</v>
      </c>
      <c r="B3267" t="s">
        <v>6413</v>
      </c>
      <c r="C3267" t="s">
        <v>6414</v>
      </c>
      <c r="E3267" t="s">
        <v>84</v>
      </c>
      <c r="G3267" t="str">
        <f>HYPERLINK(_xlfn.CONCAT("https://tablet.otzar.org/",CHAR(35),"/book/651988/p/-1/t/1/fs/0/start/0/end/0/c"),"צאצאיה כן פקוד")</f>
        <v>צאצאיה כן פקוד</v>
      </c>
      <c r="H3267" t="str">
        <f>_xlfn.CONCAT("https://tablet.otzar.org/",CHAR(35),"/book/651988/p/-1/t/1/fs/0/start/0/end/0/c")</f>
        <v>https://tablet.otzar.org/#/book/651988/p/-1/t/1/fs/0/start/0/end/0/c</v>
      </c>
    </row>
    <row r="3268" spans="1:8" x14ac:dyDescent="0.25">
      <c r="A3268">
        <v>650935</v>
      </c>
      <c r="B3268" t="s">
        <v>6415</v>
      </c>
      <c r="C3268" t="s">
        <v>6416</v>
      </c>
      <c r="D3268" t="s">
        <v>10</v>
      </c>
      <c r="E3268" t="s">
        <v>35</v>
      </c>
      <c r="G3268" t="str">
        <f>HYPERLINK(_xlfn.CONCAT("https://tablet.otzar.org/",CHAR(35),"/book/650935/p/-1/t/1/fs/0/start/0/end/0/c"),"צבא אהרן - שו""""ת או""""ח")</f>
        <v>צבא אהרן - שו""ת או""ח</v>
      </c>
      <c r="H3268" t="str">
        <f>_xlfn.CONCAT("https://tablet.otzar.org/",CHAR(35),"/book/650935/p/-1/t/1/fs/0/start/0/end/0/c")</f>
        <v>https://tablet.otzar.org/#/book/650935/p/-1/t/1/fs/0/start/0/end/0/c</v>
      </c>
    </row>
    <row r="3269" spans="1:8" x14ac:dyDescent="0.25">
      <c r="A3269">
        <v>647675</v>
      </c>
      <c r="B3269" t="s">
        <v>6417</v>
      </c>
      <c r="C3269" t="s">
        <v>6418</v>
      </c>
      <c r="D3269" t="s">
        <v>52</v>
      </c>
      <c r="E3269" t="s">
        <v>11</v>
      </c>
      <c r="G3269" t="str">
        <f>HYPERLINK(_xlfn.CONCAT("https://tablet.otzar.org/",CHAR(35),"/exKotar/647675"),"צבא הלוי - 2 כרכים")</f>
        <v>צבא הלוי - 2 כרכים</v>
      </c>
      <c r="H3269" t="str">
        <f>_xlfn.CONCAT("https://tablet.otzar.org/",CHAR(35),"/exKotar/647675")</f>
        <v>https://tablet.otzar.org/#/exKotar/647675</v>
      </c>
    </row>
    <row r="3270" spans="1:8" x14ac:dyDescent="0.25">
      <c r="A3270">
        <v>648823</v>
      </c>
      <c r="B3270" t="s">
        <v>6419</v>
      </c>
      <c r="C3270" t="s">
        <v>6420</v>
      </c>
      <c r="D3270" t="s">
        <v>52</v>
      </c>
      <c r="E3270" t="s">
        <v>35</v>
      </c>
      <c r="G3270" t="str">
        <f>HYPERLINK(_xlfn.CONCAT("https://tablet.otzar.org/",CHAR(35),"/book/648823/p/-1/t/1/fs/0/start/0/end/0/c"),"צבי תפארתו - מועדים")</f>
        <v>צבי תפארתו - מועדים</v>
      </c>
      <c r="H3270" t="str">
        <f>_xlfn.CONCAT("https://tablet.otzar.org/",CHAR(35),"/book/648823/p/-1/t/1/fs/0/start/0/end/0/c")</f>
        <v>https://tablet.otzar.org/#/book/648823/p/-1/t/1/fs/0/start/0/end/0/c</v>
      </c>
    </row>
    <row r="3271" spans="1:8" x14ac:dyDescent="0.25">
      <c r="A3271">
        <v>650655</v>
      </c>
      <c r="B3271" t="s">
        <v>6421</v>
      </c>
      <c r="C3271" t="s">
        <v>3945</v>
      </c>
      <c r="D3271" t="s">
        <v>3946</v>
      </c>
      <c r="E3271" t="s">
        <v>11</v>
      </c>
      <c r="G3271" t="str">
        <f>HYPERLINK(_xlfn.CONCAT("https://tablet.otzar.org/",CHAR(35),"/book/650655/p/-1/t/1/fs/0/start/0/end/0/c"),"צדיקים מודים לה'")</f>
        <v>צדיקים מודים לה'</v>
      </c>
      <c r="H3271" t="str">
        <f>_xlfn.CONCAT("https://tablet.otzar.org/",CHAR(35),"/book/650655/p/-1/t/1/fs/0/start/0/end/0/c")</f>
        <v>https://tablet.otzar.org/#/book/650655/p/-1/t/1/fs/0/start/0/end/0/c</v>
      </c>
    </row>
    <row r="3272" spans="1:8" x14ac:dyDescent="0.25">
      <c r="A3272">
        <v>653429</v>
      </c>
      <c r="B3272" t="s">
        <v>6422</v>
      </c>
      <c r="C3272" t="s">
        <v>6423</v>
      </c>
      <c r="D3272" t="s">
        <v>273</v>
      </c>
      <c r="E3272" t="s">
        <v>84</v>
      </c>
      <c r="G3272" t="str">
        <f>HYPERLINK(_xlfn.CONCAT("https://tablet.otzar.org/",CHAR(35),"/book/653429/p/-1/t/1/fs/0/start/0/end/0/c"),"צדק ושלום")</f>
        <v>צדק ושלום</v>
      </c>
      <c r="H3272" t="str">
        <f>_xlfn.CONCAT("https://tablet.otzar.org/",CHAR(35),"/book/653429/p/-1/t/1/fs/0/start/0/end/0/c")</f>
        <v>https://tablet.otzar.org/#/book/653429/p/-1/t/1/fs/0/start/0/end/0/c</v>
      </c>
    </row>
    <row r="3273" spans="1:8" x14ac:dyDescent="0.25">
      <c r="A3273">
        <v>651985</v>
      </c>
      <c r="B3273" t="s">
        <v>6424</v>
      </c>
      <c r="C3273" t="s">
        <v>6425</v>
      </c>
      <c r="D3273" t="s">
        <v>386</v>
      </c>
      <c r="E3273" t="s">
        <v>213</v>
      </c>
      <c r="G3273" t="str">
        <f>HYPERLINK(_xlfn.CONCAT("https://tablet.otzar.org/",CHAR(35),"/book/651985/p/-1/t/1/fs/0/start/0/end/0/c"),"צדקה - מדריך לנתינה יהודית")</f>
        <v>צדקה - מדריך לנתינה יהודית</v>
      </c>
      <c r="H3273" t="str">
        <f>_xlfn.CONCAT("https://tablet.otzar.org/",CHAR(35),"/book/651985/p/-1/t/1/fs/0/start/0/end/0/c")</f>
        <v>https://tablet.otzar.org/#/book/651985/p/-1/t/1/fs/0/start/0/end/0/c</v>
      </c>
    </row>
    <row r="3274" spans="1:8" x14ac:dyDescent="0.25">
      <c r="A3274">
        <v>647890</v>
      </c>
      <c r="B3274" t="s">
        <v>6426</v>
      </c>
      <c r="C3274" t="s">
        <v>6427</v>
      </c>
      <c r="D3274" t="s">
        <v>58</v>
      </c>
      <c r="E3274" t="s">
        <v>719</v>
      </c>
      <c r="G3274" t="str">
        <f>HYPERLINK(_xlfn.CONCAT("https://tablet.otzar.org/",CHAR(35),"/book/647890/p/-1/t/1/fs/0/start/0/end/0/c"),"צדקה כמשפט")</f>
        <v>צדקה כמשפט</v>
      </c>
      <c r="H3274" t="str">
        <f>_xlfn.CONCAT("https://tablet.otzar.org/",CHAR(35),"/book/647890/p/-1/t/1/fs/0/start/0/end/0/c")</f>
        <v>https://tablet.otzar.org/#/book/647890/p/-1/t/1/fs/0/start/0/end/0/c</v>
      </c>
    </row>
    <row r="3275" spans="1:8" x14ac:dyDescent="0.25">
      <c r="A3275">
        <v>650003</v>
      </c>
      <c r="B3275" t="s">
        <v>6428</v>
      </c>
      <c r="C3275" t="s">
        <v>209</v>
      </c>
      <c r="D3275" t="s">
        <v>52</v>
      </c>
      <c r="E3275" t="s">
        <v>35</v>
      </c>
      <c r="G3275" t="str">
        <f>HYPERLINK(_xlfn.CONCAT("https://tablet.otzar.org/",CHAR(35),"/book/650003/p/-1/t/1/fs/0/start/0/end/0/c"),"צדקתך צדק")</f>
        <v>צדקתך צדק</v>
      </c>
      <c r="H3275" t="str">
        <f>_xlfn.CONCAT("https://tablet.otzar.org/",CHAR(35),"/book/650003/p/-1/t/1/fs/0/start/0/end/0/c")</f>
        <v>https://tablet.otzar.org/#/book/650003/p/-1/t/1/fs/0/start/0/end/0/c</v>
      </c>
    </row>
    <row r="3276" spans="1:8" x14ac:dyDescent="0.25">
      <c r="A3276">
        <v>649456</v>
      </c>
      <c r="B3276" t="s">
        <v>6429</v>
      </c>
      <c r="C3276" t="s">
        <v>6430</v>
      </c>
      <c r="D3276" t="s">
        <v>39</v>
      </c>
      <c r="E3276" t="s">
        <v>6431</v>
      </c>
      <c r="G3276" t="str">
        <f>HYPERLINK(_xlfn.CONCAT("https://tablet.otzar.org/",CHAR(35),"/book/649456/p/-1/t/1/fs/0/start/0/end/0/c"),"צוואה יקרה")</f>
        <v>צוואה יקרה</v>
      </c>
      <c r="H3276" t="str">
        <f>_xlfn.CONCAT("https://tablet.otzar.org/",CHAR(35),"/book/649456/p/-1/t/1/fs/0/start/0/end/0/c")</f>
        <v>https://tablet.otzar.org/#/book/649456/p/-1/t/1/fs/0/start/0/end/0/c</v>
      </c>
    </row>
    <row r="3277" spans="1:8" x14ac:dyDescent="0.25">
      <c r="A3277">
        <v>651916</v>
      </c>
      <c r="B3277" t="s">
        <v>6432</v>
      </c>
      <c r="C3277" t="s">
        <v>6433</v>
      </c>
      <c r="D3277" t="s">
        <v>809</v>
      </c>
      <c r="E3277" t="s">
        <v>4081</v>
      </c>
      <c r="G3277" t="str">
        <f>HYPERLINK(_xlfn.CONCAT("https://tablet.otzar.org/",CHAR(35),"/book/651916/p/-1/t/1/fs/0/start/0/end/0/c"),"צוואת ... ר' יחזקאל")</f>
        <v>צוואת ... ר' יחזקאל</v>
      </c>
      <c r="H3277" t="str">
        <f>_xlfn.CONCAT("https://tablet.otzar.org/",CHAR(35),"/book/651916/p/-1/t/1/fs/0/start/0/end/0/c")</f>
        <v>https://tablet.otzar.org/#/book/651916/p/-1/t/1/fs/0/start/0/end/0/c</v>
      </c>
    </row>
    <row r="3278" spans="1:8" x14ac:dyDescent="0.25">
      <c r="A3278">
        <v>652752</v>
      </c>
      <c r="B3278" t="s">
        <v>6434</v>
      </c>
      <c r="C3278" t="s">
        <v>6435</v>
      </c>
      <c r="D3278" t="s">
        <v>166</v>
      </c>
      <c r="E3278" t="s">
        <v>6436</v>
      </c>
      <c r="G3278" t="str">
        <f>HYPERLINK(_xlfn.CONCAT("https://tablet.otzar.org/",CHAR(35),"/book/652752/p/-1/t/1/fs/0/start/0/end/0/c"),"צוואת דוד")</f>
        <v>צוואת דוד</v>
      </c>
      <c r="H3278" t="str">
        <f>_xlfn.CONCAT("https://tablet.otzar.org/",CHAR(35),"/book/652752/p/-1/t/1/fs/0/start/0/end/0/c")</f>
        <v>https://tablet.otzar.org/#/book/652752/p/-1/t/1/fs/0/start/0/end/0/c</v>
      </c>
    </row>
    <row r="3279" spans="1:8" x14ac:dyDescent="0.25">
      <c r="A3279">
        <v>649095</v>
      </c>
      <c r="B3279" t="s">
        <v>6437</v>
      </c>
      <c r="C3279" t="s">
        <v>6438</v>
      </c>
      <c r="E3279" t="s">
        <v>507</v>
      </c>
      <c r="G3279" t="str">
        <f>HYPERLINK(_xlfn.CONCAT("https://tablet.otzar.org/",CHAR(35),"/book/649095/p/-1/t/1/fs/0/start/0/end/0/c"),"צוותין בסימא")</f>
        <v>צוותין בסימא</v>
      </c>
      <c r="H3279" t="str">
        <f>_xlfn.CONCAT("https://tablet.otzar.org/",CHAR(35),"/book/649095/p/-1/t/1/fs/0/start/0/end/0/c")</f>
        <v>https://tablet.otzar.org/#/book/649095/p/-1/t/1/fs/0/start/0/end/0/c</v>
      </c>
    </row>
    <row r="3280" spans="1:8" x14ac:dyDescent="0.25">
      <c r="A3280">
        <v>642852</v>
      </c>
      <c r="B3280" t="s">
        <v>6439</v>
      </c>
      <c r="C3280" t="s">
        <v>6440</v>
      </c>
      <c r="D3280" t="s">
        <v>52</v>
      </c>
      <c r="E3280" t="s">
        <v>146</v>
      </c>
      <c r="G3280" t="str">
        <f>HYPERLINK(_xlfn.CONCAT("https://tablet.otzar.org/",CHAR(35),"/book/642852/p/-1/t/1/fs/0/start/0/end/0/c"),"צוף יהונתן")</f>
        <v>צוף יהונתן</v>
      </c>
      <c r="H3280" t="str">
        <f>_xlfn.CONCAT("https://tablet.otzar.org/",CHAR(35),"/book/642852/p/-1/t/1/fs/0/start/0/end/0/c")</f>
        <v>https://tablet.otzar.org/#/book/642852/p/-1/t/1/fs/0/start/0/end/0/c</v>
      </c>
    </row>
    <row r="3281" spans="1:8" x14ac:dyDescent="0.25">
      <c r="A3281">
        <v>649916</v>
      </c>
      <c r="B3281" t="s">
        <v>6441</v>
      </c>
      <c r="C3281" t="s">
        <v>6442</v>
      </c>
      <c r="D3281" t="s">
        <v>951</v>
      </c>
      <c r="E3281" t="s">
        <v>690</v>
      </c>
      <c r="G3281" t="str">
        <f>HYPERLINK(_xlfn.CONCAT("https://tablet.otzar.org/",CHAR(35),"/book/649916/p/-1/t/1/fs/0/start/0/end/0/c"),"צורתא דשמעתתא")</f>
        <v>צורתא דשמעתתא</v>
      </c>
      <c r="H3281" t="str">
        <f>_xlfn.CONCAT("https://tablet.otzar.org/",CHAR(35),"/book/649916/p/-1/t/1/fs/0/start/0/end/0/c")</f>
        <v>https://tablet.otzar.org/#/book/649916/p/-1/t/1/fs/0/start/0/end/0/c</v>
      </c>
    </row>
    <row r="3282" spans="1:8" x14ac:dyDescent="0.25">
      <c r="A3282">
        <v>654597</v>
      </c>
      <c r="B3282" t="s">
        <v>6443</v>
      </c>
      <c r="C3282" t="s">
        <v>6444</v>
      </c>
      <c r="D3282" t="s">
        <v>28</v>
      </c>
      <c r="E3282" t="s">
        <v>45</v>
      </c>
      <c r="G3282" t="str">
        <f>HYPERLINK(_xlfn.CONCAT("https://tablet.otzar.org/",CHAR(35),"/book/654597/p/-1/t/1/fs/0/start/0/end/0/c"),"צידה לדרך")</f>
        <v>צידה לדרך</v>
      </c>
      <c r="H3282" t="str">
        <f>_xlfn.CONCAT("https://tablet.otzar.org/",CHAR(35),"/book/654597/p/-1/t/1/fs/0/start/0/end/0/c")</f>
        <v>https://tablet.otzar.org/#/book/654597/p/-1/t/1/fs/0/start/0/end/0/c</v>
      </c>
    </row>
    <row r="3283" spans="1:8" x14ac:dyDescent="0.25">
      <c r="A3283">
        <v>652751</v>
      </c>
      <c r="B3283" t="s">
        <v>6445</v>
      </c>
      <c r="C3283" t="s">
        <v>3229</v>
      </c>
      <c r="D3283" t="s">
        <v>10</v>
      </c>
      <c r="E3283" t="s">
        <v>3529</v>
      </c>
      <c r="G3283" t="str">
        <f>HYPERLINK(_xlfn.CONCAT("https://tablet.otzar.org/",CHAR(35),"/book/652751/p/-1/t/1/fs/0/start/0/end/0/c"),"ציון במר תבכה")</f>
        <v>ציון במר תבכה</v>
      </c>
      <c r="H3283" t="str">
        <f>_xlfn.CONCAT("https://tablet.otzar.org/",CHAR(35),"/book/652751/p/-1/t/1/fs/0/start/0/end/0/c")</f>
        <v>https://tablet.otzar.org/#/book/652751/p/-1/t/1/fs/0/start/0/end/0/c</v>
      </c>
    </row>
    <row r="3284" spans="1:8" x14ac:dyDescent="0.25">
      <c r="A3284">
        <v>653303</v>
      </c>
      <c r="B3284" t="s">
        <v>6446</v>
      </c>
      <c r="C3284" t="s">
        <v>6447</v>
      </c>
      <c r="D3284" t="s">
        <v>10</v>
      </c>
      <c r="E3284" t="s">
        <v>383</v>
      </c>
      <c r="G3284" t="str">
        <f>HYPERLINK(_xlfn.CONCAT("https://tablet.otzar.org/",CHAR(35),"/book/653303/p/-1/t/1/fs/0/start/0/end/0/c"),"ציון במשפט תפדה - ב-ג")</f>
        <v>ציון במשפט תפדה - ב-ג</v>
      </c>
      <c r="H3284" t="str">
        <f>_xlfn.CONCAT("https://tablet.otzar.org/",CHAR(35),"/book/653303/p/-1/t/1/fs/0/start/0/end/0/c")</f>
        <v>https://tablet.otzar.org/#/book/653303/p/-1/t/1/fs/0/start/0/end/0/c</v>
      </c>
    </row>
    <row r="3285" spans="1:8" x14ac:dyDescent="0.25">
      <c r="A3285">
        <v>649943</v>
      </c>
      <c r="B3285" t="s">
        <v>6448</v>
      </c>
      <c r="C3285" t="s">
        <v>718</v>
      </c>
      <c r="D3285" t="s">
        <v>58</v>
      </c>
      <c r="E3285" t="s">
        <v>2051</v>
      </c>
      <c r="G3285" t="str">
        <f>HYPERLINK(_xlfn.CONCAT("https://tablet.otzar.org/",CHAR(35),"/book/649943/p/-1/t/1/fs/0/start/0/end/0/c"),"ציון המצוינת")</f>
        <v>ציון המצוינת</v>
      </c>
      <c r="H3285" t="str">
        <f>_xlfn.CONCAT("https://tablet.otzar.org/",CHAR(35),"/book/649943/p/-1/t/1/fs/0/start/0/end/0/c")</f>
        <v>https://tablet.otzar.org/#/book/649943/p/-1/t/1/fs/0/start/0/end/0/c</v>
      </c>
    </row>
    <row r="3286" spans="1:8" x14ac:dyDescent="0.25">
      <c r="A3286">
        <v>652036</v>
      </c>
      <c r="B3286" t="s">
        <v>6448</v>
      </c>
      <c r="C3286" t="s">
        <v>6449</v>
      </c>
      <c r="D3286" t="s">
        <v>10</v>
      </c>
      <c r="E3286" t="s">
        <v>84</v>
      </c>
      <c r="G3286" t="str">
        <f>HYPERLINK(_xlfn.CONCAT("https://tablet.otzar.org/",CHAR(35),"/book/652036/p/-1/t/1/fs/0/start/0/end/0/c"),"ציון המצוינת")</f>
        <v>ציון המצוינת</v>
      </c>
      <c r="H3286" t="str">
        <f>_xlfn.CONCAT("https://tablet.otzar.org/",CHAR(35),"/book/652036/p/-1/t/1/fs/0/start/0/end/0/c")</f>
        <v>https://tablet.otzar.org/#/book/652036/p/-1/t/1/fs/0/start/0/end/0/c</v>
      </c>
    </row>
    <row r="3287" spans="1:8" x14ac:dyDescent="0.25">
      <c r="A3287">
        <v>652651</v>
      </c>
      <c r="B3287" t="s">
        <v>6450</v>
      </c>
      <c r="C3287" t="s">
        <v>6451</v>
      </c>
      <c r="D3287" t="s">
        <v>6452</v>
      </c>
      <c r="E3287" t="s">
        <v>3834</v>
      </c>
      <c r="G3287" t="str">
        <f>HYPERLINK(_xlfn.CONCAT("https://tablet.otzar.org/",CHAR(35),"/book/652651/p/-1/t/1/fs/0/start/0/end/0/c"),"ציוני תוספות")</f>
        <v>ציוני תוספות</v>
      </c>
      <c r="H3287" t="str">
        <f>_xlfn.CONCAT("https://tablet.otzar.org/",CHAR(35),"/book/652651/p/-1/t/1/fs/0/start/0/end/0/c")</f>
        <v>https://tablet.otzar.org/#/book/652651/p/-1/t/1/fs/0/start/0/end/0/c</v>
      </c>
    </row>
    <row r="3288" spans="1:8" x14ac:dyDescent="0.25">
      <c r="A3288">
        <v>652666</v>
      </c>
      <c r="B3288" t="s">
        <v>6453</v>
      </c>
      <c r="C3288" t="s">
        <v>6454</v>
      </c>
      <c r="D3288" t="s">
        <v>10</v>
      </c>
      <c r="E3288" t="s">
        <v>1364</v>
      </c>
      <c r="G3288" t="str">
        <f>HYPERLINK(_xlfn.CONCAT("https://tablet.otzar.org/",CHAR(35),"/book/652666/p/-1/t/1/fs/0/start/0/end/0/c"),"צילום מוח")</f>
        <v>צילום מוח</v>
      </c>
      <c r="H3288" t="str">
        <f>_xlfn.CONCAT("https://tablet.otzar.org/",CHAR(35),"/book/652666/p/-1/t/1/fs/0/start/0/end/0/c")</f>
        <v>https://tablet.otzar.org/#/book/652666/p/-1/t/1/fs/0/start/0/end/0/c</v>
      </c>
    </row>
    <row r="3289" spans="1:8" x14ac:dyDescent="0.25">
      <c r="A3289">
        <v>655711</v>
      </c>
      <c r="B3289" t="s">
        <v>6455</v>
      </c>
      <c r="C3289" t="s">
        <v>6456</v>
      </c>
      <c r="D3289" t="s">
        <v>10</v>
      </c>
      <c r="E3289" t="s">
        <v>6457</v>
      </c>
      <c r="G3289" t="str">
        <f>HYPERLINK(_xlfn.CONCAT("https://tablet.otzar.org/",CHAR(35),"/book/655711/p/-1/t/1/fs/0/start/0/end/0/c"),"ציץ הקדש &lt;מהדורה חדשה&gt; - א אורח חיים, זרעים")</f>
        <v>ציץ הקדש &lt;מהדורה חדשה&gt; - א אורח חיים, זרעים</v>
      </c>
      <c r="H3289" t="str">
        <f>_xlfn.CONCAT("https://tablet.otzar.org/",CHAR(35),"/book/655711/p/-1/t/1/fs/0/start/0/end/0/c")</f>
        <v>https://tablet.otzar.org/#/book/655711/p/-1/t/1/fs/0/start/0/end/0/c</v>
      </c>
    </row>
    <row r="3290" spans="1:8" x14ac:dyDescent="0.25">
      <c r="A3290">
        <v>649422</v>
      </c>
      <c r="B3290" t="s">
        <v>6458</v>
      </c>
      <c r="C3290" t="s">
        <v>6459</v>
      </c>
      <c r="D3290" t="s">
        <v>6460</v>
      </c>
      <c r="E3290" t="s">
        <v>6461</v>
      </c>
      <c r="G3290" t="str">
        <f>HYPERLINK(_xlfn.CONCAT("https://tablet.otzar.org/",CHAR(35),"/book/649422/p/-1/t/1/fs/0/start/0/end/0/c"),"צלצלי שמע")</f>
        <v>צלצלי שמע</v>
      </c>
      <c r="H3290" t="str">
        <f>_xlfn.CONCAT("https://tablet.otzar.org/",CHAR(35),"/book/649422/p/-1/t/1/fs/0/start/0/end/0/c")</f>
        <v>https://tablet.otzar.org/#/book/649422/p/-1/t/1/fs/0/start/0/end/0/c</v>
      </c>
    </row>
    <row r="3291" spans="1:8" x14ac:dyDescent="0.25">
      <c r="A3291">
        <v>650187</v>
      </c>
      <c r="B3291" t="s">
        <v>6462</v>
      </c>
      <c r="C3291" t="s">
        <v>6463</v>
      </c>
      <c r="D3291" t="s">
        <v>10</v>
      </c>
      <c r="E3291" t="s">
        <v>70</v>
      </c>
      <c r="G3291" t="str">
        <f>HYPERLINK(_xlfn.CONCAT("https://tablet.otzar.org/",CHAR(35),"/book/650187/p/-1/t/1/fs/0/start/0/end/0/c"),"צמאה נפשי - בעניני הפורים")</f>
        <v>צמאה נפשי - בעניני הפורים</v>
      </c>
      <c r="H3291" t="str">
        <f>_xlfn.CONCAT("https://tablet.otzar.org/",CHAR(35),"/book/650187/p/-1/t/1/fs/0/start/0/end/0/c")</f>
        <v>https://tablet.otzar.org/#/book/650187/p/-1/t/1/fs/0/start/0/end/0/c</v>
      </c>
    </row>
    <row r="3292" spans="1:8" x14ac:dyDescent="0.25">
      <c r="A3292">
        <v>650644</v>
      </c>
      <c r="B3292" t="s">
        <v>6464</v>
      </c>
      <c r="C3292" t="s">
        <v>6465</v>
      </c>
      <c r="D3292" t="s">
        <v>10</v>
      </c>
      <c r="E3292" t="s">
        <v>646</v>
      </c>
      <c r="G3292" t="str">
        <f>HYPERLINK(_xlfn.CONCAT("https://tablet.otzar.org/",CHAR(35),"/book/650644/p/-1/t/1/fs/0/start/0/end/0/c"),"צמח דוד")</f>
        <v>צמח דוד</v>
      </c>
      <c r="H3292" t="str">
        <f>_xlfn.CONCAT("https://tablet.otzar.org/",CHAR(35),"/book/650644/p/-1/t/1/fs/0/start/0/end/0/c")</f>
        <v>https://tablet.otzar.org/#/book/650644/p/-1/t/1/fs/0/start/0/end/0/c</v>
      </c>
    </row>
    <row r="3293" spans="1:8" x14ac:dyDescent="0.25">
      <c r="A3293">
        <v>652364</v>
      </c>
      <c r="B3293" t="s">
        <v>6466</v>
      </c>
      <c r="C3293" t="s">
        <v>2158</v>
      </c>
      <c r="D3293" t="s">
        <v>463</v>
      </c>
      <c r="E3293" t="s">
        <v>117</v>
      </c>
      <c r="G3293" t="str">
        <f>HYPERLINK(_xlfn.CONCAT("https://tablet.otzar.org/",CHAR(35),"/exKotar/652364"),"צמח צדק &lt;שו""""ת מהדו""""ח&gt;  - 2 כרכים")</f>
        <v>צמח צדק &lt;שו""ת מהדו""ח&gt;  - 2 כרכים</v>
      </c>
      <c r="H3293" t="str">
        <f>_xlfn.CONCAT("https://tablet.otzar.org/",CHAR(35),"/exKotar/652364")</f>
        <v>https://tablet.otzar.org/#/exKotar/652364</v>
      </c>
    </row>
    <row r="3294" spans="1:8" x14ac:dyDescent="0.25">
      <c r="A3294">
        <v>653765</v>
      </c>
      <c r="B3294" t="s">
        <v>6467</v>
      </c>
      <c r="C3294" t="s">
        <v>1018</v>
      </c>
      <c r="D3294" t="s">
        <v>52</v>
      </c>
      <c r="E3294" t="s">
        <v>224</v>
      </c>
      <c r="G3294" t="str">
        <f>HYPERLINK(_xlfn.CONCAT("https://tablet.otzar.org/",CHAR(35),"/book/653765/p/-1/t/1/fs/0/start/0/end/0/c"),"צנתרות הזהב - ד")</f>
        <v>צנתרות הזהב - ד</v>
      </c>
      <c r="H3294" t="str">
        <f>_xlfn.CONCAT("https://tablet.otzar.org/",CHAR(35),"/book/653765/p/-1/t/1/fs/0/start/0/end/0/c")</f>
        <v>https://tablet.otzar.org/#/book/653765/p/-1/t/1/fs/0/start/0/end/0/c</v>
      </c>
    </row>
    <row r="3295" spans="1:8" x14ac:dyDescent="0.25">
      <c r="A3295">
        <v>648782</v>
      </c>
      <c r="B3295" t="s">
        <v>6468</v>
      </c>
      <c r="C3295" t="s">
        <v>6469</v>
      </c>
      <c r="D3295" t="s">
        <v>510</v>
      </c>
      <c r="E3295" t="s">
        <v>35</v>
      </c>
      <c r="G3295" t="str">
        <f>HYPERLINK(_xlfn.CONCAT("https://tablet.otzar.org/",CHAR(35),"/book/648782/p/-1/t/1/fs/0/start/0/end/0/c"),"צפית זהב - הלכות שבת א")</f>
        <v>צפית זהב - הלכות שבת א</v>
      </c>
      <c r="H3295" t="str">
        <f>_xlfn.CONCAT("https://tablet.otzar.org/",CHAR(35),"/book/648782/p/-1/t/1/fs/0/start/0/end/0/c")</f>
        <v>https://tablet.otzar.org/#/book/648782/p/-1/t/1/fs/0/start/0/end/0/c</v>
      </c>
    </row>
    <row r="3296" spans="1:8" x14ac:dyDescent="0.25">
      <c r="A3296">
        <v>653286</v>
      </c>
      <c r="B3296" t="s">
        <v>6470</v>
      </c>
      <c r="C3296" t="s">
        <v>6471</v>
      </c>
      <c r="D3296" t="s">
        <v>28</v>
      </c>
      <c r="E3296" t="s">
        <v>11</v>
      </c>
      <c r="G3296" t="str">
        <f>HYPERLINK(_xlfn.CONCAT("https://tablet.otzar.org/",CHAR(35),"/book/653286/p/-1/t/1/fs/0/start/0/end/0/c"),"צפנת ליראיך")</f>
        <v>צפנת ליראיך</v>
      </c>
      <c r="H3296" t="str">
        <f>_xlfn.CONCAT("https://tablet.otzar.org/",CHAR(35),"/book/653286/p/-1/t/1/fs/0/start/0/end/0/c")</f>
        <v>https://tablet.otzar.org/#/book/653286/p/-1/t/1/fs/0/start/0/end/0/c</v>
      </c>
    </row>
    <row r="3297" spans="1:8" x14ac:dyDescent="0.25">
      <c r="A3297">
        <v>656865</v>
      </c>
      <c r="B3297" t="s">
        <v>6472</v>
      </c>
      <c r="C3297" t="s">
        <v>6473</v>
      </c>
      <c r="D3297" t="s">
        <v>10</v>
      </c>
      <c r="E3297" t="s">
        <v>35</v>
      </c>
      <c r="G3297" t="str">
        <f>HYPERLINK(_xlfn.CONCAT("https://tablet.otzar.org/",CHAR(35),"/book/656865/p/-1/t/1/fs/0/start/0/end/0/c"),"צפנת פענח על הרמב""""ם &lt;מכון ירושלים&gt; - הל' איסורי ביאה")</f>
        <v>צפנת פענח על הרמב""ם &lt;מכון ירושלים&gt; - הל' איסורי ביאה</v>
      </c>
      <c r="H3297" t="str">
        <f>_xlfn.CONCAT("https://tablet.otzar.org/",CHAR(35),"/book/656865/p/-1/t/1/fs/0/start/0/end/0/c")</f>
        <v>https://tablet.otzar.org/#/book/656865/p/-1/t/1/fs/0/start/0/end/0/c</v>
      </c>
    </row>
    <row r="3298" spans="1:8" x14ac:dyDescent="0.25">
      <c r="A3298">
        <v>649431</v>
      </c>
      <c r="B3298" t="s">
        <v>6474</v>
      </c>
      <c r="C3298" t="s">
        <v>6475</v>
      </c>
      <c r="D3298" t="s">
        <v>6476</v>
      </c>
      <c r="E3298" t="s">
        <v>6477</v>
      </c>
      <c r="G3298" t="str">
        <f>HYPERLINK(_xlfn.CONCAT("https://tablet.otzar.org/",CHAR(35),"/book/649431/p/-1/t/1/fs/0/start/0/end/0/c"),"צרי היגון")</f>
        <v>צרי היגון</v>
      </c>
      <c r="H3298" t="str">
        <f>_xlfn.CONCAT("https://tablet.otzar.org/",CHAR(35),"/book/649431/p/-1/t/1/fs/0/start/0/end/0/c")</f>
        <v>https://tablet.otzar.org/#/book/649431/p/-1/t/1/fs/0/start/0/end/0/c</v>
      </c>
    </row>
    <row r="3299" spans="1:8" x14ac:dyDescent="0.25">
      <c r="A3299">
        <v>650270</v>
      </c>
      <c r="B3299" t="s">
        <v>6478</v>
      </c>
      <c r="C3299" t="s">
        <v>382</v>
      </c>
      <c r="D3299" t="s">
        <v>6479</v>
      </c>
      <c r="E3299" t="s">
        <v>117</v>
      </c>
      <c r="G3299" t="str">
        <f>HYPERLINK(_xlfn.CONCAT("https://tablet.otzar.org/",CHAR(35),"/book/650270/p/-1/t/1/fs/0/start/0/end/0/c"),"צרפת פרצת - נג")</f>
        <v>צרפת פרצת - נג</v>
      </c>
      <c r="H3299" t="str">
        <f>_xlfn.CONCAT("https://tablet.otzar.org/",CHAR(35),"/book/650270/p/-1/t/1/fs/0/start/0/end/0/c")</f>
        <v>https://tablet.otzar.org/#/book/650270/p/-1/t/1/fs/0/start/0/end/0/c</v>
      </c>
    </row>
    <row r="3300" spans="1:8" x14ac:dyDescent="0.25">
      <c r="A3300">
        <v>652788</v>
      </c>
      <c r="B3300" t="s">
        <v>6480</v>
      </c>
      <c r="C3300" t="s">
        <v>6481</v>
      </c>
      <c r="D3300" t="s">
        <v>6482</v>
      </c>
      <c r="E3300" t="s">
        <v>70</v>
      </c>
      <c r="G3300" t="str">
        <f>HYPERLINK(_xlfn.CONCAT("https://tablet.otzar.org/",CHAR(35),"/book/652788/p/-1/t/1/fs/0/start/0/end/0/c"),"קב ונקי")</f>
        <v>קב ונקי</v>
      </c>
      <c r="H3300" t="str">
        <f>_xlfn.CONCAT("https://tablet.otzar.org/",CHAR(35),"/book/652788/p/-1/t/1/fs/0/start/0/end/0/c")</f>
        <v>https://tablet.otzar.org/#/book/652788/p/-1/t/1/fs/0/start/0/end/0/c</v>
      </c>
    </row>
    <row r="3301" spans="1:8" x14ac:dyDescent="0.25">
      <c r="A3301">
        <v>654292</v>
      </c>
      <c r="B3301" t="s">
        <v>6483</v>
      </c>
      <c r="C3301" t="s">
        <v>6484</v>
      </c>
      <c r="E3301" t="s">
        <v>1460</v>
      </c>
      <c r="G3301" t="str">
        <f>HYPERLINK(_xlfn.CONCAT("https://tablet.otzar.org/",CHAR(35),"/book/654292/p/-1/t/1/fs/0/start/0/end/0/c"),"קביעת העתים")</f>
        <v>קביעת העתים</v>
      </c>
      <c r="H3301" t="str">
        <f>_xlfn.CONCAT("https://tablet.otzar.org/",CHAR(35),"/book/654292/p/-1/t/1/fs/0/start/0/end/0/c")</f>
        <v>https://tablet.otzar.org/#/book/654292/p/-1/t/1/fs/0/start/0/end/0/c</v>
      </c>
    </row>
    <row r="3302" spans="1:8" x14ac:dyDescent="0.25">
      <c r="A3302">
        <v>652531</v>
      </c>
      <c r="B3302" t="s">
        <v>6485</v>
      </c>
      <c r="C3302" t="s">
        <v>614</v>
      </c>
      <c r="D3302" t="s">
        <v>34</v>
      </c>
      <c r="E3302" t="s">
        <v>35</v>
      </c>
      <c r="G3302" t="str">
        <f>HYPERLINK(_xlfn.CONCAT("https://tablet.otzar.org/",CHAR(35),"/book/652531/p/-1/t/1/fs/0/start/0/end/0/c"),"קבלת התורה מרצון")</f>
        <v>קבלת התורה מרצון</v>
      </c>
      <c r="H3302" t="str">
        <f>_xlfn.CONCAT("https://tablet.otzar.org/",CHAR(35),"/book/652531/p/-1/t/1/fs/0/start/0/end/0/c")</f>
        <v>https://tablet.otzar.org/#/book/652531/p/-1/t/1/fs/0/start/0/end/0/c</v>
      </c>
    </row>
    <row r="3303" spans="1:8" x14ac:dyDescent="0.25">
      <c r="A3303">
        <v>648968</v>
      </c>
      <c r="B3303" t="s">
        <v>6486</v>
      </c>
      <c r="C3303" t="s">
        <v>6487</v>
      </c>
      <c r="E3303" t="s">
        <v>2436</v>
      </c>
      <c r="G3303" t="str">
        <f>HYPERLINK(_xlfn.CONCAT("https://tablet.otzar.org/",CHAR(35),"/book/648968/p/-1/t/1/fs/0/start/0/end/0/c"),"קבלת עול מלכות שמים - דרשה לבר מצוה")</f>
        <v>קבלת עול מלכות שמים - דרשה לבר מצוה</v>
      </c>
      <c r="H3303" t="str">
        <f>_xlfn.CONCAT("https://tablet.otzar.org/",CHAR(35),"/book/648968/p/-1/t/1/fs/0/start/0/end/0/c")</f>
        <v>https://tablet.otzar.org/#/book/648968/p/-1/t/1/fs/0/start/0/end/0/c</v>
      </c>
    </row>
    <row r="3304" spans="1:8" x14ac:dyDescent="0.25">
      <c r="A3304">
        <v>652940</v>
      </c>
      <c r="B3304" t="s">
        <v>6488</v>
      </c>
      <c r="C3304" t="s">
        <v>186</v>
      </c>
      <c r="E3304" t="s">
        <v>690</v>
      </c>
      <c r="G3304" t="str">
        <f>HYPERLINK(_xlfn.CONCAT("https://tablet.otzar.org/",CHAR(35),"/book/652940/p/-1/t/1/fs/0/start/0/end/0/c"),"קבלת שבת")</f>
        <v>קבלת שבת</v>
      </c>
      <c r="H3304" t="str">
        <f>_xlfn.CONCAT("https://tablet.otzar.org/",CHAR(35),"/book/652940/p/-1/t/1/fs/0/start/0/end/0/c")</f>
        <v>https://tablet.otzar.org/#/book/652940/p/-1/t/1/fs/0/start/0/end/0/c</v>
      </c>
    </row>
    <row r="3305" spans="1:8" x14ac:dyDescent="0.25">
      <c r="A3305">
        <v>654354</v>
      </c>
      <c r="B3305" t="s">
        <v>6489</v>
      </c>
      <c r="C3305" t="s">
        <v>6490</v>
      </c>
      <c r="D3305" t="s">
        <v>10</v>
      </c>
      <c r="E3305" t="s">
        <v>11</v>
      </c>
      <c r="G3305" t="str">
        <f>HYPERLINK(_xlfn.CONCAT("https://tablet.otzar.org/",CHAR(35),"/book/654354/p/-1/t/1/fs/0/start/0/end/0/c"),"קבעום בהלל")</f>
        <v>קבעום בהלל</v>
      </c>
      <c r="H3305" t="str">
        <f>_xlfn.CONCAT("https://tablet.otzar.org/",CHAR(35),"/book/654354/p/-1/t/1/fs/0/start/0/end/0/c")</f>
        <v>https://tablet.otzar.org/#/book/654354/p/-1/t/1/fs/0/start/0/end/0/c</v>
      </c>
    </row>
    <row r="3306" spans="1:8" x14ac:dyDescent="0.25">
      <c r="A3306">
        <v>657698</v>
      </c>
      <c r="B3306" t="s">
        <v>6491</v>
      </c>
      <c r="C3306" t="s">
        <v>6492</v>
      </c>
      <c r="D3306" t="s">
        <v>10</v>
      </c>
      <c r="E3306" t="s">
        <v>117</v>
      </c>
      <c r="G3306" t="str">
        <f>HYPERLINK(_xlfn.CONCAT("https://tablet.otzar.org/",CHAR(35),"/book/657698/p/-1/t/1/fs/0/start/0/end/0/c"),"קבץ על יד - לו")</f>
        <v>קבץ על יד - לו</v>
      </c>
      <c r="H3306" t="str">
        <f>_xlfn.CONCAT("https://tablet.otzar.org/",CHAR(35),"/book/657698/p/-1/t/1/fs/0/start/0/end/0/c")</f>
        <v>https://tablet.otzar.org/#/book/657698/p/-1/t/1/fs/0/start/0/end/0/c</v>
      </c>
    </row>
    <row r="3307" spans="1:8" x14ac:dyDescent="0.25">
      <c r="A3307">
        <v>650743</v>
      </c>
      <c r="B3307" t="s">
        <v>6493</v>
      </c>
      <c r="C3307" t="s">
        <v>6494</v>
      </c>
      <c r="D3307" t="s">
        <v>52</v>
      </c>
      <c r="E3307" t="s">
        <v>45</v>
      </c>
      <c r="G3307" t="str">
        <f>HYPERLINK(_xlfn.CONCAT("https://tablet.otzar.org/",CHAR(35),"/book/650743/p/-1/t/1/fs/0/start/0/end/0/c"),"קדוש וברוך")</f>
        <v>קדוש וברוך</v>
      </c>
      <c r="H3307" t="str">
        <f>_xlfn.CONCAT("https://tablet.otzar.org/",CHAR(35),"/book/650743/p/-1/t/1/fs/0/start/0/end/0/c")</f>
        <v>https://tablet.otzar.org/#/book/650743/p/-1/t/1/fs/0/start/0/end/0/c</v>
      </c>
    </row>
    <row r="3308" spans="1:8" x14ac:dyDescent="0.25">
      <c r="A3308">
        <v>649556</v>
      </c>
      <c r="B3308" t="s">
        <v>6495</v>
      </c>
      <c r="C3308" t="s">
        <v>6496</v>
      </c>
      <c r="D3308" t="s">
        <v>39</v>
      </c>
      <c r="E3308" t="s">
        <v>6497</v>
      </c>
      <c r="G3308" t="str">
        <f>HYPERLINK(_xlfn.CONCAT("https://tablet.otzar.org/",CHAR(35),"/exKotar/649556"),"קדושת הארץ - 2 כרכים")</f>
        <v>קדושת הארץ - 2 כרכים</v>
      </c>
      <c r="H3308" t="str">
        <f>_xlfn.CONCAT("https://tablet.otzar.org/",CHAR(35),"/exKotar/649556")</f>
        <v>https://tablet.otzar.org/#/exKotar/649556</v>
      </c>
    </row>
    <row r="3309" spans="1:8" x14ac:dyDescent="0.25">
      <c r="A3309">
        <v>643299</v>
      </c>
      <c r="B3309" t="s">
        <v>6498</v>
      </c>
      <c r="C3309" t="s">
        <v>6499</v>
      </c>
      <c r="D3309" t="s">
        <v>3160</v>
      </c>
      <c r="E3309" t="s">
        <v>416</v>
      </c>
      <c r="G3309" t="str">
        <f>HYPERLINK(_xlfn.CONCAT("https://tablet.otzar.org/",CHAR(35),"/book/643299/p/-1/t/1/fs/0/start/0/end/0/c"),"קדושת שמואל")</f>
        <v>קדושת שמואל</v>
      </c>
      <c r="H3309" t="str">
        <f>_xlfn.CONCAT("https://tablet.otzar.org/",CHAR(35),"/book/643299/p/-1/t/1/fs/0/start/0/end/0/c")</f>
        <v>https://tablet.otzar.org/#/book/643299/p/-1/t/1/fs/0/start/0/end/0/c</v>
      </c>
    </row>
    <row r="3310" spans="1:8" x14ac:dyDescent="0.25">
      <c r="A3310">
        <v>656054</v>
      </c>
      <c r="B3310" t="s">
        <v>6500</v>
      </c>
      <c r="C3310" t="s">
        <v>4209</v>
      </c>
      <c r="D3310" t="s">
        <v>193</v>
      </c>
      <c r="E3310" t="s">
        <v>29</v>
      </c>
      <c r="G3310" t="str">
        <f>HYPERLINK(_xlfn.CONCAT("https://tablet.otzar.org/",CHAR(35),"/book/656054/p/-1/t/1/fs/0/start/0/end/0/c"),"קדירה חייתא")</f>
        <v>קדירה חייתא</v>
      </c>
      <c r="H3310" t="str">
        <f>_xlfn.CONCAT("https://tablet.otzar.org/",CHAR(35),"/book/656054/p/-1/t/1/fs/0/start/0/end/0/c")</f>
        <v>https://tablet.otzar.org/#/book/656054/p/-1/t/1/fs/0/start/0/end/0/c</v>
      </c>
    </row>
    <row r="3311" spans="1:8" x14ac:dyDescent="0.25">
      <c r="A3311">
        <v>651935</v>
      </c>
      <c r="B3311" t="s">
        <v>6501</v>
      </c>
      <c r="C3311" t="s">
        <v>6502</v>
      </c>
      <c r="D3311" t="s">
        <v>6503</v>
      </c>
      <c r="E3311" t="s">
        <v>673</v>
      </c>
      <c r="G3311" t="str">
        <f>HYPERLINK(_xlfn.CONCAT("https://tablet.otzar.org/",CHAR(35),"/book/651935/p/-1/t/1/fs/0/start/0/end/0/c"),"קדש הלולים - תוספת קדושה")</f>
        <v>קדש הלולים - תוספת קדושה</v>
      </c>
      <c r="H3311" t="str">
        <f>_xlfn.CONCAT("https://tablet.otzar.org/",CHAR(35),"/book/651935/p/-1/t/1/fs/0/start/0/end/0/c")</f>
        <v>https://tablet.otzar.org/#/book/651935/p/-1/t/1/fs/0/start/0/end/0/c</v>
      </c>
    </row>
    <row r="3312" spans="1:8" x14ac:dyDescent="0.25">
      <c r="A3312">
        <v>648811</v>
      </c>
      <c r="B3312" t="s">
        <v>6504</v>
      </c>
      <c r="C3312" t="s">
        <v>6505</v>
      </c>
      <c r="D3312" t="s">
        <v>34</v>
      </c>
      <c r="E3312" t="s">
        <v>35</v>
      </c>
      <c r="G3312" t="str">
        <f>HYPERLINK(_xlfn.CONCAT("https://tablet.otzar.org/",CHAR(35),"/book/648811/p/-1/t/1/fs/0/start/0/end/0/c"),"קדשו במן")</f>
        <v>קדשו במן</v>
      </c>
      <c r="H3312" t="str">
        <f>_xlfn.CONCAT("https://tablet.otzar.org/",CHAR(35),"/book/648811/p/-1/t/1/fs/0/start/0/end/0/c")</f>
        <v>https://tablet.otzar.org/#/book/648811/p/-1/t/1/fs/0/start/0/end/0/c</v>
      </c>
    </row>
    <row r="3313" spans="1:8" x14ac:dyDescent="0.25">
      <c r="A3313">
        <v>651017</v>
      </c>
      <c r="B3313" t="s">
        <v>6506</v>
      </c>
      <c r="C3313" t="s">
        <v>6507</v>
      </c>
      <c r="D3313" t="s">
        <v>10</v>
      </c>
      <c r="E3313" t="s">
        <v>213</v>
      </c>
      <c r="G3313" t="str">
        <f>HYPERLINK(_xlfn.CONCAT("https://tablet.otzar.org/",CHAR(35),"/exKotar/651017"),"קדשי יהושע - 2 כרכים")</f>
        <v>קדשי יהושע - 2 כרכים</v>
      </c>
      <c r="H3313" t="str">
        <f>_xlfn.CONCAT("https://tablet.otzar.org/",CHAR(35),"/exKotar/651017")</f>
        <v>https://tablet.otzar.org/#/exKotar/651017</v>
      </c>
    </row>
    <row r="3314" spans="1:8" x14ac:dyDescent="0.25">
      <c r="A3314">
        <v>650642</v>
      </c>
      <c r="B3314" t="s">
        <v>6508</v>
      </c>
      <c r="C3314" t="s">
        <v>6509</v>
      </c>
      <c r="D3314" t="s">
        <v>34</v>
      </c>
      <c r="E3314" t="s">
        <v>126</v>
      </c>
      <c r="G3314" t="str">
        <f>HYPERLINK(_xlfn.CONCAT("https://tablet.otzar.org/",CHAR(35),"/book/650642/p/-1/t/1/fs/0/start/0/end/0/c"),"קהילת איתמר - קהלת")</f>
        <v>קהילת איתמר - קהלת</v>
      </c>
      <c r="H3314" t="str">
        <f>_xlfn.CONCAT("https://tablet.otzar.org/",CHAR(35),"/book/650642/p/-1/t/1/fs/0/start/0/end/0/c")</f>
        <v>https://tablet.otzar.org/#/book/650642/p/-1/t/1/fs/0/start/0/end/0/c</v>
      </c>
    </row>
    <row r="3315" spans="1:8" x14ac:dyDescent="0.25">
      <c r="A3315">
        <v>650580</v>
      </c>
      <c r="B3315" t="s">
        <v>6510</v>
      </c>
      <c r="C3315" t="s">
        <v>6510</v>
      </c>
      <c r="D3315" t="s">
        <v>573</v>
      </c>
      <c r="E3315" t="s">
        <v>11</v>
      </c>
      <c r="G3315" t="str">
        <f>HYPERLINK(_xlfn.CONCAT("https://tablet.otzar.org/",CHAR(35),"/book/650580/p/-1/t/1/fs/0/start/0/end/0/c"),"קהילת מקור חיים")</f>
        <v>קהילת מקור חיים</v>
      </c>
      <c r="H3315" t="str">
        <f>_xlfn.CONCAT("https://tablet.otzar.org/",CHAR(35),"/book/650580/p/-1/t/1/fs/0/start/0/end/0/c")</f>
        <v>https://tablet.otzar.org/#/book/650580/p/-1/t/1/fs/0/start/0/end/0/c</v>
      </c>
    </row>
    <row r="3316" spans="1:8" x14ac:dyDescent="0.25">
      <c r="A3316">
        <v>647493</v>
      </c>
      <c r="B3316" t="s">
        <v>6511</v>
      </c>
      <c r="C3316" t="s">
        <v>6512</v>
      </c>
      <c r="E3316" t="s">
        <v>114</v>
      </c>
      <c r="G3316" t="str">
        <f>HYPERLINK(_xlfn.CONCAT("https://tablet.otzar.org/",CHAR(35),"/book/647493/p/-1/t/1/fs/0/start/0/end/0/c"),"קהלת - סבלו של דור")</f>
        <v>קהלת - סבלו של דור</v>
      </c>
      <c r="H3316" t="str">
        <f>_xlfn.CONCAT("https://tablet.otzar.org/",CHAR(35),"/book/647493/p/-1/t/1/fs/0/start/0/end/0/c")</f>
        <v>https://tablet.otzar.org/#/book/647493/p/-1/t/1/fs/0/start/0/end/0/c</v>
      </c>
    </row>
    <row r="3317" spans="1:8" x14ac:dyDescent="0.25">
      <c r="A3317">
        <v>650195</v>
      </c>
      <c r="B3317" t="s">
        <v>6513</v>
      </c>
      <c r="C3317" t="s">
        <v>6514</v>
      </c>
      <c r="D3317" t="s">
        <v>52</v>
      </c>
      <c r="E3317" t="s">
        <v>352</v>
      </c>
      <c r="G3317" t="str">
        <f>HYPERLINK(_xlfn.CONCAT("https://tablet.otzar.org/",CHAR(35),"/book/650195/p/-1/t/1/fs/0/start/0/end/0/c"),"קהלת משה &lt;מהדורה חדשה&gt;")</f>
        <v>קהלת משה &lt;מהדורה חדשה&gt;</v>
      </c>
      <c r="H3317" t="str">
        <f>_xlfn.CONCAT("https://tablet.otzar.org/",CHAR(35),"/book/650195/p/-1/t/1/fs/0/start/0/end/0/c")</f>
        <v>https://tablet.otzar.org/#/book/650195/p/-1/t/1/fs/0/start/0/end/0/c</v>
      </c>
    </row>
    <row r="3318" spans="1:8" x14ac:dyDescent="0.25">
      <c r="A3318">
        <v>636601</v>
      </c>
      <c r="B3318" t="s">
        <v>6515</v>
      </c>
      <c r="C3318" t="s">
        <v>2263</v>
      </c>
      <c r="D3318" t="s">
        <v>3860</v>
      </c>
      <c r="E3318" t="s">
        <v>3523</v>
      </c>
      <c r="G3318" t="str">
        <f>HYPERLINK(_xlfn.CONCAT("https://tablet.otzar.org/",CHAR(35),"/book/636601/p/-1/t/1/fs/0/start/0/end/0/c"),"קהלת שלמה")</f>
        <v>קהלת שלמה</v>
      </c>
      <c r="H3318" t="str">
        <f>_xlfn.CONCAT("https://tablet.otzar.org/",CHAR(35),"/book/636601/p/-1/t/1/fs/0/start/0/end/0/c")</f>
        <v>https://tablet.otzar.org/#/book/636601/p/-1/t/1/fs/0/start/0/end/0/c</v>
      </c>
    </row>
    <row r="3319" spans="1:8" x14ac:dyDescent="0.25">
      <c r="A3319">
        <v>653486</v>
      </c>
      <c r="B3319" t="s">
        <v>6516</v>
      </c>
      <c r="C3319" t="s">
        <v>6517</v>
      </c>
      <c r="D3319" t="s">
        <v>10</v>
      </c>
      <c r="E3319" t="s">
        <v>35</v>
      </c>
      <c r="G3319" t="str">
        <f>HYPERLINK(_xlfn.CONCAT("https://tablet.otzar.org/",CHAR(35),"/book/653486/p/-1/t/1/fs/0/start/0/end/0/c"),"קובץ - יעקב וינרוט, כתבים וקורות חיים")</f>
        <v>קובץ - יעקב וינרוט, כתבים וקורות חיים</v>
      </c>
      <c r="H3319" t="str">
        <f>_xlfn.CONCAT("https://tablet.otzar.org/",CHAR(35),"/book/653486/p/-1/t/1/fs/0/start/0/end/0/c")</f>
        <v>https://tablet.otzar.org/#/book/653486/p/-1/t/1/fs/0/start/0/end/0/c</v>
      </c>
    </row>
    <row r="3320" spans="1:8" x14ac:dyDescent="0.25">
      <c r="A3320">
        <v>647918</v>
      </c>
      <c r="B3320" t="s">
        <v>6518</v>
      </c>
      <c r="C3320" t="s">
        <v>1643</v>
      </c>
      <c r="E3320" t="s">
        <v>11</v>
      </c>
      <c r="G3320" t="str">
        <f>HYPERLINK(_xlfn.CONCAT("https://tablet.otzar.org/",CHAR(35),"/exKotar/647918"),"קובץ אבקת רוכל - 3 כרכים")</f>
        <v>קובץ אבקת רוכל - 3 כרכים</v>
      </c>
      <c r="H3320" t="str">
        <f>_xlfn.CONCAT("https://tablet.otzar.org/",CHAR(35),"/exKotar/647918")</f>
        <v>https://tablet.otzar.org/#/exKotar/647918</v>
      </c>
    </row>
    <row r="3321" spans="1:8" x14ac:dyDescent="0.25">
      <c r="A3321">
        <v>650638</v>
      </c>
      <c r="B3321" t="s">
        <v>6519</v>
      </c>
      <c r="C3321" t="s">
        <v>6520</v>
      </c>
      <c r="D3321" t="s">
        <v>1893</v>
      </c>
      <c r="E3321" t="s">
        <v>11</v>
      </c>
      <c r="G3321" t="str">
        <f>HYPERLINK(_xlfn.CONCAT("https://tablet.otzar.org/",CHAR(35),"/book/650638/p/-1/t/1/fs/0/start/0/end/0/c"),"קובץ אהבת תורה - פסח")</f>
        <v>קובץ אהבת תורה - פסח</v>
      </c>
      <c r="H3321" t="str">
        <f>_xlfn.CONCAT("https://tablet.otzar.org/",CHAR(35),"/book/650638/p/-1/t/1/fs/0/start/0/end/0/c")</f>
        <v>https://tablet.otzar.org/#/book/650638/p/-1/t/1/fs/0/start/0/end/0/c</v>
      </c>
    </row>
    <row r="3322" spans="1:8" x14ac:dyDescent="0.25">
      <c r="A3322">
        <v>651039</v>
      </c>
      <c r="B3322" t="s">
        <v>6521</v>
      </c>
      <c r="C3322" t="s">
        <v>6522</v>
      </c>
      <c r="D3322" t="s">
        <v>6523</v>
      </c>
      <c r="E3322" t="s">
        <v>62</v>
      </c>
      <c r="G3322" t="str">
        <f>HYPERLINK(_xlfn.CONCAT("https://tablet.otzar.org/",CHAR(35),"/exKotar/651039"),"קובץ אהל יוסף - 4 כרכים")</f>
        <v>קובץ אהל יוסף - 4 כרכים</v>
      </c>
      <c r="H3322" t="str">
        <f>_xlfn.CONCAT("https://tablet.otzar.org/",CHAR(35),"/exKotar/651039")</f>
        <v>https://tablet.otzar.org/#/exKotar/651039</v>
      </c>
    </row>
    <row r="3323" spans="1:8" x14ac:dyDescent="0.25">
      <c r="A3323">
        <v>656228</v>
      </c>
      <c r="B3323" t="s">
        <v>6524</v>
      </c>
      <c r="C3323" t="s">
        <v>6525</v>
      </c>
      <c r="D3323" t="s">
        <v>4837</v>
      </c>
      <c r="E3323" t="s">
        <v>62</v>
      </c>
      <c r="G3323" t="str">
        <f>HYPERLINK(_xlfn.CONCAT("https://tablet.otzar.org/",CHAR(35),"/exKotar/656228"),"קובץ אהל יוסף - 5 כרכים")</f>
        <v>קובץ אהל יוסף - 5 כרכים</v>
      </c>
      <c r="H3323" t="str">
        <f>_xlfn.CONCAT("https://tablet.otzar.org/",CHAR(35),"/exKotar/656228")</f>
        <v>https://tablet.otzar.org/#/exKotar/656228</v>
      </c>
    </row>
    <row r="3324" spans="1:8" x14ac:dyDescent="0.25">
      <c r="A3324">
        <v>648883</v>
      </c>
      <c r="B3324" t="s">
        <v>6526</v>
      </c>
      <c r="C3324" t="s">
        <v>6527</v>
      </c>
      <c r="D3324" t="s">
        <v>10</v>
      </c>
      <c r="E3324" t="s">
        <v>383</v>
      </c>
      <c r="G3324" t="str">
        <f>HYPERLINK(_xlfn.CONCAT("https://tablet.otzar.org/",CHAR(35),"/book/648883/p/-1/t/1/fs/0/start/0/end/0/c"),"קובץ אהל משה - מעשרות")</f>
        <v>קובץ אהל משה - מעשרות</v>
      </c>
      <c r="H3324" t="str">
        <f>_xlfn.CONCAT("https://tablet.otzar.org/",CHAR(35),"/book/648883/p/-1/t/1/fs/0/start/0/end/0/c")</f>
        <v>https://tablet.otzar.org/#/book/648883/p/-1/t/1/fs/0/start/0/end/0/c</v>
      </c>
    </row>
    <row r="3325" spans="1:8" x14ac:dyDescent="0.25">
      <c r="A3325">
        <v>649838</v>
      </c>
      <c r="B3325" t="s">
        <v>6528</v>
      </c>
      <c r="C3325" t="s">
        <v>6529</v>
      </c>
      <c r="D3325" t="s">
        <v>10</v>
      </c>
      <c r="E3325" t="s">
        <v>574</v>
      </c>
      <c r="G3325" t="str">
        <f>HYPERLINK(_xlfn.CONCAT("https://tablet.otzar.org/",CHAR(35),"/book/649838/p/-1/t/1/fs/0/start/0/end/0/c"),"קובץ אהלי יהושע - יא קידושין")</f>
        <v>קובץ אהלי יהושע - יא קידושין</v>
      </c>
      <c r="H3325" t="str">
        <f>_xlfn.CONCAT("https://tablet.otzar.org/",CHAR(35),"/book/649838/p/-1/t/1/fs/0/start/0/end/0/c")</f>
        <v>https://tablet.otzar.org/#/book/649838/p/-1/t/1/fs/0/start/0/end/0/c</v>
      </c>
    </row>
    <row r="3326" spans="1:8" x14ac:dyDescent="0.25">
      <c r="A3326">
        <v>653625</v>
      </c>
      <c r="B3326" t="s">
        <v>6530</v>
      </c>
      <c r="C3326" t="s">
        <v>6531</v>
      </c>
      <c r="E3326" t="s">
        <v>817</v>
      </c>
      <c r="G3326" t="str">
        <f>HYPERLINK(_xlfn.CONCAT("https://tablet.otzar.org/",CHAR(35),"/book/653625/p/-1/t/1/fs/0/start/0/end/0/c"),"קובץ אוהלי יהושע - א")</f>
        <v>קובץ אוהלי יהושע - א</v>
      </c>
      <c r="H3326" t="str">
        <f>_xlfn.CONCAT("https://tablet.otzar.org/",CHAR(35),"/book/653625/p/-1/t/1/fs/0/start/0/end/0/c")</f>
        <v>https://tablet.otzar.org/#/book/653625/p/-1/t/1/fs/0/start/0/end/0/c</v>
      </c>
    </row>
    <row r="3327" spans="1:8" x14ac:dyDescent="0.25">
      <c r="A3327">
        <v>649210</v>
      </c>
      <c r="B3327" t="s">
        <v>6532</v>
      </c>
      <c r="C3327" t="s">
        <v>6533</v>
      </c>
      <c r="E3327" t="s">
        <v>574</v>
      </c>
      <c r="G3327" t="str">
        <f>HYPERLINK(_xlfn.CONCAT("https://tablet.otzar.org/",CHAR(35),"/exKotar/649210"),"קובץ אור הכולל - 2 כרכים")</f>
        <v>קובץ אור הכולל - 2 כרכים</v>
      </c>
      <c r="H3327" t="str">
        <f>_xlfn.CONCAT("https://tablet.otzar.org/",CHAR(35),"/exKotar/649210")</f>
        <v>https://tablet.otzar.org/#/exKotar/649210</v>
      </c>
    </row>
    <row r="3328" spans="1:8" x14ac:dyDescent="0.25">
      <c r="A3328">
        <v>647242</v>
      </c>
      <c r="B3328" t="s">
        <v>6534</v>
      </c>
      <c r="C3328" t="s">
        <v>6535</v>
      </c>
      <c r="D3328" t="s">
        <v>52</v>
      </c>
      <c r="E3328" t="s">
        <v>11</v>
      </c>
      <c r="G3328" t="str">
        <f>HYPERLINK(_xlfn.CONCAT("https://tablet.otzar.org/",CHAR(35),"/book/647242/p/-1/t/1/fs/0/start/0/end/0/c"),"קובץ אור השבת")</f>
        <v>קובץ אור השבת</v>
      </c>
      <c r="H3328" t="str">
        <f>_xlfn.CONCAT("https://tablet.otzar.org/",CHAR(35),"/book/647242/p/-1/t/1/fs/0/start/0/end/0/c")</f>
        <v>https://tablet.otzar.org/#/book/647242/p/-1/t/1/fs/0/start/0/end/0/c</v>
      </c>
    </row>
    <row r="3329" spans="1:8" x14ac:dyDescent="0.25">
      <c r="A3329">
        <v>651433</v>
      </c>
      <c r="B3329" t="s">
        <v>6536</v>
      </c>
      <c r="C3329" t="s">
        <v>2145</v>
      </c>
      <c r="D3329" t="s">
        <v>10</v>
      </c>
      <c r="E3329" t="s">
        <v>1077</v>
      </c>
      <c r="G3329" t="str">
        <f>HYPERLINK(_xlfn.CONCAT("https://tablet.otzar.org/",CHAR(35),"/book/651433/p/-1/t/1/fs/0/start/0/end/0/c"),"קובץ אורייתא")</f>
        <v>קובץ אורייתא</v>
      </c>
      <c r="H3329" t="str">
        <f>_xlfn.CONCAT("https://tablet.otzar.org/",CHAR(35),"/book/651433/p/-1/t/1/fs/0/start/0/end/0/c")</f>
        <v>https://tablet.otzar.org/#/book/651433/p/-1/t/1/fs/0/start/0/end/0/c</v>
      </c>
    </row>
    <row r="3330" spans="1:8" x14ac:dyDescent="0.25">
      <c r="A3330">
        <v>651875</v>
      </c>
      <c r="B3330" t="s">
        <v>6537</v>
      </c>
      <c r="C3330" t="s">
        <v>241</v>
      </c>
      <c r="D3330" t="s">
        <v>52</v>
      </c>
      <c r="E3330" t="s">
        <v>35</v>
      </c>
      <c r="G3330" t="str">
        <f>HYPERLINK(_xlfn.CONCAT("https://tablet.otzar.org/",CHAR(35),"/book/651875/p/-1/t/1/fs/0/start/0/end/0/c"),"קובץ אמרים")</f>
        <v>קובץ אמרים</v>
      </c>
      <c r="H3330" t="str">
        <f>_xlfn.CONCAT("https://tablet.otzar.org/",CHAR(35),"/book/651875/p/-1/t/1/fs/0/start/0/end/0/c")</f>
        <v>https://tablet.otzar.org/#/book/651875/p/-1/t/1/fs/0/start/0/end/0/c</v>
      </c>
    </row>
    <row r="3331" spans="1:8" x14ac:dyDescent="0.25">
      <c r="A3331">
        <v>648205</v>
      </c>
      <c r="B3331" t="s">
        <v>6538</v>
      </c>
      <c r="C3331" t="s">
        <v>6539</v>
      </c>
      <c r="E3331" t="s">
        <v>45</v>
      </c>
      <c r="G3331" t="str">
        <f>HYPERLINK(_xlfn.CONCAT("https://tablet.otzar.org/",CHAR(35),"/book/648205/p/-1/t/1/fs/0/start/0/end/0/c"),"קובץ באורי הלכה וקצת לקט הלכות שבע ברכות")</f>
        <v>קובץ באורי הלכה וקצת לקט הלכות שבע ברכות</v>
      </c>
      <c r="H3331" t="str">
        <f>_xlfn.CONCAT("https://tablet.otzar.org/",CHAR(35),"/book/648205/p/-1/t/1/fs/0/start/0/end/0/c")</f>
        <v>https://tablet.otzar.org/#/book/648205/p/-1/t/1/fs/0/start/0/end/0/c</v>
      </c>
    </row>
    <row r="3332" spans="1:8" x14ac:dyDescent="0.25">
      <c r="A3332">
        <v>647445</v>
      </c>
      <c r="B3332" t="s">
        <v>6540</v>
      </c>
      <c r="C3332" t="s">
        <v>6541</v>
      </c>
      <c r="D3332" t="s">
        <v>6542</v>
      </c>
      <c r="E3332" t="s">
        <v>73</v>
      </c>
      <c r="G3332" t="str">
        <f>HYPERLINK(_xlfn.CONCAT("https://tablet.otzar.org/",CHAR(35),"/book/647445/p/-1/t/1/fs/0/start/0/end/0/c"),"קובץ באר יצחק - א")</f>
        <v>קובץ באר יצחק - א</v>
      </c>
      <c r="H3332" t="str">
        <f>_xlfn.CONCAT("https://tablet.otzar.org/",CHAR(35),"/book/647445/p/-1/t/1/fs/0/start/0/end/0/c")</f>
        <v>https://tablet.otzar.org/#/book/647445/p/-1/t/1/fs/0/start/0/end/0/c</v>
      </c>
    </row>
    <row r="3333" spans="1:8" x14ac:dyDescent="0.25">
      <c r="A3333">
        <v>652862</v>
      </c>
      <c r="B3333" t="s">
        <v>6543</v>
      </c>
      <c r="C3333" t="s">
        <v>6544</v>
      </c>
      <c r="E3333" t="s">
        <v>11</v>
      </c>
      <c r="G3333" t="str">
        <f>HYPERLINK(_xlfn.CONCAT("https://tablet.otzar.org/",CHAR(35),"/book/652862/p/-1/t/1/fs/0/start/0/end/0/c"),"קובץ בהיכלא דמלכא")</f>
        <v>קובץ בהיכלא דמלכא</v>
      </c>
      <c r="H3333" t="str">
        <f>_xlfn.CONCAT("https://tablet.otzar.org/",CHAR(35),"/book/652862/p/-1/t/1/fs/0/start/0/end/0/c")</f>
        <v>https://tablet.otzar.org/#/book/652862/p/-1/t/1/fs/0/start/0/end/0/c</v>
      </c>
    </row>
    <row r="3334" spans="1:8" x14ac:dyDescent="0.25">
      <c r="A3334">
        <v>647488</v>
      </c>
      <c r="B3334" t="s">
        <v>6545</v>
      </c>
      <c r="C3334" t="s">
        <v>6546</v>
      </c>
      <c r="E3334" t="s">
        <v>6547</v>
      </c>
      <c r="G3334" t="str">
        <f>HYPERLINK(_xlfn.CONCAT("https://tablet.otzar.org/",CHAR(35),"/book/647488/p/-1/t/1/fs/0/start/0/end/0/c"),"קובץ בוגרים - תשנ""""ו")</f>
        <v>קובץ בוגרים - תשנ""ו</v>
      </c>
      <c r="H3334" t="str">
        <f>_xlfn.CONCAT("https://tablet.otzar.org/",CHAR(35),"/book/647488/p/-1/t/1/fs/0/start/0/end/0/c")</f>
        <v>https://tablet.otzar.org/#/book/647488/p/-1/t/1/fs/0/start/0/end/0/c</v>
      </c>
    </row>
    <row r="3335" spans="1:8" x14ac:dyDescent="0.25">
      <c r="A3335">
        <v>655056</v>
      </c>
      <c r="B3335" t="s">
        <v>6548</v>
      </c>
      <c r="C3335" t="s">
        <v>6549</v>
      </c>
      <c r="D3335" t="s">
        <v>10</v>
      </c>
      <c r="E3335" t="s">
        <v>402</v>
      </c>
      <c r="G3335" t="str">
        <f>HYPERLINK(_xlfn.CONCAT("https://tablet.otzar.org/",CHAR(35),"/exKotar/655056"),"קובץ בית יוסף - 47 כרכים")</f>
        <v>קובץ בית יוסף - 47 כרכים</v>
      </c>
      <c r="H3335" t="str">
        <f>_xlfn.CONCAT("https://tablet.otzar.org/",CHAR(35),"/exKotar/655056")</f>
        <v>https://tablet.otzar.org/#/exKotar/655056</v>
      </c>
    </row>
    <row r="3336" spans="1:8" x14ac:dyDescent="0.25">
      <c r="A3336">
        <v>615661</v>
      </c>
      <c r="B3336" t="s">
        <v>6550</v>
      </c>
      <c r="C3336" t="s">
        <v>6551</v>
      </c>
      <c r="D3336" t="s">
        <v>10</v>
      </c>
      <c r="E3336" t="s">
        <v>70</v>
      </c>
      <c r="G3336" t="str">
        <f>HYPERLINK(_xlfn.CONCAT("https://tablet.otzar.org/",CHAR(35),"/book/615661/p/-1/t/1/fs/0/start/0/end/0/c"),"קובץ בית יוסף להבה")</f>
        <v>קובץ בית יוסף להבה</v>
      </c>
      <c r="H3336" t="str">
        <f>_xlfn.CONCAT("https://tablet.otzar.org/",CHAR(35),"/book/615661/p/-1/t/1/fs/0/start/0/end/0/c")</f>
        <v>https://tablet.otzar.org/#/book/615661/p/-1/t/1/fs/0/start/0/end/0/c</v>
      </c>
    </row>
    <row r="3337" spans="1:8" x14ac:dyDescent="0.25">
      <c r="A3337">
        <v>651212</v>
      </c>
      <c r="B3337" t="s">
        <v>6552</v>
      </c>
      <c r="C3337" t="s">
        <v>6553</v>
      </c>
      <c r="D3337" t="s">
        <v>34</v>
      </c>
      <c r="E3337" t="s">
        <v>405</v>
      </c>
      <c r="G3337" t="str">
        <f>HYPERLINK(_xlfn.CONCAT("https://tablet.otzar.org/",CHAR(35),"/book/651212/p/-1/t/1/fs/0/start/0/end/0/c"),"קובץ בית ישראל")</f>
        <v>קובץ בית ישראל</v>
      </c>
      <c r="H3337" t="str">
        <f>_xlfn.CONCAT("https://tablet.otzar.org/",CHAR(35),"/book/651212/p/-1/t/1/fs/0/start/0/end/0/c")</f>
        <v>https://tablet.otzar.org/#/book/651212/p/-1/t/1/fs/0/start/0/end/0/c</v>
      </c>
    </row>
    <row r="3338" spans="1:8" x14ac:dyDescent="0.25">
      <c r="A3338">
        <v>648317</v>
      </c>
      <c r="B3338" t="s">
        <v>6554</v>
      </c>
      <c r="C3338" t="s">
        <v>6555</v>
      </c>
      <c r="D3338" t="s">
        <v>10</v>
      </c>
      <c r="E3338" t="s">
        <v>1077</v>
      </c>
      <c r="G3338" t="str">
        <f>HYPERLINK(_xlfn.CONCAT("https://tablet.otzar.org/",CHAR(35),"/exKotar/648317"),"קובץ בית ישראל - 2 כרכים")</f>
        <v>קובץ בית ישראל - 2 כרכים</v>
      </c>
      <c r="H3338" t="str">
        <f>_xlfn.CONCAT("https://tablet.otzar.org/",CHAR(35),"/exKotar/648317")</f>
        <v>https://tablet.otzar.org/#/exKotar/648317</v>
      </c>
    </row>
    <row r="3339" spans="1:8" x14ac:dyDescent="0.25">
      <c r="A3339">
        <v>655160</v>
      </c>
      <c r="B3339" t="s">
        <v>6556</v>
      </c>
      <c r="C3339" t="s">
        <v>382</v>
      </c>
      <c r="D3339" t="s">
        <v>10</v>
      </c>
      <c r="E3339" t="s">
        <v>11</v>
      </c>
      <c r="G3339" t="str">
        <f>HYPERLINK(_xlfn.CONCAT("https://tablet.otzar.org/",CHAR(35),"/book/655160/p/-1/t/1/fs/0/start/0/end/0/c"),"קובץ בנין אב - ברכת כהנים")</f>
        <v>קובץ בנין אב - ברכת כהנים</v>
      </c>
      <c r="H3339" t="str">
        <f>_xlfn.CONCAT("https://tablet.otzar.org/",CHAR(35),"/book/655160/p/-1/t/1/fs/0/start/0/end/0/c")</f>
        <v>https://tablet.otzar.org/#/book/655160/p/-1/t/1/fs/0/start/0/end/0/c</v>
      </c>
    </row>
    <row r="3340" spans="1:8" x14ac:dyDescent="0.25">
      <c r="A3340">
        <v>648207</v>
      </c>
      <c r="B3340" t="s">
        <v>6557</v>
      </c>
      <c r="C3340" t="s">
        <v>6539</v>
      </c>
      <c r="E3340" t="s">
        <v>45</v>
      </c>
      <c r="G3340" t="str">
        <f>HYPERLINK(_xlfn.CONCAT("https://tablet.otzar.org/",CHAR(35),"/book/648207/p/-1/t/1/fs/0/start/0/end/0/c"),"קובץ ברורי הלכה שבע ברכות ולקט הלכות שכיחות")</f>
        <v>קובץ ברורי הלכה שבע ברכות ולקט הלכות שכיחות</v>
      </c>
      <c r="H3340" t="str">
        <f>_xlfn.CONCAT("https://tablet.otzar.org/",CHAR(35),"/book/648207/p/-1/t/1/fs/0/start/0/end/0/c")</f>
        <v>https://tablet.otzar.org/#/book/648207/p/-1/t/1/fs/0/start/0/end/0/c</v>
      </c>
    </row>
    <row r="3341" spans="1:8" x14ac:dyDescent="0.25">
      <c r="A3341">
        <v>649905</v>
      </c>
      <c r="B3341" t="s">
        <v>6558</v>
      </c>
      <c r="C3341" t="s">
        <v>6559</v>
      </c>
      <c r="D3341" t="s">
        <v>1200</v>
      </c>
      <c r="E3341" t="s">
        <v>11</v>
      </c>
      <c r="G3341" t="str">
        <f>HYPERLINK(_xlfn.CONCAT("https://tablet.otzar.org/",CHAR(35),"/book/649905/p/-1/t/1/fs/0/start/0/end/0/c"),"קובץ ברכה משולשת - ענייני ברכות")</f>
        <v>קובץ ברכה משולשת - ענייני ברכות</v>
      </c>
      <c r="H3341" t="str">
        <f>_xlfn.CONCAT("https://tablet.otzar.org/",CHAR(35),"/book/649905/p/-1/t/1/fs/0/start/0/end/0/c")</f>
        <v>https://tablet.otzar.org/#/book/649905/p/-1/t/1/fs/0/start/0/end/0/c</v>
      </c>
    </row>
    <row r="3342" spans="1:8" x14ac:dyDescent="0.25">
      <c r="A3342">
        <v>655215</v>
      </c>
      <c r="B3342" t="s">
        <v>6560</v>
      </c>
      <c r="C3342" t="s">
        <v>4257</v>
      </c>
      <c r="E3342" t="s">
        <v>45</v>
      </c>
      <c r="G3342" t="str">
        <f>HYPERLINK(_xlfn.CONCAT("https://tablet.otzar.org/",CHAR(35),"/exKotar/655215"),"קובץ גליונות - 19 כרכים")</f>
        <v>קובץ גליונות - 19 כרכים</v>
      </c>
      <c r="H3342" t="str">
        <f>_xlfn.CONCAT("https://tablet.otzar.org/",CHAR(35),"/exKotar/655215")</f>
        <v>https://tablet.otzar.org/#/exKotar/655215</v>
      </c>
    </row>
    <row r="3343" spans="1:8" x14ac:dyDescent="0.25">
      <c r="A3343">
        <v>654507</v>
      </c>
      <c r="B3343" t="s">
        <v>6561</v>
      </c>
      <c r="C3343" t="s">
        <v>6562</v>
      </c>
      <c r="D3343" t="s">
        <v>2512</v>
      </c>
      <c r="E3343" t="s">
        <v>35</v>
      </c>
      <c r="G3343" t="str">
        <f>HYPERLINK(_xlfn.CONCAT("https://tablet.otzar.org/",CHAR(35),"/exKotar/654507"),"קובץ גליונות מרי""""ח ניחוח - 2 כרכים")</f>
        <v>קובץ גליונות מרי""ח ניחוח - 2 כרכים</v>
      </c>
      <c r="H3343" t="str">
        <f>_xlfn.CONCAT("https://tablet.otzar.org/",CHAR(35),"/exKotar/654507")</f>
        <v>https://tablet.otzar.org/#/exKotar/654507</v>
      </c>
    </row>
    <row r="3344" spans="1:8" x14ac:dyDescent="0.25">
      <c r="A3344">
        <v>653747</v>
      </c>
      <c r="B3344" t="s">
        <v>6563</v>
      </c>
      <c r="C3344" t="s">
        <v>6564</v>
      </c>
      <c r="E3344" t="s">
        <v>817</v>
      </c>
      <c r="G3344" t="str">
        <f>HYPERLINK(_xlfn.CONCAT("https://tablet.otzar.org/",CHAR(35),"/book/653747/p/-1/t/1/fs/0/start/0/end/0/c"),"קובץ גליונות שער התפילה - תשפ""""א תשפ""""ב")</f>
        <v>קובץ גליונות שער התפילה - תשפ""א תשפ""ב</v>
      </c>
      <c r="H3344" t="str">
        <f>_xlfn.CONCAT("https://tablet.otzar.org/",CHAR(35),"/book/653747/p/-1/t/1/fs/0/start/0/end/0/c")</f>
        <v>https://tablet.otzar.org/#/book/653747/p/-1/t/1/fs/0/start/0/end/0/c</v>
      </c>
    </row>
    <row r="3345" spans="1:8" x14ac:dyDescent="0.25">
      <c r="A3345">
        <v>649082</v>
      </c>
      <c r="B3345" t="s">
        <v>6565</v>
      </c>
      <c r="C3345" t="s">
        <v>382</v>
      </c>
      <c r="E3345" t="s">
        <v>11</v>
      </c>
      <c r="G3345" t="str">
        <f>HYPERLINK(_xlfn.CONCAT("https://tablet.otzar.org/",CHAR(35),"/book/649082/p/-1/t/1/fs/0/start/0/end/0/c"),"קובץ דברי חיזוק")</f>
        <v>קובץ דברי חיזוק</v>
      </c>
      <c r="H3345" t="str">
        <f>_xlfn.CONCAT("https://tablet.otzar.org/",CHAR(35),"/book/649082/p/-1/t/1/fs/0/start/0/end/0/c")</f>
        <v>https://tablet.otzar.org/#/book/649082/p/-1/t/1/fs/0/start/0/end/0/c</v>
      </c>
    </row>
    <row r="3346" spans="1:8" x14ac:dyDescent="0.25">
      <c r="A3346">
        <v>647432</v>
      </c>
      <c r="B3346" t="s">
        <v>6566</v>
      </c>
      <c r="C3346" t="s">
        <v>6567</v>
      </c>
      <c r="D3346" t="s">
        <v>10</v>
      </c>
      <c r="E3346" t="s">
        <v>495</v>
      </c>
      <c r="G3346" t="str">
        <f>HYPERLINK(_xlfn.CONCAT("https://tablet.otzar.org/",CHAR(35),"/book/647432/p/-1/t/1/fs/0/start/0/end/0/c"),"קובץ דברי שלום")</f>
        <v>קובץ דברי שלום</v>
      </c>
      <c r="H3346" t="str">
        <f>_xlfn.CONCAT("https://tablet.otzar.org/",CHAR(35),"/book/647432/p/-1/t/1/fs/0/start/0/end/0/c")</f>
        <v>https://tablet.otzar.org/#/book/647432/p/-1/t/1/fs/0/start/0/end/0/c</v>
      </c>
    </row>
    <row r="3347" spans="1:8" x14ac:dyDescent="0.25">
      <c r="A3347">
        <v>647418</v>
      </c>
      <c r="B3347" t="s">
        <v>6568</v>
      </c>
      <c r="C3347" t="s">
        <v>6569</v>
      </c>
      <c r="D3347" t="s">
        <v>10</v>
      </c>
      <c r="E3347" t="s">
        <v>184</v>
      </c>
      <c r="G3347" t="str">
        <f>HYPERLINK(_xlfn.CONCAT("https://tablet.otzar.org/",CHAR(35),"/exKotar/647418"),"קובץ דרכי תורה - 2 כרכים")</f>
        <v>קובץ דרכי תורה - 2 כרכים</v>
      </c>
      <c r="H3347" t="str">
        <f>_xlfn.CONCAT("https://tablet.otzar.org/",CHAR(35),"/exKotar/647418")</f>
        <v>https://tablet.otzar.org/#/exKotar/647418</v>
      </c>
    </row>
    <row r="3348" spans="1:8" x14ac:dyDescent="0.25">
      <c r="A3348">
        <v>651687</v>
      </c>
      <c r="B3348" t="s">
        <v>6570</v>
      </c>
      <c r="C3348" t="s">
        <v>6571</v>
      </c>
      <c r="D3348" t="s">
        <v>10</v>
      </c>
      <c r="E3348" t="s">
        <v>11</v>
      </c>
      <c r="G3348" t="str">
        <f>HYPERLINK(_xlfn.CONCAT("https://tablet.otzar.org/",CHAR(35),"/book/651687/p/-1/t/1/fs/0/start/0/end/0/c"),"קובץ ההיכל - א")</f>
        <v>קובץ ההיכל - א</v>
      </c>
      <c r="H3348" t="str">
        <f>_xlfn.CONCAT("https://tablet.otzar.org/",CHAR(35),"/book/651687/p/-1/t/1/fs/0/start/0/end/0/c")</f>
        <v>https://tablet.otzar.org/#/book/651687/p/-1/t/1/fs/0/start/0/end/0/c</v>
      </c>
    </row>
    <row r="3349" spans="1:8" x14ac:dyDescent="0.25">
      <c r="A3349">
        <v>656051</v>
      </c>
      <c r="B3349" t="s">
        <v>6572</v>
      </c>
      <c r="C3349" t="s">
        <v>6573</v>
      </c>
      <c r="D3349" t="s">
        <v>193</v>
      </c>
      <c r="E3349" t="s">
        <v>29</v>
      </c>
      <c r="G3349" t="str">
        <f>HYPERLINK(_xlfn.CONCAT("https://tablet.otzar.org/",CHAR(35),"/book/656051/p/-1/t/1/fs/0/start/0/end/0/c"),"קובץ הליקוטים לפרשיות השבוע והמועדים")</f>
        <v>קובץ הליקוטים לפרשיות השבוע והמועדים</v>
      </c>
      <c r="H3349" t="str">
        <f>_xlfn.CONCAT("https://tablet.otzar.org/",CHAR(35),"/book/656051/p/-1/t/1/fs/0/start/0/end/0/c")</f>
        <v>https://tablet.otzar.org/#/book/656051/p/-1/t/1/fs/0/start/0/end/0/c</v>
      </c>
    </row>
    <row r="3350" spans="1:8" x14ac:dyDescent="0.25">
      <c r="A3350">
        <v>656155</v>
      </c>
      <c r="B3350" t="s">
        <v>6574</v>
      </c>
      <c r="C3350" t="s">
        <v>6575</v>
      </c>
      <c r="D3350" t="s">
        <v>340</v>
      </c>
      <c r="E3350" t="s">
        <v>29</v>
      </c>
      <c r="G3350" t="str">
        <f>HYPERLINK(_xlfn.CONCAT("https://tablet.otzar.org/",CHAR(35),"/book/656155/p/-1/t/1/fs/0/start/0/end/0/c"),"קובץ הלכות בין המצרים")</f>
        <v>קובץ הלכות בין המצרים</v>
      </c>
      <c r="H3350" t="str">
        <f>_xlfn.CONCAT("https://tablet.otzar.org/",CHAR(35),"/book/656155/p/-1/t/1/fs/0/start/0/end/0/c")</f>
        <v>https://tablet.otzar.org/#/book/656155/p/-1/t/1/fs/0/start/0/end/0/c</v>
      </c>
    </row>
    <row r="3351" spans="1:8" x14ac:dyDescent="0.25">
      <c r="A3351">
        <v>647533</v>
      </c>
      <c r="B3351" t="s">
        <v>6576</v>
      </c>
      <c r="C3351" t="s">
        <v>2829</v>
      </c>
      <c r="D3351" t="s">
        <v>52</v>
      </c>
      <c r="E3351" t="s">
        <v>35</v>
      </c>
      <c r="G3351" t="str">
        <f>HYPERLINK(_xlfn.CONCAT("https://tablet.otzar.org/",CHAR(35),"/book/647533/p/-1/t/1/fs/0/start/0/end/0/c"),"קובץ הלכות המועדים")</f>
        <v>קובץ הלכות המועדים</v>
      </c>
      <c r="H3351" t="str">
        <f>_xlfn.CONCAT("https://tablet.otzar.org/",CHAR(35),"/book/647533/p/-1/t/1/fs/0/start/0/end/0/c")</f>
        <v>https://tablet.otzar.org/#/book/647533/p/-1/t/1/fs/0/start/0/end/0/c</v>
      </c>
    </row>
    <row r="3352" spans="1:8" x14ac:dyDescent="0.25">
      <c r="A3352">
        <v>656156</v>
      </c>
      <c r="B3352" t="s">
        <v>6577</v>
      </c>
      <c r="C3352" t="s">
        <v>6575</v>
      </c>
      <c r="D3352" t="s">
        <v>340</v>
      </c>
      <c r="E3352" t="s">
        <v>29</v>
      </c>
      <c r="G3352" t="str">
        <f>HYPERLINK(_xlfn.CONCAT("https://tablet.otzar.org/",CHAR(35),"/book/656156/p/-1/t/1/fs/0/start/0/end/0/c"),"קובץ הלכות יום הכפורים")</f>
        <v>קובץ הלכות יום הכפורים</v>
      </c>
      <c r="H3352" t="str">
        <f>_xlfn.CONCAT("https://tablet.otzar.org/",CHAR(35),"/book/656156/p/-1/t/1/fs/0/start/0/end/0/c")</f>
        <v>https://tablet.otzar.org/#/book/656156/p/-1/t/1/fs/0/start/0/end/0/c</v>
      </c>
    </row>
    <row r="3353" spans="1:8" x14ac:dyDescent="0.25">
      <c r="A3353">
        <v>656157</v>
      </c>
      <c r="B3353" t="s">
        <v>6578</v>
      </c>
      <c r="C3353" t="s">
        <v>6575</v>
      </c>
      <c r="D3353" t="s">
        <v>340</v>
      </c>
      <c r="E3353" t="s">
        <v>29</v>
      </c>
      <c r="G3353" t="str">
        <f>HYPERLINK(_xlfn.CONCAT("https://tablet.otzar.org/",CHAR(35),"/book/656157/p/-1/t/1/fs/0/start/0/end/0/c"),"קובץ הלכות ימים נוראים")</f>
        <v>קובץ הלכות ימים נוראים</v>
      </c>
      <c r="H3353" t="str">
        <f>_xlfn.CONCAT("https://tablet.otzar.org/",CHAR(35),"/book/656157/p/-1/t/1/fs/0/start/0/end/0/c")</f>
        <v>https://tablet.otzar.org/#/book/656157/p/-1/t/1/fs/0/start/0/end/0/c</v>
      </c>
    </row>
    <row r="3354" spans="1:8" x14ac:dyDescent="0.25">
      <c r="A3354">
        <v>656158</v>
      </c>
      <c r="B3354" t="s">
        <v>6579</v>
      </c>
      <c r="C3354" t="s">
        <v>6575</v>
      </c>
      <c r="D3354" t="s">
        <v>340</v>
      </c>
      <c r="E3354" t="s">
        <v>29</v>
      </c>
      <c r="G3354" t="str">
        <f>HYPERLINK(_xlfn.CONCAT("https://tablet.otzar.org/",CHAR(35),"/book/656158/p/-1/t/1/fs/0/start/0/end/0/c"),"קובץ הלכות ישיבה בסוכה")</f>
        <v>קובץ הלכות ישיבה בסוכה</v>
      </c>
      <c r="H3354" t="str">
        <f>_xlfn.CONCAT("https://tablet.otzar.org/",CHAR(35),"/book/656158/p/-1/t/1/fs/0/start/0/end/0/c")</f>
        <v>https://tablet.otzar.org/#/book/656158/p/-1/t/1/fs/0/start/0/end/0/c</v>
      </c>
    </row>
    <row r="3355" spans="1:8" x14ac:dyDescent="0.25">
      <c r="A3355">
        <v>656154</v>
      </c>
      <c r="B3355" t="s">
        <v>6580</v>
      </c>
      <c r="C3355" t="s">
        <v>6575</v>
      </c>
      <c r="D3355" t="s">
        <v>340</v>
      </c>
      <c r="E3355" t="s">
        <v>29</v>
      </c>
      <c r="G3355" t="str">
        <f>HYPERLINK(_xlfn.CONCAT("https://tablet.otzar.org/",CHAR(35),"/book/656154/p/-1/t/1/fs/0/start/0/end/0/c"),"קובץ הלכות לימי חנוכה")</f>
        <v>קובץ הלכות לימי חנוכה</v>
      </c>
      <c r="H3355" t="str">
        <f>_xlfn.CONCAT("https://tablet.otzar.org/",CHAR(35),"/book/656154/p/-1/t/1/fs/0/start/0/end/0/c")</f>
        <v>https://tablet.otzar.org/#/book/656154/p/-1/t/1/fs/0/start/0/end/0/c</v>
      </c>
    </row>
    <row r="3356" spans="1:8" x14ac:dyDescent="0.25">
      <c r="A3356">
        <v>656159</v>
      </c>
      <c r="B3356" t="s">
        <v>6581</v>
      </c>
      <c r="C3356" t="s">
        <v>6575</v>
      </c>
      <c r="D3356" t="s">
        <v>340</v>
      </c>
      <c r="E3356" t="s">
        <v>29</v>
      </c>
      <c r="G3356" t="str">
        <f>HYPERLINK(_xlfn.CONCAT("https://tablet.otzar.org/",CHAR(35),"/book/656159/p/-1/t/1/fs/0/start/0/end/0/c"),"קובץ הלכות פורים")</f>
        <v>קובץ הלכות פורים</v>
      </c>
      <c r="H3356" t="str">
        <f>_xlfn.CONCAT("https://tablet.otzar.org/",CHAR(35),"/book/656159/p/-1/t/1/fs/0/start/0/end/0/c")</f>
        <v>https://tablet.otzar.org/#/book/656159/p/-1/t/1/fs/0/start/0/end/0/c</v>
      </c>
    </row>
    <row r="3357" spans="1:8" x14ac:dyDescent="0.25">
      <c r="A3357">
        <v>656161</v>
      </c>
      <c r="B3357" t="s">
        <v>6582</v>
      </c>
      <c r="C3357" t="s">
        <v>6575</v>
      </c>
      <c r="D3357" t="s">
        <v>340</v>
      </c>
      <c r="E3357" t="s">
        <v>676</v>
      </c>
      <c r="G3357" t="str">
        <f>HYPERLINK(_xlfn.CONCAT("https://tablet.otzar.org/",CHAR(35),"/exKotar/656161"),"קובץ הלכות פסח - 2 כרכים")</f>
        <v>קובץ הלכות פסח - 2 כרכים</v>
      </c>
      <c r="H3357" t="str">
        <f>_xlfn.CONCAT("https://tablet.otzar.org/",CHAR(35),"/exKotar/656161")</f>
        <v>https://tablet.otzar.org/#/exKotar/656161</v>
      </c>
    </row>
    <row r="3358" spans="1:8" x14ac:dyDescent="0.25">
      <c r="A3358">
        <v>656162</v>
      </c>
      <c r="B3358" t="s">
        <v>6583</v>
      </c>
      <c r="C3358" t="s">
        <v>6575</v>
      </c>
      <c r="D3358" t="s">
        <v>340</v>
      </c>
      <c r="E3358" t="s">
        <v>62</v>
      </c>
      <c r="G3358" t="str">
        <f>HYPERLINK(_xlfn.CONCAT("https://tablet.otzar.org/",CHAR(35),"/book/656162/p/-1/t/1/fs/0/start/0/end/0/c"),"קובץ הלכות קדימה בברכות")</f>
        <v>קובץ הלכות קדימה בברכות</v>
      </c>
      <c r="H3358" t="str">
        <f>_xlfn.CONCAT("https://tablet.otzar.org/",CHAR(35),"/book/656162/p/-1/t/1/fs/0/start/0/end/0/c")</f>
        <v>https://tablet.otzar.org/#/book/656162/p/-1/t/1/fs/0/start/0/end/0/c</v>
      </c>
    </row>
    <row r="3359" spans="1:8" x14ac:dyDescent="0.25">
      <c r="A3359">
        <v>656163</v>
      </c>
      <c r="B3359" t="s">
        <v>6584</v>
      </c>
      <c r="C3359" t="s">
        <v>6575</v>
      </c>
      <c r="D3359" t="s">
        <v>340</v>
      </c>
      <c r="E3359" t="s">
        <v>676</v>
      </c>
      <c r="G3359" t="str">
        <f>HYPERLINK(_xlfn.CONCAT("https://tablet.otzar.org/",CHAR(35),"/book/656163/p/-1/t/1/fs/0/start/0/end/0/c"),"קובץ הלכות ראש השנה")</f>
        <v>קובץ הלכות ראש השנה</v>
      </c>
      <c r="H3359" t="str">
        <f>_xlfn.CONCAT("https://tablet.otzar.org/",CHAR(35),"/book/656163/p/-1/t/1/fs/0/start/0/end/0/c")</f>
        <v>https://tablet.otzar.org/#/book/656163/p/-1/t/1/fs/0/start/0/end/0/c</v>
      </c>
    </row>
    <row r="3360" spans="1:8" x14ac:dyDescent="0.25">
      <c r="A3360">
        <v>656164</v>
      </c>
      <c r="B3360" t="s">
        <v>6585</v>
      </c>
      <c r="C3360" t="s">
        <v>6575</v>
      </c>
      <c r="D3360" t="s">
        <v>340</v>
      </c>
      <c r="E3360" t="s">
        <v>676</v>
      </c>
      <c r="G3360" t="str">
        <f>HYPERLINK(_xlfn.CONCAT("https://tablet.otzar.org/",CHAR(35),"/book/656164/p/-1/t/1/fs/0/start/0/end/0/c"),"קובץ הלכות שבועות")</f>
        <v>קובץ הלכות שבועות</v>
      </c>
      <c r="H3360" t="str">
        <f>_xlfn.CONCAT("https://tablet.otzar.org/",CHAR(35),"/book/656164/p/-1/t/1/fs/0/start/0/end/0/c")</f>
        <v>https://tablet.otzar.org/#/book/656164/p/-1/t/1/fs/0/start/0/end/0/c</v>
      </c>
    </row>
    <row r="3361" spans="1:8" x14ac:dyDescent="0.25">
      <c r="A3361">
        <v>656165</v>
      </c>
      <c r="B3361" t="s">
        <v>6586</v>
      </c>
      <c r="C3361" t="s">
        <v>6575</v>
      </c>
      <c r="D3361" t="s">
        <v>340</v>
      </c>
      <c r="E3361" t="s">
        <v>320</v>
      </c>
      <c r="G3361" t="str">
        <f>HYPERLINK(_xlfn.CONCAT("https://tablet.otzar.org/",CHAR(35),"/book/656165/p/-1/t/1/fs/0/start/0/end/0/c"),"קובץ הלכות תשעה באב שחל בשבת")</f>
        <v>קובץ הלכות תשעה באב שחל בשבת</v>
      </c>
      <c r="H3361" t="str">
        <f>_xlfn.CONCAT("https://tablet.otzar.org/",CHAR(35),"/book/656165/p/-1/t/1/fs/0/start/0/end/0/c")</f>
        <v>https://tablet.otzar.org/#/book/656165/p/-1/t/1/fs/0/start/0/end/0/c</v>
      </c>
    </row>
    <row r="3362" spans="1:8" x14ac:dyDescent="0.25">
      <c r="A3362">
        <v>647835</v>
      </c>
      <c r="B3362" t="s">
        <v>6587</v>
      </c>
      <c r="C3362" t="s">
        <v>6588</v>
      </c>
      <c r="D3362" t="s">
        <v>34</v>
      </c>
      <c r="E3362" t="s">
        <v>11</v>
      </c>
      <c r="G3362" t="str">
        <f>HYPERLINK(_xlfn.CONCAT("https://tablet.otzar.org/",CHAR(35),"/book/647835/p/-1/t/1/fs/0/start/0/end/0/c"),"קובץ הלכתא רבתא - הלכות זימון")</f>
        <v>קובץ הלכתא רבתא - הלכות זימון</v>
      </c>
      <c r="H3362" t="str">
        <f>_xlfn.CONCAT("https://tablet.otzar.org/",CHAR(35),"/book/647835/p/-1/t/1/fs/0/start/0/end/0/c")</f>
        <v>https://tablet.otzar.org/#/book/647835/p/-1/t/1/fs/0/start/0/end/0/c</v>
      </c>
    </row>
    <row r="3363" spans="1:8" x14ac:dyDescent="0.25">
      <c r="A3363">
        <v>650995</v>
      </c>
      <c r="B3363" t="s">
        <v>6589</v>
      </c>
      <c r="C3363" t="s">
        <v>6590</v>
      </c>
      <c r="D3363" t="s">
        <v>510</v>
      </c>
      <c r="E3363" t="s">
        <v>45</v>
      </c>
      <c r="G3363" t="str">
        <f>HYPERLINK(_xlfn.CONCAT("https://tablet.otzar.org/",CHAR(35),"/book/650995/p/-1/t/1/fs/0/start/0/end/0/c"),"קובץ הלשכה - בירורי הלכה בעניין סת""""ם - ב")</f>
        <v>קובץ הלשכה - בירורי הלכה בעניין סת""ם - ב</v>
      </c>
      <c r="H3363" t="str">
        <f>_xlfn.CONCAT("https://tablet.otzar.org/",CHAR(35),"/book/650995/p/-1/t/1/fs/0/start/0/end/0/c")</f>
        <v>https://tablet.otzar.org/#/book/650995/p/-1/t/1/fs/0/start/0/end/0/c</v>
      </c>
    </row>
    <row r="3364" spans="1:8" x14ac:dyDescent="0.25">
      <c r="A3364">
        <v>651637</v>
      </c>
      <c r="B3364" t="s">
        <v>6591</v>
      </c>
      <c r="C3364" t="s">
        <v>382</v>
      </c>
      <c r="D3364" t="s">
        <v>10</v>
      </c>
      <c r="E3364" t="s">
        <v>11</v>
      </c>
      <c r="G3364" t="str">
        <f>HYPERLINK(_xlfn.CONCAT("https://tablet.otzar.org/",CHAR(35),"/book/651637/p/-1/t/1/fs/0/start/0/end/0/c"),"קובץ המאה ועשרים - פג (א)")</f>
        <v>קובץ המאה ועשרים - פג (א)</v>
      </c>
      <c r="H3364" t="str">
        <f>_xlfn.CONCAT("https://tablet.otzar.org/",CHAR(35),"/book/651637/p/-1/t/1/fs/0/start/0/end/0/c")</f>
        <v>https://tablet.otzar.org/#/book/651637/p/-1/t/1/fs/0/start/0/end/0/c</v>
      </c>
    </row>
    <row r="3365" spans="1:8" x14ac:dyDescent="0.25">
      <c r="A3365">
        <v>654366</v>
      </c>
      <c r="B3365" t="s">
        <v>6592</v>
      </c>
      <c r="C3365" t="s">
        <v>6593</v>
      </c>
      <c r="D3365" t="s">
        <v>10</v>
      </c>
      <c r="E3365" t="s">
        <v>62</v>
      </c>
      <c r="G3365" t="str">
        <f>HYPERLINK(_xlfn.CONCAT("https://tablet.otzar.org/",CHAR(35),"/book/654366/p/-1/t/1/fs/0/start/0/end/0/c"),"קובץ העזר - ד (חופה, קידושין, ועדות)")</f>
        <v>קובץ העזר - ד (חופה, קידושין, ועדות)</v>
      </c>
      <c r="H3365" t="str">
        <f>_xlfn.CONCAT("https://tablet.otzar.org/",CHAR(35),"/book/654366/p/-1/t/1/fs/0/start/0/end/0/c")</f>
        <v>https://tablet.otzar.org/#/book/654366/p/-1/t/1/fs/0/start/0/end/0/c</v>
      </c>
    </row>
    <row r="3366" spans="1:8" x14ac:dyDescent="0.25">
      <c r="A3366">
        <v>647813</v>
      </c>
      <c r="B3366" t="s">
        <v>6594</v>
      </c>
      <c r="C3366" t="s">
        <v>6595</v>
      </c>
      <c r="E3366" t="s">
        <v>35</v>
      </c>
      <c r="G3366" t="str">
        <f>HYPERLINK(_xlfn.CONCAT("https://tablet.otzar.org/",CHAR(35),"/exKotar/647813"),"קובץ הערות וביאורים - 18 כרכים")</f>
        <v>קובץ הערות וביאורים - 18 כרכים</v>
      </c>
      <c r="H3366" t="str">
        <f>_xlfn.CONCAT("https://tablet.otzar.org/",CHAR(35),"/exKotar/647813")</f>
        <v>https://tablet.otzar.org/#/exKotar/647813</v>
      </c>
    </row>
    <row r="3367" spans="1:8" x14ac:dyDescent="0.25">
      <c r="A3367">
        <v>652561</v>
      </c>
      <c r="B3367" t="s">
        <v>6596</v>
      </c>
      <c r="C3367" t="s">
        <v>6597</v>
      </c>
      <c r="D3367" t="s">
        <v>52</v>
      </c>
      <c r="E3367" t="s">
        <v>117</v>
      </c>
      <c r="G3367" t="str">
        <f>HYPERLINK(_xlfn.CONCAT("https://tablet.otzar.org/",CHAR(35),"/exKotar/652561"),"קובץ הערות ומראי מקומות - 2 כרכים")</f>
        <v>קובץ הערות ומראי מקומות - 2 כרכים</v>
      </c>
      <c r="H3367" t="str">
        <f>_xlfn.CONCAT("https://tablet.otzar.org/",CHAR(35),"/exKotar/652561")</f>
        <v>https://tablet.otzar.org/#/exKotar/652561</v>
      </c>
    </row>
    <row r="3368" spans="1:8" x14ac:dyDescent="0.25">
      <c r="A3368">
        <v>655896</v>
      </c>
      <c r="B3368" t="s">
        <v>6598</v>
      </c>
      <c r="C3368" t="s">
        <v>6599</v>
      </c>
      <c r="D3368" t="s">
        <v>10</v>
      </c>
      <c r="E3368" t="s">
        <v>399</v>
      </c>
      <c r="G3368" t="str">
        <f>HYPERLINK(_xlfn.CONCAT("https://tablet.otzar.org/",CHAR(35),"/exKotar/655896"),"קובץ והאר עינינו - 7 כרכים")</f>
        <v>קובץ והאר עינינו - 7 כרכים</v>
      </c>
      <c r="H3368" t="str">
        <f>_xlfn.CONCAT("https://tablet.otzar.org/",CHAR(35),"/exKotar/655896")</f>
        <v>https://tablet.otzar.org/#/exKotar/655896</v>
      </c>
    </row>
    <row r="3369" spans="1:8" x14ac:dyDescent="0.25">
      <c r="A3369">
        <v>650698</v>
      </c>
      <c r="B3369" t="s">
        <v>6600</v>
      </c>
      <c r="C3369" t="s">
        <v>2895</v>
      </c>
      <c r="D3369" t="s">
        <v>1860</v>
      </c>
      <c r="E3369" t="s">
        <v>45</v>
      </c>
      <c r="G3369" t="str">
        <f>HYPERLINK(_xlfn.CONCAT("https://tablet.otzar.org/",CHAR(35),"/book/650698/p/-1/t/1/fs/0/start/0/end/0/c"),"קובץ וח""""י בהם - יש נוחלין")</f>
        <v>קובץ וח""י בהם - יש נוחלין</v>
      </c>
      <c r="H3369" t="str">
        <f>_xlfn.CONCAT("https://tablet.otzar.org/",CHAR(35),"/book/650698/p/-1/t/1/fs/0/start/0/end/0/c")</f>
        <v>https://tablet.otzar.org/#/book/650698/p/-1/t/1/fs/0/start/0/end/0/c</v>
      </c>
    </row>
    <row r="3370" spans="1:8" x14ac:dyDescent="0.25">
      <c r="A3370">
        <v>654477</v>
      </c>
      <c r="B3370" t="s">
        <v>6601</v>
      </c>
      <c r="C3370" t="s">
        <v>1038</v>
      </c>
      <c r="D3370" t="s">
        <v>52</v>
      </c>
      <c r="E3370" t="s">
        <v>11</v>
      </c>
      <c r="G3370" t="str">
        <f>HYPERLINK(_xlfn.CONCAT("https://tablet.otzar.org/",CHAR(35),"/book/654477/p/-1/t/1/fs/0/start/0/end/0/c"),"קובץ ויברכהו יהושע - ב")</f>
        <v>קובץ ויברכהו יהושע - ב</v>
      </c>
      <c r="H3370" t="str">
        <f>_xlfn.CONCAT("https://tablet.otzar.org/",CHAR(35),"/book/654477/p/-1/t/1/fs/0/start/0/end/0/c")</f>
        <v>https://tablet.otzar.org/#/book/654477/p/-1/t/1/fs/0/start/0/end/0/c</v>
      </c>
    </row>
    <row r="3371" spans="1:8" x14ac:dyDescent="0.25">
      <c r="A3371">
        <v>655860</v>
      </c>
      <c r="B3371" t="s">
        <v>6602</v>
      </c>
      <c r="C3371" t="s">
        <v>6603</v>
      </c>
      <c r="D3371" t="s">
        <v>10</v>
      </c>
      <c r="E3371" t="s">
        <v>11</v>
      </c>
      <c r="G3371" t="str">
        <f>HYPERLINK(_xlfn.CONCAT("https://tablet.otzar.org/",CHAR(35),"/book/655860/p/-1/t/1/fs/0/start/0/end/0/c"),"קובץ ועמלו בתורה")</f>
        <v>קובץ ועמלו בתורה</v>
      </c>
      <c r="H3371" t="str">
        <f>_xlfn.CONCAT("https://tablet.otzar.org/",CHAR(35),"/book/655860/p/-1/t/1/fs/0/start/0/end/0/c")</f>
        <v>https://tablet.otzar.org/#/book/655860/p/-1/t/1/fs/0/start/0/end/0/c</v>
      </c>
    </row>
    <row r="3372" spans="1:8" x14ac:dyDescent="0.25">
      <c r="A3372">
        <v>651423</v>
      </c>
      <c r="B3372" t="s">
        <v>6604</v>
      </c>
      <c r="C3372" t="s">
        <v>836</v>
      </c>
      <c r="D3372" t="s">
        <v>52</v>
      </c>
      <c r="E3372" t="s">
        <v>237</v>
      </c>
      <c r="G3372" t="str">
        <f>HYPERLINK(_xlfn.CONCAT("https://tablet.otzar.org/",CHAR(35),"/book/651423/p/-1/t/1/fs/0/start/0/end/0/c"),"קובץ ועתה כתבו לכם")</f>
        <v>קובץ ועתה כתבו לכם</v>
      </c>
      <c r="H3372" t="str">
        <f>_xlfn.CONCAT("https://tablet.otzar.org/",CHAR(35),"/book/651423/p/-1/t/1/fs/0/start/0/end/0/c")</f>
        <v>https://tablet.otzar.org/#/book/651423/p/-1/t/1/fs/0/start/0/end/0/c</v>
      </c>
    </row>
    <row r="3373" spans="1:8" x14ac:dyDescent="0.25">
      <c r="A3373">
        <v>647670</v>
      </c>
      <c r="B3373" t="s">
        <v>6605</v>
      </c>
      <c r="C3373" t="s">
        <v>6606</v>
      </c>
      <c r="D3373" t="s">
        <v>10</v>
      </c>
      <c r="E3373" t="s">
        <v>35</v>
      </c>
      <c r="G3373" t="str">
        <f>HYPERLINK(_xlfn.CONCAT("https://tablet.otzar.org/",CHAR(35),"/book/647670/p/-1/t/1/fs/0/start/0/end/0/c"),"קובץ זכרון אברהם - נישואין והלכות שבת")</f>
        <v>קובץ זכרון אברהם - נישואין והלכות שבת</v>
      </c>
      <c r="H3373" t="str">
        <f>_xlfn.CONCAT("https://tablet.otzar.org/",CHAR(35),"/book/647670/p/-1/t/1/fs/0/start/0/end/0/c")</f>
        <v>https://tablet.otzar.org/#/book/647670/p/-1/t/1/fs/0/start/0/end/0/c</v>
      </c>
    </row>
    <row r="3374" spans="1:8" x14ac:dyDescent="0.25">
      <c r="A3374">
        <v>647988</v>
      </c>
      <c r="B3374" t="s">
        <v>6607</v>
      </c>
      <c r="C3374" t="s">
        <v>6608</v>
      </c>
      <c r="D3374" t="s">
        <v>1893</v>
      </c>
      <c r="E3374" t="s">
        <v>11</v>
      </c>
      <c r="G3374" t="str">
        <f>HYPERLINK(_xlfn.CONCAT("https://tablet.otzar.org/",CHAR(35),"/exKotar/647988"),"קובץ זכרון ברכה - 3 כרכים")</f>
        <v>קובץ זכרון ברכה - 3 כרכים</v>
      </c>
      <c r="H3374" t="str">
        <f>_xlfn.CONCAT("https://tablet.otzar.org/",CHAR(35),"/exKotar/647988")</f>
        <v>https://tablet.otzar.org/#/exKotar/647988</v>
      </c>
    </row>
    <row r="3375" spans="1:8" x14ac:dyDescent="0.25">
      <c r="A3375">
        <v>653596</v>
      </c>
      <c r="B3375" t="s">
        <v>6609</v>
      </c>
      <c r="C3375" t="s">
        <v>6610</v>
      </c>
      <c r="E3375" t="s">
        <v>306</v>
      </c>
      <c r="G3375" t="str">
        <f>HYPERLINK(_xlfn.CONCAT("https://tablet.otzar.org/",CHAR(35),"/book/653596/p/-1/t/1/fs/0/start/0/end/0/c"),"קובץ זכרון מאיר")</f>
        <v>קובץ זכרון מאיר</v>
      </c>
      <c r="H3375" t="str">
        <f>_xlfn.CONCAT("https://tablet.otzar.org/",CHAR(35),"/book/653596/p/-1/t/1/fs/0/start/0/end/0/c")</f>
        <v>https://tablet.otzar.org/#/book/653596/p/-1/t/1/fs/0/start/0/end/0/c</v>
      </c>
    </row>
    <row r="3376" spans="1:8" x14ac:dyDescent="0.25">
      <c r="A3376">
        <v>651425</v>
      </c>
      <c r="B3376" t="s">
        <v>6611</v>
      </c>
      <c r="C3376" t="s">
        <v>3355</v>
      </c>
      <c r="D3376" t="s">
        <v>10</v>
      </c>
      <c r="E3376" t="s">
        <v>690</v>
      </c>
      <c r="G3376" t="str">
        <f>HYPERLINK(_xlfn.CONCAT("https://tablet.otzar.org/",CHAR(35),"/book/651425/p/-1/t/1/fs/0/start/0/end/0/c"),"קובץ חבורות וחידו""""ת")</f>
        <v>קובץ חבורות וחידו""ת</v>
      </c>
      <c r="H3376" t="str">
        <f>_xlfn.CONCAT("https://tablet.otzar.org/",CHAR(35),"/book/651425/p/-1/t/1/fs/0/start/0/end/0/c")</f>
        <v>https://tablet.otzar.org/#/book/651425/p/-1/t/1/fs/0/start/0/end/0/c</v>
      </c>
    </row>
    <row r="3377" spans="1:8" x14ac:dyDescent="0.25">
      <c r="A3377">
        <v>650236</v>
      </c>
      <c r="B3377" t="s">
        <v>6612</v>
      </c>
      <c r="C3377" t="s">
        <v>6613</v>
      </c>
      <c r="D3377" t="s">
        <v>52</v>
      </c>
      <c r="E3377" t="s">
        <v>184</v>
      </c>
      <c r="G3377" t="str">
        <f>HYPERLINK(_xlfn.CONCAT("https://tablet.otzar.org/",CHAR(35),"/book/650236/p/-1/t/1/fs/0/start/0/end/0/c"),"קובץ חדושי תורה חכמת שלמה - א")</f>
        <v>קובץ חדושי תורה חכמת שלמה - א</v>
      </c>
      <c r="H3377" t="str">
        <f>_xlfn.CONCAT("https://tablet.otzar.org/",CHAR(35),"/book/650236/p/-1/t/1/fs/0/start/0/end/0/c")</f>
        <v>https://tablet.otzar.org/#/book/650236/p/-1/t/1/fs/0/start/0/end/0/c</v>
      </c>
    </row>
    <row r="3378" spans="1:8" x14ac:dyDescent="0.25">
      <c r="A3378">
        <v>647642</v>
      </c>
      <c r="B3378" t="s">
        <v>6614</v>
      </c>
      <c r="C3378" t="s">
        <v>6615</v>
      </c>
      <c r="D3378" t="s">
        <v>10</v>
      </c>
      <c r="E3378" t="s">
        <v>780</v>
      </c>
      <c r="G3378" t="str">
        <f>HYPERLINK(_xlfn.CONCAT("https://tablet.otzar.org/",CHAR(35),"/book/647642/p/-1/t/1/fs/0/start/0/end/0/c"),"קובץ חידושי תורה - א")</f>
        <v>קובץ חידושי תורה - א</v>
      </c>
      <c r="H3378" t="str">
        <f>_xlfn.CONCAT("https://tablet.otzar.org/",CHAR(35),"/book/647642/p/-1/t/1/fs/0/start/0/end/0/c")</f>
        <v>https://tablet.otzar.org/#/book/647642/p/-1/t/1/fs/0/start/0/end/0/c</v>
      </c>
    </row>
    <row r="3379" spans="1:8" x14ac:dyDescent="0.25">
      <c r="A3379">
        <v>651591</v>
      </c>
      <c r="B3379" t="s">
        <v>6616</v>
      </c>
      <c r="C3379" t="s">
        <v>6617</v>
      </c>
      <c r="D3379" t="s">
        <v>10</v>
      </c>
      <c r="E3379" t="s">
        <v>405</v>
      </c>
      <c r="G3379" t="str">
        <f>HYPERLINK(_xlfn.CONCAT("https://tablet.otzar.org/",CHAR(35),"/book/651591/p/-1/t/1/fs/0/start/0/end/0/c"),"קובץ חידושי תורה - נדרים, מכות")</f>
        <v>קובץ חידושי תורה - נדרים, מכות</v>
      </c>
      <c r="H3379" t="str">
        <f>_xlfn.CONCAT("https://tablet.otzar.org/",CHAR(35),"/book/651591/p/-1/t/1/fs/0/start/0/end/0/c")</f>
        <v>https://tablet.otzar.org/#/book/651591/p/-1/t/1/fs/0/start/0/end/0/c</v>
      </c>
    </row>
    <row r="3380" spans="1:8" x14ac:dyDescent="0.25">
      <c r="A3380">
        <v>651694</v>
      </c>
      <c r="B3380" t="s">
        <v>4874</v>
      </c>
      <c r="C3380" t="s">
        <v>6618</v>
      </c>
      <c r="D3380" t="s">
        <v>6619</v>
      </c>
      <c r="E3380" t="s">
        <v>45</v>
      </c>
      <c r="G3380" t="str">
        <f>HYPERLINK(_xlfn.CONCAT("https://tablet.otzar.org/",CHAR(35),"/book/651694/p/-1/t/1/fs/0/start/0/end/0/c"),"קובץ חידושי תורה")</f>
        <v>קובץ חידושי תורה</v>
      </c>
      <c r="H3380" t="str">
        <f>_xlfn.CONCAT("https://tablet.otzar.org/",CHAR(35),"/book/651694/p/-1/t/1/fs/0/start/0/end/0/c")</f>
        <v>https://tablet.otzar.org/#/book/651694/p/-1/t/1/fs/0/start/0/end/0/c</v>
      </c>
    </row>
    <row r="3381" spans="1:8" x14ac:dyDescent="0.25">
      <c r="A3381">
        <v>643152</v>
      </c>
      <c r="B3381" t="s">
        <v>6620</v>
      </c>
      <c r="C3381" t="s">
        <v>6621</v>
      </c>
      <c r="D3381" t="s">
        <v>10</v>
      </c>
      <c r="E3381" t="s">
        <v>184</v>
      </c>
      <c r="G3381" t="str">
        <f>HYPERLINK(_xlfn.CONCAT("https://tablet.otzar.org/",CHAR(35),"/exKotar/643152"),"קובץ חידושי תורה - 4 כרכים")</f>
        <v>קובץ חידושי תורה - 4 כרכים</v>
      </c>
      <c r="H3381" t="str">
        <f>_xlfn.CONCAT("https://tablet.otzar.org/",CHAR(35),"/exKotar/643152")</f>
        <v>https://tablet.otzar.org/#/exKotar/643152</v>
      </c>
    </row>
    <row r="3382" spans="1:8" x14ac:dyDescent="0.25">
      <c r="A3382">
        <v>650527</v>
      </c>
      <c r="B3382" t="s">
        <v>6622</v>
      </c>
      <c r="C3382" t="s">
        <v>6623</v>
      </c>
      <c r="D3382" t="s">
        <v>34</v>
      </c>
      <c r="E3382" t="s">
        <v>246</v>
      </c>
      <c r="G3382" t="str">
        <f>HYPERLINK(_xlfn.CONCAT("https://tablet.otzar.org/",CHAR(35),"/book/650527/p/-1/t/1/fs/0/start/0/end/0/c"),"קובץ חידושי תורה אמרי א""""ש - ב")</f>
        <v>קובץ חידושי תורה אמרי א""ש - ב</v>
      </c>
      <c r="H3382" t="str">
        <f>_xlfn.CONCAT("https://tablet.otzar.org/",CHAR(35),"/book/650527/p/-1/t/1/fs/0/start/0/end/0/c")</f>
        <v>https://tablet.otzar.org/#/book/650527/p/-1/t/1/fs/0/start/0/end/0/c</v>
      </c>
    </row>
    <row r="3383" spans="1:8" x14ac:dyDescent="0.25">
      <c r="A3383">
        <v>655240</v>
      </c>
      <c r="B3383" t="s">
        <v>6624</v>
      </c>
      <c r="C3383" t="s">
        <v>6625</v>
      </c>
      <c r="D3383" t="s">
        <v>10</v>
      </c>
      <c r="E3383" t="s">
        <v>11</v>
      </c>
      <c r="G3383" t="str">
        <f>HYPERLINK(_xlfn.CONCAT("https://tablet.otzar.org/",CHAR(35),"/book/655240/p/-1/t/1/fs/0/start/0/end/0/c"),"קובץ חידושי תורה בעניני איסור יחוד ולא תקרבו")</f>
        <v>קובץ חידושי תורה בעניני איסור יחוד ולא תקרבו</v>
      </c>
      <c r="H3383" t="str">
        <f>_xlfn.CONCAT("https://tablet.otzar.org/",CHAR(35),"/book/655240/p/-1/t/1/fs/0/start/0/end/0/c")</f>
        <v>https://tablet.otzar.org/#/book/655240/p/-1/t/1/fs/0/start/0/end/0/c</v>
      </c>
    </row>
    <row r="3384" spans="1:8" x14ac:dyDescent="0.25">
      <c r="A3384">
        <v>654025</v>
      </c>
      <c r="B3384" t="s">
        <v>6626</v>
      </c>
      <c r="C3384" t="s">
        <v>6627</v>
      </c>
      <c r="D3384" t="s">
        <v>340</v>
      </c>
      <c r="E3384" t="s">
        <v>84</v>
      </c>
      <c r="G3384" t="str">
        <f>HYPERLINK(_xlfn.CONCAT("https://tablet.otzar.org/",CHAR(35),"/exKotar/654025"),"קובץ חידושי תורה מבית נירה - 4 כרכים")</f>
        <v>קובץ חידושי תורה מבית נירה - 4 כרכים</v>
      </c>
      <c r="H3384" t="str">
        <f>_xlfn.CONCAT("https://tablet.otzar.org/",CHAR(35),"/exKotar/654025")</f>
        <v>https://tablet.otzar.org/#/exKotar/654025</v>
      </c>
    </row>
    <row r="3385" spans="1:8" x14ac:dyDescent="0.25">
      <c r="A3385">
        <v>643263</v>
      </c>
      <c r="B3385" t="s">
        <v>6628</v>
      </c>
      <c r="C3385" t="s">
        <v>6629</v>
      </c>
      <c r="D3385" t="s">
        <v>10</v>
      </c>
      <c r="E3385" t="s">
        <v>146</v>
      </c>
      <c r="G3385" t="str">
        <f>HYPERLINK(_xlfn.CONCAT("https://tablet.otzar.org/",CHAR(35),"/book/643263/p/-1/t/1/fs/0/start/0/end/0/c"),"קובץ חידושים ובירורים - מסכת נדרים")</f>
        <v>קובץ חידושים ובירורים - מסכת נדרים</v>
      </c>
      <c r="H3385" t="str">
        <f>_xlfn.CONCAT("https://tablet.otzar.org/",CHAR(35),"/book/643263/p/-1/t/1/fs/0/start/0/end/0/c")</f>
        <v>https://tablet.otzar.org/#/book/643263/p/-1/t/1/fs/0/start/0/end/0/c</v>
      </c>
    </row>
    <row r="3386" spans="1:8" x14ac:dyDescent="0.25">
      <c r="A3386">
        <v>652829</v>
      </c>
      <c r="B3386" t="s">
        <v>6630</v>
      </c>
      <c r="C3386" t="s">
        <v>382</v>
      </c>
      <c r="D3386" t="s">
        <v>52</v>
      </c>
      <c r="E3386" t="s">
        <v>891</v>
      </c>
      <c r="G3386" t="str">
        <f>HYPERLINK(_xlfn.CONCAT("https://tablet.otzar.org/",CHAR(35),"/book/652829/p/-1/t/1/fs/0/start/0/end/0/c"),"קובץ חידושים מתלמידי ישיבות קטנות - ה")</f>
        <v>קובץ חידושים מתלמידי ישיבות קטנות - ה</v>
      </c>
      <c r="H3386" t="str">
        <f>_xlfn.CONCAT("https://tablet.otzar.org/",CHAR(35),"/book/652829/p/-1/t/1/fs/0/start/0/end/0/c")</f>
        <v>https://tablet.otzar.org/#/book/652829/p/-1/t/1/fs/0/start/0/end/0/c</v>
      </c>
    </row>
    <row r="3387" spans="1:8" x14ac:dyDescent="0.25">
      <c r="A3387">
        <v>643244</v>
      </c>
      <c r="B3387" t="s">
        <v>6631</v>
      </c>
      <c r="C3387" t="s">
        <v>1643</v>
      </c>
      <c r="D3387" t="s">
        <v>52</v>
      </c>
      <c r="E3387" t="s">
        <v>126</v>
      </c>
      <c r="G3387" t="str">
        <f>HYPERLINK(_xlfn.CONCAT("https://tablet.otzar.org/",CHAR(35),"/book/643244/p/-1/t/1/fs/0/start/0/end/0/c"),"קובץ כתר תורה &lt;רמת שלמה&gt; - יא")</f>
        <v>קובץ כתר תורה &lt;רמת שלמה&gt; - יא</v>
      </c>
      <c r="H3387" t="str">
        <f>_xlfn.CONCAT("https://tablet.otzar.org/",CHAR(35),"/book/643244/p/-1/t/1/fs/0/start/0/end/0/c")</f>
        <v>https://tablet.otzar.org/#/book/643244/p/-1/t/1/fs/0/start/0/end/0/c</v>
      </c>
    </row>
    <row r="3388" spans="1:8" x14ac:dyDescent="0.25">
      <c r="A3388">
        <v>650284</v>
      </c>
      <c r="B3388" t="s">
        <v>6632</v>
      </c>
      <c r="C3388" t="s">
        <v>382</v>
      </c>
      <c r="D3388" t="s">
        <v>386</v>
      </c>
      <c r="E3388" t="s">
        <v>11</v>
      </c>
      <c r="G3388" t="str">
        <f>HYPERLINK(_xlfn.CONCAT("https://tablet.otzar.org/",CHAR(35),"/book/650284/p/-1/t/1/fs/0/start/0/end/0/c"),"קובץ לחיזוק התקשרות")</f>
        <v>קובץ לחיזוק התקשרות</v>
      </c>
      <c r="H3388" t="str">
        <f>_xlfn.CONCAT("https://tablet.otzar.org/",CHAR(35),"/book/650284/p/-1/t/1/fs/0/start/0/end/0/c")</f>
        <v>https://tablet.otzar.org/#/book/650284/p/-1/t/1/fs/0/start/0/end/0/c</v>
      </c>
    </row>
    <row r="3389" spans="1:8" x14ac:dyDescent="0.25">
      <c r="A3389">
        <v>647846</v>
      </c>
      <c r="B3389" t="s">
        <v>6633</v>
      </c>
      <c r="C3389" t="s">
        <v>6634</v>
      </c>
      <c r="D3389" t="s">
        <v>10</v>
      </c>
      <c r="E3389" t="s">
        <v>19</v>
      </c>
      <c r="G3389" t="str">
        <f>HYPERLINK(_xlfn.CONCAT("https://tablet.otzar.org/",CHAR(35),"/exKotar/647846"),"קובץ ליבנו בתורתו - 3 כרכים")</f>
        <v>קובץ ליבנו בתורתו - 3 כרכים</v>
      </c>
      <c r="H3389" t="str">
        <f>_xlfn.CONCAT("https://tablet.otzar.org/",CHAR(35),"/exKotar/647846")</f>
        <v>https://tablet.otzar.org/#/exKotar/647846</v>
      </c>
    </row>
    <row r="3390" spans="1:8" x14ac:dyDescent="0.25">
      <c r="A3390">
        <v>650265</v>
      </c>
      <c r="B3390" t="s">
        <v>6635</v>
      </c>
      <c r="C3390" t="s">
        <v>6636</v>
      </c>
      <c r="E3390" t="s">
        <v>11</v>
      </c>
      <c r="G3390" t="str">
        <f>HYPERLINK(_xlfn.CONCAT("https://tablet.otzar.org/",CHAR(35),"/exKotar/650265"),"קובץ לימוד - 3 כרכים")</f>
        <v>קובץ לימוד - 3 כרכים</v>
      </c>
      <c r="H3390" t="str">
        <f>_xlfn.CONCAT("https://tablet.otzar.org/",CHAR(35),"/exKotar/650265")</f>
        <v>https://tablet.otzar.org/#/exKotar/650265</v>
      </c>
    </row>
    <row r="3391" spans="1:8" x14ac:dyDescent="0.25">
      <c r="A3391">
        <v>649739</v>
      </c>
      <c r="B3391" t="s">
        <v>6637</v>
      </c>
      <c r="C3391" t="s">
        <v>6638</v>
      </c>
      <c r="D3391" t="s">
        <v>52</v>
      </c>
      <c r="E3391" t="s">
        <v>35</v>
      </c>
      <c r="G3391" t="str">
        <f>HYPERLINK(_xlfn.CONCAT("https://tablet.otzar.org/",CHAR(35),"/book/649739/p/-1/t/1/fs/0/start/0/end/0/c"),"קובץ לעטר פתורא")</f>
        <v>קובץ לעטר פתורא</v>
      </c>
      <c r="H3391" t="str">
        <f>_xlfn.CONCAT("https://tablet.otzar.org/",CHAR(35),"/book/649739/p/-1/t/1/fs/0/start/0/end/0/c")</f>
        <v>https://tablet.otzar.org/#/book/649739/p/-1/t/1/fs/0/start/0/end/0/c</v>
      </c>
    </row>
    <row r="3392" spans="1:8" x14ac:dyDescent="0.25">
      <c r="A3392">
        <v>648905</v>
      </c>
      <c r="B3392" t="s">
        <v>6639</v>
      </c>
      <c r="C3392" t="s">
        <v>6640</v>
      </c>
      <c r="D3392" t="s">
        <v>10</v>
      </c>
      <c r="E3392" t="s">
        <v>763</v>
      </c>
      <c r="G3392" t="str">
        <f>HYPERLINK(_xlfn.CONCAT("https://tablet.otzar.org/",CHAR(35),"/book/648905/p/-1/t/1/fs/0/start/0/end/0/c"),"קובץ לקט ענינים")</f>
        <v>קובץ לקט ענינים</v>
      </c>
      <c r="H3392" t="str">
        <f>_xlfn.CONCAT("https://tablet.otzar.org/",CHAR(35),"/book/648905/p/-1/t/1/fs/0/start/0/end/0/c")</f>
        <v>https://tablet.otzar.org/#/book/648905/p/-1/t/1/fs/0/start/0/end/0/c</v>
      </c>
    </row>
    <row r="3393" spans="1:8" x14ac:dyDescent="0.25">
      <c r="A3393">
        <v>643167</v>
      </c>
      <c r="B3393" t="s">
        <v>6641</v>
      </c>
      <c r="C3393" t="s">
        <v>6642</v>
      </c>
      <c r="D3393" t="s">
        <v>52</v>
      </c>
      <c r="E3393" t="s">
        <v>416</v>
      </c>
      <c r="G3393" t="str">
        <f>HYPERLINK(_xlfn.CONCAT("https://tablet.otzar.org/",CHAR(35),"/book/643167/p/-1/t/1/fs/0/start/0/end/0/c"),"קובץ לתורה וחסידות - ימים נוראים")</f>
        <v>קובץ לתורה וחסידות - ימים נוראים</v>
      </c>
      <c r="H3393" t="str">
        <f>_xlfn.CONCAT("https://tablet.otzar.org/",CHAR(35),"/book/643167/p/-1/t/1/fs/0/start/0/end/0/c")</f>
        <v>https://tablet.otzar.org/#/book/643167/p/-1/t/1/fs/0/start/0/end/0/c</v>
      </c>
    </row>
    <row r="3394" spans="1:8" x14ac:dyDescent="0.25">
      <c r="A3394">
        <v>651411</v>
      </c>
      <c r="B3394" t="s">
        <v>6643</v>
      </c>
      <c r="C3394" t="s">
        <v>6644</v>
      </c>
      <c r="D3394" t="s">
        <v>573</v>
      </c>
      <c r="E3394" t="s">
        <v>45</v>
      </c>
      <c r="G3394" t="str">
        <f>HYPERLINK(_xlfn.CONCAT("https://tablet.otzar.org/",CHAR(35),"/exKotar/651411"),"קובץ מאור התורה - 4 כרכים")</f>
        <v>קובץ מאור התורה - 4 כרכים</v>
      </c>
      <c r="H3394" t="str">
        <f>_xlfn.CONCAT("https://tablet.otzar.org/",CHAR(35),"/exKotar/651411")</f>
        <v>https://tablet.otzar.org/#/exKotar/651411</v>
      </c>
    </row>
    <row r="3395" spans="1:8" x14ac:dyDescent="0.25">
      <c r="A3395">
        <v>639380</v>
      </c>
      <c r="B3395" t="s">
        <v>6645</v>
      </c>
      <c r="C3395" t="s">
        <v>3264</v>
      </c>
      <c r="D3395" t="s">
        <v>52</v>
      </c>
      <c r="E3395" t="s">
        <v>35</v>
      </c>
      <c r="G3395" t="str">
        <f>HYPERLINK(_xlfn.CONCAT("https://tablet.otzar.org/",CHAR(35),"/book/639380/p/-1/t/1/fs/0/start/0/end/0/c"),"קובץ מאז ומקדם")</f>
        <v>קובץ מאז ומקדם</v>
      </c>
      <c r="H3395" t="str">
        <f>_xlfn.CONCAT("https://tablet.otzar.org/",CHAR(35),"/book/639380/p/-1/t/1/fs/0/start/0/end/0/c")</f>
        <v>https://tablet.otzar.org/#/book/639380/p/-1/t/1/fs/0/start/0/end/0/c</v>
      </c>
    </row>
    <row r="3396" spans="1:8" x14ac:dyDescent="0.25">
      <c r="A3396">
        <v>650739</v>
      </c>
      <c r="B3396" t="s">
        <v>6646</v>
      </c>
      <c r="C3396" t="s">
        <v>6647</v>
      </c>
      <c r="D3396" t="s">
        <v>6648</v>
      </c>
      <c r="E3396" t="s">
        <v>117</v>
      </c>
      <c r="G3396" t="str">
        <f>HYPERLINK(_xlfn.CONCAT("https://tablet.otzar.org/",CHAR(35),"/book/650739/p/-1/t/1/fs/0/start/0/end/0/c"),"קובץ מגדל אור - ט")</f>
        <v>קובץ מגדל אור - ט</v>
      </c>
      <c r="H3396" t="str">
        <f>_xlfn.CONCAT("https://tablet.otzar.org/",CHAR(35),"/book/650739/p/-1/t/1/fs/0/start/0/end/0/c")</f>
        <v>https://tablet.otzar.org/#/book/650739/p/-1/t/1/fs/0/start/0/end/0/c</v>
      </c>
    </row>
    <row r="3397" spans="1:8" x14ac:dyDescent="0.25">
      <c r="A3397">
        <v>649317</v>
      </c>
      <c r="B3397" t="s">
        <v>6649</v>
      </c>
      <c r="C3397" t="s">
        <v>4246</v>
      </c>
      <c r="D3397" t="s">
        <v>10</v>
      </c>
      <c r="E3397" t="s">
        <v>11</v>
      </c>
      <c r="G3397" t="str">
        <f>HYPERLINK(_xlfn.CONCAT("https://tablet.otzar.org/",CHAR(35),"/exKotar/649317"),"קובץ מה טובו אהליך יעקב - 6 כרכים")</f>
        <v>קובץ מה טובו אהליך יעקב - 6 כרכים</v>
      </c>
      <c r="H3397" t="str">
        <f>_xlfn.CONCAT("https://tablet.otzar.org/",CHAR(35),"/exKotar/649317")</f>
        <v>https://tablet.otzar.org/#/exKotar/649317</v>
      </c>
    </row>
    <row r="3398" spans="1:8" x14ac:dyDescent="0.25">
      <c r="A3398">
        <v>654499</v>
      </c>
      <c r="B3398" t="s">
        <v>6650</v>
      </c>
      <c r="C3398" t="s">
        <v>6651</v>
      </c>
      <c r="D3398" t="s">
        <v>10</v>
      </c>
      <c r="E3398" t="s">
        <v>11</v>
      </c>
      <c r="G3398" t="str">
        <f>HYPERLINK(_xlfn.CONCAT("https://tablet.otzar.org/",CHAR(35),"/book/654499/p/-1/t/1/fs/0/start/0/end/0/c"),"קובץ מילי דשמיא")</f>
        <v>קובץ מילי דשמיא</v>
      </c>
      <c r="H3398" t="str">
        <f>_xlfn.CONCAT("https://tablet.otzar.org/",CHAR(35),"/book/654499/p/-1/t/1/fs/0/start/0/end/0/c")</f>
        <v>https://tablet.otzar.org/#/book/654499/p/-1/t/1/fs/0/start/0/end/0/c</v>
      </c>
    </row>
    <row r="3399" spans="1:8" x14ac:dyDescent="0.25">
      <c r="A3399">
        <v>647680</v>
      </c>
      <c r="B3399" t="s">
        <v>6652</v>
      </c>
      <c r="C3399" t="s">
        <v>6653</v>
      </c>
      <c r="D3399" t="s">
        <v>133</v>
      </c>
      <c r="E3399" t="s">
        <v>35</v>
      </c>
      <c r="G3399" t="str">
        <f>HYPERLINK(_xlfn.CONCAT("https://tablet.otzar.org/",CHAR(35),"/book/647680/p/-1/t/1/fs/0/start/0/end/0/c"),"קובץ מיסודות הש""""ס")</f>
        <v>קובץ מיסודות הש""ס</v>
      </c>
      <c r="H3399" t="str">
        <f>_xlfn.CONCAT("https://tablet.otzar.org/",CHAR(35),"/book/647680/p/-1/t/1/fs/0/start/0/end/0/c")</f>
        <v>https://tablet.otzar.org/#/book/647680/p/-1/t/1/fs/0/start/0/end/0/c</v>
      </c>
    </row>
    <row r="3400" spans="1:8" x14ac:dyDescent="0.25">
      <c r="A3400">
        <v>647815</v>
      </c>
      <c r="B3400" t="s">
        <v>6654</v>
      </c>
      <c r="C3400" t="s">
        <v>6655</v>
      </c>
      <c r="D3400" t="s">
        <v>133</v>
      </c>
      <c r="E3400" t="s">
        <v>11</v>
      </c>
      <c r="G3400" t="str">
        <f>HYPERLINK(_xlfn.CONCAT("https://tablet.otzar.org/",CHAR(35),"/exKotar/647815"),"קובץ מנורה בדרום - 14 כרכים")</f>
        <v>קובץ מנורה בדרום - 14 כרכים</v>
      </c>
      <c r="H3400" t="str">
        <f>_xlfn.CONCAT("https://tablet.otzar.org/",CHAR(35),"/exKotar/647815")</f>
        <v>https://tablet.otzar.org/#/exKotar/647815</v>
      </c>
    </row>
    <row r="3401" spans="1:8" x14ac:dyDescent="0.25">
      <c r="A3401">
        <v>648906</v>
      </c>
      <c r="B3401" t="s">
        <v>6656</v>
      </c>
      <c r="C3401" t="s">
        <v>6657</v>
      </c>
      <c r="E3401" t="s">
        <v>62</v>
      </c>
      <c r="G3401" t="str">
        <f>HYPERLINK(_xlfn.CONCAT("https://tablet.otzar.org/",CHAR(35),"/book/648906/p/-1/t/1/fs/0/start/0/end/0/c"),"קובץ מנחת יו""""ט")</f>
        <v>קובץ מנחת יו""ט</v>
      </c>
      <c r="H3401" t="str">
        <f>_xlfn.CONCAT("https://tablet.otzar.org/",CHAR(35),"/book/648906/p/-1/t/1/fs/0/start/0/end/0/c")</f>
        <v>https://tablet.otzar.org/#/book/648906/p/-1/t/1/fs/0/start/0/end/0/c</v>
      </c>
    </row>
    <row r="3402" spans="1:8" x14ac:dyDescent="0.25">
      <c r="A3402">
        <v>651760</v>
      </c>
      <c r="B3402" t="s">
        <v>6658</v>
      </c>
      <c r="C3402" t="s">
        <v>6659</v>
      </c>
      <c r="D3402" t="s">
        <v>340</v>
      </c>
      <c r="E3402" t="s">
        <v>11</v>
      </c>
      <c r="G3402" t="str">
        <f>HYPERLINK(_xlfn.CONCAT("https://tablet.otzar.org/",CHAR(35),"/book/651760/p/-1/t/1/fs/0/start/0/end/0/c"),"קובץ מנחת סופרים - א")</f>
        <v>קובץ מנחת סופרים - א</v>
      </c>
      <c r="H3402" t="str">
        <f>_xlfn.CONCAT("https://tablet.otzar.org/",CHAR(35),"/book/651760/p/-1/t/1/fs/0/start/0/end/0/c")</f>
        <v>https://tablet.otzar.org/#/book/651760/p/-1/t/1/fs/0/start/0/end/0/c</v>
      </c>
    </row>
    <row r="3403" spans="1:8" x14ac:dyDescent="0.25">
      <c r="A3403">
        <v>648756</v>
      </c>
      <c r="B3403" t="s">
        <v>6660</v>
      </c>
      <c r="C3403" t="s">
        <v>6661</v>
      </c>
      <c r="E3403" t="s">
        <v>6547</v>
      </c>
      <c r="G3403" t="str">
        <f>HYPERLINK(_xlfn.CONCAT("https://tablet.otzar.org/",CHAR(35),"/book/648756/p/-1/t/1/fs/0/start/0/end/0/c"),"קובץ מנחת ציבור - מנחת חינוך")</f>
        <v>קובץ מנחת ציבור - מנחת חינוך</v>
      </c>
      <c r="H3403" t="str">
        <f>_xlfn.CONCAT("https://tablet.otzar.org/",CHAR(35),"/book/648756/p/-1/t/1/fs/0/start/0/end/0/c")</f>
        <v>https://tablet.otzar.org/#/book/648756/p/-1/t/1/fs/0/start/0/end/0/c</v>
      </c>
    </row>
    <row r="3404" spans="1:8" x14ac:dyDescent="0.25">
      <c r="A3404">
        <v>649732</v>
      </c>
      <c r="B3404" t="s">
        <v>6662</v>
      </c>
      <c r="C3404" t="s">
        <v>6638</v>
      </c>
      <c r="D3404" t="s">
        <v>52</v>
      </c>
      <c r="E3404" t="s">
        <v>11</v>
      </c>
      <c r="G3404" t="str">
        <f>HYPERLINK(_xlfn.CONCAT("https://tablet.otzar.org/",CHAR(35),"/book/649732/p/-1/t/1/fs/0/start/0/end/0/c"),"קובץ מנרתא טבתא")</f>
        <v>קובץ מנרתא טבתא</v>
      </c>
      <c r="H3404" t="str">
        <f>_xlfn.CONCAT("https://tablet.otzar.org/",CHAR(35),"/book/649732/p/-1/t/1/fs/0/start/0/end/0/c")</f>
        <v>https://tablet.otzar.org/#/book/649732/p/-1/t/1/fs/0/start/0/end/0/c</v>
      </c>
    </row>
    <row r="3405" spans="1:8" x14ac:dyDescent="0.25">
      <c r="A3405">
        <v>653403</v>
      </c>
      <c r="B3405" t="s">
        <v>6663</v>
      </c>
      <c r="C3405" t="s">
        <v>6664</v>
      </c>
      <c r="D3405" t="s">
        <v>139</v>
      </c>
      <c r="E3405" t="s">
        <v>84</v>
      </c>
      <c r="G3405" t="str">
        <f>HYPERLINK(_xlfn.CONCAT("https://tablet.otzar.org/",CHAR(35),"/exKotar/653403"),"קובץ מעיין התורה - 2 כרכים")</f>
        <v>קובץ מעיין התורה - 2 כרכים</v>
      </c>
      <c r="H3405" t="str">
        <f>_xlfn.CONCAT("https://tablet.otzar.org/",CHAR(35),"/exKotar/653403")</f>
        <v>https://tablet.otzar.org/#/exKotar/653403</v>
      </c>
    </row>
    <row r="3406" spans="1:8" x14ac:dyDescent="0.25">
      <c r="A3406">
        <v>647996</v>
      </c>
      <c r="B3406" t="s">
        <v>6665</v>
      </c>
      <c r="C3406" t="s">
        <v>6666</v>
      </c>
      <c r="D3406" t="s">
        <v>510</v>
      </c>
      <c r="E3406" t="s">
        <v>11</v>
      </c>
      <c r="G3406" t="str">
        <f>HYPERLINK(_xlfn.CONCAT("https://tablet.otzar.org/",CHAR(35),"/exKotar/647996"),"קובץ מעין חי - 2 כרכים")</f>
        <v>קובץ מעין חי - 2 כרכים</v>
      </c>
      <c r="H3406" t="str">
        <f>_xlfn.CONCAT("https://tablet.otzar.org/",CHAR(35),"/exKotar/647996")</f>
        <v>https://tablet.otzar.org/#/exKotar/647996</v>
      </c>
    </row>
    <row r="3407" spans="1:8" x14ac:dyDescent="0.25">
      <c r="A3407">
        <v>643276</v>
      </c>
      <c r="B3407" t="s">
        <v>6667</v>
      </c>
      <c r="C3407" t="s">
        <v>6668</v>
      </c>
      <c r="E3407" t="s">
        <v>161</v>
      </c>
      <c r="G3407" t="str">
        <f>HYPERLINK(_xlfn.CONCAT("https://tablet.otzar.org/",CHAR(35),"/exKotar/643276"),"קובץ משיב בהלכה - 7 כרכים")</f>
        <v>קובץ משיב בהלכה - 7 כרכים</v>
      </c>
      <c r="H3407" t="str">
        <f>_xlfn.CONCAT("https://tablet.otzar.org/",CHAR(35),"/exKotar/643276")</f>
        <v>https://tablet.otzar.org/#/exKotar/643276</v>
      </c>
    </row>
    <row r="3408" spans="1:8" x14ac:dyDescent="0.25">
      <c r="A3408">
        <v>648852</v>
      </c>
      <c r="B3408" t="s">
        <v>6669</v>
      </c>
      <c r="C3408" t="s">
        <v>6670</v>
      </c>
      <c r="D3408" t="s">
        <v>6479</v>
      </c>
      <c r="E3408" t="s">
        <v>184</v>
      </c>
      <c r="G3408" t="str">
        <f>HYPERLINK(_xlfn.CONCAT("https://tablet.otzar.org/",CHAR(35),"/book/648852/p/-1/t/1/fs/0/start/0/end/0/c"),"קובץ נר למאה")</f>
        <v>קובץ נר למאה</v>
      </c>
      <c r="H3408" t="str">
        <f>_xlfn.CONCAT("https://tablet.otzar.org/",CHAR(35),"/book/648852/p/-1/t/1/fs/0/start/0/end/0/c")</f>
        <v>https://tablet.otzar.org/#/book/648852/p/-1/t/1/fs/0/start/0/end/0/c</v>
      </c>
    </row>
    <row r="3409" spans="1:8" x14ac:dyDescent="0.25">
      <c r="A3409">
        <v>647983</v>
      </c>
      <c r="B3409" t="s">
        <v>6671</v>
      </c>
      <c r="C3409" t="s">
        <v>6672</v>
      </c>
      <c r="D3409" t="s">
        <v>1660</v>
      </c>
      <c r="E3409" t="s">
        <v>11</v>
      </c>
      <c r="G3409" t="str">
        <f>HYPERLINK(_xlfn.CONCAT("https://tablet.otzar.org/",CHAR(35),"/book/647983/p/-1/t/1/fs/0/start/0/end/0/c"),"קובץ נר מרדכי")</f>
        <v>קובץ נר מרדכי</v>
      </c>
      <c r="H3409" t="str">
        <f>_xlfn.CONCAT("https://tablet.otzar.org/",CHAR(35),"/book/647983/p/-1/t/1/fs/0/start/0/end/0/c")</f>
        <v>https://tablet.otzar.org/#/book/647983/p/-1/t/1/fs/0/start/0/end/0/c</v>
      </c>
    </row>
    <row r="3410" spans="1:8" x14ac:dyDescent="0.25">
      <c r="A3410">
        <v>639840</v>
      </c>
      <c r="B3410" t="s">
        <v>6673</v>
      </c>
      <c r="C3410" t="s">
        <v>6674</v>
      </c>
      <c r="D3410" t="s">
        <v>34</v>
      </c>
      <c r="E3410" t="s">
        <v>35</v>
      </c>
      <c r="G3410" t="str">
        <f>HYPERLINK(_xlfn.CONCAT("https://tablet.otzar.org/",CHAR(35),"/book/639840/p/-1/t/1/fs/0/start/0/end/0/c"),"קובץ סוגיות")</f>
        <v>קובץ סוגיות</v>
      </c>
      <c r="H3410" t="str">
        <f>_xlfn.CONCAT("https://tablet.otzar.org/",CHAR(35),"/book/639840/p/-1/t/1/fs/0/start/0/end/0/c")</f>
        <v>https://tablet.otzar.org/#/book/639840/p/-1/t/1/fs/0/start/0/end/0/c</v>
      </c>
    </row>
    <row r="3411" spans="1:8" x14ac:dyDescent="0.25">
      <c r="A3411">
        <v>649734</v>
      </c>
      <c r="B3411" t="s">
        <v>6675</v>
      </c>
      <c r="C3411" t="s">
        <v>1342</v>
      </c>
      <c r="D3411" t="s">
        <v>52</v>
      </c>
      <c r="E3411" t="s">
        <v>146</v>
      </c>
      <c r="G3411" t="str">
        <f>HYPERLINK(_xlfn.CONCAT("https://tablet.otzar.org/",CHAR(35),"/exKotar/649734"),"קובץ עומק ההלכה - 2 כרכים")</f>
        <v>קובץ עומק ההלכה - 2 כרכים</v>
      </c>
      <c r="H3411" t="str">
        <f>_xlfn.CONCAT("https://tablet.otzar.org/",CHAR(35),"/exKotar/649734")</f>
        <v>https://tablet.otzar.org/#/exKotar/649734</v>
      </c>
    </row>
    <row r="3412" spans="1:8" x14ac:dyDescent="0.25">
      <c r="A3412">
        <v>648156</v>
      </c>
      <c r="B3412" t="s">
        <v>6676</v>
      </c>
      <c r="C3412" t="s">
        <v>6677</v>
      </c>
      <c r="D3412" t="s">
        <v>347</v>
      </c>
      <c r="E3412" t="s">
        <v>184</v>
      </c>
      <c r="G3412" t="str">
        <f>HYPERLINK(_xlfn.CONCAT("https://tablet.otzar.org/",CHAR(35),"/book/648156/p/-1/t/1/fs/0/start/0/end/0/c"),"קובץ עטרת מנשה")</f>
        <v>קובץ עטרת מנשה</v>
      </c>
      <c r="H3412" t="str">
        <f>_xlfn.CONCAT("https://tablet.otzar.org/",CHAR(35),"/book/648156/p/-1/t/1/fs/0/start/0/end/0/c")</f>
        <v>https://tablet.otzar.org/#/book/648156/p/-1/t/1/fs/0/start/0/end/0/c</v>
      </c>
    </row>
    <row r="3413" spans="1:8" x14ac:dyDescent="0.25">
      <c r="A3413">
        <v>654482</v>
      </c>
      <c r="B3413" t="s">
        <v>6678</v>
      </c>
      <c r="C3413" t="s">
        <v>5997</v>
      </c>
      <c r="D3413" t="s">
        <v>10</v>
      </c>
      <c r="E3413" t="s">
        <v>35</v>
      </c>
      <c r="G3413" t="str">
        <f>HYPERLINK(_xlfn.CONCAT("https://tablet.otzar.org/",CHAR(35),"/exKotar/654482"),"קובץ עיון הפרשה - 10 כרכים")</f>
        <v>קובץ עיון הפרשה - 10 כרכים</v>
      </c>
      <c r="H3413" t="str">
        <f>_xlfn.CONCAT("https://tablet.otzar.org/",CHAR(35),"/exKotar/654482")</f>
        <v>https://tablet.otzar.org/#/exKotar/654482</v>
      </c>
    </row>
    <row r="3414" spans="1:8" x14ac:dyDescent="0.25">
      <c r="A3414">
        <v>650741</v>
      </c>
      <c r="B3414" t="s">
        <v>6679</v>
      </c>
      <c r="C3414" t="s">
        <v>382</v>
      </c>
      <c r="E3414" t="s">
        <v>35</v>
      </c>
      <c r="G3414" t="str">
        <f>HYPERLINK(_xlfn.CONCAT("https://tablet.otzar.org/",CHAR(35),"/book/650741/p/-1/t/1/fs/0/start/0/end/0/c"),"קובץ עיונים תפארת שמשון - ו")</f>
        <v>קובץ עיונים תפארת שמשון - ו</v>
      </c>
      <c r="H3414" t="str">
        <f>_xlfn.CONCAT("https://tablet.otzar.org/",CHAR(35),"/book/650741/p/-1/t/1/fs/0/start/0/end/0/c")</f>
        <v>https://tablet.otzar.org/#/book/650741/p/-1/t/1/fs/0/start/0/end/0/c</v>
      </c>
    </row>
    <row r="3415" spans="1:8" x14ac:dyDescent="0.25">
      <c r="A3415">
        <v>648243</v>
      </c>
      <c r="B3415" t="s">
        <v>6680</v>
      </c>
      <c r="C3415" t="s">
        <v>6681</v>
      </c>
      <c r="D3415" t="s">
        <v>10</v>
      </c>
      <c r="E3415" t="s">
        <v>405</v>
      </c>
      <c r="G3415" t="str">
        <f>HYPERLINK(_xlfn.CONCAT("https://tablet.otzar.org/",CHAR(35),"/exKotar/648243"),"קובץ עניינים וחידו""""ת - 3 כרכים")</f>
        <v>קובץ עניינים וחידו""ת - 3 כרכים</v>
      </c>
      <c r="H3415" t="str">
        <f>_xlfn.CONCAT("https://tablet.otzar.org/",CHAR(35),"/exKotar/648243")</f>
        <v>https://tablet.otzar.org/#/exKotar/648243</v>
      </c>
    </row>
    <row r="3416" spans="1:8" x14ac:dyDescent="0.25">
      <c r="A3416">
        <v>654773</v>
      </c>
      <c r="B3416" t="s">
        <v>6682</v>
      </c>
      <c r="C3416" t="s">
        <v>614</v>
      </c>
      <c r="D3416" t="s">
        <v>34</v>
      </c>
      <c r="E3416" t="s">
        <v>29</v>
      </c>
      <c r="G3416" t="str">
        <f>HYPERLINK(_xlfn.CONCAT("https://tablet.otzar.org/",CHAR(35),"/book/654773/p/-1/t/1/fs/0/start/0/end/0/c"),"קובץ ענינים")</f>
        <v>קובץ ענינים</v>
      </c>
      <c r="H3416" t="str">
        <f>_xlfn.CONCAT("https://tablet.otzar.org/",CHAR(35),"/book/654773/p/-1/t/1/fs/0/start/0/end/0/c")</f>
        <v>https://tablet.otzar.org/#/book/654773/p/-1/t/1/fs/0/start/0/end/0/c</v>
      </c>
    </row>
    <row r="3417" spans="1:8" x14ac:dyDescent="0.25">
      <c r="A3417">
        <v>647584</v>
      </c>
      <c r="B3417" t="s">
        <v>6683</v>
      </c>
      <c r="C3417" t="s">
        <v>6408</v>
      </c>
      <c r="D3417" t="s">
        <v>52</v>
      </c>
      <c r="E3417" t="s">
        <v>1937</v>
      </c>
      <c r="G3417" t="str">
        <f>HYPERLINK(_xlfn.CONCAT("https://tablet.otzar.org/",CHAR(35),"/exKotar/647584"),"קובץ ענינים - 2 כרכים")</f>
        <v>קובץ ענינים - 2 כרכים</v>
      </c>
      <c r="H3417" t="str">
        <f>_xlfn.CONCAT("https://tablet.otzar.org/",CHAR(35),"/exKotar/647584")</f>
        <v>https://tablet.otzar.org/#/exKotar/647584</v>
      </c>
    </row>
    <row r="3418" spans="1:8" x14ac:dyDescent="0.25">
      <c r="A3418">
        <v>647816</v>
      </c>
      <c r="B3418" t="s">
        <v>6684</v>
      </c>
      <c r="C3418" t="s">
        <v>6685</v>
      </c>
      <c r="D3418" t="s">
        <v>510</v>
      </c>
      <c r="E3418" t="s">
        <v>35</v>
      </c>
      <c r="G3418" t="str">
        <f>HYPERLINK(_xlfn.CONCAT("https://tablet.otzar.org/",CHAR(35),"/book/647816/p/-1/t/1/fs/0/start/0/end/0/c"),"קובץ עץ חיים - לו")</f>
        <v>קובץ עץ חיים - לו</v>
      </c>
      <c r="H3418" t="str">
        <f>_xlfn.CONCAT("https://tablet.otzar.org/",CHAR(35),"/book/647816/p/-1/t/1/fs/0/start/0/end/0/c")</f>
        <v>https://tablet.otzar.org/#/book/647816/p/-1/t/1/fs/0/start/0/end/0/c</v>
      </c>
    </row>
    <row r="3419" spans="1:8" x14ac:dyDescent="0.25">
      <c r="A3419">
        <v>650469</v>
      </c>
      <c r="B3419" t="s">
        <v>6686</v>
      </c>
      <c r="C3419" t="s">
        <v>1038</v>
      </c>
      <c r="D3419" t="s">
        <v>951</v>
      </c>
      <c r="E3419" t="s">
        <v>11</v>
      </c>
      <c r="G3419" t="str">
        <f>HYPERLINK(_xlfn.CONCAT("https://tablet.otzar.org/",CHAR(35),"/exKotar/650469"),"קובץ פרדס יהודה - 2 כרכים")</f>
        <v>קובץ פרדס יהודה - 2 כרכים</v>
      </c>
      <c r="H3419" t="str">
        <f>_xlfn.CONCAT("https://tablet.otzar.org/",CHAR(35),"/exKotar/650469")</f>
        <v>https://tablet.otzar.org/#/exKotar/650469</v>
      </c>
    </row>
    <row r="3420" spans="1:8" x14ac:dyDescent="0.25">
      <c r="A3420">
        <v>650742</v>
      </c>
      <c r="B3420" t="s">
        <v>6687</v>
      </c>
      <c r="C3420" t="s">
        <v>5075</v>
      </c>
      <c r="D3420" t="s">
        <v>340</v>
      </c>
      <c r="E3420" t="s">
        <v>11</v>
      </c>
      <c r="G3420" t="str">
        <f>HYPERLINK(_xlfn.CONCAT("https://tablet.otzar.org/",CHAR(35),"/book/650742/p/-1/t/1/fs/0/start/0/end/0/c"),"קובץ פרחי ג""""ן - בבא מציעא - פורים - פסח")</f>
        <v>קובץ פרחי ג""ן - בבא מציעא - פורים - פסח</v>
      </c>
      <c r="H3420" t="str">
        <f>_xlfn.CONCAT("https://tablet.otzar.org/",CHAR(35),"/book/650742/p/-1/t/1/fs/0/start/0/end/0/c")</f>
        <v>https://tablet.otzar.org/#/book/650742/p/-1/t/1/fs/0/start/0/end/0/c</v>
      </c>
    </row>
    <row r="3421" spans="1:8" x14ac:dyDescent="0.25">
      <c r="A3421">
        <v>653381</v>
      </c>
      <c r="B3421" t="s">
        <v>6688</v>
      </c>
      <c r="C3421" t="s">
        <v>6689</v>
      </c>
      <c r="D3421" t="s">
        <v>139</v>
      </c>
      <c r="E3421" t="s">
        <v>11</v>
      </c>
      <c r="G3421" t="str">
        <f>HYPERLINK(_xlfn.CONCAT("https://tablet.otzar.org/",CHAR(35),"/book/653381/p/-1/t/1/fs/0/start/0/end/0/c"),"קובץ פרי ביכורים - תקיעת שופר וראש השנה")</f>
        <v>קובץ פרי ביכורים - תקיעת שופר וראש השנה</v>
      </c>
      <c r="H3421" t="str">
        <f>_xlfn.CONCAT("https://tablet.otzar.org/",CHAR(35),"/book/653381/p/-1/t/1/fs/0/start/0/end/0/c")</f>
        <v>https://tablet.otzar.org/#/book/653381/p/-1/t/1/fs/0/start/0/end/0/c</v>
      </c>
    </row>
    <row r="3422" spans="1:8" x14ac:dyDescent="0.25">
      <c r="A3422">
        <v>651962</v>
      </c>
      <c r="B3422" t="s">
        <v>6690</v>
      </c>
      <c r="C3422" t="s">
        <v>6691</v>
      </c>
      <c r="D3422" t="s">
        <v>10</v>
      </c>
      <c r="E3422" t="s">
        <v>11</v>
      </c>
      <c r="G3422" t="str">
        <f>HYPERLINK(_xlfn.CONCAT("https://tablet.otzar.org/",CHAR(35),"/book/651962/p/-1/t/1/fs/0/start/0/end/0/c"),"קובץ פרי ישראל")</f>
        <v>קובץ פרי ישראל</v>
      </c>
      <c r="H3422" t="str">
        <f>_xlfn.CONCAT("https://tablet.otzar.org/",CHAR(35),"/book/651962/p/-1/t/1/fs/0/start/0/end/0/c")</f>
        <v>https://tablet.otzar.org/#/book/651962/p/-1/t/1/fs/0/start/0/end/0/c</v>
      </c>
    </row>
    <row r="3423" spans="1:8" x14ac:dyDescent="0.25">
      <c r="A3423">
        <v>652670</v>
      </c>
      <c r="B3423" t="s">
        <v>6692</v>
      </c>
      <c r="C3423" t="s">
        <v>6693</v>
      </c>
      <c r="D3423" t="s">
        <v>573</v>
      </c>
      <c r="E3423" t="s">
        <v>77</v>
      </c>
      <c r="G3423" t="str">
        <f>HYPERLINK(_xlfn.CONCAT("https://tablet.otzar.org/",CHAR(35),"/book/652670/p/-1/t/1/fs/0/start/0/end/0/c"),"קובץ קדושת יום טוב - א")</f>
        <v>קובץ קדושת יום טוב - א</v>
      </c>
      <c r="H3423" t="str">
        <f>_xlfn.CONCAT("https://tablet.otzar.org/",CHAR(35),"/book/652670/p/-1/t/1/fs/0/start/0/end/0/c")</f>
        <v>https://tablet.otzar.org/#/book/652670/p/-1/t/1/fs/0/start/0/end/0/c</v>
      </c>
    </row>
    <row r="3424" spans="1:8" x14ac:dyDescent="0.25">
      <c r="A3424">
        <v>647399</v>
      </c>
      <c r="B3424" t="s">
        <v>6694</v>
      </c>
      <c r="C3424" t="s">
        <v>6695</v>
      </c>
      <c r="D3424" t="s">
        <v>10</v>
      </c>
      <c r="E3424" t="s">
        <v>293</v>
      </c>
      <c r="G3424" t="str">
        <f>HYPERLINK(_xlfn.CONCAT("https://tablet.otzar.org/",CHAR(35),"/book/647399/p/-1/t/1/fs/0/start/0/end/0/c"),"קובץ קול התורה - כתובות")</f>
        <v>קובץ קול התורה - כתובות</v>
      </c>
      <c r="H3424" t="str">
        <f>_xlfn.CONCAT("https://tablet.otzar.org/",CHAR(35),"/book/647399/p/-1/t/1/fs/0/start/0/end/0/c")</f>
        <v>https://tablet.otzar.org/#/book/647399/p/-1/t/1/fs/0/start/0/end/0/c</v>
      </c>
    </row>
    <row r="3425" spans="1:8" x14ac:dyDescent="0.25">
      <c r="A3425">
        <v>643177</v>
      </c>
      <c r="B3425" t="s">
        <v>6696</v>
      </c>
      <c r="C3425" t="s">
        <v>6697</v>
      </c>
      <c r="D3425" t="s">
        <v>139</v>
      </c>
      <c r="E3425" t="s">
        <v>763</v>
      </c>
      <c r="G3425" t="str">
        <f>HYPERLINK(_xlfn.CONCAT("https://tablet.otzar.org/",CHAR(35),"/book/643177/p/-1/t/1/fs/0/start/0/end/0/c"),"קובץ קנאת סופרים - ה")</f>
        <v>קובץ קנאת סופרים - ה</v>
      </c>
      <c r="H3425" t="str">
        <f>_xlfn.CONCAT("https://tablet.otzar.org/",CHAR(35),"/book/643177/p/-1/t/1/fs/0/start/0/end/0/c")</f>
        <v>https://tablet.otzar.org/#/book/643177/p/-1/t/1/fs/0/start/0/end/0/c</v>
      </c>
    </row>
    <row r="3426" spans="1:8" x14ac:dyDescent="0.25">
      <c r="A3426">
        <v>643128</v>
      </c>
      <c r="B3426" t="s">
        <v>6698</v>
      </c>
      <c r="C3426" t="s">
        <v>6699</v>
      </c>
      <c r="D3426" t="s">
        <v>951</v>
      </c>
      <c r="E3426" t="s">
        <v>146</v>
      </c>
      <c r="G3426" t="str">
        <f>HYPERLINK(_xlfn.CONCAT("https://tablet.otzar.org/",CHAR(35),"/book/643128/p/-1/t/1/fs/0/start/0/end/0/c"),"קובץ ראיתי בני עליה - ואהבת לרעך כמוך, לא תשנא")</f>
        <v>קובץ ראיתי בני עליה - ואהבת לרעך כמוך, לא תשנא</v>
      </c>
      <c r="H3426" t="str">
        <f>_xlfn.CONCAT("https://tablet.otzar.org/",CHAR(35),"/book/643128/p/-1/t/1/fs/0/start/0/end/0/c")</f>
        <v>https://tablet.otzar.org/#/book/643128/p/-1/t/1/fs/0/start/0/end/0/c</v>
      </c>
    </row>
    <row r="3427" spans="1:8" x14ac:dyDescent="0.25">
      <c r="A3427">
        <v>651927</v>
      </c>
      <c r="B3427" t="s">
        <v>6700</v>
      </c>
      <c r="C3427" t="s">
        <v>6701</v>
      </c>
      <c r="D3427" t="s">
        <v>6355</v>
      </c>
      <c r="E3427" t="s">
        <v>35</v>
      </c>
      <c r="G3427" t="str">
        <f>HYPERLINK(_xlfn.CONCAT("https://tablet.otzar.org/",CHAR(35),"/book/651927/p/-1/t/1/fs/0/start/0/end/0/c"),"קובץ ראשונים &lt;רוח ברור&gt; על פרק יציאת השבת")</f>
        <v>קובץ ראשונים &lt;רוח ברור&gt; על פרק יציאת השבת</v>
      </c>
      <c r="H3427" t="str">
        <f>_xlfn.CONCAT("https://tablet.otzar.org/",CHAR(35),"/book/651927/p/-1/t/1/fs/0/start/0/end/0/c")</f>
        <v>https://tablet.otzar.org/#/book/651927/p/-1/t/1/fs/0/start/0/end/0/c</v>
      </c>
    </row>
    <row r="3428" spans="1:8" x14ac:dyDescent="0.25">
      <c r="A3428">
        <v>649915</v>
      </c>
      <c r="B3428" t="s">
        <v>6702</v>
      </c>
      <c r="C3428" t="s">
        <v>6703</v>
      </c>
      <c r="D3428" t="s">
        <v>221</v>
      </c>
      <c r="E3428" t="s">
        <v>84</v>
      </c>
      <c r="G3428" t="str">
        <f>HYPERLINK(_xlfn.CONCAT("https://tablet.otzar.org/",CHAR(35),"/book/649915/p/-1/t/1/fs/0/start/0/end/0/c"),"קובץ שובה ישראל - א")</f>
        <v>קובץ שובה ישראל - א</v>
      </c>
      <c r="H3428" t="str">
        <f>_xlfn.CONCAT("https://tablet.otzar.org/",CHAR(35),"/book/649915/p/-1/t/1/fs/0/start/0/end/0/c")</f>
        <v>https://tablet.otzar.org/#/book/649915/p/-1/t/1/fs/0/start/0/end/0/c</v>
      </c>
    </row>
    <row r="3429" spans="1:8" x14ac:dyDescent="0.25">
      <c r="A3429">
        <v>647795</v>
      </c>
      <c r="B3429" t="s">
        <v>6704</v>
      </c>
      <c r="C3429" t="s">
        <v>6705</v>
      </c>
      <c r="D3429" t="s">
        <v>34</v>
      </c>
      <c r="E3429" t="s">
        <v>11</v>
      </c>
      <c r="G3429" t="str">
        <f>HYPERLINK(_xlfn.CONCAT("https://tablet.otzar.org/",CHAR(35),"/book/647795/p/-1/t/1/fs/0/start/0/end/0/c"),"קובץ שיחות במשנתם של הגרא""""מ שך ורבותינו גדולי הדורות - שיחות הרב צבי שינקר")</f>
        <v>קובץ שיחות במשנתם של הגרא""מ שך ורבותינו גדולי הדורות - שיחות הרב צבי שינקר</v>
      </c>
      <c r="H3429" t="str">
        <f>_xlfn.CONCAT("https://tablet.otzar.org/",CHAR(35),"/book/647795/p/-1/t/1/fs/0/start/0/end/0/c")</f>
        <v>https://tablet.otzar.org/#/book/647795/p/-1/t/1/fs/0/start/0/end/0/c</v>
      </c>
    </row>
    <row r="3430" spans="1:8" x14ac:dyDescent="0.25">
      <c r="A3430">
        <v>652846</v>
      </c>
      <c r="B3430" t="s">
        <v>6706</v>
      </c>
      <c r="C3430" t="s">
        <v>6707</v>
      </c>
      <c r="D3430" t="s">
        <v>3130</v>
      </c>
      <c r="E3430" t="s">
        <v>89</v>
      </c>
      <c r="G3430" t="str">
        <f>HYPERLINK(_xlfn.CONCAT("https://tablet.otzar.org/",CHAR(35),"/book/652846/p/-1/t/1/fs/0/start/0/end/0/c"),"קובץ שיעורים בעניני שבועות בהלכה ובאגדה")</f>
        <v>קובץ שיעורים בעניני שבועות בהלכה ובאגדה</v>
      </c>
      <c r="H3430" t="str">
        <f>_xlfn.CONCAT("https://tablet.otzar.org/",CHAR(35),"/book/652846/p/-1/t/1/fs/0/start/0/end/0/c")</f>
        <v>https://tablet.otzar.org/#/book/652846/p/-1/t/1/fs/0/start/0/end/0/c</v>
      </c>
    </row>
    <row r="3431" spans="1:8" x14ac:dyDescent="0.25">
      <c r="A3431">
        <v>643250</v>
      </c>
      <c r="B3431" t="s">
        <v>6708</v>
      </c>
      <c r="C3431" t="s">
        <v>6569</v>
      </c>
      <c r="E3431" t="s">
        <v>507</v>
      </c>
      <c r="G3431" t="str">
        <f>HYPERLINK(_xlfn.CONCAT("https://tablet.otzar.org/",CHAR(35),"/book/643250/p/-1/t/1/fs/0/start/0/end/0/c"),"קובץ שמחת דרכי הוראה")</f>
        <v>קובץ שמחת דרכי הוראה</v>
      </c>
      <c r="H3431" t="str">
        <f>_xlfn.CONCAT("https://tablet.otzar.org/",CHAR(35),"/book/643250/p/-1/t/1/fs/0/start/0/end/0/c")</f>
        <v>https://tablet.otzar.org/#/book/643250/p/-1/t/1/fs/0/start/0/end/0/c</v>
      </c>
    </row>
    <row r="3432" spans="1:8" x14ac:dyDescent="0.25">
      <c r="A3432">
        <v>652658</v>
      </c>
      <c r="B3432" t="s">
        <v>6709</v>
      </c>
      <c r="C3432" t="s">
        <v>6709</v>
      </c>
      <c r="D3432" t="s">
        <v>52</v>
      </c>
      <c r="E3432" t="s">
        <v>84</v>
      </c>
      <c r="G3432" t="str">
        <f>HYPERLINK(_xlfn.CONCAT("https://tablet.otzar.org/",CHAR(35),"/book/652658/p/-1/t/1/fs/0/start/0/end/0/c"),"קובץ שפתי קודש")</f>
        <v>קובץ שפתי קודש</v>
      </c>
      <c r="H3432" t="str">
        <f>_xlfn.CONCAT("https://tablet.otzar.org/",CHAR(35),"/book/652658/p/-1/t/1/fs/0/start/0/end/0/c")</f>
        <v>https://tablet.otzar.org/#/book/652658/p/-1/t/1/fs/0/start/0/end/0/c</v>
      </c>
    </row>
    <row r="3433" spans="1:8" x14ac:dyDescent="0.25">
      <c r="A3433">
        <v>649312</v>
      </c>
      <c r="B3433" t="s">
        <v>6710</v>
      </c>
      <c r="C3433" t="s">
        <v>6711</v>
      </c>
      <c r="D3433" t="s">
        <v>948</v>
      </c>
      <c r="E3433" t="s">
        <v>70</v>
      </c>
      <c r="G3433" t="str">
        <f>HYPERLINK(_xlfn.CONCAT("https://tablet.otzar.org/",CHAR(35),"/book/649312/p/-1/t/1/fs/0/start/0/end/0/c"),"קובץ תורה בציון")</f>
        <v>קובץ תורה בציון</v>
      </c>
      <c r="H3433" t="str">
        <f>_xlfn.CONCAT("https://tablet.otzar.org/",CHAR(35),"/book/649312/p/-1/t/1/fs/0/start/0/end/0/c")</f>
        <v>https://tablet.otzar.org/#/book/649312/p/-1/t/1/fs/0/start/0/end/0/c</v>
      </c>
    </row>
    <row r="3434" spans="1:8" x14ac:dyDescent="0.25">
      <c r="A3434">
        <v>654033</v>
      </c>
      <c r="B3434" t="s">
        <v>1643</v>
      </c>
      <c r="C3434" t="s">
        <v>6712</v>
      </c>
      <c r="D3434" t="s">
        <v>4586</v>
      </c>
      <c r="E3434" t="s">
        <v>11</v>
      </c>
      <c r="G3434" t="str">
        <f>HYPERLINK(_xlfn.CONCAT("https://tablet.otzar.org/",CHAR(35),"/book/654033/p/-1/t/1/fs/0/start/0/end/0/c"),"קובץ תורני")</f>
        <v>קובץ תורני</v>
      </c>
      <c r="H3434" t="str">
        <f>_xlfn.CONCAT("https://tablet.otzar.org/",CHAR(35),"/book/654033/p/-1/t/1/fs/0/start/0/end/0/c")</f>
        <v>https://tablet.otzar.org/#/book/654033/p/-1/t/1/fs/0/start/0/end/0/c</v>
      </c>
    </row>
    <row r="3435" spans="1:8" x14ac:dyDescent="0.25">
      <c r="A3435">
        <v>647643</v>
      </c>
      <c r="B3435" t="s">
        <v>6713</v>
      </c>
      <c r="C3435" t="s">
        <v>6714</v>
      </c>
      <c r="D3435" t="s">
        <v>52</v>
      </c>
      <c r="E3435" t="s">
        <v>507</v>
      </c>
      <c r="G3435" t="str">
        <f>HYPERLINK(_xlfn.CONCAT("https://tablet.otzar.org/",CHAR(35),"/exKotar/647643"),"קובץ תורני - 2 כרכים")</f>
        <v>קובץ תורני - 2 כרכים</v>
      </c>
      <c r="H3435" t="str">
        <f>_xlfn.CONCAT("https://tablet.otzar.org/",CHAR(35),"/exKotar/647643")</f>
        <v>https://tablet.otzar.org/#/exKotar/647643</v>
      </c>
    </row>
    <row r="3436" spans="1:8" x14ac:dyDescent="0.25">
      <c r="A3436">
        <v>650615</v>
      </c>
      <c r="B3436" t="s">
        <v>6715</v>
      </c>
      <c r="C3436" t="s">
        <v>6716</v>
      </c>
      <c r="D3436" t="s">
        <v>340</v>
      </c>
      <c r="E3436" t="s">
        <v>704</v>
      </c>
      <c r="G3436" t="str">
        <f>HYPERLINK(_xlfn.CONCAT("https://tablet.otzar.org/",CHAR(35),"/book/650615/p/-1/t/1/fs/0/start/0/end/0/c"),"קובץ תורני אור גאון - שבת")</f>
        <v>קובץ תורני אור גאון - שבת</v>
      </c>
      <c r="H3436" t="str">
        <f>_xlfn.CONCAT("https://tablet.otzar.org/",CHAR(35),"/book/650615/p/-1/t/1/fs/0/start/0/end/0/c")</f>
        <v>https://tablet.otzar.org/#/book/650615/p/-1/t/1/fs/0/start/0/end/0/c</v>
      </c>
    </row>
    <row r="3437" spans="1:8" x14ac:dyDescent="0.25">
      <c r="A3437">
        <v>649908</v>
      </c>
      <c r="B3437" t="s">
        <v>6717</v>
      </c>
      <c r="C3437" t="s">
        <v>6718</v>
      </c>
      <c r="D3437" t="s">
        <v>52</v>
      </c>
      <c r="E3437" t="s">
        <v>117</v>
      </c>
      <c r="G3437" t="str">
        <f>HYPERLINK(_xlfn.CONCAT("https://tablet.otzar.org/",CHAR(35),"/book/649908/p/-1/t/1/fs/0/start/0/end/0/c"),"קובץ תורני בית ישראל")</f>
        <v>קובץ תורני בית ישראל</v>
      </c>
      <c r="H3437" t="str">
        <f>_xlfn.CONCAT("https://tablet.otzar.org/",CHAR(35),"/book/649908/p/-1/t/1/fs/0/start/0/end/0/c")</f>
        <v>https://tablet.otzar.org/#/book/649908/p/-1/t/1/fs/0/start/0/end/0/c</v>
      </c>
    </row>
    <row r="3438" spans="1:8" x14ac:dyDescent="0.25">
      <c r="A3438">
        <v>650565</v>
      </c>
      <c r="B3438" t="s">
        <v>6719</v>
      </c>
      <c r="C3438" t="s">
        <v>6720</v>
      </c>
      <c r="D3438" t="s">
        <v>10</v>
      </c>
      <c r="E3438" t="s">
        <v>11</v>
      </c>
      <c r="G3438" t="str">
        <f>HYPERLINK(_xlfn.CONCAT("https://tablet.otzar.org/",CHAR(35),"/book/650565/p/-1/t/1/fs/0/start/0/end/0/c"),"קובץ תורני ההיכל - א")</f>
        <v>קובץ תורני ההיכל - א</v>
      </c>
      <c r="H3438" t="str">
        <f>_xlfn.CONCAT("https://tablet.otzar.org/",CHAR(35),"/book/650565/p/-1/t/1/fs/0/start/0/end/0/c")</f>
        <v>https://tablet.otzar.org/#/book/650565/p/-1/t/1/fs/0/start/0/end/0/c</v>
      </c>
    </row>
    <row r="3439" spans="1:8" x14ac:dyDescent="0.25">
      <c r="A3439">
        <v>655444</v>
      </c>
      <c r="B3439" t="s">
        <v>6721</v>
      </c>
      <c r="C3439" t="s">
        <v>6722</v>
      </c>
      <c r="D3439" t="s">
        <v>10</v>
      </c>
      <c r="E3439" t="s">
        <v>84</v>
      </c>
      <c r="G3439" t="str">
        <f>HYPERLINK(_xlfn.CONCAT("https://tablet.otzar.org/",CHAR(35),"/exKotar/655444"),"קובץ תורני יחוה דעת - 2 כרכים")</f>
        <v>קובץ תורני יחוה דעת - 2 כרכים</v>
      </c>
      <c r="H3439" t="str">
        <f>_xlfn.CONCAT("https://tablet.otzar.org/",CHAR(35),"/exKotar/655444")</f>
        <v>https://tablet.otzar.org/#/exKotar/655444</v>
      </c>
    </row>
    <row r="3440" spans="1:8" x14ac:dyDescent="0.25">
      <c r="A3440">
        <v>650135</v>
      </c>
      <c r="B3440" t="s">
        <v>6723</v>
      </c>
      <c r="C3440" t="s">
        <v>6724</v>
      </c>
      <c r="D3440" t="s">
        <v>510</v>
      </c>
      <c r="E3440" t="s">
        <v>184</v>
      </c>
      <c r="G3440" t="str">
        <f>HYPERLINK(_xlfn.CONCAT("https://tablet.otzar.org/",CHAR(35),"/book/650135/p/-1/t/1/fs/0/start/0/end/0/c"),"קובץ תורני מאורות צמח צדק")</f>
        <v>קובץ תורני מאורות צמח צדק</v>
      </c>
      <c r="H3440" t="str">
        <f>_xlfn.CONCAT("https://tablet.otzar.org/",CHAR(35),"/book/650135/p/-1/t/1/fs/0/start/0/end/0/c")</f>
        <v>https://tablet.otzar.org/#/book/650135/p/-1/t/1/fs/0/start/0/end/0/c</v>
      </c>
    </row>
    <row r="3441" spans="1:8" x14ac:dyDescent="0.25">
      <c r="A3441">
        <v>647596</v>
      </c>
      <c r="B3441" t="s">
        <v>6725</v>
      </c>
      <c r="C3441" t="s">
        <v>6726</v>
      </c>
      <c r="D3441" t="s">
        <v>52</v>
      </c>
      <c r="E3441" t="s">
        <v>2538</v>
      </c>
      <c r="G3441" t="str">
        <f>HYPERLINK(_xlfn.CONCAT("https://tablet.otzar.org/",CHAR(35),"/book/647596/p/-1/t/1/fs/0/start/0/end/0/c"),"קובץ תורני משה ואלעזר - 30")</f>
        <v>קובץ תורני משה ואלעזר - 30</v>
      </c>
      <c r="H3441" t="str">
        <f>_xlfn.CONCAT("https://tablet.otzar.org/",CHAR(35),"/book/647596/p/-1/t/1/fs/0/start/0/end/0/c")</f>
        <v>https://tablet.otzar.org/#/book/647596/p/-1/t/1/fs/0/start/0/end/0/c</v>
      </c>
    </row>
    <row r="3442" spans="1:8" x14ac:dyDescent="0.25">
      <c r="A3442">
        <v>649847</v>
      </c>
      <c r="B3442" t="s">
        <v>6727</v>
      </c>
      <c r="C3442" t="s">
        <v>6728</v>
      </c>
      <c r="D3442" t="s">
        <v>606</v>
      </c>
      <c r="E3442" t="s">
        <v>558</v>
      </c>
      <c r="G3442" t="str">
        <f>HYPERLINK(_xlfn.CONCAT("https://tablet.otzar.org/",CHAR(35),"/book/649847/p/-1/t/1/fs/0/start/0/end/0/c"),"קובץ תורת מרובה")</f>
        <v>קובץ תורת מרובה</v>
      </c>
      <c r="H3442" t="str">
        <f>_xlfn.CONCAT("https://tablet.otzar.org/",CHAR(35),"/book/649847/p/-1/t/1/fs/0/start/0/end/0/c")</f>
        <v>https://tablet.otzar.org/#/book/649847/p/-1/t/1/fs/0/start/0/end/0/c</v>
      </c>
    </row>
    <row r="3443" spans="1:8" x14ac:dyDescent="0.25">
      <c r="A3443">
        <v>653536</v>
      </c>
      <c r="B3443" t="s">
        <v>6729</v>
      </c>
      <c r="C3443" t="s">
        <v>6730</v>
      </c>
      <c r="D3443" t="s">
        <v>34</v>
      </c>
      <c r="E3443" t="s">
        <v>11</v>
      </c>
      <c r="G3443" t="str">
        <f>HYPERLINK(_xlfn.CONCAT("https://tablet.otzar.org/",CHAR(35),"/book/653536/p/-1/t/1/fs/0/start/0/end/0/c"),"קובץ תורת ציון - ד")</f>
        <v>קובץ תורת ציון - ד</v>
      </c>
      <c r="H3443" t="str">
        <f>_xlfn.CONCAT("https://tablet.otzar.org/",CHAR(35),"/book/653536/p/-1/t/1/fs/0/start/0/end/0/c")</f>
        <v>https://tablet.otzar.org/#/book/653536/p/-1/t/1/fs/0/start/0/end/0/c</v>
      </c>
    </row>
    <row r="3444" spans="1:8" x14ac:dyDescent="0.25">
      <c r="A3444">
        <v>650468</v>
      </c>
      <c r="B3444" t="s">
        <v>6731</v>
      </c>
      <c r="C3444" t="s">
        <v>6732</v>
      </c>
      <c r="D3444" t="s">
        <v>10</v>
      </c>
      <c r="E3444" t="s">
        <v>11</v>
      </c>
      <c r="G3444" t="str">
        <f>HYPERLINK(_xlfn.CONCAT("https://tablet.otzar.org/",CHAR(35),"/book/650468/p/-1/t/1/fs/0/start/0/end/0/c"),"קובץ תפארת אברהם - איסור והיתר")</f>
        <v>קובץ תפארת אברהם - איסור והיתר</v>
      </c>
      <c r="H3444" t="str">
        <f>_xlfn.CONCAT("https://tablet.otzar.org/",CHAR(35),"/book/650468/p/-1/t/1/fs/0/start/0/end/0/c")</f>
        <v>https://tablet.otzar.org/#/book/650468/p/-1/t/1/fs/0/start/0/end/0/c</v>
      </c>
    </row>
    <row r="3445" spans="1:8" x14ac:dyDescent="0.25">
      <c r="A3445">
        <v>650719</v>
      </c>
      <c r="B3445" t="s">
        <v>6733</v>
      </c>
      <c r="C3445" t="s">
        <v>6734</v>
      </c>
      <c r="D3445" t="s">
        <v>1178</v>
      </c>
      <c r="E3445" t="s">
        <v>11</v>
      </c>
      <c r="G3445" t="str">
        <f>HYPERLINK(_xlfn.CONCAT("https://tablet.otzar.org/",CHAR(35),"/book/650719/p/-1/t/1/fs/0/start/0/end/0/c"),"קובץ תפארת הו""""ד - א")</f>
        <v>קובץ תפארת הו""ד - א</v>
      </c>
      <c r="H3445" t="str">
        <f>_xlfn.CONCAT("https://tablet.otzar.org/",CHAR(35),"/book/650719/p/-1/t/1/fs/0/start/0/end/0/c")</f>
        <v>https://tablet.otzar.org/#/book/650719/p/-1/t/1/fs/0/start/0/end/0/c</v>
      </c>
    </row>
    <row r="3446" spans="1:8" x14ac:dyDescent="0.25">
      <c r="A3446">
        <v>648176</v>
      </c>
      <c r="B3446" t="s">
        <v>6735</v>
      </c>
      <c r="C3446" t="s">
        <v>6736</v>
      </c>
      <c r="D3446" t="s">
        <v>88</v>
      </c>
      <c r="E3446" t="s">
        <v>70</v>
      </c>
      <c r="G3446" t="str">
        <f>HYPERLINK(_xlfn.CONCAT("https://tablet.otzar.org/",CHAR(35),"/book/648176/p/-1/t/1/fs/0/start/0/end/0/c"),"קובץ תפארת הלכה - שבת")</f>
        <v>קובץ תפארת הלכה - שבת</v>
      </c>
      <c r="H3446" t="str">
        <f>_xlfn.CONCAT("https://tablet.otzar.org/",CHAR(35),"/book/648176/p/-1/t/1/fs/0/start/0/end/0/c")</f>
        <v>https://tablet.otzar.org/#/book/648176/p/-1/t/1/fs/0/start/0/end/0/c</v>
      </c>
    </row>
    <row r="3447" spans="1:8" x14ac:dyDescent="0.25">
      <c r="A3447">
        <v>652835</v>
      </c>
      <c r="B3447" t="s">
        <v>6737</v>
      </c>
      <c r="C3447" t="s">
        <v>6738</v>
      </c>
      <c r="D3447" t="s">
        <v>10</v>
      </c>
      <c r="E3447" t="s">
        <v>70</v>
      </c>
      <c r="G3447" t="str">
        <f>HYPERLINK(_xlfn.CONCAT("https://tablet.otzar.org/",CHAR(35),"/book/652835/p/-1/t/1/fs/0/start/0/end/0/c"),"קובץ תפארת צבי - שבועות")</f>
        <v>קובץ תפארת צבי - שבועות</v>
      </c>
      <c r="H3447" t="str">
        <f>_xlfn.CONCAT("https://tablet.otzar.org/",CHAR(35),"/book/652835/p/-1/t/1/fs/0/start/0/end/0/c")</f>
        <v>https://tablet.otzar.org/#/book/652835/p/-1/t/1/fs/0/start/0/end/0/c</v>
      </c>
    </row>
    <row r="3448" spans="1:8" x14ac:dyDescent="0.25">
      <c r="A3448">
        <v>648113</v>
      </c>
      <c r="B3448" t="s">
        <v>6739</v>
      </c>
      <c r="C3448" t="s">
        <v>6740</v>
      </c>
      <c r="E3448" t="s">
        <v>224</v>
      </c>
      <c r="G3448" t="str">
        <f>HYPERLINK(_xlfn.CONCAT("https://tablet.otzar.org/",CHAR(35),"/exKotar/648113"),"קובץ תפארת שבתפארת - 2 כרכים")</f>
        <v>קובץ תפארת שבתפארת - 2 כרכים</v>
      </c>
      <c r="H3448" t="str">
        <f>_xlfn.CONCAT("https://tablet.otzar.org/",CHAR(35),"/exKotar/648113")</f>
        <v>https://tablet.otzar.org/#/exKotar/648113</v>
      </c>
    </row>
    <row r="3449" spans="1:8" x14ac:dyDescent="0.25">
      <c r="A3449">
        <v>649345</v>
      </c>
      <c r="B3449" t="s">
        <v>6741</v>
      </c>
      <c r="C3449" t="s">
        <v>6742</v>
      </c>
      <c r="D3449" t="s">
        <v>5047</v>
      </c>
      <c r="E3449" t="s">
        <v>337</v>
      </c>
      <c r="G3449" t="str">
        <f>HYPERLINK(_xlfn.CONCAT("https://tablet.otzar.org/",CHAR(35),"/book/649345/p/-1/t/1/fs/0/start/0/end/0/c"),"קודש וחול בחיינו")</f>
        <v>קודש וחול בחיינו</v>
      </c>
      <c r="H3449" t="str">
        <f>_xlfn.CONCAT("https://tablet.otzar.org/",CHAR(35),"/book/649345/p/-1/t/1/fs/0/start/0/end/0/c")</f>
        <v>https://tablet.otzar.org/#/book/649345/p/-1/t/1/fs/0/start/0/end/0/c</v>
      </c>
    </row>
    <row r="3450" spans="1:8" x14ac:dyDescent="0.25">
      <c r="A3450">
        <v>650437</v>
      </c>
      <c r="B3450" t="s">
        <v>6743</v>
      </c>
      <c r="C3450" t="s">
        <v>6744</v>
      </c>
      <c r="D3450" t="s">
        <v>6745</v>
      </c>
      <c r="E3450" t="s">
        <v>6497</v>
      </c>
      <c r="G3450" t="str">
        <f>HYPERLINK(_xlfn.CONCAT("https://tablet.otzar.org/",CHAR(35),"/book/650437/p/-1/t/1/fs/0/start/0/end/0/c"),"קול אבירי הרועים")</f>
        <v>קול אבירי הרועים</v>
      </c>
      <c r="H3450" t="str">
        <f>_xlfn.CONCAT("https://tablet.otzar.org/",CHAR(35),"/book/650437/p/-1/t/1/fs/0/start/0/end/0/c")</f>
        <v>https://tablet.otzar.org/#/book/650437/p/-1/t/1/fs/0/start/0/end/0/c</v>
      </c>
    </row>
    <row r="3451" spans="1:8" x14ac:dyDescent="0.25">
      <c r="A3451">
        <v>654014</v>
      </c>
      <c r="B3451" t="s">
        <v>6746</v>
      </c>
      <c r="C3451" t="s">
        <v>6747</v>
      </c>
      <c r="D3451" t="s">
        <v>6748</v>
      </c>
      <c r="E3451" t="s">
        <v>11</v>
      </c>
      <c r="G3451" t="str">
        <f>HYPERLINK(_xlfn.CONCAT("https://tablet.otzar.org/",CHAR(35),"/book/654014/p/-1/t/1/fs/0/start/0/end/0/c"),"קול אומרים הודו")</f>
        <v>קול אומרים הודו</v>
      </c>
      <c r="H3451" t="str">
        <f>_xlfn.CONCAT("https://tablet.otzar.org/",CHAR(35),"/book/654014/p/-1/t/1/fs/0/start/0/end/0/c")</f>
        <v>https://tablet.otzar.org/#/book/654014/p/-1/t/1/fs/0/start/0/end/0/c</v>
      </c>
    </row>
    <row r="3452" spans="1:8" x14ac:dyDescent="0.25">
      <c r="A3452">
        <v>654975</v>
      </c>
      <c r="B3452" t="s">
        <v>6749</v>
      </c>
      <c r="C3452" t="s">
        <v>6750</v>
      </c>
      <c r="E3452" t="s">
        <v>2536</v>
      </c>
      <c r="G3452" t="str">
        <f>HYPERLINK(_xlfn.CONCAT("https://tablet.otzar.org/",CHAR(35),"/exKotar/654975"),"קול אריה &lt;מכון ממלכת כהנים&gt; - 3 כרכים")</f>
        <v>קול אריה &lt;מכון ממלכת כהנים&gt; - 3 כרכים</v>
      </c>
      <c r="H3452" t="str">
        <f>_xlfn.CONCAT("https://tablet.otzar.org/",CHAR(35),"/exKotar/654975")</f>
        <v>https://tablet.otzar.org/#/exKotar/654975</v>
      </c>
    </row>
    <row r="3453" spans="1:8" x14ac:dyDescent="0.25">
      <c r="A3453">
        <v>647576</v>
      </c>
      <c r="B3453" t="s">
        <v>6751</v>
      </c>
      <c r="C3453" t="s">
        <v>6752</v>
      </c>
      <c r="D3453" t="s">
        <v>6753</v>
      </c>
      <c r="E3453" t="s">
        <v>73</v>
      </c>
      <c r="G3453" t="str">
        <f>HYPERLINK(_xlfn.CONCAT("https://tablet.otzar.org/",CHAR(35),"/book/647576/p/-1/t/1/fs/0/start/0/end/0/c"),"קול ברמה - 10")</f>
        <v>קול ברמה - 10</v>
      </c>
      <c r="H3453" t="str">
        <f>_xlfn.CONCAT("https://tablet.otzar.org/",CHAR(35),"/book/647576/p/-1/t/1/fs/0/start/0/end/0/c")</f>
        <v>https://tablet.otzar.org/#/book/647576/p/-1/t/1/fs/0/start/0/end/0/c</v>
      </c>
    </row>
    <row r="3454" spans="1:8" x14ac:dyDescent="0.25">
      <c r="A3454">
        <v>652621</v>
      </c>
      <c r="B3454" t="s">
        <v>6754</v>
      </c>
      <c r="C3454" t="s">
        <v>6755</v>
      </c>
      <c r="D3454" t="s">
        <v>287</v>
      </c>
      <c r="E3454" t="s">
        <v>11</v>
      </c>
      <c r="G3454" t="str">
        <f>HYPERLINK(_xlfn.CONCAT("https://tablet.otzar.org/",CHAR(35),"/exKotar/652621"),"קול דודי - 3 כרכים")</f>
        <v>קול דודי - 3 כרכים</v>
      </c>
      <c r="H3454" t="str">
        <f>_xlfn.CONCAT("https://tablet.otzar.org/",CHAR(35),"/exKotar/652621")</f>
        <v>https://tablet.otzar.org/#/exKotar/652621</v>
      </c>
    </row>
    <row r="3455" spans="1:8" x14ac:dyDescent="0.25">
      <c r="A3455">
        <v>649255</v>
      </c>
      <c r="B3455" t="s">
        <v>6756</v>
      </c>
      <c r="C3455" t="s">
        <v>6757</v>
      </c>
      <c r="D3455" t="s">
        <v>39</v>
      </c>
      <c r="E3455" t="s">
        <v>6758</v>
      </c>
      <c r="G3455" t="str">
        <f>HYPERLINK(_xlfn.CONCAT("https://tablet.otzar.org/",CHAR(35),"/book/649255/p/-1/t/1/fs/0/start/0/end/0/c"),"קול המבשר")</f>
        <v>קול המבשר</v>
      </c>
      <c r="H3455" t="str">
        <f>_xlfn.CONCAT("https://tablet.otzar.org/",CHAR(35),"/book/649255/p/-1/t/1/fs/0/start/0/end/0/c")</f>
        <v>https://tablet.otzar.org/#/book/649255/p/-1/t/1/fs/0/start/0/end/0/c</v>
      </c>
    </row>
    <row r="3456" spans="1:8" x14ac:dyDescent="0.25">
      <c r="A3456">
        <v>649997</v>
      </c>
      <c r="B3456" t="s">
        <v>6759</v>
      </c>
      <c r="C3456" t="s">
        <v>209</v>
      </c>
      <c r="D3456" t="s">
        <v>52</v>
      </c>
      <c r="E3456" t="s">
        <v>35</v>
      </c>
      <c r="G3456" t="str">
        <f>HYPERLINK(_xlfn.CONCAT("https://tablet.otzar.org/",CHAR(35),"/book/649997/p/-1/t/1/fs/0/start/0/end/0/c"),"קול התור")</f>
        <v>קול התור</v>
      </c>
      <c r="H3456" t="str">
        <f>_xlfn.CONCAT("https://tablet.otzar.org/",CHAR(35),"/book/649997/p/-1/t/1/fs/0/start/0/end/0/c")</f>
        <v>https://tablet.otzar.org/#/book/649997/p/-1/t/1/fs/0/start/0/end/0/c</v>
      </c>
    </row>
    <row r="3457" spans="1:8" x14ac:dyDescent="0.25">
      <c r="A3457">
        <v>647390</v>
      </c>
      <c r="B3457" t="s">
        <v>6760</v>
      </c>
      <c r="C3457" t="s">
        <v>6761</v>
      </c>
      <c r="D3457" t="s">
        <v>10</v>
      </c>
      <c r="E3457" t="s">
        <v>780</v>
      </c>
      <c r="G3457" t="str">
        <f>HYPERLINK(_xlfn.CONCAT("https://tablet.otzar.org/",CHAR(35),"/book/647390/p/-1/t/1/fs/0/start/0/end/0/c"),"קול התורה - חנוכה")</f>
        <v>קול התורה - חנוכה</v>
      </c>
      <c r="H3457" t="str">
        <f>_xlfn.CONCAT("https://tablet.otzar.org/",CHAR(35),"/book/647390/p/-1/t/1/fs/0/start/0/end/0/c")</f>
        <v>https://tablet.otzar.org/#/book/647390/p/-1/t/1/fs/0/start/0/end/0/c</v>
      </c>
    </row>
    <row r="3458" spans="1:8" x14ac:dyDescent="0.25">
      <c r="A3458">
        <v>650746</v>
      </c>
      <c r="B3458" t="s">
        <v>6762</v>
      </c>
      <c r="C3458" t="s">
        <v>382</v>
      </c>
      <c r="D3458" t="s">
        <v>287</v>
      </c>
      <c r="E3458" t="s">
        <v>11</v>
      </c>
      <c r="G3458" t="str">
        <f>HYPERLINK(_xlfn.CONCAT("https://tablet.otzar.org/",CHAR(35),"/exKotar/650746"),"קול התורה - 2 כרכים")</f>
        <v>קול התורה - 2 כרכים</v>
      </c>
      <c r="H3458" t="str">
        <f>_xlfn.CONCAT("https://tablet.otzar.org/",CHAR(35),"/exKotar/650746")</f>
        <v>https://tablet.otzar.org/#/exKotar/650746</v>
      </c>
    </row>
    <row r="3459" spans="1:8" x14ac:dyDescent="0.25">
      <c r="A3459">
        <v>653511</v>
      </c>
      <c r="B3459" t="s">
        <v>6763</v>
      </c>
      <c r="C3459" t="s">
        <v>1494</v>
      </c>
      <c r="E3459" t="s">
        <v>507</v>
      </c>
      <c r="G3459" t="str">
        <f>HYPERLINK(_xlfn.CONCAT("https://tablet.otzar.org/",CHAR(35),"/book/653511/p/-1/t/1/fs/0/start/0/end/0/c"),"קול חתן")</f>
        <v>קול חתן</v>
      </c>
      <c r="H3459" t="str">
        <f>_xlfn.CONCAT("https://tablet.otzar.org/",CHAR(35),"/book/653511/p/-1/t/1/fs/0/start/0/end/0/c")</f>
        <v>https://tablet.otzar.org/#/book/653511/p/-1/t/1/fs/0/start/0/end/0/c</v>
      </c>
    </row>
    <row r="3460" spans="1:8" x14ac:dyDescent="0.25">
      <c r="A3460">
        <v>647429</v>
      </c>
      <c r="B3460" t="s">
        <v>6764</v>
      </c>
      <c r="C3460" t="s">
        <v>6765</v>
      </c>
      <c r="D3460" t="s">
        <v>3613</v>
      </c>
      <c r="E3460" t="s">
        <v>1273</v>
      </c>
      <c r="G3460" t="str">
        <f>HYPERLINK(_xlfn.CONCAT("https://tablet.otzar.org/",CHAR(35),"/book/647429/p/-1/t/1/fs/0/start/0/end/0/c"),"קול יאודה")</f>
        <v>קול יאודה</v>
      </c>
      <c r="H3460" t="str">
        <f>_xlfn.CONCAT("https://tablet.otzar.org/",CHAR(35),"/book/647429/p/-1/t/1/fs/0/start/0/end/0/c")</f>
        <v>https://tablet.otzar.org/#/book/647429/p/-1/t/1/fs/0/start/0/end/0/c</v>
      </c>
    </row>
    <row r="3461" spans="1:8" x14ac:dyDescent="0.25">
      <c r="A3461">
        <v>648550</v>
      </c>
      <c r="B3461" t="s">
        <v>6766</v>
      </c>
      <c r="C3461" t="s">
        <v>6767</v>
      </c>
      <c r="D3461" t="s">
        <v>10</v>
      </c>
      <c r="E3461" t="s">
        <v>704</v>
      </c>
      <c r="G3461" t="str">
        <f>HYPERLINK(_xlfn.CONCAT("https://tablet.otzar.org/",CHAR(35),"/book/648550/p/-1/t/1/fs/0/start/0/end/0/c"),"קול יהודא &lt;מהדורה חדשה&gt;")</f>
        <v>קול יהודא &lt;מהדורה חדשה&gt;</v>
      </c>
      <c r="H3461" t="str">
        <f>_xlfn.CONCAT("https://tablet.otzar.org/",CHAR(35),"/book/648550/p/-1/t/1/fs/0/start/0/end/0/c")</f>
        <v>https://tablet.otzar.org/#/book/648550/p/-1/t/1/fs/0/start/0/end/0/c</v>
      </c>
    </row>
    <row r="3462" spans="1:8" x14ac:dyDescent="0.25">
      <c r="A3462">
        <v>647509</v>
      </c>
      <c r="B3462" t="s">
        <v>6768</v>
      </c>
      <c r="C3462" t="s">
        <v>382</v>
      </c>
      <c r="E3462" t="s">
        <v>643</v>
      </c>
      <c r="G3462" t="str">
        <f>HYPERLINK(_xlfn.CONCAT("https://tablet.otzar.org/",CHAR(35),"/book/647509/p/-1/t/1/fs/0/start/0/end/0/c"),"קול ירושלים - שנה ה חוברת ה")</f>
        <v>קול ירושלים - שנה ה חוברת ה</v>
      </c>
      <c r="H3462" t="str">
        <f>_xlfn.CONCAT("https://tablet.otzar.org/",CHAR(35),"/book/647509/p/-1/t/1/fs/0/start/0/end/0/c")</f>
        <v>https://tablet.otzar.org/#/book/647509/p/-1/t/1/fs/0/start/0/end/0/c</v>
      </c>
    </row>
    <row r="3463" spans="1:8" x14ac:dyDescent="0.25">
      <c r="A3463">
        <v>650442</v>
      </c>
      <c r="B3463" t="s">
        <v>6769</v>
      </c>
      <c r="C3463" t="s">
        <v>1699</v>
      </c>
      <c r="D3463" t="s">
        <v>6770</v>
      </c>
      <c r="E3463" t="s">
        <v>70</v>
      </c>
      <c r="G3463" t="str">
        <f>HYPERLINK(_xlfn.CONCAT("https://tablet.otzar.org/",CHAR(35),"/book/650442/p/-1/t/1/fs/0/start/0/end/0/c"),"קול מבשר")</f>
        <v>קול מבשר</v>
      </c>
      <c r="H3463" t="str">
        <f>_xlfn.CONCAT("https://tablet.otzar.org/",CHAR(35),"/book/650442/p/-1/t/1/fs/0/start/0/end/0/c")</f>
        <v>https://tablet.otzar.org/#/book/650442/p/-1/t/1/fs/0/start/0/end/0/c</v>
      </c>
    </row>
    <row r="3464" spans="1:8" x14ac:dyDescent="0.25">
      <c r="A3464">
        <v>650065</v>
      </c>
      <c r="B3464" t="s">
        <v>6771</v>
      </c>
      <c r="C3464" t="s">
        <v>3189</v>
      </c>
      <c r="D3464" t="s">
        <v>52</v>
      </c>
      <c r="E3464" t="s">
        <v>2368</v>
      </c>
      <c r="G3464" t="str">
        <f>HYPERLINK(_xlfn.CONCAT("https://tablet.otzar.org/",CHAR(35),"/book/650065/p/-1/t/1/fs/0/start/0/end/0/c"),"קול מנחם &lt;קאליב&gt; - ה")</f>
        <v>קול מנחם &lt;קאליב&gt; - ה</v>
      </c>
      <c r="H3464" t="str">
        <f>_xlfn.CONCAT("https://tablet.otzar.org/",CHAR(35),"/book/650065/p/-1/t/1/fs/0/start/0/end/0/c")</f>
        <v>https://tablet.otzar.org/#/book/650065/p/-1/t/1/fs/0/start/0/end/0/c</v>
      </c>
    </row>
    <row r="3465" spans="1:8" x14ac:dyDescent="0.25">
      <c r="A3465">
        <v>651904</v>
      </c>
      <c r="B3465" t="s">
        <v>6772</v>
      </c>
      <c r="C3465" t="s">
        <v>6773</v>
      </c>
      <c r="D3465" t="s">
        <v>6774</v>
      </c>
      <c r="E3465" t="s">
        <v>4629</v>
      </c>
      <c r="G3465" t="str">
        <f>HYPERLINK(_xlfn.CONCAT("https://tablet.otzar.org/",CHAR(35),"/book/651904/p/-1/t/1/fs/0/start/0/end/0/c"),"קול נהי &lt;ר' נחום טרעביטש&gt;")</f>
        <v>קול נהי &lt;ר' נחום טרעביטש&gt;</v>
      </c>
      <c r="H3465" t="str">
        <f>_xlfn.CONCAT("https://tablet.otzar.org/",CHAR(35),"/book/651904/p/-1/t/1/fs/0/start/0/end/0/c")</f>
        <v>https://tablet.otzar.org/#/book/651904/p/-1/t/1/fs/0/start/0/end/0/c</v>
      </c>
    </row>
    <row r="3466" spans="1:8" x14ac:dyDescent="0.25">
      <c r="A3466">
        <v>650227</v>
      </c>
      <c r="B3466" t="s">
        <v>6775</v>
      </c>
      <c r="C3466" t="s">
        <v>6776</v>
      </c>
      <c r="D3466" t="s">
        <v>10</v>
      </c>
      <c r="E3466" t="s">
        <v>6777</v>
      </c>
      <c r="G3466" t="str">
        <f>HYPERLINK(_xlfn.CONCAT("https://tablet.otzar.org/",CHAR(35),"/book/650227/p/-1/t/1/fs/0/start/0/end/0/c"),"קול סיני - 60-74")</f>
        <v>קול סיני - 60-74</v>
      </c>
      <c r="H3466" t="str">
        <f>_xlfn.CONCAT("https://tablet.otzar.org/",CHAR(35),"/book/650227/p/-1/t/1/fs/0/start/0/end/0/c")</f>
        <v>https://tablet.otzar.org/#/book/650227/p/-1/t/1/fs/0/start/0/end/0/c</v>
      </c>
    </row>
    <row r="3467" spans="1:8" x14ac:dyDescent="0.25">
      <c r="A3467">
        <v>653256</v>
      </c>
      <c r="B3467" t="s">
        <v>6778</v>
      </c>
      <c r="C3467" t="s">
        <v>6779</v>
      </c>
      <c r="D3467" t="s">
        <v>2519</v>
      </c>
      <c r="E3467" t="s">
        <v>5742</v>
      </c>
      <c r="G3467" t="str">
        <f>HYPERLINK(_xlfn.CONCAT("https://tablet.otzar.org/",CHAR(35),"/book/653256/p/-1/t/1/fs/0/start/0/end/0/c"),"קול עגב")</f>
        <v>קול עגב</v>
      </c>
      <c r="H3467" t="str">
        <f>_xlfn.CONCAT("https://tablet.otzar.org/",CHAR(35),"/book/653256/p/-1/t/1/fs/0/start/0/end/0/c")</f>
        <v>https://tablet.otzar.org/#/book/653256/p/-1/t/1/fs/0/start/0/end/0/c</v>
      </c>
    </row>
    <row r="3468" spans="1:8" x14ac:dyDescent="0.25">
      <c r="A3468">
        <v>650438</v>
      </c>
      <c r="B3468" t="s">
        <v>6780</v>
      </c>
      <c r="C3468" t="s">
        <v>6781</v>
      </c>
      <c r="D3468" t="s">
        <v>10</v>
      </c>
      <c r="E3468" t="s">
        <v>6782</v>
      </c>
      <c r="G3468" t="str">
        <f>HYPERLINK(_xlfn.CONCAT("https://tablet.otzar.org/",CHAR(35),"/book/650438/p/-1/t/1/fs/0/start/0/end/0/c"),"קול קורא")</f>
        <v>קול קורא</v>
      </c>
      <c r="H3468" t="str">
        <f>_xlfn.CONCAT("https://tablet.otzar.org/",CHAR(35),"/book/650438/p/-1/t/1/fs/0/start/0/end/0/c")</f>
        <v>https://tablet.otzar.org/#/book/650438/p/-1/t/1/fs/0/start/0/end/0/c</v>
      </c>
    </row>
    <row r="3469" spans="1:8" x14ac:dyDescent="0.25">
      <c r="A3469">
        <v>652792</v>
      </c>
      <c r="B3469" t="s">
        <v>6780</v>
      </c>
      <c r="C3469" t="s">
        <v>6783</v>
      </c>
      <c r="D3469" t="s">
        <v>4983</v>
      </c>
      <c r="E3469" t="s">
        <v>6784</v>
      </c>
      <c r="G3469" t="str">
        <f>HYPERLINK(_xlfn.CONCAT("https://tablet.otzar.org/",CHAR(35),"/book/652792/p/-1/t/1/fs/0/start/0/end/0/c"),"קול קורא")</f>
        <v>קול קורא</v>
      </c>
      <c r="H3469" t="str">
        <f>_xlfn.CONCAT("https://tablet.otzar.org/",CHAR(35),"/book/652792/p/-1/t/1/fs/0/start/0/end/0/c")</f>
        <v>https://tablet.otzar.org/#/book/652792/p/-1/t/1/fs/0/start/0/end/0/c</v>
      </c>
    </row>
    <row r="3470" spans="1:8" x14ac:dyDescent="0.25">
      <c r="A3470">
        <v>649934</v>
      </c>
      <c r="B3470" t="s">
        <v>6785</v>
      </c>
      <c r="C3470" t="s">
        <v>6786</v>
      </c>
      <c r="D3470" t="s">
        <v>10</v>
      </c>
      <c r="E3470" t="s">
        <v>3510</v>
      </c>
      <c r="G3470" t="str">
        <f>HYPERLINK(_xlfn.CONCAT("https://tablet.otzar.org/",CHAR(35),"/book/649934/p/-1/t/1/fs/0/start/0/end/0/c"),"קול קורא לאחינו בני ישראל יושבי ירושלים ת""""ו")</f>
        <v>קול קורא לאחינו בני ישראל יושבי ירושלים ת""ו</v>
      </c>
      <c r="H3470" t="str">
        <f>_xlfn.CONCAT("https://tablet.otzar.org/",CHAR(35),"/book/649934/p/-1/t/1/fs/0/start/0/end/0/c")</f>
        <v>https://tablet.otzar.org/#/book/649934/p/-1/t/1/fs/0/start/0/end/0/c</v>
      </c>
    </row>
    <row r="3471" spans="1:8" x14ac:dyDescent="0.25">
      <c r="A3471">
        <v>647897</v>
      </c>
      <c r="B3471" t="s">
        <v>6787</v>
      </c>
      <c r="C3471" t="s">
        <v>6788</v>
      </c>
      <c r="D3471" t="s">
        <v>10</v>
      </c>
      <c r="E3471" t="s">
        <v>261</v>
      </c>
      <c r="G3471" t="str">
        <f>HYPERLINK(_xlfn.CONCAT("https://tablet.otzar.org/",CHAR(35),"/book/647897/p/-1/t/1/fs/0/start/0/end/0/c"),"קול קורא לאחינו התימנים")</f>
        <v>קול קורא לאחינו התימנים</v>
      </c>
      <c r="H3471" t="str">
        <f>_xlfn.CONCAT("https://tablet.otzar.org/",CHAR(35),"/book/647897/p/-1/t/1/fs/0/start/0/end/0/c")</f>
        <v>https://tablet.otzar.org/#/book/647897/p/-1/t/1/fs/0/start/0/end/0/c</v>
      </c>
    </row>
    <row r="3472" spans="1:8" x14ac:dyDescent="0.25">
      <c r="A3472">
        <v>653976</v>
      </c>
      <c r="B3472" t="s">
        <v>6789</v>
      </c>
      <c r="C3472" t="s">
        <v>614</v>
      </c>
      <c r="D3472" t="s">
        <v>34</v>
      </c>
      <c r="E3472" t="s">
        <v>11</v>
      </c>
      <c r="G3472" t="str">
        <f>HYPERLINK(_xlfn.CONCAT("https://tablet.otzar.org/",CHAR(35),"/book/653976/p/-1/t/1/fs/0/start/0/end/0/c"),"קול רינה")</f>
        <v>קול רינה</v>
      </c>
      <c r="H3472" t="str">
        <f>_xlfn.CONCAT("https://tablet.otzar.org/",CHAR(35),"/book/653976/p/-1/t/1/fs/0/start/0/end/0/c")</f>
        <v>https://tablet.otzar.org/#/book/653976/p/-1/t/1/fs/0/start/0/end/0/c</v>
      </c>
    </row>
    <row r="3473" spans="1:8" x14ac:dyDescent="0.25">
      <c r="A3473">
        <v>654445</v>
      </c>
      <c r="B3473" t="s">
        <v>6790</v>
      </c>
      <c r="C3473" t="s">
        <v>1674</v>
      </c>
      <c r="D3473" t="s">
        <v>88</v>
      </c>
      <c r="E3473" t="s">
        <v>84</v>
      </c>
      <c r="G3473" t="str">
        <f>HYPERLINK(_xlfn.CONCAT("https://tablet.otzar.org/",CHAR(35),"/book/654445/p/-1/t/1/fs/0/start/0/end/0/c"),"קול רינה - פרק שירה")</f>
        <v>קול רינה - פרק שירה</v>
      </c>
      <c r="H3473" t="str">
        <f>_xlfn.CONCAT("https://tablet.otzar.org/",CHAR(35),"/book/654445/p/-1/t/1/fs/0/start/0/end/0/c")</f>
        <v>https://tablet.otzar.org/#/book/654445/p/-1/t/1/fs/0/start/0/end/0/c</v>
      </c>
    </row>
    <row r="3474" spans="1:8" x14ac:dyDescent="0.25">
      <c r="A3474">
        <v>653981</v>
      </c>
      <c r="B3474" t="s">
        <v>6791</v>
      </c>
      <c r="C3474" t="s">
        <v>6792</v>
      </c>
      <c r="E3474" t="s">
        <v>6082</v>
      </c>
      <c r="G3474" t="str">
        <f>HYPERLINK(_xlfn.CONCAT("https://tablet.otzar.org/",CHAR(35),"/exKotar/653981"),"קול תורה - 6 כרכים")</f>
        <v>קול תורה - 6 כרכים</v>
      </c>
      <c r="H3474" t="str">
        <f>_xlfn.CONCAT("https://tablet.otzar.org/",CHAR(35),"/exKotar/653981")</f>
        <v>https://tablet.otzar.org/#/exKotar/653981</v>
      </c>
    </row>
    <row r="3475" spans="1:8" x14ac:dyDescent="0.25">
      <c r="A3475">
        <v>653407</v>
      </c>
      <c r="B3475" t="s">
        <v>6793</v>
      </c>
      <c r="C3475" t="s">
        <v>5344</v>
      </c>
      <c r="D3475" t="s">
        <v>693</v>
      </c>
      <c r="E3475" t="s">
        <v>191</v>
      </c>
      <c r="G3475" t="str">
        <f>HYPERLINK(_xlfn.CONCAT("https://tablet.otzar.org/",CHAR(35),"/book/653407/p/-1/t/1/fs/0/start/0/end/0/c"),"קום כי זה היום")</f>
        <v>קום כי זה היום</v>
      </c>
      <c r="H3475" t="str">
        <f>_xlfn.CONCAT("https://tablet.otzar.org/",CHAR(35),"/book/653407/p/-1/t/1/fs/0/start/0/end/0/c")</f>
        <v>https://tablet.otzar.org/#/book/653407/p/-1/t/1/fs/0/start/0/end/0/c</v>
      </c>
    </row>
    <row r="3476" spans="1:8" x14ac:dyDescent="0.25">
      <c r="A3476">
        <v>656353</v>
      </c>
      <c r="B3476" t="s">
        <v>6794</v>
      </c>
      <c r="C3476" t="s">
        <v>1164</v>
      </c>
      <c r="D3476" t="s">
        <v>10</v>
      </c>
      <c r="E3476" t="s">
        <v>402</v>
      </c>
      <c r="G3476" t="str">
        <f>HYPERLINK(_xlfn.CONCAT("https://tablet.otzar.org/",CHAR(35),"/book/656353/p/-1/t/1/fs/0/start/0/end/0/c"),"קום לך אל נינוה - ספר יונה")</f>
        <v>קום לך אל נינוה - ספר יונה</v>
      </c>
      <c r="H3476" t="str">
        <f>_xlfn.CONCAT("https://tablet.otzar.org/",CHAR(35),"/book/656353/p/-1/t/1/fs/0/start/0/end/0/c")</f>
        <v>https://tablet.otzar.org/#/book/656353/p/-1/t/1/fs/0/start/0/end/0/c</v>
      </c>
    </row>
    <row r="3477" spans="1:8" x14ac:dyDescent="0.25">
      <c r="A3477">
        <v>649378</v>
      </c>
      <c r="B3477" t="s">
        <v>6795</v>
      </c>
      <c r="C3477" t="s">
        <v>6796</v>
      </c>
      <c r="D3477" t="s">
        <v>10</v>
      </c>
      <c r="E3477" t="s">
        <v>352</v>
      </c>
      <c r="G3477" t="str">
        <f>HYPERLINK(_xlfn.CONCAT("https://tablet.otzar.org/",CHAR(35),"/book/649378/p/-1/t/1/fs/0/start/0/end/0/c"),"קומי אורי - ו")</f>
        <v>קומי אורי - ו</v>
      </c>
      <c r="H3477" t="str">
        <f>_xlfn.CONCAT("https://tablet.otzar.org/",CHAR(35),"/book/649378/p/-1/t/1/fs/0/start/0/end/0/c")</f>
        <v>https://tablet.otzar.org/#/book/649378/p/-1/t/1/fs/0/start/0/end/0/c</v>
      </c>
    </row>
    <row r="3478" spans="1:8" x14ac:dyDescent="0.25">
      <c r="A3478">
        <v>650537</v>
      </c>
      <c r="B3478" t="s">
        <v>6797</v>
      </c>
      <c r="C3478" t="s">
        <v>6798</v>
      </c>
      <c r="D3478" t="s">
        <v>5578</v>
      </c>
      <c r="E3478" t="s">
        <v>84</v>
      </c>
      <c r="G3478" t="str">
        <f>HYPERLINK(_xlfn.CONCAT("https://tablet.otzar.org/",CHAR(35),"/exKotar/650537"),"קונדריס - 2 כרכים")</f>
        <v>קונדריס - 2 כרכים</v>
      </c>
      <c r="H3478" t="str">
        <f>_xlfn.CONCAT("https://tablet.otzar.org/",CHAR(35),"/exKotar/650537")</f>
        <v>https://tablet.otzar.org/#/exKotar/650537</v>
      </c>
    </row>
    <row r="3479" spans="1:8" x14ac:dyDescent="0.25">
      <c r="A3479">
        <v>643122</v>
      </c>
      <c r="B3479" t="s">
        <v>6799</v>
      </c>
      <c r="C3479" t="s">
        <v>6800</v>
      </c>
      <c r="E3479" t="s">
        <v>704</v>
      </c>
      <c r="G3479" t="str">
        <f>HYPERLINK(_xlfn.CONCAT("https://tablet.otzar.org/",CHAR(35),"/exKotar/643122"),"קונטרס - 2 כרכים")</f>
        <v>קונטרס - 2 כרכים</v>
      </c>
      <c r="H3479" t="str">
        <f>_xlfn.CONCAT("https://tablet.otzar.org/",CHAR(35),"/exKotar/643122")</f>
        <v>https://tablet.otzar.org/#/exKotar/643122</v>
      </c>
    </row>
    <row r="3480" spans="1:8" x14ac:dyDescent="0.25">
      <c r="A3480">
        <v>647978</v>
      </c>
      <c r="B3480" t="s">
        <v>6801</v>
      </c>
      <c r="C3480" t="s">
        <v>6802</v>
      </c>
      <c r="D3480" t="s">
        <v>28</v>
      </c>
      <c r="E3480" t="s">
        <v>11</v>
      </c>
      <c r="G3480" t="str">
        <f>HYPERLINK(_xlfn.CONCAT("https://tablet.otzar.org/",CHAR(35),"/book/647978/p/-1/t/1/fs/0/start/0/end/0/c"),"קונטרס - כללי הברכות")</f>
        <v>קונטרס - כללי הברכות</v>
      </c>
      <c r="H3480" t="str">
        <f>_xlfn.CONCAT("https://tablet.otzar.org/",CHAR(35),"/book/647978/p/-1/t/1/fs/0/start/0/end/0/c")</f>
        <v>https://tablet.otzar.org/#/book/647978/p/-1/t/1/fs/0/start/0/end/0/c</v>
      </c>
    </row>
    <row r="3481" spans="1:8" x14ac:dyDescent="0.25">
      <c r="A3481">
        <v>653351</v>
      </c>
      <c r="B3481" t="s">
        <v>6803</v>
      </c>
      <c r="C3481" t="s">
        <v>6804</v>
      </c>
      <c r="E3481" t="s">
        <v>6805</v>
      </c>
      <c r="G3481" t="str">
        <f>HYPERLINK(_xlfn.CONCAT("https://tablet.otzar.org/",CHAR(35),"/book/653351/p/-1/t/1/fs/0/start/0/end/0/c"),"קונטרס א""""ש תמיד")</f>
        <v>קונטרס א""ש תמיד</v>
      </c>
      <c r="H3481" t="str">
        <f>_xlfn.CONCAT("https://tablet.otzar.org/",CHAR(35),"/book/653351/p/-1/t/1/fs/0/start/0/end/0/c")</f>
        <v>https://tablet.otzar.org/#/book/653351/p/-1/t/1/fs/0/start/0/end/0/c</v>
      </c>
    </row>
    <row r="3482" spans="1:8" x14ac:dyDescent="0.25">
      <c r="A3482">
        <v>655939</v>
      </c>
      <c r="B3482" t="s">
        <v>6806</v>
      </c>
      <c r="C3482" t="s">
        <v>614</v>
      </c>
      <c r="D3482" t="s">
        <v>34</v>
      </c>
      <c r="E3482" t="s">
        <v>11</v>
      </c>
      <c r="G3482" t="str">
        <f>HYPERLINK(_xlfn.CONCAT("https://tablet.otzar.org/",CHAR(35),"/book/655939/p/-1/t/1/fs/0/start/0/end/0/c"),"קונטרס אב האיתנים")</f>
        <v>קונטרס אב האיתנים</v>
      </c>
      <c r="H3482" t="str">
        <f>_xlfn.CONCAT("https://tablet.otzar.org/",CHAR(35),"/book/655939/p/-1/t/1/fs/0/start/0/end/0/c")</f>
        <v>https://tablet.otzar.org/#/book/655939/p/-1/t/1/fs/0/start/0/end/0/c</v>
      </c>
    </row>
    <row r="3483" spans="1:8" x14ac:dyDescent="0.25">
      <c r="A3483">
        <v>651566</v>
      </c>
      <c r="B3483" t="s">
        <v>6807</v>
      </c>
      <c r="C3483" t="s">
        <v>6808</v>
      </c>
      <c r="E3483" t="s">
        <v>558</v>
      </c>
      <c r="G3483" t="str">
        <f>HYPERLINK(_xlfn.CONCAT("https://tablet.otzar.org/",CHAR(35),"/book/651566/p/-1/t/1/fs/0/start/0/end/0/c"),"קונטרס אבות אבותיך")</f>
        <v>קונטרס אבות אבותיך</v>
      </c>
      <c r="H3483" t="str">
        <f>_xlfn.CONCAT("https://tablet.otzar.org/",CHAR(35),"/book/651566/p/-1/t/1/fs/0/start/0/end/0/c")</f>
        <v>https://tablet.otzar.org/#/book/651566/p/-1/t/1/fs/0/start/0/end/0/c</v>
      </c>
    </row>
    <row r="3484" spans="1:8" x14ac:dyDescent="0.25">
      <c r="A3484">
        <v>651413</v>
      </c>
      <c r="B3484" t="s">
        <v>6809</v>
      </c>
      <c r="C3484" t="s">
        <v>6810</v>
      </c>
      <c r="D3484" t="s">
        <v>10</v>
      </c>
      <c r="E3484" t="s">
        <v>558</v>
      </c>
      <c r="G3484" t="str">
        <f>HYPERLINK(_xlfn.CONCAT("https://tablet.otzar.org/",CHAR(35),"/book/651413/p/-1/t/1/fs/0/start/0/end/0/c"),"קונטרס אבן ישראל - דברי מוסר והתעוררות")</f>
        <v>קונטרס אבן ישראל - דברי מוסר והתעוררות</v>
      </c>
      <c r="H3484" t="str">
        <f>_xlfn.CONCAT("https://tablet.otzar.org/",CHAR(35),"/book/651413/p/-1/t/1/fs/0/start/0/end/0/c")</f>
        <v>https://tablet.otzar.org/#/book/651413/p/-1/t/1/fs/0/start/0/end/0/c</v>
      </c>
    </row>
    <row r="3485" spans="1:8" x14ac:dyDescent="0.25">
      <c r="A3485">
        <v>653423</v>
      </c>
      <c r="B3485" t="s">
        <v>6811</v>
      </c>
      <c r="C3485" t="s">
        <v>6812</v>
      </c>
      <c r="D3485" t="s">
        <v>10</v>
      </c>
      <c r="E3485" t="s">
        <v>213</v>
      </c>
      <c r="G3485" t="str">
        <f>HYPERLINK(_xlfn.CONCAT("https://tablet.otzar.org/",CHAR(35),"/book/653423/p/-1/t/1/fs/0/start/0/end/0/c"),"קונטרס אהל חיה")</f>
        <v>קונטרס אהל חיה</v>
      </c>
      <c r="H3485" t="str">
        <f>_xlfn.CONCAT("https://tablet.otzar.org/",CHAR(35),"/book/653423/p/-1/t/1/fs/0/start/0/end/0/c")</f>
        <v>https://tablet.otzar.org/#/book/653423/p/-1/t/1/fs/0/start/0/end/0/c</v>
      </c>
    </row>
    <row r="3486" spans="1:8" x14ac:dyDescent="0.25">
      <c r="A3486">
        <v>655953</v>
      </c>
      <c r="B3486" t="s">
        <v>6813</v>
      </c>
      <c r="C3486" t="s">
        <v>1105</v>
      </c>
      <c r="D3486" t="s">
        <v>52</v>
      </c>
      <c r="E3486" t="s">
        <v>84</v>
      </c>
      <c r="G3486" t="str">
        <f>HYPERLINK(_xlfn.CONCAT("https://tablet.otzar.org/",CHAR(35),"/book/655953/p/-1/t/1/fs/0/start/0/end/0/c"),"קונטרס אהל רחל")</f>
        <v>קונטרס אהל רחל</v>
      </c>
      <c r="H3486" t="str">
        <f>_xlfn.CONCAT("https://tablet.otzar.org/",CHAR(35),"/book/655953/p/-1/t/1/fs/0/start/0/end/0/c")</f>
        <v>https://tablet.otzar.org/#/book/655953/p/-1/t/1/fs/0/start/0/end/0/c</v>
      </c>
    </row>
    <row r="3487" spans="1:8" x14ac:dyDescent="0.25">
      <c r="A3487">
        <v>649927</v>
      </c>
      <c r="B3487" t="s">
        <v>6814</v>
      </c>
      <c r="C3487" t="s">
        <v>6815</v>
      </c>
      <c r="D3487" t="s">
        <v>858</v>
      </c>
      <c r="E3487" t="s">
        <v>35</v>
      </c>
      <c r="G3487" t="str">
        <f>HYPERLINK(_xlfn.CONCAT("https://tablet.otzar.org/",CHAR(35),"/exKotar/649927"),"קונטרס אור הפרשה - 2 כרכים")</f>
        <v>קונטרס אור הפרשה - 2 כרכים</v>
      </c>
      <c r="H3487" t="str">
        <f>_xlfn.CONCAT("https://tablet.otzar.org/",CHAR(35),"/exKotar/649927")</f>
        <v>https://tablet.otzar.org/#/exKotar/649927</v>
      </c>
    </row>
    <row r="3488" spans="1:8" x14ac:dyDescent="0.25">
      <c r="A3488">
        <v>647973</v>
      </c>
      <c r="B3488" t="s">
        <v>6816</v>
      </c>
      <c r="C3488" t="s">
        <v>243</v>
      </c>
      <c r="D3488" t="s">
        <v>34</v>
      </c>
      <c r="E3488" t="s">
        <v>70</v>
      </c>
      <c r="G3488" t="str">
        <f>HYPERLINK(_xlfn.CONCAT("https://tablet.otzar.org/",CHAR(35),"/book/647973/p/-1/t/1/fs/0/start/0/end/0/c"),"קונטרס אורח חיים - הלכות חנוכה")</f>
        <v>קונטרס אורח חיים - הלכות חנוכה</v>
      </c>
      <c r="H3488" t="str">
        <f>_xlfn.CONCAT("https://tablet.otzar.org/",CHAR(35),"/book/647973/p/-1/t/1/fs/0/start/0/end/0/c")</f>
        <v>https://tablet.otzar.org/#/book/647973/p/-1/t/1/fs/0/start/0/end/0/c</v>
      </c>
    </row>
    <row r="3489" spans="1:8" x14ac:dyDescent="0.25">
      <c r="A3489">
        <v>647839</v>
      </c>
      <c r="B3489" t="s">
        <v>6817</v>
      </c>
      <c r="C3489" t="s">
        <v>614</v>
      </c>
      <c r="D3489" t="s">
        <v>2111</v>
      </c>
      <c r="E3489" t="s">
        <v>35</v>
      </c>
      <c r="G3489" t="str">
        <f>HYPERLINK(_xlfn.CONCAT("https://tablet.otzar.org/",CHAR(35),"/book/647839/p/-1/t/1/fs/0/start/0/end/0/c"),"קונטרס אושרו של יהודי")</f>
        <v>קונטרס אושרו של יהודי</v>
      </c>
      <c r="H3489" t="str">
        <f>_xlfn.CONCAT("https://tablet.otzar.org/",CHAR(35),"/book/647839/p/-1/t/1/fs/0/start/0/end/0/c")</f>
        <v>https://tablet.otzar.org/#/book/647839/p/-1/t/1/fs/0/start/0/end/0/c</v>
      </c>
    </row>
    <row r="3490" spans="1:8" x14ac:dyDescent="0.25">
      <c r="A3490">
        <v>648240</v>
      </c>
      <c r="B3490" t="s">
        <v>6818</v>
      </c>
      <c r="C3490" t="s">
        <v>6681</v>
      </c>
      <c r="D3490" t="s">
        <v>10</v>
      </c>
      <c r="E3490" t="s">
        <v>213</v>
      </c>
      <c r="G3490" t="str">
        <f>HYPERLINK(_xlfn.CONCAT("https://tablet.otzar.org/",CHAR(35),"/book/648240/p/-1/t/1/fs/0/start/0/end/0/c"),"קונטרס איל נזיר")</f>
        <v>קונטרס איל נזיר</v>
      </c>
      <c r="H3490" t="str">
        <f>_xlfn.CONCAT("https://tablet.otzar.org/",CHAR(35),"/book/648240/p/-1/t/1/fs/0/start/0/end/0/c")</f>
        <v>https://tablet.otzar.org/#/book/648240/p/-1/t/1/fs/0/start/0/end/0/c</v>
      </c>
    </row>
    <row r="3491" spans="1:8" x14ac:dyDescent="0.25">
      <c r="A3491">
        <v>648481</v>
      </c>
      <c r="B3491" t="s">
        <v>6819</v>
      </c>
      <c r="C3491" t="s">
        <v>6820</v>
      </c>
      <c r="E3491" t="s">
        <v>1082</v>
      </c>
      <c r="G3491" t="str">
        <f>HYPERLINK(_xlfn.CONCAT("https://tablet.otzar.org/",CHAR(35),"/book/648481/p/-1/t/1/fs/0/start/0/end/0/c"),"קונטרס אילת אהבים")</f>
        <v>קונטרס אילת אהבים</v>
      </c>
      <c r="H3491" t="str">
        <f>_xlfn.CONCAT("https://tablet.otzar.org/",CHAR(35),"/book/648481/p/-1/t/1/fs/0/start/0/end/0/c")</f>
        <v>https://tablet.otzar.org/#/book/648481/p/-1/t/1/fs/0/start/0/end/0/c</v>
      </c>
    </row>
    <row r="3492" spans="1:8" x14ac:dyDescent="0.25">
      <c r="A3492">
        <v>655062</v>
      </c>
      <c r="B3492" t="s">
        <v>6821</v>
      </c>
      <c r="C3492" t="s">
        <v>6822</v>
      </c>
      <c r="D3492" t="s">
        <v>34</v>
      </c>
      <c r="E3492" t="s">
        <v>35</v>
      </c>
      <c r="G3492" t="str">
        <f>HYPERLINK(_xlfn.CONCAT("https://tablet.otzar.org/",CHAR(35),"/book/655062/p/-1/t/1/fs/0/start/0/end/0/c"),"קונטרס אין עוד מלבדו")</f>
        <v>קונטרס אין עוד מלבדו</v>
      </c>
      <c r="H3492" t="str">
        <f>_xlfn.CONCAT("https://tablet.otzar.org/",CHAR(35),"/book/655062/p/-1/t/1/fs/0/start/0/end/0/c")</f>
        <v>https://tablet.otzar.org/#/book/655062/p/-1/t/1/fs/0/start/0/end/0/c</v>
      </c>
    </row>
    <row r="3493" spans="1:8" x14ac:dyDescent="0.25">
      <c r="A3493">
        <v>651785</v>
      </c>
      <c r="B3493" t="s">
        <v>6823</v>
      </c>
      <c r="C3493" t="s">
        <v>614</v>
      </c>
      <c r="D3493" t="s">
        <v>10</v>
      </c>
      <c r="E3493" t="s">
        <v>35</v>
      </c>
      <c r="G3493" t="str">
        <f>HYPERLINK(_xlfn.CONCAT("https://tablet.otzar.org/",CHAR(35),"/book/651785/p/-1/t/1/fs/0/start/0/end/0/c"),"קונטרס אכילת עופות בזמנינו")</f>
        <v>קונטרס אכילת עופות בזמנינו</v>
      </c>
      <c r="H3493" t="str">
        <f>_xlfn.CONCAT("https://tablet.otzar.org/",CHAR(35),"/book/651785/p/-1/t/1/fs/0/start/0/end/0/c")</f>
        <v>https://tablet.otzar.org/#/book/651785/p/-1/t/1/fs/0/start/0/end/0/c</v>
      </c>
    </row>
    <row r="3494" spans="1:8" x14ac:dyDescent="0.25">
      <c r="A3494">
        <v>651765</v>
      </c>
      <c r="B3494" t="s">
        <v>6824</v>
      </c>
      <c r="C3494" t="s">
        <v>1030</v>
      </c>
      <c r="D3494" t="s">
        <v>948</v>
      </c>
      <c r="E3494" t="s">
        <v>205</v>
      </c>
      <c r="G3494" t="str">
        <f>HYPERLINK(_xlfn.CONCAT("https://tablet.otzar.org/",CHAR(35),"/book/651765/p/-1/t/1/fs/0/start/0/end/0/c"),"קונטרס אלהא דמאיר ענני")</f>
        <v>קונטרס אלהא דמאיר ענני</v>
      </c>
      <c r="H3494" t="str">
        <f>_xlfn.CONCAT("https://tablet.otzar.org/",CHAR(35),"/book/651765/p/-1/t/1/fs/0/start/0/end/0/c")</f>
        <v>https://tablet.otzar.org/#/book/651765/p/-1/t/1/fs/0/start/0/end/0/c</v>
      </c>
    </row>
    <row r="3495" spans="1:8" x14ac:dyDescent="0.25">
      <c r="A3495">
        <v>642859</v>
      </c>
      <c r="B3495" t="s">
        <v>6825</v>
      </c>
      <c r="C3495" t="s">
        <v>6826</v>
      </c>
      <c r="D3495" t="s">
        <v>52</v>
      </c>
      <c r="E3495" t="s">
        <v>117</v>
      </c>
      <c r="G3495" t="str">
        <f>HYPERLINK(_xlfn.CONCAT("https://tablet.otzar.org/",CHAR(35),"/exKotar/642859"),"קונטרס אלקי אבי בעזרי - 2 כרכים")</f>
        <v>קונטרס אלקי אבי בעזרי - 2 כרכים</v>
      </c>
      <c r="H3495" t="str">
        <f>_xlfn.CONCAT("https://tablet.otzar.org/",CHAR(35),"/exKotar/642859")</f>
        <v>https://tablet.otzar.org/#/exKotar/642859</v>
      </c>
    </row>
    <row r="3496" spans="1:8" x14ac:dyDescent="0.25">
      <c r="A3496">
        <v>651593</v>
      </c>
      <c r="B3496" t="s">
        <v>6827</v>
      </c>
      <c r="C3496" t="s">
        <v>6828</v>
      </c>
      <c r="D3496" t="s">
        <v>10</v>
      </c>
      <c r="E3496" t="s">
        <v>117</v>
      </c>
      <c r="G3496" t="str">
        <f>HYPERLINK(_xlfn.CONCAT("https://tablet.otzar.org/",CHAR(35),"/book/651593/p/-1/t/1/fs/0/start/0/end/0/c"),"קונטרס אמרי פי - בבא קמא")</f>
        <v>קונטרס אמרי פי - בבא קמא</v>
      </c>
      <c r="H3496" t="str">
        <f>_xlfn.CONCAT("https://tablet.otzar.org/",CHAR(35),"/book/651593/p/-1/t/1/fs/0/start/0/end/0/c")</f>
        <v>https://tablet.otzar.org/#/book/651593/p/-1/t/1/fs/0/start/0/end/0/c</v>
      </c>
    </row>
    <row r="3497" spans="1:8" x14ac:dyDescent="0.25">
      <c r="A3497">
        <v>655239</v>
      </c>
      <c r="B3497" t="s">
        <v>6829</v>
      </c>
      <c r="C3497" t="s">
        <v>911</v>
      </c>
      <c r="D3497" t="s">
        <v>10</v>
      </c>
      <c r="E3497" t="s">
        <v>2549</v>
      </c>
      <c r="G3497" t="str">
        <f>HYPERLINK(_xlfn.CONCAT("https://tablet.otzar.org/",CHAR(35),"/book/655239/p/-1/t/1/fs/0/start/0/end/0/c"),"קונטרס ארחות יושר")</f>
        <v>קונטרס ארחות יושר</v>
      </c>
      <c r="H3497" t="str">
        <f>_xlfn.CONCAT("https://tablet.otzar.org/",CHAR(35),"/book/655239/p/-1/t/1/fs/0/start/0/end/0/c")</f>
        <v>https://tablet.otzar.org/#/book/655239/p/-1/t/1/fs/0/start/0/end/0/c</v>
      </c>
    </row>
    <row r="3498" spans="1:8" x14ac:dyDescent="0.25">
      <c r="A3498">
        <v>650192</v>
      </c>
      <c r="B3498" t="s">
        <v>6830</v>
      </c>
      <c r="C3498" t="s">
        <v>6831</v>
      </c>
      <c r="D3498" t="s">
        <v>10</v>
      </c>
      <c r="E3498" t="s">
        <v>184</v>
      </c>
      <c r="G3498" t="str">
        <f>HYPERLINK(_xlfn.CONCAT("https://tablet.otzar.org/",CHAR(35),"/book/650192/p/-1/t/1/fs/0/start/0/end/0/c"),"קונטרס באר מרים - חנוכה")</f>
        <v>קונטרס באר מרים - חנוכה</v>
      </c>
      <c r="H3498" t="str">
        <f>_xlfn.CONCAT("https://tablet.otzar.org/",CHAR(35),"/book/650192/p/-1/t/1/fs/0/start/0/end/0/c")</f>
        <v>https://tablet.otzar.org/#/book/650192/p/-1/t/1/fs/0/start/0/end/0/c</v>
      </c>
    </row>
    <row r="3499" spans="1:8" x14ac:dyDescent="0.25">
      <c r="A3499">
        <v>648794</v>
      </c>
      <c r="B3499" t="s">
        <v>6832</v>
      </c>
      <c r="C3499" t="s">
        <v>2178</v>
      </c>
      <c r="D3499" t="s">
        <v>52</v>
      </c>
      <c r="E3499" t="s">
        <v>84</v>
      </c>
      <c r="G3499" t="str">
        <f>HYPERLINK(_xlfn.CONCAT("https://tablet.otzar.org/",CHAR(35),"/book/648794/p/-1/t/1/fs/0/start/0/end/0/c"),"קונטרס בדיני ביעור ווידוי מעשרות")</f>
        <v>קונטרס בדיני ביעור ווידוי מעשרות</v>
      </c>
      <c r="H3499" t="str">
        <f>_xlfn.CONCAT("https://tablet.otzar.org/",CHAR(35),"/book/648794/p/-1/t/1/fs/0/start/0/end/0/c")</f>
        <v>https://tablet.otzar.org/#/book/648794/p/-1/t/1/fs/0/start/0/end/0/c</v>
      </c>
    </row>
    <row r="3500" spans="1:8" x14ac:dyDescent="0.25">
      <c r="A3500">
        <v>654018</v>
      </c>
      <c r="B3500" t="s">
        <v>6833</v>
      </c>
      <c r="C3500" t="s">
        <v>1748</v>
      </c>
      <c r="D3500" t="s">
        <v>34</v>
      </c>
      <c r="E3500" t="s">
        <v>45</v>
      </c>
      <c r="G3500" t="str">
        <f>HYPERLINK(_xlfn.CONCAT("https://tablet.otzar.org/",CHAR(35),"/book/654018/p/-1/t/1/fs/0/start/0/end/0/c"),"קונטרס בואו שעריו בתודה")</f>
        <v>קונטרס בואו שעריו בתודה</v>
      </c>
      <c r="H3500" t="str">
        <f>_xlfn.CONCAT("https://tablet.otzar.org/",CHAR(35),"/book/654018/p/-1/t/1/fs/0/start/0/end/0/c")</f>
        <v>https://tablet.otzar.org/#/book/654018/p/-1/t/1/fs/0/start/0/end/0/c</v>
      </c>
    </row>
    <row r="3501" spans="1:8" x14ac:dyDescent="0.25">
      <c r="A3501">
        <v>647589</v>
      </c>
      <c r="B3501" t="s">
        <v>6834</v>
      </c>
      <c r="C3501" t="s">
        <v>6835</v>
      </c>
      <c r="D3501" t="s">
        <v>10</v>
      </c>
      <c r="E3501" t="s">
        <v>495</v>
      </c>
      <c r="G3501" t="str">
        <f>HYPERLINK(_xlfn.CONCAT("https://tablet.otzar.org/",CHAR(35),"/book/647589/p/-1/t/1/fs/0/start/0/end/0/c"),"קונטרס בי מדרשא - ג בבא מציעא")</f>
        <v>קונטרס בי מדרשא - ג בבא מציעא</v>
      </c>
      <c r="H3501" t="str">
        <f>_xlfn.CONCAT("https://tablet.otzar.org/",CHAR(35),"/book/647589/p/-1/t/1/fs/0/start/0/end/0/c")</f>
        <v>https://tablet.otzar.org/#/book/647589/p/-1/t/1/fs/0/start/0/end/0/c</v>
      </c>
    </row>
    <row r="3502" spans="1:8" x14ac:dyDescent="0.25">
      <c r="A3502">
        <v>656140</v>
      </c>
      <c r="B3502" t="s">
        <v>6836</v>
      </c>
      <c r="C3502" t="s">
        <v>882</v>
      </c>
      <c r="D3502" t="s">
        <v>340</v>
      </c>
      <c r="E3502" t="s">
        <v>35</v>
      </c>
      <c r="G3502" t="str">
        <f>HYPERLINK(_xlfn.CONCAT("https://tablet.otzar.org/",CHAR(35),"/exKotar/656140"),"קונטרס ביאורים ובירורים - 6 כרכים")</f>
        <v>קונטרס ביאורים ובירורים - 6 כרכים</v>
      </c>
      <c r="H3502" t="str">
        <f>_xlfn.CONCAT("https://tablet.otzar.org/",CHAR(35),"/exKotar/656140")</f>
        <v>https://tablet.otzar.org/#/exKotar/656140</v>
      </c>
    </row>
    <row r="3503" spans="1:8" x14ac:dyDescent="0.25">
      <c r="A3503">
        <v>656145</v>
      </c>
      <c r="B3503" t="s">
        <v>6837</v>
      </c>
      <c r="C3503" t="s">
        <v>882</v>
      </c>
      <c r="D3503" t="s">
        <v>340</v>
      </c>
      <c r="E3503" t="s">
        <v>84</v>
      </c>
      <c r="G3503" t="str">
        <f>HYPERLINK(_xlfn.CONCAT("https://tablet.otzar.org/",CHAR(35),"/exKotar/656145"),"קונטרס ביאורים ובירורים בהלכות שבת - 4 כרכים")</f>
        <v>קונטרס ביאורים ובירורים בהלכות שבת - 4 כרכים</v>
      </c>
      <c r="H3503" t="str">
        <f>_xlfn.CONCAT("https://tablet.otzar.org/",CHAR(35),"/exKotar/656145")</f>
        <v>https://tablet.otzar.org/#/exKotar/656145</v>
      </c>
    </row>
    <row r="3504" spans="1:8" x14ac:dyDescent="0.25">
      <c r="A3504">
        <v>656149</v>
      </c>
      <c r="B3504" t="s">
        <v>6838</v>
      </c>
      <c r="C3504" t="s">
        <v>882</v>
      </c>
      <c r="D3504" t="s">
        <v>340</v>
      </c>
      <c r="E3504" t="s">
        <v>11</v>
      </c>
      <c r="G3504" t="str">
        <f>HYPERLINK(_xlfn.CONCAT("https://tablet.otzar.org/",CHAR(35),"/exKotar/656149"),"קונטרס ביאורים ובירורים לספר דרך אמונה - 3 כרכים")</f>
        <v>קונטרס ביאורים ובירורים לספר דרך אמונה - 3 כרכים</v>
      </c>
      <c r="H3504" t="str">
        <f>_xlfn.CONCAT("https://tablet.otzar.org/",CHAR(35),"/exKotar/656149")</f>
        <v>https://tablet.otzar.org/#/exKotar/656149</v>
      </c>
    </row>
    <row r="3505" spans="1:8" x14ac:dyDescent="0.25">
      <c r="A3505">
        <v>654019</v>
      </c>
      <c r="B3505" t="s">
        <v>6839</v>
      </c>
      <c r="C3505" t="s">
        <v>1748</v>
      </c>
      <c r="D3505" t="s">
        <v>34</v>
      </c>
      <c r="E3505" t="s">
        <v>45</v>
      </c>
      <c r="G3505" t="str">
        <f>HYPERLINK(_xlfn.CONCAT("https://tablet.otzar.org/",CHAR(35),"/book/654019/p/-1/t/1/fs/0/start/0/end/0/c"),"קונטרס ביאת אליהו ומלך המשיח")</f>
        <v>קונטרס ביאת אליהו ומלך המשיח</v>
      </c>
      <c r="H3505" t="str">
        <f>_xlfn.CONCAT("https://tablet.otzar.org/",CHAR(35),"/book/654019/p/-1/t/1/fs/0/start/0/end/0/c")</f>
        <v>https://tablet.otzar.org/#/book/654019/p/-1/t/1/fs/0/start/0/end/0/c</v>
      </c>
    </row>
    <row r="3506" spans="1:8" x14ac:dyDescent="0.25">
      <c r="A3506">
        <v>656006</v>
      </c>
      <c r="B3506" t="s">
        <v>6840</v>
      </c>
      <c r="C3506" t="s">
        <v>6841</v>
      </c>
      <c r="D3506" t="s">
        <v>34</v>
      </c>
      <c r="E3506" t="s">
        <v>35</v>
      </c>
      <c r="G3506" t="str">
        <f>HYPERLINK(_xlfn.CONCAT("https://tablet.otzar.org/",CHAR(35),"/book/656006/p/-1/t/1/fs/0/start/0/end/0/c"),"קונטרס ביכורי קיץ")</f>
        <v>קונטרס ביכורי קיץ</v>
      </c>
      <c r="H3506" t="str">
        <f>_xlfn.CONCAT("https://tablet.otzar.org/",CHAR(35),"/book/656006/p/-1/t/1/fs/0/start/0/end/0/c")</f>
        <v>https://tablet.otzar.org/#/book/656006/p/-1/t/1/fs/0/start/0/end/0/c</v>
      </c>
    </row>
    <row r="3507" spans="1:8" x14ac:dyDescent="0.25">
      <c r="A3507">
        <v>656008</v>
      </c>
      <c r="B3507" t="s">
        <v>6842</v>
      </c>
      <c r="C3507" t="s">
        <v>6843</v>
      </c>
      <c r="D3507" t="s">
        <v>52</v>
      </c>
      <c r="E3507" t="s">
        <v>29</v>
      </c>
      <c r="G3507" t="str">
        <f>HYPERLINK(_xlfn.CONCAT("https://tablet.otzar.org/",CHAR(35),"/exKotar/656008"),"קונטרס בית אליהו - 3 כרכים")</f>
        <v>קונטרס בית אליהו - 3 כרכים</v>
      </c>
      <c r="H3507" t="str">
        <f>_xlfn.CONCAT("https://tablet.otzar.org/",CHAR(35),"/exKotar/656008")</f>
        <v>https://tablet.otzar.org/#/exKotar/656008</v>
      </c>
    </row>
    <row r="3508" spans="1:8" x14ac:dyDescent="0.25">
      <c r="A3508">
        <v>647378</v>
      </c>
      <c r="B3508" t="s">
        <v>6844</v>
      </c>
      <c r="C3508" t="s">
        <v>5249</v>
      </c>
      <c r="D3508" t="s">
        <v>10</v>
      </c>
      <c r="E3508" t="s">
        <v>2648</v>
      </c>
      <c r="G3508" t="str">
        <f>HYPERLINK(_xlfn.CONCAT("https://tablet.otzar.org/",CHAR(35),"/book/647378/p/-1/t/1/fs/0/start/0/end/0/c"),"קונטרס בית ברוך")</f>
        <v>קונטרס בית ברוך</v>
      </c>
      <c r="H3508" t="str">
        <f>_xlfn.CONCAT("https://tablet.otzar.org/",CHAR(35),"/book/647378/p/-1/t/1/fs/0/start/0/end/0/c")</f>
        <v>https://tablet.otzar.org/#/book/647378/p/-1/t/1/fs/0/start/0/end/0/c</v>
      </c>
    </row>
    <row r="3509" spans="1:8" x14ac:dyDescent="0.25">
      <c r="A3509">
        <v>654483</v>
      </c>
      <c r="B3509" t="s">
        <v>6845</v>
      </c>
      <c r="C3509" t="s">
        <v>4317</v>
      </c>
      <c r="D3509" t="s">
        <v>52</v>
      </c>
      <c r="E3509" t="s">
        <v>35</v>
      </c>
      <c r="G3509" t="str">
        <f>HYPERLINK(_xlfn.CONCAT("https://tablet.otzar.org/",CHAR(35),"/book/654483/p/-1/t/1/fs/0/start/0/end/0/c"),"קונטרס בכורי קיץ")</f>
        <v>קונטרס בכורי קיץ</v>
      </c>
      <c r="H3509" t="str">
        <f>_xlfn.CONCAT("https://tablet.otzar.org/",CHAR(35),"/book/654483/p/-1/t/1/fs/0/start/0/end/0/c")</f>
        <v>https://tablet.otzar.org/#/book/654483/p/-1/t/1/fs/0/start/0/end/0/c</v>
      </c>
    </row>
    <row r="3510" spans="1:8" x14ac:dyDescent="0.25">
      <c r="A3510">
        <v>651611</v>
      </c>
      <c r="B3510" t="s">
        <v>6846</v>
      </c>
      <c r="C3510" t="s">
        <v>6847</v>
      </c>
      <c r="D3510" t="s">
        <v>34</v>
      </c>
      <c r="E3510" t="s">
        <v>35</v>
      </c>
      <c r="G3510" t="str">
        <f>HYPERLINK(_xlfn.CONCAT("https://tablet.otzar.org/",CHAR(35),"/book/651611/p/-1/t/1/fs/0/start/0/end/0/c"),"קונטרס בכר זכר - ליקוטי מוהר""""ן א")</f>
        <v>קונטרס בכר זכר - ליקוטי מוהר""ן א</v>
      </c>
      <c r="H3510" t="str">
        <f>_xlfn.CONCAT("https://tablet.otzar.org/",CHAR(35),"/book/651611/p/-1/t/1/fs/0/start/0/end/0/c")</f>
        <v>https://tablet.otzar.org/#/book/651611/p/-1/t/1/fs/0/start/0/end/0/c</v>
      </c>
    </row>
    <row r="3511" spans="1:8" x14ac:dyDescent="0.25">
      <c r="A3511">
        <v>650738</v>
      </c>
      <c r="B3511" t="s">
        <v>6848</v>
      </c>
      <c r="C3511" t="s">
        <v>6849</v>
      </c>
      <c r="D3511" t="s">
        <v>52</v>
      </c>
      <c r="E3511" t="s">
        <v>11</v>
      </c>
      <c r="G3511" t="str">
        <f>HYPERLINK(_xlfn.CONCAT("https://tablet.otzar.org/",CHAR(35),"/book/650738/p/-1/t/1/fs/0/start/0/end/0/c"),"קונטרס במילי דנזיקין לרבינו עקיבא איגר")</f>
        <v>קונטרס במילי דנזיקין לרבינו עקיבא איגר</v>
      </c>
      <c r="H3511" t="str">
        <f>_xlfn.CONCAT("https://tablet.otzar.org/",CHAR(35),"/book/650738/p/-1/t/1/fs/0/start/0/end/0/c")</f>
        <v>https://tablet.otzar.org/#/book/650738/p/-1/t/1/fs/0/start/0/end/0/c</v>
      </c>
    </row>
    <row r="3512" spans="1:8" x14ac:dyDescent="0.25">
      <c r="A3512">
        <v>651402</v>
      </c>
      <c r="B3512" t="s">
        <v>6850</v>
      </c>
      <c r="C3512" t="s">
        <v>6851</v>
      </c>
      <c r="D3512" t="s">
        <v>34</v>
      </c>
      <c r="E3512" t="s">
        <v>70</v>
      </c>
      <c r="G3512" t="str">
        <f>HYPERLINK(_xlfn.CONCAT("https://tablet.otzar.org/",CHAR(35),"/book/651402/p/-1/t/1/fs/0/start/0/end/0/c"),"קונטרס בנין אריאל")</f>
        <v>קונטרס בנין אריאל</v>
      </c>
      <c r="H3512" t="str">
        <f>_xlfn.CONCAT("https://tablet.otzar.org/",CHAR(35),"/book/651402/p/-1/t/1/fs/0/start/0/end/0/c")</f>
        <v>https://tablet.otzar.org/#/book/651402/p/-1/t/1/fs/0/start/0/end/0/c</v>
      </c>
    </row>
    <row r="3513" spans="1:8" x14ac:dyDescent="0.25">
      <c r="A3513">
        <v>650919</v>
      </c>
      <c r="B3513" t="s">
        <v>6852</v>
      </c>
      <c r="C3513" t="s">
        <v>6853</v>
      </c>
      <c r="D3513" t="s">
        <v>10</v>
      </c>
      <c r="E3513" t="s">
        <v>213</v>
      </c>
      <c r="G3513" t="str">
        <f>HYPERLINK(_xlfn.CONCAT("https://tablet.otzar.org/",CHAR(35),"/book/650919/p/-1/t/1/fs/0/start/0/end/0/c"),"קונטרס בסוכות הושבתי")</f>
        <v>קונטרס בסוכות הושבתי</v>
      </c>
      <c r="H3513" t="str">
        <f>_xlfn.CONCAT("https://tablet.otzar.org/",CHAR(35),"/book/650919/p/-1/t/1/fs/0/start/0/end/0/c")</f>
        <v>https://tablet.otzar.org/#/book/650919/p/-1/t/1/fs/0/start/0/end/0/c</v>
      </c>
    </row>
    <row r="3514" spans="1:8" x14ac:dyDescent="0.25">
      <c r="A3514">
        <v>655894</v>
      </c>
      <c r="B3514" t="s">
        <v>6854</v>
      </c>
      <c r="C3514" t="s">
        <v>614</v>
      </c>
      <c r="D3514" t="s">
        <v>10</v>
      </c>
      <c r="E3514" t="s">
        <v>29</v>
      </c>
      <c r="G3514" t="str">
        <f>HYPERLINK(_xlfn.CONCAT("https://tablet.otzar.org/",CHAR(35),"/book/655894/p/-1/t/1/fs/0/start/0/end/0/c"),"קונטרס בענייני ריבית")</f>
        <v>קונטרס בענייני ריבית</v>
      </c>
      <c r="H3514" t="str">
        <f>_xlfn.CONCAT("https://tablet.otzar.org/",CHAR(35),"/book/655894/p/-1/t/1/fs/0/start/0/end/0/c")</f>
        <v>https://tablet.otzar.org/#/book/655894/p/-1/t/1/fs/0/start/0/end/0/c</v>
      </c>
    </row>
    <row r="3515" spans="1:8" x14ac:dyDescent="0.25">
      <c r="A3515">
        <v>648994</v>
      </c>
      <c r="B3515" t="s">
        <v>6855</v>
      </c>
      <c r="C3515" t="s">
        <v>6856</v>
      </c>
      <c r="D3515" t="s">
        <v>52</v>
      </c>
      <c r="E3515" t="s">
        <v>70</v>
      </c>
      <c r="G3515" t="str">
        <f>HYPERLINK(_xlfn.CONCAT("https://tablet.otzar.org/",CHAR(35),"/book/648994/p/-1/t/1/fs/0/start/0/end/0/c"),"קונטרס בענין עבירות שבין אדם לחבירו ותשובה עליהם")</f>
        <v>קונטרס בענין עבירות שבין אדם לחבירו ותשובה עליהם</v>
      </c>
      <c r="H3515" t="str">
        <f>_xlfn.CONCAT("https://tablet.otzar.org/",CHAR(35),"/book/648994/p/-1/t/1/fs/0/start/0/end/0/c")</f>
        <v>https://tablet.otzar.org/#/book/648994/p/-1/t/1/fs/0/start/0/end/0/c</v>
      </c>
    </row>
    <row r="3516" spans="1:8" x14ac:dyDescent="0.25">
      <c r="A3516">
        <v>650702</v>
      </c>
      <c r="B3516" t="s">
        <v>6857</v>
      </c>
      <c r="C3516" t="s">
        <v>6858</v>
      </c>
      <c r="D3516" t="s">
        <v>34</v>
      </c>
      <c r="E3516" t="s">
        <v>45</v>
      </c>
      <c r="G3516" t="str">
        <f>HYPERLINK(_xlfn.CONCAT("https://tablet.otzar.org/",CHAR(35),"/book/650702/p/-1/t/1/fs/0/start/0/end/0/c"),"קונטרס בעניני הפורים")</f>
        <v>קונטרס בעניני הפורים</v>
      </c>
      <c r="H3516" t="str">
        <f>_xlfn.CONCAT("https://tablet.otzar.org/",CHAR(35),"/book/650702/p/-1/t/1/fs/0/start/0/end/0/c")</f>
        <v>https://tablet.otzar.org/#/book/650702/p/-1/t/1/fs/0/start/0/end/0/c</v>
      </c>
    </row>
    <row r="3517" spans="1:8" x14ac:dyDescent="0.25">
      <c r="A3517">
        <v>651419</v>
      </c>
      <c r="B3517" t="s">
        <v>6859</v>
      </c>
      <c r="C3517" t="s">
        <v>6860</v>
      </c>
      <c r="D3517" t="s">
        <v>52</v>
      </c>
      <c r="E3517" t="s">
        <v>70</v>
      </c>
      <c r="G3517" t="str">
        <f>HYPERLINK(_xlfn.CONCAT("https://tablet.otzar.org/",CHAR(35),"/book/651419/p/-1/t/1/fs/0/start/0/end/0/c"),"קונטרס בעניני חנוכה")</f>
        <v>קונטרס בעניני חנוכה</v>
      </c>
      <c r="H3517" t="str">
        <f>_xlfn.CONCAT("https://tablet.otzar.org/",CHAR(35),"/book/651419/p/-1/t/1/fs/0/start/0/end/0/c")</f>
        <v>https://tablet.otzar.org/#/book/651419/p/-1/t/1/fs/0/start/0/end/0/c</v>
      </c>
    </row>
    <row r="3518" spans="1:8" x14ac:dyDescent="0.25">
      <c r="A3518">
        <v>652847</v>
      </c>
      <c r="B3518" t="s">
        <v>6859</v>
      </c>
      <c r="C3518" t="s">
        <v>614</v>
      </c>
      <c r="D3518" t="s">
        <v>10</v>
      </c>
      <c r="E3518" t="s">
        <v>574</v>
      </c>
      <c r="G3518" t="str">
        <f>HYPERLINK(_xlfn.CONCAT("https://tablet.otzar.org/",CHAR(35),"/book/652847/p/-1/t/1/fs/0/start/0/end/0/c"),"קונטרס בעניני חנוכה")</f>
        <v>קונטרס בעניני חנוכה</v>
      </c>
      <c r="H3518" t="str">
        <f>_xlfn.CONCAT("https://tablet.otzar.org/",CHAR(35),"/book/652847/p/-1/t/1/fs/0/start/0/end/0/c")</f>
        <v>https://tablet.otzar.org/#/book/652847/p/-1/t/1/fs/0/start/0/end/0/c</v>
      </c>
    </row>
    <row r="3519" spans="1:8" x14ac:dyDescent="0.25">
      <c r="A3519">
        <v>649722</v>
      </c>
      <c r="B3519" t="s">
        <v>6861</v>
      </c>
      <c r="C3519" t="s">
        <v>2712</v>
      </c>
      <c r="D3519" t="s">
        <v>1200</v>
      </c>
      <c r="E3519" t="s">
        <v>77</v>
      </c>
      <c r="G3519" t="str">
        <f>HYPERLINK(_xlfn.CONCAT("https://tablet.otzar.org/",CHAR(35),"/book/649722/p/-1/t/1/fs/0/start/0/end/0/c"),"קונטרס בעניני כבוד ועונג שבת")</f>
        <v>קונטרס בעניני כבוד ועונג שבת</v>
      </c>
      <c r="H3519" t="str">
        <f>_xlfn.CONCAT("https://tablet.otzar.org/",CHAR(35),"/book/649722/p/-1/t/1/fs/0/start/0/end/0/c")</f>
        <v>https://tablet.otzar.org/#/book/649722/p/-1/t/1/fs/0/start/0/end/0/c</v>
      </c>
    </row>
    <row r="3520" spans="1:8" x14ac:dyDescent="0.25">
      <c r="A3520">
        <v>635991</v>
      </c>
      <c r="B3520" t="s">
        <v>6862</v>
      </c>
      <c r="C3520" t="s">
        <v>6863</v>
      </c>
      <c r="D3520" t="s">
        <v>10</v>
      </c>
      <c r="E3520" t="s">
        <v>224</v>
      </c>
      <c r="G3520" t="str">
        <f>HYPERLINK(_xlfn.CONCAT("https://tablet.otzar.org/",CHAR(35),"/book/635991/p/-1/t/1/fs/0/start/0/end/0/c"),"קונטרס בעניני כתמים")</f>
        <v>קונטרס בעניני כתמים</v>
      </c>
      <c r="H3520" t="str">
        <f>_xlfn.CONCAT("https://tablet.otzar.org/",CHAR(35),"/book/635991/p/-1/t/1/fs/0/start/0/end/0/c")</f>
        <v>https://tablet.otzar.org/#/book/635991/p/-1/t/1/fs/0/start/0/end/0/c</v>
      </c>
    </row>
    <row r="3521" spans="1:8" x14ac:dyDescent="0.25">
      <c r="A3521">
        <v>652832</v>
      </c>
      <c r="B3521" t="s">
        <v>6864</v>
      </c>
      <c r="C3521" t="s">
        <v>6865</v>
      </c>
      <c r="D3521" t="s">
        <v>10</v>
      </c>
      <c r="E3521" t="s">
        <v>146</v>
      </c>
      <c r="G3521" t="str">
        <f>HYPERLINK(_xlfn.CONCAT("https://tablet.otzar.org/",CHAR(35),"/book/652832/p/-1/t/1/fs/0/start/0/end/0/c"),"קונטרס בעניני מוקצה")</f>
        <v>קונטרס בעניני מוקצה</v>
      </c>
      <c r="H3521" t="str">
        <f>_xlfn.CONCAT("https://tablet.otzar.org/",CHAR(35),"/book/652832/p/-1/t/1/fs/0/start/0/end/0/c")</f>
        <v>https://tablet.otzar.org/#/book/652832/p/-1/t/1/fs/0/start/0/end/0/c</v>
      </c>
    </row>
    <row r="3522" spans="1:8" x14ac:dyDescent="0.25">
      <c r="A3522">
        <v>654263</v>
      </c>
      <c r="B3522" t="s">
        <v>6866</v>
      </c>
      <c r="C3522" t="s">
        <v>6867</v>
      </c>
      <c r="D3522" t="s">
        <v>2111</v>
      </c>
      <c r="E3522" t="s">
        <v>11</v>
      </c>
      <c r="G3522" t="str">
        <f>HYPERLINK(_xlfn.CONCAT("https://tablet.otzar.org/",CHAR(35),"/book/654263/p/-1/t/1/fs/0/start/0/end/0/c"),"קונטרס בעניני שביעית")</f>
        <v>קונטרס בעניני שביעית</v>
      </c>
      <c r="H3522" t="str">
        <f>_xlfn.CONCAT("https://tablet.otzar.org/",CHAR(35),"/book/654263/p/-1/t/1/fs/0/start/0/end/0/c")</f>
        <v>https://tablet.otzar.org/#/book/654263/p/-1/t/1/fs/0/start/0/end/0/c</v>
      </c>
    </row>
    <row r="3523" spans="1:8" x14ac:dyDescent="0.25">
      <c r="A3523">
        <v>649206</v>
      </c>
      <c r="B3523" t="s">
        <v>6868</v>
      </c>
      <c r="C3523" t="s">
        <v>6869</v>
      </c>
      <c r="D3523" t="s">
        <v>10</v>
      </c>
      <c r="E3523" t="s">
        <v>11</v>
      </c>
      <c r="G3523" t="str">
        <f>HYPERLINK(_xlfn.CONCAT("https://tablet.otzar.org/",CHAR(35),"/book/649206/p/-1/t/1/fs/0/start/0/end/0/c"),"קונטרס בעקבות ר' מוט'ל")</f>
        <v>קונטרס בעקבות ר' מוט'ל</v>
      </c>
      <c r="H3523" t="str">
        <f>_xlfn.CONCAT("https://tablet.otzar.org/",CHAR(35),"/book/649206/p/-1/t/1/fs/0/start/0/end/0/c")</f>
        <v>https://tablet.otzar.org/#/book/649206/p/-1/t/1/fs/0/start/0/end/0/c</v>
      </c>
    </row>
    <row r="3524" spans="1:8" x14ac:dyDescent="0.25">
      <c r="A3524">
        <v>650213</v>
      </c>
      <c r="B3524" t="s">
        <v>6870</v>
      </c>
      <c r="C3524" t="s">
        <v>6871</v>
      </c>
      <c r="D3524" t="s">
        <v>52</v>
      </c>
      <c r="E3524" t="s">
        <v>246</v>
      </c>
      <c r="G3524" t="str">
        <f>HYPERLINK(_xlfn.CONCAT("https://tablet.otzar.org/",CHAR(35),"/book/650213/p/-1/t/1/fs/0/start/0/end/0/c"),"קונטרס בפרק איזהו נשך")</f>
        <v>קונטרס בפרק איזהו נשך</v>
      </c>
      <c r="H3524" t="str">
        <f>_xlfn.CONCAT("https://tablet.otzar.org/",CHAR(35),"/book/650213/p/-1/t/1/fs/0/start/0/end/0/c")</f>
        <v>https://tablet.otzar.org/#/book/650213/p/-1/t/1/fs/0/start/0/end/0/c</v>
      </c>
    </row>
    <row r="3525" spans="1:8" x14ac:dyDescent="0.25">
      <c r="A3525">
        <v>650039</v>
      </c>
      <c r="B3525" t="s">
        <v>6872</v>
      </c>
      <c r="C3525" t="s">
        <v>6871</v>
      </c>
      <c r="D3525" t="s">
        <v>52</v>
      </c>
      <c r="E3525" t="s">
        <v>117</v>
      </c>
      <c r="G3525" t="str">
        <f>HYPERLINK(_xlfn.CONCAT("https://tablet.otzar.org/",CHAR(35),"/book/650039/p/-1/t/1/fs/0/start/0/end/0/c"),"קונטרס בפרק בנות כותים")</f>
        <v>קונטרס בפרק בנות כותים</v>
      </c>
      <c r="H3525" t="str">
        <f>_xlfn.CONCAT("https://tablet.otzar.org/",CHAR(35),"/book/650039/p/-1/t/1/fs/0/start/0/end/0/c")</f>
        <v>https://tablet.otzar.org/#/book/650039/p/-1/t/1/fs/0/start/0/end/0/c</v>
      </c>
    </row>
    <row r="3526" spans="1:8" x14ac:dyDescent="0.25">
      <c r="A3526">
        <v>656030</v>
      </c>
      <c r="B3526" t="s">
        <v>6873</v>
      </c>
      <c r="C3526" t="s">
        <v>1446</v>
      </c>
      <c r="D3526" t="s">
        <v>181</v>
      </c>
      <c r="E3526" t="s">
        <v>312</v>
      </c>
      <c r="G3526" t="str">
        <f>HYPERLINK(_xlfn.CONCAT("https://tablet.otzar.org/",CHAR(35),"/book/656030/p/-1/t/1/fs/0/start/0/end/0/c"),"קונטרס בצל הברכה - ענינים שונים")</f>
        <v>קונטרס בצל הברכה - ענינים שונים</v>
      </c>
      <c r="H3526" t="str">
        <f>_xlfn.CONCAT("https://tablet.otzar.org/",CHAR(35),"/book/656030/p/-1/t/1/fs/0/start/0/end/0/c")</f>
        <v>https://tablet.otzar.org/#/book/656030/p/-1/t/1/fs/0/start/0/end/0/c</v>
      </c>
    </row>
    <row r="3527" spans="1:8" x14ac:dyDescent="0.25">
      <c r="A3527">
        <v>654492</v>
      </c>
      <c r="B3527" t="s">
        <v>6874</v>
      </c>
      <c r="C3527" t="s">
        <v>6875</v>
      </c>
      <c r="D3527" t="s">
        <v>10</v>
      </c>
      <c r="E3527" t="s">
        <v>11</v>
      </c>
      <c r="G3527" t="str">
        <f>HYPERLINK(_xlfn.CONCAT("https://tablet.otzar.org/",CHAR(35),"/book/654492/p/-1/t/1/fs/0/start/0/end/0/c"),"קונטרס ברית ופדיון")</f>
        <v>קונטרס ברית ופדיון</v>
      </c>
      <c r="H3527" t="str">
        <f>_xlfn.CONCAT("https://tablet.otzar.org/",CHAR(35),"/book/654492/p/-1/t/1/fs/0/start/0/end/0/c")</f>
        <v>https://tablet.otzar.org/#/book/654492/p/-1/t/1/fs/0/start/0/end/0/c</v>
      </c>
    </row>
    <row r="3528" spans="1:8" x14ac:dyDescent="0.25">
      <c r="A3528">
        <v>651780</v>
      </c>
      <c r="B3528" t="s">
        <v>6876</v>
      </c>
      <c r="C3528" t="s">
        <v>6877</v>
      </c>
      <c r="D3528" t="s">
        <v>34</v>
      </c>
      <c r="E3528" t="s">
        <v>11</v>
      </c>
      <c r="G3528" t="str">
        <f>HYPERLINK(_xlfn.CONCAT("https://tablet.otzar.org/",CHAR(35),"/book/651780/p/-1/t/1/fs/0/start/0/end/0/c"),"קונטרס ברית מלכות")</f>
        <v>קונטרס ברית מלכות</v>
      </c>
      <c r="H3528" t="str">
        <f>_xlfn.CONCAT("https://tablet.otzar.org/",CHAR(35),"/book/651780/p/-1/t/1/fs/0/start/0/end/0/c")</f>
        <v>https://tablet.otzar.org/#/book/651780/p/-1/t/1/fs/0/start/0/end/0/c</v>
      </c>
    </row>
    <row r="3529" spans="1:8" x14ac:dyDescent="0.25">
      <c r="A3529">
        <v>653619</v>
      </c>
      <c r="B3529" t="s">
        <v>6878</v>
      </c>
      <c r="C3529" t="s">
        <v>6879</v>
      </c>
      <c r="D3529" t="s">
        <v>10</v>
      </c>
      <c r="E3529" t="s">
        <v>11</v>
      </c>
      <c r="G3529" t="str">
        <f>HYPERLINK(_xlfn.CONCAT("https://tablet.otzar.org/",CHAR(35),"/book/653619/p/-1/t/1/fs/0/start/0/end/0/c"),"קונטרס ברכות")</f>
        <v>קונטרס ברכות</v>
      </c>
      <c r="H3529" t="str">
        <f>_xlfn.CONCAT("https://tablet.otzar.org/",CHAR(35),"/book/653619/p/-1/t/1/fs/0/start/0/end/0/c")</f>
        <v>https://tablet.otzar.org/#/book/653619/p/-1/t/1/fs/0/start/0/end/0/c</v>
      </c>
    </row>
    <row r="3530" spans="1:8" x14ac:dyDescent="0.25">
      <c r="A3530">
        <v>641178</v>
      </c>
      <c r="B3530" t="s">
        <v>6880</v>
      </c>
      <c r="C3530" t="s">
        <v>614</v>
      </c>
      <c r="D3530" t="s">
        <v>34</v>
      </c>
      <c r="E3530" t="s">
        <v>70</v>
      </c>
      <c r="G3530" t="str">
        <f>HYPERLINK(_xlfn.CONCAT("https://tablet.otzar.org/",CHAR(35),"/book/641178/p/-1/t/1/fs/0/start/0/end/0/c"),"קונטרס ברכת אבות")</f>
        <v>קונטרס ברכת אבות</v>
      </c>
      <c r="H3530" t="str">
        <f>_xlfn.CONCAT("https://tablet.otzar.org/",CHAR(35),"/book/641178/p/-1/t/1/fs/0/start/0/end/0/c")</f>
        <v>https://tablet.otzar.org/#/book/641178/p/-1/t/1/fs/0/start/0/end/0/c</v>
      </c>
    </row>
    <row r="3531" spans="1:8" x14ac:dyDescent="0.25">
      <c r="A3531">
        <v>650189</v>
      </c>
      <c r="B3531" t="s">
        <v>6881</v>
      </c>
      <c r="C3531" t="s">
        <v>6882</v>
      </c>
      <c r="D3531" t="s">
        <v>10</v>
      </c>
      <c r="E3531" t="s">
        <v>704</v>
      </c>
      <c r="G3531" t="str">
        <f>HYPERLINK(_xlfn.CONCAT("https://tablet.otzar.org/",CHAR(35),"/book/650189/p/-1/t/1/fs/0/start/0/end/0/c"),"קונטרס ברכת הפירות")</f>
        <v>קונטרס ברכת הפירות</v>
      </c>
      <c r="H3531" t="str">
        <f>_xlfn.CONCAT("https://tablet.otzar.org/",CHAR(35),"/book/650189/p/-1/t/1/fs/0/start/0/end/0/c")</f>
        <v>https://tablet.otzar.org/#/book/650189/p/-1/t/1/fs/0/start/0/end/0/c</v>
      </c>
    </row>
    <row r="3532" spans="1:8" x14ac:dyDescent="0.25">
      <c r="A3532">
        <v>643286</v>
      </c>
      <c r="B3532" t="s">
        <v>6883</v>
      </c>
      <c r="C3532" t="s">
        <v>3002</v>
      </c>
      <c r="D3532" t="s">
        <v>10</v>
      </c>
      <c r="E3532" t="s">
        <v>146</v>
      </c>
      <c r="G3532" t="str">
        <f>HYPERLINK(_xlfn.CONCAT("https://tablet.otzar.org/",CHAR(35),"/book/643286/p/-1/t/1/fs/0/start/0/end/0/c"),"קונטרס ברכת התורה")</f>
        <v>קונטרס ברכת התורה</v>
      </c>
      <c r="H3532" t="str">
        <f>_xlfn.CONCAT("https://tablet.otzar.org/",CHAR(35),"/book/643286/p/-1/t/1/fs/0/start/0/end/0/c")</f>
        <v>https://tablet.otzar.org/#/book/643286/p/-1/t/1/fs/0/start/0/end/0/c</v>
      </c>
    </row>
    <row r="3533" spans="1:8" x14ac:dyDescent="0.25">
      <c r="A3533">
        <v>647241</v>
      </c>
      <c r="B3533" t="s">
        <v>6884</v>
      </c>
      <c r="C3533" t="s">
        <v>6885</v>
      </c>
      <c r="D3533" t="s">
        <v>52</v>
      </c>
      <c r="E3533" t="s">
        <v>35</v>
      </c>
      <c r="G3533" t="str">
        <f>HYPERLINK(_xlfn.CONCAT("https://tablet.otzar.org/",CHAR(35),"/book/647241/p/-1/t/1/fs/0/start/0/end/0/c"),"קונטרס ברכת לישב בסוכה")</f>
        <v>קונטרס ברכת לישב בסוכה</v>
      </c>
      <c r="H3533" t="str">
        <f>_xlfn.CONCAT("https://tablet.otzar.org/",CHAR(35),"/book/647241/p/-1/t/1/fs/0/start/0/end/0/c")</f>
        <v>https://tablet.otzar.org/#/book/647241/p/-1/t/1/fs/0/start/0/end/0/c</v>
      </c>
    </row>
    <row r="3534" spans="1:8" x14ac:dyDescent="0.25">
      <c r="A3534">
        <v>639848</v>
      </c>
      <c r="B3534" t="s">
        <v>6886</v>
      </c>
      <c r="C3534" t="s">
        <v>614</v>
      </c>
      <c r="D3534" t="s">
        <v>34</v>
      </c>
      <c r="E3534" t="s">
        <v>574</v>
      </c>
      <c r="G3534" t="str">
        <f>HYPERLINK(_xlfn.CONCAT("https://tablet.otzar.org/",CHAR(35),"/book/639848/p/-1/t/1/fs/0/start/0/end/0/c"),"קונטרס בשבילי נברא העולם")</f>
        <v>קונטרס בשבילי נברא העולם</v>
      </c>
      <c r="H3534" t="str">
        <f>_xlfn.CONCAT("https://tablet.otzar.org/",CHAR(35),"/book/639848/p/-1/t/1/fs/0/start/0/end/0/c")</f>
        <v>https://tablet.otzar.org/#/book/639848/p/-1/t/1/fs/0/start/0/end/0/c</v>
      </c>
    </row>
    <row r="3535" spans="1:8" x14ac:dyDescent="0.25">
      <c r="A3535">
        <v>655063</v>
      </c>
      <c r="B3535" t="s">
        <v>6887</v>
      </c>
      <c r="C3535" t="s">
        <v>614</v>
      </c>
      <c r="D3535" t="s">
        <v>34</v>
      </c>
      <c r="E3535" t="s">
        <v>11</v>
      </c>
      <c r="G3535" t="str">
        <f>HYPERLINK(_xlfn.CONCAT("https://tablet.otzar.org/",CHAR(35),"/book/655063/p/-1/t/1/fs/0/start/0/end/0/c"),"קונטרס גאולה שלמה")</f>
        <v>קונטרס גאולה שלמה</v>
      </c>
      <c r="H3535" t="str">
        <f>_xlfn.CONCAT("https://tablet.otzar.org/",CHAR(35),"/book/655063/p/-1/t/1/fs/0/start/0/end/0/c")</f>
        <v>https://tablet.otzar.org/#/book/655063/p/-1/t/1/fs/0/start/0/end/0/c</v>
      </c>
    </row>
    <row r="3536" spans="1:8" x14ac:dyDescent="0.25">
      <c r="A3536">
        <v>647560</v>
      </c>
      <c r="B3536" t="s">
        <v>6888</v>
      </c>
      <c r="C3536" t="s">
        <v>6889</v>
      </c>
      <c r="D3536" t="s">
        <v>52</v>
      </c>
      <c r="E3536" t="s">
        <v>11</v>
      </c>
      <c r="G3536" t="str">
        <f>HYPERLINK(_xlfn.CONCAT("https://tablet.otzar.org/",CHAR(35),"/book/647560/p/-1/t/1/fs/0/start/0/end/0/c"),"קונטרס גליונות אשר - תענית")</f>
        <v>קונטרס גליונות אשר - תענית</v>
      </c>
      <c r="H3536" t="str">
        <f>_xlfn.CONCAT("https://tablet.otzar.org/",CHAR(35),"/book/647560/p/-1/t/1/fs/0/start/0/end/0/c")</f>
        <v>https://tablet.otzar.org/#/book/647560/p/-1/t/1/fs/0/start/0/end/0/c</v>
      </c>
    </row>
    <row r="3537" spans="1:8" x14ac:dyDescent="0.25">
      <c r="A3537">
        <v>651401</v>
      </c>
      <c r="B3537" t="s">
        <v>6890</v>
      </c>
      <c r="C3537" t="s">
        <v>6891</v>
      </c>
      <c r="D3537" t="s">
        <v>609</v>
      </c>
      <c r="E3537" t="s">
        <v>146</v>
      </c>
      <c r="G3537" t="str">
        <f>HYPERLINK(_xlfn.CONCAT("https://tablet.otzar.org/",CHAR(35),"/book/651401/p/-1/t/1/fs/0/start/0/end/0/c"),"קונטרס דבר השמיטה")</f>
        <v>קונטרס דבר השמיטה</v>
      </c>
      <c r="H3537" t="str">
        <f>_xlfn.CONCAT("https://tablet.otzar.org/",CHAR(35),"/book/651401/p/-1/t/1/fs/0/start/0/end/0/c")</f>
        <v>https://tablet.otzar.org/#/book/651401/p/-1/t/1/fs/0/start/0/end/0/c</v>
      </c>
    </row>
    <row r="3538" spans="1:8" x14ac:dyDescent="0.25">
      <c r="A3538">
        <v>651493</v>
      </c>
      <c r="B3538" t="s">
        <v>6892</v>
      </c>
      <c r="C3538" t="s">
        <v>6893</v>
      </c>
      <c r="D3538" t="s">
        <v>10</v>
      </c>
      <c r="E3538" t="s">
        <v>213</v>
      </c>
      <c r="G3538" t="str">
        <f>HYPERLINK(_xlfn.CONCAT("https://tablet.otzar.org/",CHAR(35),"/book/651493/p/-1/t/1/fs/0/start/0/end/0/c"),"קונטרס דבר יואל - כתובות")</f>
        <v>קונטרס דבר יואל - כתובות</v>
      </c>
      <c r="H3538" t="str">
        <f>_xlfn.CONCAT("https://tablet.otzar.org/",CHAR(35),"/book/651493/p/-1/t/1/fs/0/start/0/end/0/c")</f>
        <v>https://tablet.otzar.org/#/book/651493/p/-1/t/1/fs/0/start/0/end/0/c</v>
      </c>
    </row>
    <row r="3539" spans="1:8" x14ac:dyDescent="0.25">
      <c r="A3539">
        <v>652105</v>
      </c>
      <c r="B3539" t="s">
        <v>6894</v>
      </c>
      <c r="C3539" t="s">
        <v>1395</v>
      </c>
      <c r="D3539" t="s">
        <v>10</v>
      </c>
      <c r="E3539" t="s">
        <v>126</v>
      </c>
      <c r="G3539" t="str">
        <f>HYPERLINK(_xlfn.CONCAT("https://tablet.otzar.org/",CHAR(35),"/exKotar/652105"),"קונטרס דבר צבי - 2 כרכים")</f>
        <v>קונטרס דבר צבי - 2 כרכים</v>
      </c>
      <c r="H3539" t="str">
        <f>_xlfn.CONCAT("https://tablet.otzar.org/",CHAR(35),"/exKotar/652105")</f>
        <v>https://tablet.otzar.org/#/exKotar/652105</v>
      </c>
    </row>
    <row r="3540" spans="1:8" x14ac:dyDescent="0.25">
      <c r="A3540">
        <v>656086</v>
      </c>
      <c r="B3540" t="s">
        <v>6895</v>
      </c>
      <c r="C3540" t="s">
        <v>6896</v>
      </c>
      <c r="D3540" t="s">
        <v>34</v>
      </c>
      <c r="E3540" t="s">
        <v>29</v>
      </c>
      <c r="G3540" t="str">
        <f>HYPERLINK(_xlfn.CONCAT("https://tablet.otzar.org/",CHAR(35),"/book/656086/p/-1/t/1/fs/0/start/0/end/0/c"),"קונטרס דבר שלום - שבת")</f>
        <v>קונטרס דבר שלום - שבת</v>
      </c>
      <c r="H3540" t="str">
        <f>_xlfn.CONCAT("https://tablet.otzar.org/",CHAR(35),"/book/656086/p/-1/t/1/fs/0/start/0/end/0/c")</f>
        <v>https://tablet.otzar.org/#/book/656086/p/-1/t/1/fs/0/start/0/end/0/c</v>
      </c>
    </row>
    <row r="3541" spans="1:8" x14ac:dyDescent="0.25">
      <c r="A3541">
        <v>647646</v>
      </c>
      <c r="B3541" t="s">
        <v>6897</v>
      </c>
      <c r="C3541" t="s">
        <v>6898</v>
      </c>
      <c r="E3541" t="s">
        <v>224</v>
      </c>
      <c r="G3541" t="str">
        <f>HYPERLINK(_xlfn.CONCAT("https://tablet.otzar.org/",CHAR(35),"/book/647646/p/-1/t/1/fs/0/start/0/end/0/c"),"קונטרס דברות קודש - דרשות שלוש סעודות")</f>
        <v>קונטרס דברות קודש - דרשות שלוש סעודות</v>
      </c>
      <c r="H3541" t="str">
        <f>_xlfn.CONCAT("https://tablet.otzar.org/",CHAR(35),"/book/647646/p/-1/t/1/fs/0/start/0/end/0/c")</f>
        <v>https://tablet.otzar.org/#/book/647646/p/-1/t/1/fs/0/start/0/end/0/c</v>
      </c>
    </row>
    <row r="3542" spans="1:8" x14ac:dyDescent="0.25">
      <c r="A3542">
        <v>650173</v>
      </c>
      <c r="B3542" t="s">
        <v>6899</v>
      </c>
      <c r="C3542" t="s">
        <v>6900</v>
      </c>
      <c r="D3542" t="s">
        <v>10</v>
      </c>
      <c r="E3542" t="s">
        <v>161</v>
      </c>
      <c r="G3542" t="str">
        <f>HYPERLINK(_xlfn.CONCAT("https://tablet.otzar.org/",CHAR(35),"/book/650173/p/-1/t/1/fs/0/start/0/end/0/c"),"קונטרס דברי יהושע")</f>
        <v>קונטרס דברי יהושע</v>
      </c>
      <c r="H3542" t="str">
        <f>_xlfn.CONCAT("https://tablet.otzar.org/",CHAR(35),"/book/650173/p/-1/t/1/fs/0/start/0/end/0/c")</f>
        <v>https://tablet.otzar.org/#/book/650173/p/-1/t/1/fs/0/start/0/end/0/c</v>
      </c>
    </row>
    <row r="3543" spans="1:8" x14ac:dyDescent="0.25">
      <c r="A3543">
        <v>651736</v>
      </c>
      <c r="B3543" t="s">
        <v>6901</v>
      </c>
      <c r="C3543" t="s">
        <v>308</v>
      </c>
      <c r="E3543" t="s">
        <v>84</v>
      </c>
      <c r="G3543" t="str">
        <f>HYPERLINK(_xlfn.CONCAT("https://tablet.otzar.org/",CHAR(35),"/book/651736/p/-1/t/1/fs/0/start/0/end/0/c"),"קונטרס דברי יוסף - בבא קמא")</f>
        <v>קונטרס דברי יוסף - בבא קמא</v>
      </c>
      <c r="H3543" t="str">
        <f>_xlfn.CONCAT("https://tablet.otzar.org/",CHAR(35),"/book/651736/p/-1/t/1/fs/0/start/0/end/0/c")</f>
        <v>https://tablet.otzar.org/#/book/651736/p/-1/t/1/fs/0/start/0/end/0/c</v>
      </c>
    </row>
    <row r="3544" spans="1:8" x14ac:dyDescent="0.25">
      <c r="A3544">
        <v>651647</v>
      </c>
      <c r="B3544" t="s">
        <v>6902</v>
      </c>
      <c r="C3544" t="s">
        <v>6903</v>
      </c>
      <c r="E3544" t="s">
        <v>507</v>
      </c>
      <c r="G3544" t="str">
        <f>HYPERLINK(_xlfn.CONCAT("https://tablet.otzar.org/",CHAR(35),"/book/651647/p/-1/t/1/fs/0/start/0/end/0/c"),"קונטרס דברי מחשבת")</f>
        <v>קונטרס דברי מחשבת</v>
      </c>
      <c r="H3544" t="str">
        <f>_xlfn.CONCAT("https://tablet.otzar.org/",CHAR(35),"/book/651647/p/-1/t/1/fs/0/start/0/end/0/c")</f>
        <v>https://tablet.otzar.org/#/book/651647/p/-1/t/1/fs/0/start/0/end/0/c</v>
      </c>
    </row>
    <row r="3545" spans="1:8" x14ac:dyDescent="0.25">
      <c r="A3545">
        <v>643256</v>
      </c>
      <c r="B3545" t="s">
        <v>6904</v>
      </c>
      <c r="C3545" t="s">
        <v>6905</v>
      </c>
      <c r="D3545" t="s">
        <v>52</v>
      </c>
      <c r="E3545" t="s">
        <v>70</v>
      </c>
      <c r="G3545" t="str">
        <f>HYPERLINK(_xlfn.CONCAT("https://tablet.otzar.org/",CHAR(35),"/book/643256/p/-1/t/1/fs/0/start/0/end/0/c"),"קונטרס דברי תורה")</f>
        <v>קונטרס דברי תורה</v>
      </c>
      <c r="H3545" t="str">
        <f>_xlfn.CONCAT("https://tablet.otzar.org/",CHAR(35),"/book/643256/p/-1/t/1/fs/0/start/0/end/0/c")</f>
        <v>https://tablet.otzar.org/#/book/643256/p/-1/t/1/fs/0/start/0/end/0/c</v>
      </c>
    </row>
    <row r="3546" spans="1:8" x14ac:dyDescent="0.25">
      <c r="A3546">
        <v>651494</v>
      </c>
      <c r="B3546" t="s">
        <v>6906</v>
      </c>
      <c r="C3546" t="s">
        <v>6907</v>
      </c>
      <c r="D3546" t="s">
        <v>34</v>
      </c>
      <c r="E3546" t="s">
        <v>70</v>
      </c>
      <c r="G3546" t="str">
        <f>HYPERLINK(_xlfn.CONCAT("https://tablet.otzar.org/",CHAR(35),"/book/651494/p/-1/t/1/fs/0/start/0/end/0/c"),"קונטרס דמשק אליעזר")</f>
        <v>קונטרס דמשק אליעזר</v>
      </c>
      <c r="H3546" t="str">
        <f>_xlfn.CONCAT("https://tablet.otzar.org/",CHAR(35),"/book/651494/p/-1/t/1/fs/0/start/0/end/0/c")</f>
        <v>https://tablet.otzar.org/#/book/651494/p/-1/t/1/fs/0/start/0/end/0/c</v>
      </c>
    </row>
    <row r="3547" spans="1:8" x14ac:dyDescent="0.25">
      <c r="A3547">
        <v>643164</v>
      </c>
      <c r="B3547" t="s">
        <v>6908</v>
      </c>
      <c r="C3547" t="s">
        <v>6909</v>
      </c>
      <c r="E3547" t="s">
        <v>6910</v>
      </c>
      <c r="G3547" t="str">
        <f>HYPERLINK(_xlfn.CONCAT("https://tablet.otzar.org/",CHAR(35),"/book/643164/p/-1/t/1/fs/0/start/0/end/0/c"),"קונטרס דעת תורה")</f>
        <v>קונטרס דעת תורה</v>
      </c>
      <c r="H3547" t="str">
        <f>_xlfn.CONCAT("https://tablet.otzar.org/",CHAR(35),"/book/643164/p/-1/t/1/fs/0/start/0/end/0/c")</f>
        <v>https://tablet.otzar.org/#/book/643164/p/-1/t/1/fs/0/start/0/end/0/c</v>
      </c>
    </row>
    <row r="3548" spans="1:8" x14ac:dyDescent="0.25">
      <c r="A3548">
        <v>653742</v>
      </c>
      <c r="B3548" t="s">
        <v>6911</v>
      </c>
      <c r="C3548" t="s">
        <v>6912</v>
      </c>
      <c r="D3548" t="s">
        <v>52</v>
      </c>
      <c r="E3548" t="s">
        <v>11</v>
      </c>
      <c r="G3548" t="str">
        <f>HYPERLINK(_xlfn.CONCAT("https://tablet.otzar.org/",CHAR(35),"/book/653742/p/-1/t/1/fs/0/start/0/end/0/c"),"קונטרס דקדוקי מצוות")</f>
        <v>קונטרס דקדוקי מצוות</v>
      </c>
      <c r="H3548" t="str">
        <f>_xlfn.CONCAT("https://tablet.otzar.org/",CHAR(35),"/book/653742/p/-1/t/1/fs/0/start/0/end/0/c")</f>
        <v>https://tablet.otzar.org/#/book/653742/p/-1/t/1/fs/0/start/0/end/0/c</v>
      </c>
    </row>
    <row r="3549" spans="1:8" x14ac:dyDescent="0.25">
      <c r="A3549">
        <v>656100</v>
      </c>
      <c r="B3549" t="s">
        <v>6913</v>
      </c>
      <c r="C3549" t="s">
        <v>6914</v>
      </c>
      <c r="D3549" t="s">
        <v>88</v>
      </c>
      <c r="E3549" t="s">
        <v>29</v>
      </c>
      <c r="G3549" t="str">
        <f>HYPERLINK(_xlfn.CONCAT("https://tablet.otzar.org/",CHAR(35),"/book/656100/p/-1/t/1/fs/0/start/0/end/0/c"),"קונטרס דרוש וקבל שכר")</f>
        <v>קונטרס דרוש וקבל שכר</v>
      </c>
      <c r="H3549" t="str">
        <f>_xlfn.CONCAT("https://tablet.otzar.org/",CHAR(35),"/book/656100/p/-1/t/1/fs/0/start/0/end/0/c")</f>
        <v>https://tablet.otzar.org/#/book/656100/p/-1/t/1/fs/0/start/0/end/0/c</v>
      </c>
    </row>
    <row r="3550" spans="1:8" x14ac:dyDescent="0.25">
      <c r="A3550">
        <v>653315</v>
      </c>
      <c r="B3550" t="s">
        <v>6915</v>
      </c>
      <c r="C3550" t="s">
        <v>6916</v>
      </c>
      <c r="E3550" t="s">
        <v>45</v>
      </c>
      <c r="G3550" t="str">
        <f>HYPERLINK(_xlfn.CONCAT("https://tablet.otzar.org/",CHAR(35),"/book/653315/p/-1/t/1/fs/0/start/0/end/0/c"),"קונטרס דרך הלימוד")</f>
        <v>קונטרס דרך הלימוד</v>
      </c>
      <c r="H3550" t="str">
        <f>_xlfn.CONCAT("https://tablet.otzar.org/",CHAR(35),"/book/653315/p/-1/t/1/fs/0/start/0/end/0/c")</f>
        <v>https://tablet.otzar.org/#/book/653315/p/-1/t/1/fs/0/start/0/end/0/c</v>
      </c>
    </row>
    <row r="3551" spans="1:8" x14ac:dyDescent="0.25">
      <c r="A3551">
        <v>651482</v>
      </c>
      <c r="B3551" t="s">
        <v>6917</v>
      </c>
      <c r="C3551" t="s">
        <v>6918</v>
      </c>
      <c r="D3551" t="s">
        <v>6919</v>
      </c>
      <c r="E3551" t="s">
        <v>19</v>
      </c>
      <c r="G3551" t="str">
        <f>HYPERLINK(_xlfn.CONCAT("https://tablet.otzar.org/",CHAR(35),"/book/651482/p/-1/t/1/fs/0/start/0/end/0/c"),"קונטרס דררא דממונא")</f>
        <v>קונטרס דררא דממונא</v>
      </c>
      <c r="H3551" t="str">
        <f>_xlfn.CONCAT("https://tablet.otzar.org/",CHAR(35),"/book/651482/p/-1/t/1/fs/0/start/0/end/0/c")</f>
        <v>https://tablet.otzar.org/#/book/651482/p/-1/t/1/fs/0/start/0/end/0/c</v>
      </c>
    </row>
    <row r="3552" spans="1:8" x14ac:dyDescent="0.25">
      <c r="A3552">
        <v>655077</v>
      </c>
      <c r="B3552" t="s">
        <v>6920</v>
      </c>
      <c r="C3552" t="s">
        <v>614</v>
      </c>
      <c r="D3552" t="s">
        <v>10</v>
      </c>
      <c r="E3552" t="s">
        <v>312</v>
      </c>
      <c r="G3552" t="str">
        <f>HYPERLINK(_xlfn.CONCAT("https://tablet.otzar.org/",CHAR(35),"/book/655077/p/-1/t/1/fs/0/start/0/end/0/c"),"קונטרס האור מתוך החשך - א")</f>
        <v>קונטרס האור מתוך החשך - א</v>
      </c>
      <c r="H3552" t="str">
        <f>_xlfn.CONCAT("https://tablet.otzar.org/",CHAR(35),"/book/655077/p/-1/t/1/fs/0/start/0/end/0/c")</f>
        <v>https://tablet.otzar.org/#/book/655077/p/-1/t/1/fs/0/start/0/end/0/c</v>
      </c>
    </row>
    <row r="3553" spans="1:8" x14ac:dyDescent="0.25">
      <c r="A3553">
        <v>651872</v>
      </c>
      <c r="B3553" t="s">
        <v>6921</v>
      </c>
      <c r="C3553" t="s">
        <v>614</v>
      </c>
      <c r="E3553" t="s">
        <v>507</v>
      </c>
      <c r="G3553" t="str">
        <f>HYPERLINK(_xlfn.CONCAT("https://tablet.otzar.org/",CHAR(35),"/book/651872/p/-1/t/1/fs/0/start/0/end/0/c"),"קונטרס האמת תורה דרכה")</f>
        <v>קונטרס האמת תורה דרכה</v>
      </c>
      <c r="H3553" t="str">
        <f>_xlfn.CONCAT("https://tablet.otzar.org/",CHAR(35),"/book/651872/p/-1/t/1/fs/0/start/0/end/0/c")</f>
        <v>https://tablet.otzar.org/#/book/651872/p/-1/t/1/fs/0/start/0/end/0/c</v>
      </c>
    </row>
    <row r="3554" spans="1:8" x14ac:dyDescent="0.25">
      <c r="A3554">
        <v>651417</v>
      </c>
      <c r="B3554" t="s">
        <v>6922</v>
      </c>
      <c r="C3554" t="s">
        <v>6529</v>
      </c>
      <c r="D3554" t="s">
        <v>10</v>
      </c>
      <c r="E3554" t="s">
        <v>89</v>
      </c>
      <c r="G3554" t="str">
        <f>HYPERLINK(_xlfn.CONCAT("https://tablet.otzar.org/",CHAR(35),"/book/651417/p/-1/t/1/fs/0/start/0/end/0/c"),"קונטרס הבריח התיכון")</f>
        <v>קונטרס הבריח התיכון</v>
      </c>
      <c r="H3554" t="str">
        <f>_xlfn.CONCAT("https://tablet.otzar.org/",CHAR(35),"/book/651417/p/-1/t/1/fs/0/start/0/end/0/c")</f>
        <v>https://tablet.otzar.org/#/book/651417/p/-1/t/1/fs/0/start/0/end/0/c</v>
      </c>
    </row>
    <row r="3555" spans="1:8" x14ac:dyDescent="0.25">
      <c r="A3555">
        <v>650968</v>
      </c>
      <c r="B3555" t="s">
        <v>6923</v>
      </c>
      <c r="C3555" t="s">
        <v>6924</v>
      </c>
      <c r="D3555" t="s">
        <v>10</v>
      </c>
      <c r="E3555" t="s">
        <v>670</v>
      </c>
      <c r="G3555" t="str">
        <f>HYPERLINK(_xlfn.CONCAT("https://tablet.otzar.org/",CHAR(35),"/book/650968/p/-1/t/1/fs/0/start/0/end/0/c"),"קונטרס ההרוגה עליך")</f>
        <v>קונטרס ההרוגה עליך</v>
      </c>
      <c r="H3555" t="str">
        <f>_xlfn.CONCAT("https://tablet.otzar.org/",CHAR(35),"/book/650968/p/-1/t/1/fs/0/start/0/end/0/c")</f>
        <v>https://tablet.otzar.org/#/book/650968/p/-1/t/1/fs/0/start/0/end/0/c</v>
      </c>
    </row>
    <row r="3556" spans="1:8" x14ac:dyDescent="0.25">
      <c r="A3556">
        <v>651689</v>
      </c>
      <c r="B3556" t="s">
        <v>6925</v>
      </c>
      <c r="C3556" t="s">
        <v>1630</v>
      </c>
      <c r="D3556" t="s">
        <v>10</v>
      </c>
      <c r="E3556" t="s">
        <v>11</v>
      </c>
      <c r="G3556" t="str">
        <f>HYPERLINK(_xlfn.CONCAT("https://tablet.otzar.org/",CHAR(35),"/book/651689/p/-1/t/1/fs/0/start/0/end/0/c"),"קונטרס הזכרונות ממרן החזו""""א")</f>
        <v>קונטרס הזכרונות ממרן החזו""א</v>
      </c>
      <c r="H3556" t="str">
        <f>_xlfn.CONCAT("https://tablet.otzar.org/",CHAR(35),"/book/651689/p/-1/t/1/fs/0/start/0/end/0/c")</f>
        <v>https://tablet.otzar.org/#/book/651689/p/-1/t/1/fs/0/start/0/end/0/c</v>
      </c>
    </row>
    <row r="3557" spans="1:8" x14ac:dyDescent="0.25">
      <c r="A3557">
        <v>648781</v>
      </c>
      <c r="B3557" t="s">
        <v>6926</v>
      </c>
      <c r="C3557" t="s">
        <v>6927</v>
      </c>
      <c r="D3557" t="s">
        <v>52</v>
      </c>
      <c r="E3557" t="s">
        <v>11</v>
      </c>
      <c r="G3557" t="str">
        <f>HYPERLINK(_xlfn.CONCAT("https://tablet.otzar.org/",CHAR(35),"/book/648781/p/-1/t/1/fs/0/start/0/end/0/c"),"קונטרס החבורות - הדלקת נר חנוכה")</f>
        <v>קונטרס החבורות - הדלקת נר חנוכה</v>
      </c>
      <c r="H3557" t="str">
        <f>_xlfn.CONCAT("https://tablet.otzar.org/",CHAR(35),"/book/648781/p/-1/t/1/fs/0/start/0/end/0/c")</f>
        <v>https://tablet.otzar.org/#/book/648781/p/-1/t/1/fs/0/start/0/end/0/c</v>
      </c>
    </row>
    <row r="3558" spans="1:8" x14ac:dyDescent="0.25">
      <c r="A3558">
        <v>653509</v>
      </c>
      <c r="B3558" t="s">
        <v>6928</v>
      </c>
      <c r="C3558" t="s">
        <v>1494</v>
      </c>
      <c r="E3558" t="s">
        <v>507</v>
      </c>
      <c r="G3558" t="str">
        <f>HYPERLINK(_xlfn.CONCAT("https://tablet.otzar.org/",CHAR(35),"/exKotar/653509"),"קונטרס הידיעה - 2 כרכים")</f>
        <v>קונטרס הידיעה - 2 כרכים</v>
      </c>
      <c r="H3558" t="str">
        <f>_xlfn.CONCAT("https://tablet.otzar.org/",CHAR(35),"/exKotar/653509")</f>
        <v>https://tablet.otzar.org/#/exKotar/653509</v>
      </c>
    </row>
    <row r="3559" spans="1:8" x14ac:dyDescent="0.25">
      <c r="A3559">
        <v>655389</v>
      </c>
      <c r="B3559" t="s">
        <v>6929</v>
      </c>
      <c r="C3559" t="s">
        <v>2540</v>
      </c>
      <c r="D3559" t="s">
        <v>2314</v>
      </c>
      <c r="E3559" t="s">
        <v>45</v>
      </c>
      <c r="G3559" t="str">
        <f>HYPERLINK(_xlfn.CONCAT("https://tablet.otzar.org/",CHAR(35),"/book/655389/p/-1/t/1/fs/0/start/0/end/0/c"),"קונטרס הליכות חיים")</f>
        <v>קונטרס הליכות חיים</v>
      </c>
      <c r="H3559" t="str">
        <f>_xlfn.CONCAT("https://tablet.otzar.org/",CHAR(35),"/book/655389/p/-1/t/1/fs/0/start/0/end/0/c")</f>
        <v>https://tablet.otzar.org/#/book/655389/p/-1/t/1/fs/0/start/0/end/0/c</v>
      </c>
    </row>
    <row r="3560" spans="1:8" x14ac:dyDescent="0.25">
      <c r="A3560">
        <v>651828</v>
      </c>
      <c r="B3560" t="s">
        <v>6930</v>
      </c>
      <c r="C3560" t="s">
        <v>2873</v>
      </c>
      <c r="D3560" t="s">
        <v>52</v>
      </c>
      <c r="E3560" t="s">
        <v>257</v>
      </c>
      <c r="G3560" t="str">
        <f>HYPERLINK(_xlfn.CONCAT("https://tablet.otzar.org/",CHAR(35),"/book/651828/p/-1/t/1/fs/0/start/0/end/0/c"),"קונטרס הליקוטים - תניינא")</f>
        <v>קונטרס הליקוטים - תניינא</v>
      </c>
      <c r="H3560" t="str">
        <f>_xlfn.CONCAT("https://tablet.otzar.org/",CHAR(35),"/book/651828/p/-1/t/1/fs/0/start/0/end/0/c")</f>
        <v>https://tablet.otzar.org/#/book/651828/p/-1/t/1/fs/0/start/0/end/0/c</v>
      </c>
    </row>
    <row r="3561" spans="1:8" x14ac:dyDescent="0.25">
      <c r="A3561">
        <v>649784</v>
      </c>
      <c r="B3561" t="s">
        <v>6931</v>
      </c>
      <c r="C3561" t="s">
        <v>2953</v>
      </c>
      <c r="D3561" t="s">
        <v>52</v>
      </c>
      <c r="E3561" t="s">
        <v>337</v>
      </c>
      <c r="G3561" t="str">
        <f>HYPERLINK(_xlfn.CONCAT("https://tablet.otzar.org/",CHAR(35),"/exKotar/649784"),"קונטרס הליקוטים - 2 כרכים")</f>
        <v>קונטרס הליקוטים - 2 כרכים</v>
      </c>
      <c r="H3561" t="str">
        <f>_xlfn.CONCAT("https://tablet.otzar.org/",CHAR(35),"/exKotar/649784")</f>
        <v>https://tablet.otzar.org/#/exKotar/649784</v>
      </c>
    </row>
    <row r="3562" spans="1:8" x14ac:dyDescent="0.25">
      <c r="A3562">
        <v>651055</v>
      </c>
      <c r="B3562" t="s">
        <v>6932</v>
      </c>
      <c r="C3562" t="s">
        <v>2569</v>
      </c>
      <c r="D3562" t="s">
        <v>52</v>
      </c>
      <c r="E3562" t="s">
        <v>70</v>
      </c>
      <c r="G3562" t="str">
        <f>HYPERLINK(_xlfn.CONCAT("https://tablet.otzar.org/",CHAR(35),"/book/651055/p/-1/t/1/fs/0/start/0/end/0/c"),"קונטרס הלכות אקטואליות")</f>
        <v>קונטרס הלכות אקטואליות</v>
      </c>
      <c r="H3562" t="str">
        <f>_xlfn.CONCAT("https://tablet.otzar.org/",CHAR(35),"/book/651055/p/-1/t/1/fs/0/start/0/end/0/c")</f>
        <v>https://tablet.otzar.org/#/book/651055/p/-1/t/1/fs/0/start/0/end/0/c</v>
      </c>
    </row>
    <row r="3563" spans="1:8" x14ac:dyDescent="0.25">
      <c r="A3563">
        <v>651054</v>
      </c>
      <c r="B3563" t="s">
        <v>6933</v>
      </c>
      <c r="C3563" t="s">
        <v>2569</v>
      </c>
      <c r="D3563" t="s">
        <v>52</v>
      </c>
      <c r="E3563" t="s">
        <v>70</v>
      </c>
      <c r="G3563" t="str">
        <f>HYPERLINK(_xlfn.CONCAT("https://tablet.otzar.org/",CHAR(35),"/book/651054/p/-1/t/1/fs/0/start/0/end/0/c"),"קונטרס הלכות בית כנסת, והלכות ספר תורה")</f>
        <v>קונטרס הלכות בית כנסת, והלכות ספר תורה</v>
      </c>
      <c r="H3563" t="str">
        <f>_xlfn.CONCAT("https://tablet.otzar.org/",CHAR(35),"/book/651054/p/-1/t/1/fs/0/start/0/end/0/c")</f>
        <v>https://tablet.otzar.org/#/book/651054/p/-1/t/1/fs/0/start/0/end/0/c</v>
      </c>
    </row>
    <row r="3564" spans="1:8" x14ac:dyDescent="0.25">
      <c r="A3564">
        <v>651058</v>
      </c>
      <c r="B3564" t="s">
        <v>6934</v>
      </c>
      <c r="C3564" t="s">
        <v>2569</v>
      </c>
      <c r="D3564" t="s">
        <v>52</v>
      </c>
      <c r="E3564" t="s">
        <v>70</v>
      </c>
      <c r="G3564" t="str">
        <f>HYPERLINK(_xlfn.CONCAT("https://tablet.otzar.org/",CHAR(35),"/book/651058/p/-1/t/1/fs/0/start/0/end/0/c"),"קונטרס הלכות תולעים בדגים")</f>
        <v>קונטרס הלכות תולעים בדגים</v>
      </c>
      <c r="H3564" t="str">
        <f>_xlfn.CONCAT("https://tablet.otzar.org/",CHAR(35),"/book/651058/p/-1/t/1/fs/0/start/0/end/0/c")</f>
        <v>https://tablet.otzar.org/#/book/651058/p/-1/t/1/fs/0/start/0/end/0/c</v>
      </c>
    </row>
    <row r="3565" spans="1:8" x14ac:dyDescent="0.25">
      <c r="A3565">
        <v>651594</v>
      </c>
      <c r="B3565" t="s">
        <v>6935</v>
      </c>
      <c r="C3565" t="s">
        <v>6936</v>
      </c>
      <c r="D3565" t="s">
        <v>10</v>
      </c>
      <c r="E3565" t="s">
        <v>405</v>
      </c>
      <c r="G3565" t="str">
        <f>HYPERLINK(_xlfn.CONCAT("https://tablet.otzar.org/",CHAR(35),"/book/651594/p/-1/t/1/fs/0/start/0/end/0/c"),"קונטרס המאיר לישראל - נדרים")</f>
        <v>קונטרס המאיר לישראל - נדרים</v>
      </c>
      <c r="H3565" t="str">
        <f>_xlfn.CONCAT("https://tablet.otzar.org/",CHAR(35),"/book/651594/p/-1/t/1/fs/0/start/0/end/0/c")</f>
        <v>https://tablet.otzar.org/#/book/651594/p/-1/t/1/fs/0/start/0/end/0/c</v>
      </c>
    </row>
    <row r="3566" spans="1:8" x14ac:dyDescent="0.25">
      <c r="A3566">
        <v>648206</v>
      </c>
      <c r="B3566" t="s">
        <v>6937</v>
      </c>
      <c r="C3566" t="s">
        <v>382</v>
      </c>
      <c r="D3566" t="s">
        <v>510</v>
      </c>
      <c r="E3566" t="s">
        <v>55</v>
      </c>
      <c r="G3566" t="str">
        <f>HYPERLINK(_xlfn.CONCAT("https://tablet.otzar.org/",CHAR(35),"/book/648206/p/-1/t/1/fs/0/start/0/end/0/c"),"קונטרס המחדש בטובו")</f>
        <v>קונטרס המחדש בטובו</v>
      </c>
      <c r="H3566" t="str">
        <f>_xlfn.CONCAT("https://tablet.otzar.org/",CHAR(35),"/book/648206/p/-1/t/1/fs/0/start/0/end/0/c")</f>
        <v>https://tablet.otzar.org/#/book/648206/p/-1/t/1/fs/0/start/0/end/0/c</v>
      </c>
    </row>
    <row r="3567" spans="1:8" x14ac:dyDescent="0.25">
      <c r="A3567">
        <v>649468</v>
      </c>
      <c r="B3567" t="s">
        <v>6938</v>
      </c>
      <c r="C3567" t="s">
        <v>6939</v>
      </c>
      <c r="D3567" t="s">
        <v>58</v>
      </c>
      <c r="E3567" t="s">
        <v>234</v>
      </c>
      <c r="G3567" t="str">
        <f>HYPERLINK(_xlfn.CONCAT("https://tablet.otzar.org/",CHAR(35),"/book/649468/p/-1/t/1/fs/0/start/0/end/0/c"),"קונטרס המתרגם")</f>
        <v>קונטרס המתרגם</v>
      </c>
      <c r="H3567" t="str">
        <f>_xlfn.CONCAT("https://tablet.otzar.org/",CHAR(35),"/book/649468/p/-1/t/1/fs/0/start/0/end/0/c")</f>
        <v>https://tablet.otzar.org/#/book/649468/p/-1/t/1/fs/0/start/0/end/0/c</v>
      </c>
    </row>
    <row r="3568" spans="1:8" x14ac:dyDescent="0.25">
      <c r="A3568">
        <v>648808</v>
      </c>
      <c r="B3568" t="s">
        <v>6940</v>
      </c>
      <c r="C3568" t="s">
        <v>6941</v>
      </c>
      <c r="D3568" t="s">
        <v>34</v>
      </c>
      <c r="E3568" t="s">
        <v>11</v>
      </c>
      <c r="G3568" t="str">
        <f>HYPERLINK(_xlfn.CONCAT("https://tablet.otzar.org/",CHAR(35),"/book/648808/p/-1/t/1/fs/0/start/0/end/0/c"),"קונטרס הערות הרבנים לספר הליכות משה")</f>
        <v>קונטרס הערות הרבנים לספר הליכות משה</v>
      </c>
      <c r="H3568" t="str">
        <f>_xlfn.CONCAT("https://tablet.otzar.org/",CHAR(35),"/book/648808/p/-1/t/1/fs/0/start/0/end/0/c")</f>
        <v>https://tablet.otzar.org/#/book/648808/p/-1/t/1/fs/0/start/0/end/0/c</v>
      </c>
    </row>
    <row r="3569" spans="1:8" x14ac:dyDescent="0.25">
      <c r="A3569">
        <v>649955</v>
      </c>
      <c r="B3569" t="s">
        <v>6942</v>
      </c>
      <c r="C3569" t="s">
        <v>6943</v>
      </c>
      <c r="D3569" t="s">
        <v>52</v>
      </c>
      <c r="E3569" t="s">
        <v>1101</v>
      </c>
      <c r="G3569" t="str">
        <f>HYPERLINK(_xlfn.CONCAT("https://tablet.otzar.org/",CHAR(35),"/book/649955/p/-1/t/1/fs/0/start/0/end/0/c"),"קונטרס הערות וביאורים &lt;על ספר עץ חיים&gt;")</f>
        <v>קונטרס הערות וביאורים &lt;על ספר עץ חיים&gt;</v>
      </c>
      <c r="H3569" t="str">
        <f>_xlfn.CONCAT("https://tablet.otzar.org/",CHAR(35),"/book/649955/p/-1/t/1/fs/0/start/0/end/0/c")</f>
        <v>https://tablet.otzar.org/#/book/649955/p/-1/t/1/fs/0/start/0/end/0/c</v>
      </c>
    </row>
    <row r="3570" spans="1:8" x14ac:dyDescent="0.25">
      <c r="A3570">
        <v>647755</v>
      </c>
      <c r="B3570" t="s">
        <v>6944</v>
      </c>
      <c r="C3570" t="s">
        <v>6945</v>
      </c>
      <c r="D3570" t="s">
        <v>34</v>
      </c>
      <c r="E3570" t="s">
        <v>35</v>
      </c>
      <c r="G3570" t="str">
        <f>HYPERLINK(_xlfn.CONCAT("https://tablet.otzar.org/",CHAR(35),"/exKotar/647755"),"קונטרס הערות והארות - 2 כרכים")</f>
        <v>קונטרס הערות והארות - 2 כרכים</v>
      </c>
      <c r="H3570" t="str">
        <f>_xlfn.CONCAT("https://tablet.otzar.org/",CHAR(35),"/exKotar/647755")</f>
        <v>https://tablet.otzar.org/#/exKotar/647755</v>
      </c>
    </row>
    <row r="3571" spans="1:8" x14ac:dyDescent="0.25">
      <c r="A3571">
        <v>651578</v>
      </c>
      <c r="B3571" t="s">
        <v>6946</v>
      </c>
      <c r="C3571" t="s">
        <v>6947</v>
      </c>
      <c r="E3571" t="s">
        <v>191</v>
      </c>
      <c r="G3571" t="str">
        <f>HYPERLINK(_xlfn.CONCAT("https://tablet.otzar.org/",CHAR(35),"/book/651578/p/-1/t/1/fs/0/start/0/end/0/c"),"קונטרס הרחיצה")</f>
        <v>קונטרס הרחיצה</v>
      </c>
      <c r="H3571" t="str">
        <f>_xlfn.CONCAT("https://tablet.otzar.org/",CHAR(35),"/book/651578/p/-1/t/1/fs/0/start/0/end/0/c")</f>
        <v>https://tablet.otzar.org/#/book/651578/p/-1/t/1/fs/0/start/0/end/0/c</v>
      </c>
    </row>
    <row r="3572" spans="1:8" x14ac:dyDescent="0.25">
      <c r="A3572">
        <v>656195</v>
      </c>
      <c r="B3572" t="s">
        <v>6948</v>
      </c>
      <c r="C3572" t="s">
        <v>6949</v>
      </c>
      <c r="D3572" t="s">
        <v>88</v>
      </c>
      <c r="E3572" t="s">
        <v>35</v>
      </c>
      <c r="G3572" t="str">
        <f>HYPERLINK(_xlfn.CONCAT("https://tablet.otzar.org/",CHAR(35),"/book/656195/p/-1/t/1/fs/0/start/0/end/0/c"),"קונטרס הררים התלויים בשערה")</f>
        <v>קונטרס הררים התלויים בשערה</v>
      </c>
      <c r="H3572" t="str">
        <f>_xlfn.CONCAT("https://tablet.otzar.org/",CHAR(35),"/book/656195/p/-1/t/1/fs/0/start/0/end/0/c")</f>
        <v>https://tablet.otzar.org/#/book/656195/p/-1/t/1/fs/0/start/0/end/0/c</v>
      </c>
    </row>
    <row r="3573" spans="1:8" x14ac:dyDescent="0.25">
      <c r="A3573">
        <v>647431</v>
      </c>
      <c r="B3573" t="s">
        <v>6950</v>
      </c>
      <c r="C3573" t="s">
        <v>6951</v>
      </c>
      <c r="D3573" t="s">
        <v>52</v>
      </c>
      <c r="E3573" t="s">
        <v>146</v>
      </c>
      <c r="G3573" t="str">
        <f>HYPERLINK(_xlfn.CONCAT("https://tablet.otzar.org/",CHAR(35),"/book/647431/p/-1/t/1/fs/0/start/0/end/0/c"),"קונטרס השאלות בהלכות סת""""ם")</f>
        <v>קונטרס השאלות בהלכות סת""ם</v>
      </c>
      <c r="H3573" t="str">
        <f>_xlfn.CONCAT("https://tablet.otzar.org/",CHAR(35),"/book/647431/p/-1/t/1/fs/0/start/0/end/0/c")</f>
        <v>https://tablet.otzar.org/#/book/647431/p/-1/t/1/fs/0/start/0/end/0/c</v>
      </c>
    </row>
    <row r="3574" spans="1:8" x14ac:dyDescent="0.25">
      <c r="A3574">
        <v>647968</v>
      </c>
      <c r="B3574" t="s">
        <v>6952</v>
      </c>
      <c r="C3574" t="s">
        <v>6953</v>
      </c>
      <c r="D3574" t="s">
        <v>28</v>
      </c>
      <c r="E3574" t="s">
        <v>213</v>
      </c>
      <c r="G3574" t="str">
        <f>HYPERLINK(_xlfn.CONCAT("https://tablet.otzar.org/",CHAR(35),"/book/647968/p/-1/t/1/fs/0/start/0/end/0/c"),"קונטרס השביעית")</f>
        <v>קונטרס השביעית</v>
      </c>
      <c r="H3574" t="str">
        <f>_xlfn.CONCAT("https://tablet.otzar.org/",CHAR(35),"/book/647968/p/-1/t/1/fs/0/start/0/end/0/c")</f>
        <v>https://tablet.otzar.org/#/book/647968/p/-1/t/1/fs/0/start/0/end/0/c</v>
      </c>
    </row>
    <row r="3575" spans="1:8" x14ac:dyDescent="0.25">
      <c r="A3575">
        <v>654891</v>
      </c>
      <c r="B3575" t="s">
        <v>6954</v>
      </c>
      <c r="C3575" t="s">
        <v>5425</v>
      </c>
      <c r="D3575" t="s">
        <v>10</v>
      </c>
      <c r="E3575" t="s">
        <v>657</v>
      </c>
      <c r="G3575" t="str">
        <f>HYPERLINK(_xlfn.CONCAT("https://tablet.otzar.org/",CHAR(35),"/book/654891/p/-1/t/1/fs/0/start/0/end/0/c"),"קונטרס השיר והשבח")</f>
        <v>קונטרס השיר והשבח</v>
      </c>
      <c r="H3575" t="str">
        <f>_xlfn.CONCAT("https://tablet.otzar.org/",CHAR(35),"/book/654891/p/-1/t/1/fs/0/start/0/end/0/c")</f>
        <v>https://tablet.otzar.org/#/book/654891/p/-1/t/1/fs/0/start/0/end/0/c</v>
      </c>
    </row>
    <row r="3576" spans="1:8" x14ac:dyDescent="0.25">
      <c r="A3576">
        <v>648791</v>
      </c>
      <c r="B3576" t="s">
        <v>6955</v>
      </c>
      <c r="C3576" t="s">
        <v>2178</v>
      </c>
      <c r="D3576" t="s">
        <v>52</v>
      </c>
      <c r="E3576" t="s">
        <v>84</v>
      </c>
      <c r="G3576" t="str">
        <f>HYPERLINK(_xlfn.CONCAT("https://tablet.otzar.org/",CHAR(35),"/book/648791/p/-1/t/1/fs/0/start/0/end/0/c"),"קונטרס התראה ראשונה - חודש אלול")</f>
        <v>קונטרס התראה ראשונה - חודש אלול</v>
      </c>
      <c r="H3576" t="str">
        <f>_xlfn.CONCAT("https://tablet.otzar.org/",CHAR(35),"/book/648791/p/-1/t/1/fs/0/start/0/end/0/c")</f>
        <v>https://tablet.otzar.org/#/book/648791/p/-1/t/1/fs/0/start/0/end/0/c</v>
      </c>
    </row>
    <row r="3577" spans="1:8" x14ac:dyDescent="0.25">
      <c r="A3577">
        <v>650682</v>
      </c>
      <c r="B3577" t="s">
        <v>6956</v>
      </c>
      <c r="C3577" t="s">
        <v>6957</v>
      </c>
      <c r="D3577" t="s">
        <v>6958</v>
      </c>
      <c r="E3577" t="s">
        <v>352</v>
      </c>
      <c r="G3577" t="str">
        <f>HYPERLINK(_xlfn.CONCAT("https://tablet.otzar.org/",CHAR(35),"/exKotar/650682"),"קונטרס התשובות - 4 כרכים")</f>
        <v>קונטרס התשובות - 4 כרכים</v>
      </c>
      <c r="H3577" t="str">
        <f>_xlfn.CONCAT("https://tablet.otzar.org/",CHAR(35),"/exKotar/650682")</f>
        <v>https://tablet.otzar.org/#/exKotar/650682</v>
      </c>
    </row>
    <row r="3578" spans="1:8" x14ac:dyDescent="0.25">
      <c r="A3578">
        <v>648530</v>
      </c>
      <c r="B3578" t="s">
        <v>6959</v>
      </c>
      <c r="C3578" t="s">
        <v>6960</v>
      </c>
      <c r="D3578" t="s">
        <v>287</v>
      </c>
      <c r="E3578" t="s">
        <v>237</v>
      </c>
      <c r="G3578" t="str">
        <f>HYPERLINK(_xlfn.CONCAT("https://tablet.otzar.org/",CHAR(35),"/book/648530/p/-1/t/1/fs/0/start/0/end/0/c"),"קונטרס ובנחה יאמר")</f>
        <v>קונטרס ובנחה יאמר</v>
      </c>
      <c r="H3578" t="str">
        <f>_xlfn.CONCAT("https://tablet.otzar.org/",CHAR(35),"/book/648530/p/-1/t/1/fs/0/start/0/end/0/c")</f>
        <v>https://tablet.otzar.org/#/book/648530/p/-1/t/1/fs/0/start/0/end/0/c</v>
      </c>
    </row>
    <row r="3579" spans="1:8" x14ac:dyDescent="0.25">
      <c r="A3579">
        <v>656403</v>
      </c>
      <c r="B3579" t="s">
        <v>6961</v>
      </c>
      <c r="C3579" t="s">
        <v>1748</v>
      </c>
      <c r="D3579" t="s">
        <v>52</v>
      </c>
      <c r="E3579" t="s">
        <v>84</v>
      </c>
      <c r="G3579" t="str">
        <f>HYPERLINK(_xlfn.CONCAT("https://tablet.otzar.org/",CHAR(35),"/book/656403/p/-1/t/1/fs/0/start/0/end/0/c"),"קונטרס והראנו בבנינו")</f>
        <v>קונטרס והראנו בבנינו</v>
      </c>
      <c r="H3579" t="str">
        <f>_xlfn.CONCAT("https://tablet.otzar.org/",CHAR(35),"/book/656403/p/-1/t/1/fs/0/start/0/end/0/c")</f>
        <v>https://tablet.otzar.org/#/book/656403/p/-1/t/1/fs/0/start/0/end/0/c</v>
      </c>
    </row>
    <row r="3580" spans="1:8" x14ac:dyDescent="0.25">
      <c r="A3580">
        <v>649096</v>
      </c>
      <c r="B3580" t="s">
        <v>6962</v>
      </c>
      <c r="C3580" t="s">
        <v>6963</v>
      </c>
      <c r="D3580" t="s">
        <v>287</v>
      </c>
      <c r="E3580" t="s">
        <v>11</v>
      </c>
      <c r="G3580" t="str">
        <f>HYPERLINK(_xlfn.CONCAT("https://tablet.otzar.org/",CHAR(35),"/book/649096/p/-1/t/1/fs/0/start/0/end/0/c"),"קונטרס והשתיה כדת")</f>
        <v>קונטרס והשתיה כדת</v>
      </c>
      <c r="H3580" t="str">
        <f>_xlfn.CONCAT("https://tablet.otzar.org/",CHAR(35),"/book/649096/p/-1/t/1/fs/0/start/0/end/0/c")</f>
        <v>https://tablet.otzar.org/#/book/649096/p/-1/t/1/fs/0/start/0/end/0/c</v>
      </c>
    </row>
    <row r="3581" spans="1:8" x14ac:dyDescent="0.25">
      <c r="A3581">
        <v>650433</v>
      </c>
      <c r="B3581" t="s">
        <v>6964</v>
      </c>
      <c r="C3581" t="s">
        <v>614</v>
      </c>
      <c r="D3581" t="s">
        <v>34</v>
      </c>
      <c r="E3581" t="s">
        <v>507</v>
      </c>
      <c r="G3581" t="str">
        <f>HYPERLINK(_xlfn.CONCAT("https://tablet.otzar.org/",CHAR(35),"/book/650433/p/-1/t/1/fs/0/start/0/end/0/c"),"קונטרס ויבינו במקרא")</f>
        <v>קונטרס ויבינו במקרא</v>
      </c>
      <c r="H3581" t="str">
        <f>_xlfn.CONCAT("https://tablet.otzar.org/",CHAR(35),"/book/650433/p/-1/t/1/fs/0/start/0/end/0/c")</f>
        <v>https://tablet.otzar.org/#/book/650433/p/-1/t/1/fs/0/start/0/end/0/c</v>
      </c>
    </row>
    <row r="3582" spans="1:8" x14ac:dyDescent="0.25">
      <c r="A3582">
        <v>649405</v>
      </c>
      <c r="B3582" t="s">
        <v>6965</v>
      </c>
      <c r="C3582" t="s">
        <v>6966</v>
      </c>
      <c r="D3582" t="s">
        <v>340</v>
      </c>
      <c r="E3582" t="s">
        <v>45</v>
      </c>
      <c r="G3582" t="str">
        <f>HYPERLINK(_xlfn.CONCAT("https://tablet.otzar.org/",CHAR(35),"/book/649405/p/-1/t/1/fs/0/start/0/end/0/c"),"קונטרס וידבר משה")</f>
        <v>קונטרס וידבר משה</v>
      </c>
      <c r="H3582" t="str">
        <f>_xlfn.CONCAT("https://tablet.otzar.org/",CHAR(35),"/book/649405/p/-1/t/1/fs/0/start/0/end/0/c")</f>
        <v>https://tablet.otzar.org/#/book/649405/p/-1/t/1/fs/0/start/0/end/0/c</v>
      </c>
    </row>
    <row r="3583" spans="1:8" x14ac:dyDescent="0.25">
      <c r="A3583">
        <v>648799</v>
      </c>
      <c r="B3583" t="s">
        <v>6967</v>
      </c>
      <c r="C3583" t="s">
        <v>6968</v>
      </c>
      <c r="D3583" t="s">
        <v>34</v>
      </c>
      <c r="E3583" t="s">
        <v>11</v>
      </c>
      <c r="G3583" t="str">
        <f>HYPERLINK(_xlfn.CONCAT("https://tablet.otzar.org/",CHAR(35),"/book/648799/p/-1/t/1/fs/0/start/0/end/0/c"),"קונטרס זכות אבות")</f>
        <v>קונטרס זכות אבות</v>
      </c>
      <c r="H3583" t="str">
        <f>_xlfn.CONCAT("https://tablet.otzar.org/",CHAR(35),"/book/648799/p/-1/t/1/fs/0/start/0/end/0/c")</f>
        <v>https://tablet.otzar.org/#/book/648799/p/-1/t/1/fs/0/start/0/end/0/c</v>
      </c>
    </row>
    <row r="3584" spans="1:8" x14ac:dyDescent="0.25">
      <c r="A3584">
        <v>649289</v>
      </c>
      <c r="B3584" t="s">
        <v>6969</v>
      </c>
      <c r="C3584" t="s">
        <v>4413</v>
      </c>
      <c r="D3584" t="s">
        <v>10</v>
      </c>
      <c r="E3584" t="s">
        <v>5738</v>
      </c>
      <c r="G3584" t="str">
        <f>HYPERLINK(_xlfn.CONCAT("https://tablet.otzar.org/",CHAR(35),"/book/649289/p/-1/t/1/fs/0/start/0/end/0/c"),"קונטרס זכות הרבים")</f>
        <v>קונטרס זכות הרבים</v>
      </c>
      <c r="H3584" t="str">
        <f>_xlfn.CONCAT("https://tablet.otzar.org/",CHAR(35),"/book/649289/p/-1/t/1/fs/0/start/0/end/0/c")</f>
        <v>https://tablet.otzar.org/#/book/649289/p/-1/t/1/fs/0/start/0/end/0/c</v>
      </c>
    </row>
    <row r="3585" spans="1:8" x14ac:dyDescent="0.25">
      <c r="A3585">
        <v>651613</v>
      </c>
      <c r="B3585" t="s">
        <v>6970</v>
      </c>
      <c r="C3585" t="s">
        <v>6971</v>
      </c>
      <c r="D3585" t="s">
        <v>139</v>
      </c>
      <c r="E3585" t="s">
        <v>558</v>
      </c>
      <c r="G3585" t="str">
        <f>HYPERLINK(_xlfn.CONCAT("https://tablet.otzar.org/",CHAR(35),"/book/651613/p/-1/t/1/fs/0/start/0/end/0/c"),"קונטרס זכות יצחק - פרק המניח")</f>
        <v>קונטרס זכות יצחק - פרק המניח</v>
      </c>
      <c r="H3585" t="str">
        <f>_xlfn.CONCAT("https://tablet.otzar.org/",CHAR(35),"/book/651613/p/-1/t/1/fs/0/start/0/end/0/c")</f>
        <v>https://tablet.otzar.org/#/book/651613/p/-1/t/1/fs/0/start/0/end/0/c</v>
      </c>
    </row>
    <row r="3586" spans="1:8" x14ac:dyDescent="0.25">
      <c r="A3586">
        <v>651895</v>
      </c>
      <c r="B3586" t="s">
        <v>6972</v>
      </c>
      <c r="C3586" t="s">
        <v>6973</v>
      </c>
      <c r="E3586" t="s">
        <v>11</v>
      </c>
      <c r="G3586" t="str">
        <f>HYPERLINK(_xlfn.CONCAT("https://tablet.otzar.org/",CHAR(35),"/book/651895/p/-1/t/1/fs/0/start/0/end/0/c"),"קונטרס זכר יצחק")</f>
        <v>קונטרס זכר יצחק</v>
      </c>
      <c r="H3586" t="str">
        <f>_xlfn.CONCAT("https://tablet.otzar.org/",CHAR(35),"/book/651895/p/-1/t/1/fs/0/start/0/end/0/c")</f>
        <v>https://tablet.otzar.org/#/book/651895/p/-1/t/1/fs/0/start/0/end/0/c</v>
      </c>
    </row>
    <row r="3587" spans="1:8" x14ac:dyDescent="0.25">
      <c r="A3587">
        <v>650918</v>
      </c>
      <c r="B3587" t="s">
        <v>6974</v>
      </c>
      <c r="C3587" t="s">
        <v>6975</v>
      </c>
      <c r="D3587" t="s">
        <v>10</v>
      </c>
      <c r="E3587" t="s">
        <v>11</v>
      </c>
      <c r="G3587" t="str">
        <f>HYPERLINK(_xlfn.CONCAT("https://tablet.otzar.org/",CHAR(35),"/book/650918/p/-1/t/1/fs/0/start/0/end/0/c"),"קונטרס זכרון דוד")</f>
        <v>קונטרס זכרון דוד</v>
      </c>
      <c r="H3587" t="str">
        <f>_xlfn.CONCAT("https://tablet.otzar.org/",CHAR(35),"/book/650918/p/-1/t/1/fs/0/start/0/end/0/c")</f>
        <v>https://tablet.otzar.org/#/book/650918/p/-1/t/1/fs/0/start/0/end/0/c</v>
      </c>
    </row>
    <row r="3588" spans="1:8" x14ac:dyDescent="0.25">
      <c r="A3588">
        <v>651541</v>
      </c>
      <c r="B3588" t="s">
        <v>6974</v>
      </c>
      <c r="C3588" t="s">
        <v>6976</v>
      </c>
      <c r="D3588" t="s">
        <v>287</v>
      </c>
      <c r="E3588" t="s">
        <v>11</v>
      </c>
      <c r="G3588" t="str">
        <f>HYPERLINK(_xlfn.CONCAT("https://tablet.otzar.org/",CHAR(35),"/book/651541/p/-1/t/1/fs/0/start/0/end/0/c"),"קונטרס זכרון דוד")</f>
        <v>קונטרס זכרון דוד</v>
      </c>
      <c r="H3588" t="str">
        <f>_xlfn.CONCAT("https://tablet.otzar.org/",CHAR(35),"/book/651541/p/-1/t/1/fs/0/start/0/end/0/c")</f>
        <v>https://tablet.otzar.org/#/book/651541/p/-1/t/1/fs/0/start/0/end/0/c</v>
      </c>
    </row>
    <row r="3589" spans="1:8" x14ac:dyDescent="0.25">
      <c r="A3589">
        <v>651421</v>
      </c>
      <c r="B3589" t="s">
        <v>6977</v>
      </c>
      <c r="C3589" t="s">
        <v>6978</v>
      </c>
      <c r="D3589" t="s">
        <v>10</v>
      </c>
      <c r="E3589" t="s">
        <v>383</v>
      </c>
      <c r="G3589" t="str">
        <f>HYPERLINK(_xlfn.CONCAT("https://tablet.otzar.org/",CHAR(35),"/book/651421/p/-1/t/1/fs/0/start/0/end/0/c"),"קונטרס זכרון מרדכי - בבא קמא")</f>
        <v>קונטרס זכרון מרדכי - בבא קמא</v>
      </c>
      <c r="H3589" t="str">
        <f>_xlfn.CONCAT("https://tablet.otzar.org/",CHAR(35),"/book/651421/p/-1/t/1/fs/0/start/0/end/0/c")</f>
        <v>https://tablet.otzar.org/#/book/651421/p/-1/t/1/fs/0/start/0/end/0/c</v>
      </c>
    </row>
    <row r="3590" spans="1:8" x14ac:dyDescent="0.25">
      <c r="A3590">
        <v>647673</v>
      </c>
      <c r="B3590" t="s">
        <v>6979</v>
      </c>
      <c r="C3590" t="s">
        <v>6980</v>
      </c>
      <c r="D3590" t="s">
        <v>277</v>
      </c>
      <c r="E3590" t="s">
        <v>11</v>
      </c>
      <c r="G3590" t="str">
        <f>HYPERLINK(_xlfn.CONCAT("https://tablet.otzar.org/",CHAR(35),"/book/647673/p/-1/t/1/fs/0/start/0/end/0/c"),"קונטרס זכרון ניסים - גיטין")</f>
        <v>קונטרס זכרון ניסים - גיטין</v>
      </c>
      <c r="H3590" t="str">
        <f>_xlfn.CONCAT("https://tablet.otzar.org/",CHAR(35),"/book/647673/p/-1/t/1/fs/0/start/0/end/0/c")</f>
        <v>https://tablet.otzar.org/#/book/647673/p/-1/t/1/fs/0/start/0/end/0/c</v>
      </c>
    </row>
    <row r="3591" spans="1:8" x14ac:dyDescent="0.25">
      <c r="A3591">
        <v>656130</v>
      </c>
      <c r="B3591" t="s">
        <v>6981</v>
      </c>
      <c r="C3591" t="s">
        <v>6982</v>
      </c>
      <c r="D3591" t="s">
        <v>34</v>
      </c>
      <c r="E3591" t="s">
        <v>29</v>
      </c>
      <c r="G3591" t="str">
        <f>HYPERLINK(_xlfn.CONCAT("https://tablet.otzar.org/",CHAR(35),"/book/656130/p/-1/t/1/fs/0/start/0/end/0/c"),"קונטרס זכרון שלום - א")</f>
        <v>קונטרס זכרון שלום - א</v>
      </c>
      <c r="H3591" t="str">
        <f>_xlfn.CONCAT("https://tablet.otzar.org/",CHAR(35),"/book/656130/p/-1/t/1/fs/0/start/0/end/0/c")</f>
        <v>https://tablet.otzar.org/#/book/656130/p/-1/t/1/fs/0/start/0/end/0/c</v>
      </c>
    </row>
    <row r="3592" spans="1:8" x14ac:dyDescent="0.25">
      <c r="A3592">
        <v>639544</v>
      </c>
      <c r="B3592" t="s">
        <v>6983</v>
      </c>
      <c r="C3592" t="s">
        <v>6984</v>
      </c>
      <c r="D3592" t="s">
        <v>52</v>
      </c>
      <c r="E3592" t="s">
        <v>45</v>
      </c>
      <c r="G3592" t="str">
        <f>HYPERLINK(_xlfn.CONCAT("https://tablet.otzar.org/",CHAR(35),"/book/639544/p/-1/t/1/fs/0/start/0/end/0/c"),"קונטרס חודש האביב")</f>
        <v>קונטרס חודש האביב</v>
      </c>
      <c r="H3592" t="str">
        <f>_xlfn.CONCAT("https://tablet.otzar.org/",CHAR(35),"/book/639544/p/-1/t/1/fs/0/start/0/end/0/c")</f>
        <v>https://tablet.otzar.org/#/book/639544/p/-1/t/1/fs/0/start/0/end/0/c</v>
      </c>
    </row>
    <row r="3593" spans="1:8" x14ac:dyDescent="0.25">
      <c r="A3593">
        <v>651045</v>
      </c>
      <c r="B3593" t="s">
        <v>6983</v>
      </c>
      <c r="C3593" t="s">
        <v>1923</v>
      </c>
      <c r="D3593" t="s">
        <v>52</v>
      </c>
      <c r="E3593" t="s">
        <v>45</v>
      </c>
      <c r="G3593" t="str">
        <f>HYPERLINK(_xlfn.CONCAT("https://tablet.otzar.org/",CHAR(35),"/book/651045/p/-1/t/1/fs/0/start/0/end/0/c"),"קונטרס חודש האביב")</f>
        <v>קונטרס חודש האביב</v>
      </c>
      <c r="H3593" t="str">
        <f>_xlfn.CONCAT("https://tablet.otzar.org/",CHAR(35),"/book/651045/p/-1/t/1/fs/0/start/0/end/0/c")</f>
        <v>https://tablet.otzar.org/#/book/651045/p/-1/t/1/fs/0/start/0/end/0/c</v>
      </c>
    </row>
    <row r="3594" spans="1:8" x14ac:dyDescent="0.25">
      <c r="A3594">
        <v>651598</v>
      </c>
      <c r="B3594" t="s">
        <v>6985</v>
      </c>
      <c r="C3594" t="s">
        <v>6617</v>
      </c>
      <c r="D3594" t="s">
        <v>10</v>
      </c>
      <c r="E3594" t="s">
        <v>405</v>
      </c>
      <c r="G3594" t="str">
        <f>HYPERLINK(_xlfn.CONCAT("https://tablet.otzar.org/",CHAR(35),"/book/651598/p/-1/t/1/fs/0/start/0/end/0/c"),"קונטרס חידו""""ת - כתובות")</f>
        <v>קונטרס חידו""ת - כתובות</v>
      </c>
      <c r="H3594" t="str">
        <f>_xlfn.CONCAT("https://tablet.otzar.org/",CHAR(35),"/book/651598/p/-1/t/1/fs/0/start/0/end/0/c")</f>
        <v>https://tablet.otzar.org/#/book/651598/p/-1/t/1/fs/0/start/0/end/0/c</v>
      </c>
    </row>
    <row r="3595" spans="1:8" x14ac:dyDescent="0.25">
      <c r="A3595">
        <v>647644</v>
      </c>
      <c r="B3595" t="s">
        <v>6986</v>
      </c>
      <c r="C3595" t="s">
        <v>6898</v>
      </c>
      <c r="E3595" t="s">
        <v>1364</v>
      </c>
      <c r="G3595" t="str">
        <f>HYPERLINK(_xlfn.CONCAT("https://tablet.otzar.org/",CHAR(35),"/book/647644/p/-1/t/1/fs/0/start/0/end/0/c"),"קונטרס חידושי תורה - דרשות הושענא רבא שנת תשי""""א")</f>
        <v>קונטרס חידושי תורה - דרשות הושענא רבא שנת תשי""א</v>
      </c>
      <c r="H3595" t="str">
        <f>_xlfn.CONCAT("https://tablet.otzar.org/",CHAR(35),"/book/647644/p/-1/t/1/fs/0/start/0/end/0/c")</f>
        <v>https://tablet.otzar.org/#/book/647644/p/-1/t/1/fs/0/start/0/end/0/c</v>
      </c>
    </row>
    <row r="3596" spans="1:8" x14ac:dyDescent="0.25">
      <c r="A3596">
        <v>649805</v>
      </c>
      <c r="B3596" t="s">
        <v>6987</v>
      </c>
      <c r="C3596" t="s">
        <v>1874</v>
      </c>
      <c r="E3596" t="s">
        <v>780</v>
      </c>
      <c r="G3596" t="str">
        <f>HYPERLINK(_xlfn.CONCAT("https://tablet.otzar.org/",CHAR(35),"/exKotar/649805"),"קונטרס חידושי תורה - 2 כרכים")</f>
        <v>קונטרס חידושי תורה - 2 כרכים</v>
      </c>
      <c r="H3596" t="str">
        <f>_xlfn.CONCAT("https://tablet.otzar.org/",CHAR(35),"/exKotar/649805")</f>
        <v>https://tablet.otzar.org/#/exKotar/649805</v>
      </c>
    </row>
    <row r="3597" spans="1:8" x14ac:dyDescent="0.25">
      <c r="A3597">
        <v>650171</v>
      </c>
      <c r="B3597" t="s">
        <v>6988</v>
      </c>
      <c r="C3597" t="s">
        <v>3184</v>
      </c>
      <c r="E3597" t="s">
        <v>416</v>
      </c>
      <c r="G3597" t="str">
        <f>HYPERLINK(_xlfn.CONCAT("https://tablet.otzar.org/",CHAR(35),"/book/650171/p/-1/t/1/fs/0/start/0/end/0/c"),"קונטרס חידושי תורה מהר""""ם ט""""ב - פסח, שבועות")</f>
        <v>קונטרס חידושי תורה מהר""ם ט""ב - פסח, שבועות</v>
      </c>
      <c r="H3597" t="str">
        <f>_xlfn.CONCAT("https://tablet.otzar.org/",CHAR(35),"/book/650171/p/-1/t/1/fs/0/start/0/end/0/c")</f>
        <v>https://tablet.otzar.org/#/book/650171/p/-1/t/1/fs/0/start/0/end/0/c</v>
      </c>
    </row>
    <row r="3598" spans="1:8" x14ac:dyDescent="0.25">
      <c r="A3598">
        <v>649901</v>
      </c>
      <c r="B3598" t="s">
        <v>6989</v>
      </c>
      <c r="C3598" t="s">
        <v>6990</v>
      </c>
      <c r="D3598" t="s">
        <v>34</v>
      </c>
      <c r="E3598" t="s">
        <v>70</v>
      </c>
      <c r="G3598" t="str">
        <f>HYPERLINK(_xlfn.CONCAT("https://tablet.otzar.org/",CHAR(35),"/book/649901/p/-1/t/1/fs/0/start/0/end/0/c"),"קונטרס חלון התיבה - פורים")</f>
        <v>קונטרס חלון התיבה - פורים</v>
      </c>
      <c r="H3598" t="str">
        <f>_xlfn.CONCAT("https://tablet.otzar.org/",CHAR(35),"/book/649901/p/-1/t/1/fs/0/start/0/end/0/c")</f>
        <v>https://tablet.otzar.org/#/book/649901/p/-1/t/1/fs/0/start/0/end/0/c</v>
      </c>
    </row>
    <row r="3599" spans="1:8" x14ac:dyDescent="0.25">
      <c r="A3599">
        <v>656183</v>
      </c>
      <c r="B3599" t="s">
        <v>6991</v>
      </c>
      <c r="C3599" t="s">
        <v>3430</v>
      </c>
      <c r="D3599" t="s">
        <v>52</v>
      </c>
      <c r="E3599" t="s">
        <v>45</v>
      </c>
      <c r="G3599" t="str">
        <f>HYPERLINK(_xlfn.CONCAT("https://tablet.otzar.org/",CHAR(35),"/book/656183/p/-1/t/1/fs/0/start/0/end/0/c"),"קונטרס חלקו של ידיד")</f>
        <v>קונטרס חלקו של ידיד</v>
      </c>
      <c r="H3599" t="str">
        <f>_xlfn.CONCAT("https://tablet.otzar.org/",CHAR(35),"/book/656183/p/-1/t/1/fs/0/start/0/end/0/c")</f>
        <v>https://tablet.otzar.org/#/book/656183/p/-1/t/1/fs/0/start/0/end/0/c</v>
      </c>
    </row>
    <row r="3600" spans="1:8" x14ac:dyDescent="0.25">
      <c r="A3600">
        <v>647999</v>
      </c>
      <c r="B3600" t="s">
        <v>6992</v>
      </c>
      <c r="C3600" t="s">
        <v>6993</v>
      </c>
      <c r="D3600" t="s">
        <v>52</v>
      </c>
      <c r="E3600" t="s">
        <v>213</v>
      </c>
      <c r="G3600" t="str">
        <f>HYPERLINK(_xlfn.CONCAT("https://tablet.otzar.org/",CHAR(35),"/book/647999/p/-1/t/1/fs/0/start/0/end/0/c"),"קונטרס חמדת משה - חנוכה")</f>
        <v>קונטרס חמדת משה - חנוכה</v>
      </c>
      <c r="H3600" t="str">
        <f>_xlfn.CONCAT("https://tablet.otzar.org/",CHAR(35),"/book/647999/p/-1/t/1/fs/0/start/0/end/0/c")</f>
        <v>https://tablet.otzar.org/#/book/647999/p/-1/t/1/fs/0/start/0/end/0/c</v>
      </c>
    </row>
    <row r="3601" spans="1:8" x14ac:dyDescent="0.25">
      <c r="A3601">
        <v>650810</v>
      </c>
      <c r="B3601" t="s">
        <v>6994</v>
      </c>
      <c r="C3601" t="s">
        <v>6995</v>
      </c>
      <c r="D3601" t="s">
        <v>34</v>
      </c>
      <c r="E3601" t="s">
        <v>70</v>
      </c>
      <c r="G3601" t="str">
        <f>HYPERLINK(_xlfn.CONCAT("https://tablet.otzar.org/",CHAR(35),"/book/650810/p/-1/t/1/fs/0/start/0/end/0/c"),"קונטרס טוב יהודה")</f>
        <v>קונטרס טוב יהודה</v>
      </c>
      <c r="H3601" t="str">
        <f>_xlfn.CONCAT("https://tablet.otzar.org/",CHAR(35),"/book/650810/p/-1/t/1/fs/0/start/0/end/0/c")</f>
        <v>https://tablet.otzar.org/#/book/650810/p/-1/t/1/fs/0/start/0/end/0/c</v>
      </c>
    </row>
    <row r="3602" spans="1:8" x14ac:dyDescent="0.25">
      <c r="A3602">
        <v>651876</v>
      </c>
      <c r="B3602" t="s">
        <v>6996</v>
      </c>
      <c r="C3602" t="s">
        <v>6997</v>
      </c>
      <c r="D3602" t="s">
        <v>52</v>
      </c>
      <c r="E3602" t="s">
        <v>11</v>
      </c>
      <c r="G3602" t="str">
        <f>HYPERLINK(_xlfn.CONCAT("https://tablet.otzar.org/",CHAR(35),"/book/651876/p/-1/t/1/fs/0/start/0/end/0/c"),"קונטרס טובים השניים")</f>
        <v>קונטרס טובים השניים</v>
      </c>
      <c r="H3602" t="str">
        <f>_xlfn.CONCAT("https://tablet.otzar.org/",CHAR(35),"/book/651876/p/-1/t/1/fs/0/start/0/end/0/c")</f>
        <v>https://tablet.otzar.org/#/book/651876/p/-1/t/1/fs/0/start/0/end/0/c</v>
      </c>
    </row>
    <row r="3603" spans="1:8" x14ac:dyDescent="0.25">
      <c r="A3603">
        <v>651573</v>
      </c>
      <c r="B3603" t="s">
        <v>6998</v>
      </c>
      <c r="C3603" t="s">
        <v>143</v>
      </c>
      <c r="E3603" t="s">
        <v>45</v>
      </c>
      <c r="G3603" t="str">
        <f>HYPERLINK(_xlfn.CONCAT("https://tablet.otzar.org/",CHAR(35),"/book/651573/p/-1/t/1/fs/0/start/0/end/0/c"),"קונטרס טללי נוחם")</f>
        <v>קונטרס טללי נוחם</v>
      </c>
      <c r="H3603" t="str">
        <f>_xlfn.CONCAT("https://tablet.otzar.org/",CHAR(35),"/book/651573/p/-1/t/1/fs/0/start/0/end/0/c")</f>
        <v>https://tablet.otzar.org/#/book/651573/p/-1/t/1/fs/0/start/0/end/0/c</v>
      </c>
    </row>
    <row r="3604" spans="1:8" x14ac:dyDescent="0.25">
      <c r="A3604">
        <v>651225</v>
      </c>
      <c r="B3604" t="s">
        <v>6999</v>
      </c>
      <c r="C3604" t="s">
        <v>7000</v>
      </c>
      <c r="D3604" t="s">
        <v>34</v>
      </c>
      <c r="E3604" t="s">
        <v>405</v>
      </c>
      <c r="G3604" t="str">
        <f>HYPERLINK(_xlfn.CONCAT("https://tablet.otzar.org/",CHAR(35),"/book/651225/p/-1/t/1/fs/0/start/0/end/0/c"),"קונטרס ידי משה")</f>
        <v>קונטרס ידי משה</v>
      </c>
      <c r="H3604" t="str">
        <f>_xlfn.CONCAT("https://tablet.otzar.org/",CHAR(35),"/book/651225/p/-1/t/1/fs/0/start/0/end/0/c")</f>
        <v>https://tablet.otzar.org/#/book/651225/p/-1/t/1/fs/0/start/0/end/0/c</v>
      </c>
    </row>
    <row r="3605" spans="1:8" x14ac:dyDescent="0.25">
      <c r="A3605">
        <v>653411</v>
      </c>
      <c r="B3605" t="s">
        <v>7001</v>
      </c>
      <c r="C3605" t="s">
        <v>5606</v>
      </c>
      <c r="D3605" t="s">
        <v>340</v>
      </c>
      <c r="E3605" t="s">
        <v>383</v>
      </c>
      <c r="G3605" t="str">
        <f>HYPERLINK(_xlfn.CONCAT("https://tablet.otzar.org/",CHAR(35),"/book/653411/p/-1/t/1/fs/0/start/0/end/0/c"),"קונטרס יום סליחה")</f>
        <v>קונטרס יום סליחה</v>
      </c>
      <c r="H3605" t="str">
        <f>_xlfn.CONCAT("https://tablet.otzar.org/",CHAR(35),"/book/653411/p/-1/t/1/fs/0/start/0/end/0/c")</f>
        <v>https://tablet.otzar.org/#/book/653411/p/-1/t/1/fs/0/start/0/end/0/c</v>
      </c>
    </row>
    <row r="3606" spans="1:8" x14ac:dyDescent="0.25">
      <c r="A3606">
        <v>650377</v>
      </c>
      <c r="B3606" t="s">
        <v>7002</v>
      </c>
      <c r="C3606" t="s">
        <v>7003</v>
      </c>
      <c r="D3606" t="s">
        <v>52</v>
      </c>
      <c r="E3606" t="s">
        <v>11</v>
      </c>
      <c r="G3606" t="str">
        <f>HYPERLINK(_xlfn.CONCAT("https://tablet.otzar.org/",CHAR(35),"/book/650377/p/-1/t/1/fs/0/start/0/end/0/c"),"קונטרס יומא דאילנא")</f>
        <v>קונטרס יומא דאילנא</v>
      </c>
      <c r="H3606" t="str">
        <f>_xlfn.CONCAT("https://tablet.otzar.org/",CHAR(35),"/book/650377/p/-1/t/1/fs/0/start/0/end/0/c")</f>
        <v>https://tablet.otzar.org/#/book/650377/p/-1/t/1/fs/0/start/0/end/0/c</v>
      </c>
    </row>
    <row r="3607" spans="1:8" x14ac:dyDescent="0.25">
      <c r="A3607">
        <v>649185</v>
      </c>
      <c r="B3607" t="s">
        <v>7004</v>
      </c>
      <c r="C3607" t="s">
        <v>69</v>
      </c>
      <c r="D3607" t="s">
        <v>34</v>
      </c>
      <c r="E3607" t="s">
        <v>70</v>
      </c>
      <c r="G3607" t="str">
        <f>HYPERLINK(_xlfn.CONCAT("https://tablet.otzar.org/",CHAR(35),"/book/649185/p/-1/t/1/fs/0/start/0/end/0/c"),"קונטרס יומא טבא לרבנן")</f>
        <v>קונטרס יומא טבא לרבנן</v>
      </c>
      <c r="H3607" t="str">
        <f>_xlfn.CONCAT("https://tablet.otzar.org/",CHAR(35),"/book/649185/p/-1/t/1/fs/0/start/0/end/0/c")</f>
        <v>https://tablet.otzar.org/#/book/649185/p/-1/t/1/fs/0/start/0/end/0/c</v>
      </c>
    </row>
    <row r="3608" spans="1:8" x14ac:dyDescent="0.25">
      <c r="A3608">
        <v>656185</v>
      </c>
      <c r="B3608" t="s">
        <v>7005</v>
      </c>
      <c r="C3608" t="s">
        <v>7006</v>
      </c>
      <c r="D3608" t="s">
        <v>139</v>
      </c>
      <c r="E3608" t="s">
        <v>35</v>
      </c>
      <c r="G3608" t="str">
        <f>HYPERLINK(_xlfn.CONCAT("https://tablet.otzar.org/",CHAR(35),"/book/656185/p/-1/t/1/fs/0/start/0/end/0/c"),"קונטרס יוצר אור")</f>
        <v>קונטרס יוצר אור</v>
      </c>
      <c r="H3608" t="str">
        <f>_xlfn.CONCAT("https://tablet.otzar.org/",CHAR(35),"/book/656185/p/-1/t/1/fs/0/start/0/end/0/c")</f>
        <v>https://tablet.otzar.org/#/book/656185/p/-1/t/1/fs/0/start/0/end/0/c</v>
      </c>
    </row>
    <row r="3609" spans="1:8" x14ac:dyDescent="0.25">
      <c r="A3609">
        <v>651406</v>
      </c>
      <c r="B3609" t="s">
        <v>7007</v>
      </c>
      <c r="C3609" t="s">
        <v>7008</v>
      </c>
      <c r="D3609" t="s">
        <v>52</v>
      </c>
      <c r="E3609" t="s">
        <v>45</v>
      </c>
      <c r="G3609" t="str">
        <f>HYPERLINK(_xlfn.CONCAT("https://tablet.otzar.org/",CHAR(35),"/book/651406/p/-1/t/1/fs/0/start/0/end/0/c"),"קונטרס יין ישמח")</f>
        <v>קונטרס יין ישמח</v>
      </c>
      <c r="H3609" t="str">
        <f>_xlfn.CONCAT("https://tablet.otzar.org/",CHAR(35),"/book/651406/p/-1/t/1/fs/0/start/0/end/0/c")</f>
        <v>https://tablet.otzar.org/#/book/651406/p/-1/t/1/fs/0/start/0/end/0/c</v>
      </c>
    </row>
    <row r="3610" spans="1:8" x14ac:dyDescent="0.25">
      <c r="A3610">
        <v>654241</v>
      </c>
      <c r="B3610" t="s">
        <v>7009</v>
      </c>
      <c r="C3610" t="s">
        <v>7010</v>
      </c>
      <c r="D3610" t="s">
        <v>7011</v>
      </c>
      <c r="E3610" t="s">
        <v>11</v>
      </c>
      <c r="G3610" t="str">
        <f>HYPERLINK(_xlfn.CONCAT("https://tablet.otzar.org/",CHAR(35),"/book/654241/p/-1/t/1/fs/0/start/0/end/0/c"),"קונטרס יקרה היא מפנינים - מועדים א")</f>
        <v>קונטרס יקרה היא מפנינים - מועדים א</v>
      </c>
      <c r="H3610" t="str">
        <f>_xlfn.CONCAT("https://tablet.otzar.org/",CHAR(35),"/book/654241/p/-1/t/1/fs/0/start/0/end/0/c")</f>
        <v>https://tablet.otzar.org/#/book/654241/p/-1/t/1/fs/0/start/0/end/0/c</v>
      </c>
    </row>
    <row r="3611" spans="1:8" x14ac:dyDescent="0.25">
      <c r="A3611">
        <v>648292</v>
      </c>
      <c r="B3611" t="s">
        <v>7012</v>
      </c>
      <c r="C3611" t="s">
        <v>7013</v>
      </c>
      <c r="D3611" t="s">
        <v>7014</v>
      </c>
      <c r="E3611" t="s">
        <v>89</v>
      </c>
      <c r="G3611" t="str">
        <f>HYPERLINK(_xlfn.CONCAT("https://tablet.otzar.org/",CHAR(35),"/book/648292/p/-1/t/1/fs/0/start/0/end/0/c"),"קונטרס ירח איתנים")</f>
        <v>קונטרס ירח איתנים</v>
      </c>
      <c r="H3611" t="str">
        <f>_xlfn.CONCAT("https://tablet.otzar.org/",CHAR(35),"/book/648292/p/-1/t/1/fs/0/start/0/end/0/c")</f>
        <v>https://tablet.otzar.org/#/book/648292/p/-1/t/1/fs/0/start/0/end/0/c</v>
      </c>
    </row>
    <row r="3612" spans="1:8" x14ac:dyDescent="0.25">
      <c r="A3612">
        <v>653382</v>
      </c>
      <c r="B3612" t="s">
        <v>7015</v>
      </c>
      <c r="C3612" t="s">
        <v>6689</v>
      </c>
      <c r="D3612" t="s">
        <v>34</v>
      </c>
      <c r="E3612" t="s">
        <v>11</v>
      </c>
      <c r="G3612" t="str">
        <f>HYPERLINK(_xlfn.CONCAT("https://tablet.otzar.org/",CHAR(35),"/book/653382/p/-1/t/1/fs/0/start/0/end/0/c"),"קונטרס כבוד התורה")</f>
        <v>קונטרס כבוד התורה</v>
      </c>
      <c r="H3612" t="str">
        <f>_xlfn.CONCAT("https://tablet.otzar.org/",CHAR(35),"/book/653382/p/-1/t/1/fs/0/start/0/end/0/c")</f>
        <v>https://tablet.otzar.org/#/book/653382/p/-1/t/1/fs/0/start/0/end/0/c</v>
      </c>
    </row>
    <row r="3613" spans="1:8" x14ac:dyDescent="0.25">
      <c r="A3613">
        <v>651761</v>
      </c>
      <c r="B3613" t="s">
        <v>7016</v>
      </c>
      <c r="C3613" t="s">
        <v>1030</v>
      </c>
      <c r="D3613" t="s">
        <v>948</v>
      </c>
      <c r="E3613" t="s">
        <v>213</v>
      </c>
      <c r="G3613" t="str">
        <f>HYPERLINK(_xlfn.CONCAT("https://tablet.otzar.org/",CHAR(35),"/book/651761/p/-1/t/1/fs/0/start/0/end/0/c"),"קונטרס כוס ישועות")</f>
        <v>קונטרס כוס ישועות</v>
      </c>
      <c r="H3613" t="str">
        <f>_xlfn.CONCAT("https://tablet.otzar.org/",CHAR(35),"/book/651761/p/-1/t/1/fs/0/start/0/end/0/c")</f>
        <v>https://tablet.otzar.org/#/book/651761/p/-1/t/1/fs/0/start/0/end/0/c</v>
      </c>
    </row>
    <row r="3614" spans="1:8" x14ac:dyDescent="0.25">
      <c r="A3614">
        <v>648747</v>
      </c>
      <c r="B3614" t="s">
        <v>7017</v>
      </c>
      <c r="C3614" t="s">
        <v>6984</v>
      </c>
      <c r="D3614" t="s">
        <v>52</v>
      </c>
      <c r="E3614" t="s">
        <v>11</v>
      </c>
      <c r="G3614" t="str">
        <f>HYPERLINK(_xlfn.CONCAT("https://tablet.otzar.org/",CHAR(35),"/book/648747/p/-1/t/1/fs/0/start/0/end/0/c"),"קונטרס כי לא על הלחם לבדו")</f>
        <v>קונטרס כי לא על הלחם לבדו</v>
      </c>
      <c r="H3614" t="str">
        <f>_xlfn.CONCAT("https://tablet.otzar.org/",CHAR(35),"/book/648747/p/-1/t/1/fs/0/start/0/end/0/c")</f>
        <v>https://tablet.otzar.org/#/book/648747/p/-1/t/1/fs/0/start/0/end/0/c</v>
      </c>
    </row>
    <row r="3615" spans="1:8" x14ac:dyDescent="0.25">
      <c r="A3615">
        <v>654382</v>
      </c>
      <c r="B3615" t="s">
        <v>7018</v>
      </c>
      <c r="C3615" t="s">
        <v>893</v>
      </c>
      <c r="D3615" t="s">
        <v>52</v>
      </c>
      <c r="E3615" t="s">
        <v>11</v>
      </c>
      <c r="G3615" t="str">
        <f>HYPERLINK(_xlfn.CONCAT("https://tablet.otzar.org/",CHAR(35),"/book/654382/p/-1/t/1/fs/0/start/0/end/0/c"),"קונטרס כיון שאנו מחכים")</f>
        <v>קונטרס כיון שאנו מחכים</v>
      </c>
      <c r="H3615" t="str">
        <f>_xlfn.CONCAT("https://tablet.otzar.org/",CHAR(35),"/book/654382/p/-1/t/1/fs/0/start/0/end/0/c")</f>
        <v>https://tablet.otzar.org/#/book/654382/p/-1/t/1/fs/0/start/0/end/0/c</v>
      </c>
    </row>
    <row r="3616" spans="1:8" x14ac:dyDescent="0.25">
      <c r="A3616">
        <v>656187</v>
      </c>
      <c r="B3616" t="s">
        <v>7019</v>
      </c>
      <c r="C3616" t="s">
        <v>7020</v>
      </c>
      <c r="D3616" t="s">
        <v>34</v>
      </c>
      <c r="E3616" t="s">
        <v>35</v>
      </c>
      <c r="G3616" t="str">
        <f>HYPERLINK(_xlfn.CONCAT("https://tablet.otzar.org/",CHAR(35),"/book/656187/p/-1/t/1/fs/0/start/0/end/0/c"),"קונטרס כל הראוי")</f>
        <v>קונטרס כל הראוי</v>
      </c>
      <c r="H3616" t="str">
        <f>_xlfn.CONCAT("https://tablet.otzar.org/",CHAR(35),"/book/656187/p/-1/t/1/fs/0/start/0/end/0/c")</f>
        <v>https://tablet.otzar.org/#/book/656187/p/-1/t/1/fs/0/start/0/end/0/c</v>
      </c>
    </row>
    <row r="3617" spans="1:8" x14ac:dyDescent="0.25">
      <c r="A3617">
        <v>656189</v>
      </c>
      <c r="B3617" t="s">
        <v>7021</v>
      </c>
      <c r="C3617" t="s">
        <v>3665</v>
      </c>
      <c r="D3617" t="s">
        <v>52</v>
      </c>
      <c r="E3617" t="s">
        <v>11</v>
      </c>
      <c r="G3617" t="str">
        <f>HYPERLINK(_xlfn.CONCAT("https://tablet.otzar.org/",CHAR(35),"/book/656189/p/-1/t/1/fs/0/start/0/end/0/c"),"קונטרס כפות המנעול")</f>
        <v>קונטרס כפות המנעול</v>
      </c>
      <c r="H3617" t="str">
        <f>_xlfn.CONCAT("https://tablet.otzar.org/",CHAR(35),"/book/656189/p/-1/t/1/fs/0/start/0/end/0/c")</f>
        <v>https://tablet.otzar.org/#/book/656189/p/-1/t/1/fs/0/start/0/end/0/c</v>
      </c>
    </row>
    <row r="3618" spans="1:8" x14ac:dyDescent="0.25">
      <c r="A3618">
        <v>651426</v>
      </c>
      <c r="B3618" t="s">
        <v>7022</v>
      </c>
      <c r="C3618" t="s">
        <v>3355</v>
      </c>
      <c r="D3618" t="s">
        <v>10</v>
      </c>
      <c r="E3618" t="s">
        <v>89</v>
      </c>
      <c r="G3618" t="str">
        <f>HYPERLINK(_xlfn.CONCAT("https://tablet.otzar.org/",CHAR(35),"/book/651426/p/-1/t/1/fs/0/start/0/end/0/c"),"קונטרס כתבם על לוח לבך")</f>
        <v>קונטרס כתבם על לוח לבך</v>
      </c>
      <c r="H3618" t="str">
        <f>_xlfn.CONCAT("https://tablet.otzar.org/",CHAR(35),"/book/651426/p/-1/t/1/fs/0/start/0/end/0/c")</f>
        <v>https://tablet.otzar.org/#/book/651426/p/-1/t/1/fs/0/start/0/end/0/c</v>
      </c>
    </row>
    <row r="3619" spans="1:8" x14ac:dyDescent="0.25">
      <c r="A3619">
        <v>651592</v>
      </c>
      <c r="B3619" t="s">
        <v>7023</v>
      </c>
      <c r="C3619" t="s">
        <v>7024</v>
      </c>
      <c r="D3619" t="s">
        <v>10</v>
      </c>
      <c r="E3619" t="s">
        <v>84</v>
      </c>
      <c r="G3619" t="str">
        <f>HYPERLINK(_xlfn.CONCAT("https://tablet.otzar.org/",CHAR(35),"/book/651592/p/-1/t/1/fs/0/start/0/end/0/c"),"קונטרס לבושי פאר - בבא בתרא")</f>
        <v>קונטרס לבושי פאר - בבא בתרא</v>
      </c>
      <c r="H3619" t="str">
        <f>_xlfn.CONCAT("https://tablet.otzar.org/",CHAR(35),"/book/651592/p/-1/t/1/fs/0/start/0/end/0/c")</f>
        <v>https://tablet.otzar.org/#/book/651592/p/-1/t/1/fs/0/start/0/end/0/c</v>
      </c>
    </row>
    <row r="3620" spans="1:8" x14ac:dyDescent="0.25">
      <c r="A3620">
        <v>647401</v>
      </c>
      <c r="B3620" t="s">
        <v>7025</v>
      </c>
      <c r="C3620" t="s">
        <v>7026</v>
      </c>
      <c r="E3620" t="s">
        <v>70</v>
      </c>
      <c r="G3620" t="str">
        <f>HYPERLINK(_xlfn.CONCAT("https://tablet.otzar.org/",CHAR(35),"/book/647401/p/-1/t/1/fs/0/start/0/end/0/c"),"קונטרס לחדשי השנה ולחגים ולמועדים")</f>
        <v>קונטרס לחדשי השנה ולחגים ולמועדים</v>
      </c>
      <c r="H3620" t="str">
        <f>_xlfn.CONCAT("https://tablet.otzar.org/",CHAR(35),"/book/647401/p/-1/t/1/fs/0/start/0/end/0/c")</f>
        <v>https://tablet.otzar.org/#/book/647401/p/-1/t/1/fs/0/start/0/end/0/c</v>
      </c>
    </row>
    <row r="3621" spans="1:8" x14ac:dyDescent="0.25">
      <c r="A3621">
        <v>647453</v>
      </c>
      <c r="B3621" t="s">
        <v>7027</v>
      </c>
      <c r="C3621" t="s">
        <v>6199</v>
      </c>
      <c r="D3621" t="s">
        <v>10</v>
      </c>
      <c r="E3621" t="s">
        <v>7028</v>
      </c>
      <c r="G3621" t="str">
        <f>HYPERLINK(_xlfn.CONCAT("https://tablet.otzar.org/",CHAR(35),"/book/647453/p/-1/t/1/fs/0/start/0/end/0/c"),"קונטרס ליל התקדש החג")</f>
        <v>קונטרס ליל התקדש החג</v>
      </c>
      <c r="H3621" t="str">
        <f>_xlfn.CONCAT("https://tablet.otzar.org/",CHAR(35),"/book/647453/p/-1/t/1/fs/0/start/0/end/0/c")</f>
        <v>https://tablet.otzar.org/#/book/647453/p/-1/t/1/fs/0/start/0/end/0/c</v>
      </c>
    </row>
    <row r="3622" spans="1:8" x14ac:dyDescent="0.25">
      <c r="A3622">
        <v>648190</v>
      </c>
      <c r="B3622" t="s">
        <v>7029</v>
      </c>
      <c r="C3622" t="s">
        <v>7030</v>
      </c>
      <c r="D3622" t="s">
        <v>328</v>
      </c>
      <c r="E3622" t="s">
        <v>35</v>
      </c>
      <c r="G3622" t="str">
        <f>HYPERLINK(_xlfn.CONCAT("https://tablet.otzar.org/",CHAR(35),"/book/648190/p/-1/t/1/fs/0/start/0/end/0/c"),"קונטרס ליקוטי שושנים - גיטין")</f>
        <v>קונטרס ליקוטי שושנים - גיטין</v>
      </c>
      <c r="H3622" t="str">
        <f>_xlfn.CONCAT("https://tablet.otzar.org/",CHAR(35),"/book/648190/p/-1/t/1/fs/0/start/0/end/0/c")</f>
        <v>https://tablet.otzar.org/#/book/648190/p/-1/t/1/fs/0/start/0/end/0/c</v>
      </c>
    </row>
    <row r="3623" spans="1:8" x14ac:dyDescent="0.25">
      <c r="A3623">
        <v>656105</v>
      </c>
      <c r="B3623" t="s">
        <v>7031</v>
      </c>
      <c r="C3623" t="s">
        <v>7032</v>
      </c>
      <c r="D3623" t="s">
        <v>10</v>
      </c>
      <c r="E3623" t="s">
        <v>45</v>
      </c>
      <c r="G3623" t="str">
        <f>HYPERLINK(_xlfn.CONCAT("https://tablet.otzar.org/",CHAR(35),"/book/656105/p/-1/t/1/fs/0/start/0/end/0/c"),"קונטרס לכשרות בית המקדש תחת קרקע")</f>
        <v>קונטרס לכשרות בית המקדש תחת קרקע</v>
      </c>
      <c r="H3623" t="str">
        <f>_xlfn.CONCAT("https://tablet.otzar.org/",CHAR(35),"/book/656105/p/-1/t/1/fs/0/start/0/end/0/c")</f>
        <v>https://tablet.otzar.org/#/book/656105/p/-1/t/1/fs/0/start/0/end/0/c</v>
      </c>
    </row>
    <row r="3624" spans="1:8" x14ac:dyDescent="0.25">
      <c r="A3624">
        <v>652447</v>
      </c>
      <c r="B3624" t="s">
        <v>7033</v>
      </c>
      <c r="C3624" t="s">
        <v>7034</v>
      </c>
      <c r="E3624" t="s">
        <v>690</v>
      </c>
      <c r="G3624" t="str">
        <f>HYPERLINK(_xlfn.CONCAT("https://tablet.otzar.org/",CHAR(35),"/book/652447/p/-1/t/1/fs/0/start/0/end/0/c"),"קונטרס למד העם")</f>
        <v>קונטרס למד העם</v>
      </c>
      <c r="H3624" t="str">
        <f>_xlfn.CONCAT("https://tablet.otzar.org/",CHAR(35),"/book/652447/p/-1/t/1/fs/0/start/0/end/0/c")</f>
        <v>https://tablet.otzar.org/#/book/652447/p/-1/t/1/fs/0/start/0/end/0/c</v>
      </c>
    </row>
    <row r="3625" spans="1:8" x14ac:dyDescent="0.25">
      <c r="A3625">
        <v>643258</v>
      </c>
      <c r="B3625" t="s">
        <v>7035</v>
      </c>
      <c r="C3625" t="s">
        <v>7036</v>
      </c>
      <c r="E3625" t="s">
        <v>2368</v>
      </c>
      <c r="G3625" t="str">
        <f>HYPERLINK(_xlfn.CONCAT("https://tablet.otzar.org/",CHAR(35),"/exKotar/643258"),"קונטרס לקח טוב - 2 כרכים")</f>
        <v>קונטרס לקח טוב - 2 כרכים</v>
      </c>
      <c r="H3625" t="str">
        <f>_xlfn.CONCAT("https://tablet.otzar.org/",CHAR(35),"/exKotar/643258")</f>
        <v>https://tablet.otzar.org/#/exKotar/643258</v>
      </c>
    </row>
    <row r="3626" spans="1:8" x14ac:dyDescent="0.25">
      <c r="A3626">
        <v>653302</v>
      </c>
      <c r="B3626" t="s">
        <v>7037</v>
      </c>
      <c r="C3626" t="s">
        <v>7038</v>
      </c>
      <c r="E3626" t="s">
        <v>7039</v>
      </c>
      <c r="G3626" t="str">
        <f>HYPERLINK(_xlfn.CONCAT("https://tablet.otzar.org/",CHAR(35),"/book/653302/p/-1/t/1/fs/0/start/0/end/0/c"),"קונטרס לשם מצה")</f>
        <v>קונטרס לשם מצה</v>
      </c>
      <c r="H3626" t="str">
        <f>_xlfn.CONCAT("https://tablet.otzar.org/",CHAR(35),"/book/653302/p/-1/t/1/fs/0/start/0/end/0/c")</f>
        <v>https://tablet.otzar.org/#/book/653302/p/-1/t/1/fs/0/start/0/end/0/c</v>
      </c>
    </row>
    <row r="3627" spans="1:8" x14ac:dyDescent="0.25">
      <c r="A3627">
        <v>647704</v>
      </c>
      <c r="B3627" t="s">
        <v>7040</v>
      </c>
      <c r="C3627" t="s">
        <v>6984</v>
      </c>
      <c r="D3627" t="s">
        <v>52</v>
      </c>
      <c r="E3627" t="s">
        <v>11</v>
      </c>
      <c r="G3627" t="str">
        <f>HYPERLINK(_xlfn.CONCAT("https://tablet.otzar.org/",CHAR(35),"/book/647704/p/-1/t/1/fs/0/start/0/end/0/c"),"קונטרס מאי חנוכה")</f>
        <v>קונטרס מאי חנוכה</v>
      </c>
      <c r="H3627" t="str">
        <f>_xlfn.CONCAT("https://tablet.otzar.org/",CHAR(35),"/book/647704/p/-1/t/1/fs/0/start/0/end/0/c")</f>
        <v>https://tablet.otzar.org/#/book/647704/p/-1/t/1/fs/0/start/0/end/0/c</v>
      </c>
    </row>
    <row r="3628" spans="1:8" x14ac:dyDescent="0.25">
      <c r="A3628">
        <v>648242</v>
      </c>
      <c r="B3628" t="s">
        <v>7041</v>
      </c>
      <c r="C3628" t="s">
        <v>6681</v>
      </c>
      <c r="D3628" t="s">
        <v>10</v>
      </c>
      <c r="E3628" t="s">
        <v>690</v>
      </c>
      <c r="G3628" t="str">
        <f>HYPERLINK(_xlfn.CONCAT("https://tablet.otzar.org/",CHAR(35),"/book/648242/p/-1/t/1/fs/0/start/0/end/0/c"),"קונטרס מבטא שפתים - נדרים")</f>
        <v>קונטרס מבטא שפתים - נדרים</v>
      </c>
      <c r="H3628" t="str">
        <f>_xlfn.CONCAT("https://tablet.otzar.org/",CHAR(35),"/book/648242/p/-1/t/1/fs/0/start/0/end/0/c")</f>
        <v>https://tablet.otzar.org/#/book/648242/p/-1/t/1/fs/0/start/0/end/0/c</v>
      </c>
    </row>
    <row r="3629" spans="1:8" x14ac:dyDescent="0.25">
      <c r="A3629">
        <v>650962</v>
      </c>
      <c r="B3629" t="s">
        <v>7042</v>
      </c>
      <c r="C3629" t="s">
        <v>7043</v>
      </c>
      <c r="D3629" t="s">
        <v>139</v>
      </c>
      <c r="E3629" t="s">
        <v>117</v>
      </c>
      <c r="G3629" t="str">
        <f>HYPERLINK(_xlfn.CONCAT("https://tablet.otzar.org/",CHAR(35),"/book/650962/p/-1/t/1/fs/0/start/0/end/0/c"),"קונטרס מבי מדרשא - סנהדרין, כתובות")</f>
        <v>קונטרס מבי מדרשא - סנהדרין, כתובות</v>
      </c>
      <c r="H3629" t="str">
        <f>_xlfn.CONCAT("https://tablet.otzar.org/",CHAR(35),"/book/650962/p/-1/t/1/fs/0/start/0/end/0/c")</f>
        <v>https://tablet.otzar.org/#/book/650962/p/-1/t/1/fs/0/start/0/end/0/c</v>
      </c>
    </row>
    <row r="3630" spans="1:8" x14ac:dyDescent="0.25">
      <c r="A3630">
        <v>654625</v>
      </c>
      <c r="B3630" t="s">
        <v>7044</v>
      </c>
      <c r="C3630" t="s">
        <v>7045</v>
      </c>
      <c r="D3630" t="s">
        <v>287</v>
      </c>
      <c r="E3630" t="s">
        <v>11</v>
      </c>
      <c r="G3630" t="str">
        <f>HYPERLINK(_xlfn.CONCAT("https://tablet.otzar.org/",CHAR(35),"/book/654625/p/-1/t/1/fs/0/start/0/end/0/c"),"קונטרס מגילת סוטה")</f>
        <v>קונטרס מגילת סוטה</v>
      </c>
      <c r="H3630" t="str">
        <f>_xlfn.CONCAT("https://tablet.otzar.org/",CHAR(35),"/book/654625/p/-1/t/1/fs/0/start/0/end/0/c")</f>
        <v>https://tablet.otzar.org/#/book/654625/p/-1/t/1/fs/0/start/0/end/0/c</v>
      </c>
    </row>
    <row r="3631" spans="1:8" x14ac:dyDescent="0.25">
      <c r="A3631">
        <v>649447</v>
      </c>
      <c r="B3631" t="s">
        <v>7046</v>
      </c>
      <c r="C3631" t="s">
        <v>7047</v>
      </c>
      <c r="D3631" t="s">
        <v>10</v>
      </c>
      <c r="E3631" t="s">
        <v>2032</v>
      </c>
      <c r="G3631" t="str">
        <f>HYPERLINK(_xlfn.CONCAT("https://tablet.otzar.org/",CHAR(35),"/book/649447/p/-1/t/1/fs/0/start/0/end/0/c"),"קונטרס מזכה את הרבים")</f>
        <v>קונטרס מזכה את הרבים</v>
      </c>
      <c r="H3631" t="str">
        <f>_xlfn.CONCAT("https://tablet.otzar.org/",CHAR(35),"/book/649447/p/-1/t/1/fs/0/start/0/end/0/c")</f>
        <v>https://tablet.otzar.org/#/book/649447/p/-1/t/1/fs/0/start/0/end/0/c</v>
      </c>
    </row>
    <row r="3632" spans="1:8" x14ac:dyDescent="0.25">
      <c r="A3632">
        <v>647772</v>
      </c>
      <c r="B3632" t="s">
        <v>7048</v>
      </c>
      <c r="C3632" t="s">
        <v>7049</v>
      </c>
      <c r="D3632" t="s">
        <v>139</v>
      </c>
      <c r="E3632" t="s">
        <v>35</v>
      </c>
      <c r="G3632" t="str">
        <f>HYPERLINK(_xlfn.CONCAT("https://tablet.otzar.org/",CHAR(35),"/book/647772/p/-1/t/1/fs/0/start/0/end/0/c"),"קונטרס מילי דאבות")</f>
        <v>קונטרס מילי דאבות</v>
      </c>
      <c r="H3632" t="str">
        <f>_xlfn.CONCAT("https://tablet.otzar.org/",CHAR(35),"/book/647772/p/-1/t/1/fs/0/start/0/end/0/c")</f>
        <v>https://tablet.otzar.org/#/book/647772/p/-1/t/1/fs/0/start/0/end/0/c</v>
      </c>
    </row>
    <row r="3633" spans="1:8" x14ac:dyDescent="0.25">
      <c r="A3633">
        <v>648316</v>
      </c>
      <c r="B3633" t="s">
        <v>7050</v>
      </c>
      <c r="C3633" t="s">
        <v>7051</v>
      </c>
      <c r="D3633" t="s">
        <v>10</v>
      </c>
      <c r="E3633" t="s">
        <v>161</v>
      </c>
      <c r="G3633" t="str">
        <f>HYPERLINK(_xlfn.CONCAT("https://tablet.otzar.org/",CHAR(35),"/book/648316/p/-1/t/1/fs/0/start/0/end/0/c"),"קונטרס מילי דשליחות")</f>
        <v>קונטרס מילי דשליחות</v>
      </c>
      <c r="H3633" t="str">
        <f>_xlfn.CONCAT("https://tablet.otzar.org/",CHAR(35),"/book/648316/p/-1/t/1/fs/0/start/0/end/0/c")</f>
        <v>https://tablet.otzar.org/#/book/648316/p/-1/t/1/fs/0/start/0/end/0/c</v>
      </c>
    </row>
    <row r="3634" spans="1:8" x14ac:dyDescent="0.25">
      <c r="A3634">
        <v>652764</v>
      </c>
      <c r="B3634" t="s">
        <v>7052</v>
      </c>
      <c r="C3634" t="s">
        <v>7053</v>
      </c>
      <c r="D3634" t="s">
        <v>10</v>
      </c>
      <c r="E3634" t="s">
        <v>35</v>
      </c>
      <c r="G3634" t="str">
        <f>HYPERLINK(_xlfn.CONCAT("https://tablet.otzar.org/",CHAR(35),"/exKotar/652764"),"קונטרס מימיני מיכאל - 2 כרכים")</f>
        <v>קונטרס מימיני מיכאל - 2 כרכים</v>
      </c>
      <c r="H3634" t="str">
        <f>_xlfn.CONCAT("https://tablet.otzar.org/",CHAR(35),"/exKotar/652764")</f>
        <v>https://tablet.otzar.org/#/exKotar/652764</v>
      </c>
    </row>
    <row r="3635" spans="1:8" x14ac:dyDescent="0.25">
      <c r="A3635">
        <v>651651</v>
      </c>
      <c r="B3635" t="s">
        <v>7054</v>
      </c>
      <c r="C3635" t="s">
        <v>7055</v>
      </c>
      <c r="D3635" t="s">
        <v>10</v>
      </c>
      <c r="E3635" t="s">
        <v>213</v>
      </c>
      <c r="G3635" t="str">
        <f>HYPERLINK(_xlfn.CONCAT("https://tablet.otzar.org/",CHAR(35),"/book/651651/p/-1/t/1/fs/0/start/0/end/0/c"),"קונטרס מלאכת הנאה")</f>
        <v>קונטרס מלאכת הנאה</v>
      </c>
      <c r="H3635" t="str">
        <f>_xlfn.CONCAT("https://tablet.otzar.org/",CHAR(35),"/book/651651/p/-1/t/1/fs/0/start/0/end/0/c")</f>
        <v>https://tablet.otzar.org/#/book/651651/p/-1/t/1/fs/0/start/0/end/0/c</v>
      </c>
    </row>
    <row r="3636" spans="1:8" x14ac:dyDescent="0.25">
      <c r="A3636">
        <v>648294</v>
      </c>
      <c r="B3636" t="s">
        <v>7056</v>
      </c>
      <c r="C3636" t="s">
        <v>7057</v>
      </c>
      <c r="E3636" t="s">
        <v>1077</v>
      </c>
      <c r="G3636" t="str">
        <f>HYPERLINK(_xlfn.CONCAT("https://tablet.otzar.org/",CHAR(35),"/book/648294/p/-1/t/1/fs/0/start/0/end/0/c"),"קונטרס מנוחת שבת - א")</f>
        <v>קונטרס מנוחת שבת - א</v>
      </c>
      <c r="H3636" t="str">
        <f>_xlfn.CONCAT("https://tablet.otzar.org/",CHAR(35),"/book/648294/p/-1/t/1/fs/0/start/0/end/0/c")</f>
        <v>https://tablet.otzar.org/#/book/648294/p/-1/t/1/fs/0/start/0/end/0/c</v>
      </c>
    </row>
    <row r="3637" spans="1:8" x14ac:dyDescent="0.25">
      <c r="A3637">
        <v>649080</v>
      </c>
      <c r="B3637" t="s">
        <v>7058</v>
      </c>
      <c r="C3637" t="s">
        <v>7059</v>
      </c>
      <c r="D3637" t="s">
        <v>52</v>
      </c>
      <c r="E3637" t="s">
        <v>35</v>
      </c>
      <c r="G3637" t="str">
        <f>HYPERLINK(_xlfn.CONCAT("https://tablet.otzar.org/",CHAR(35),"/book/649080/p/-1/t/1/fs/0/start/0/end/0/c"),"קונטרס מנחת עזרא - שו""""ת, מסכתות")</f>
        <v>קונטרס מנחת עזרא - שו""ת, מסכתות</v>
      </c>
      <c r="H3637" t="str">
        <f>_xlfn.CONCAT("https://tablet.otzar.org/",CHAR(35),"/book/649080/p/-1/t/1/fs/0/start/0/end/0/c")</f>
        <v>https://tablet.otzar.org/#/book/649080/p/-1/t/1/fs/0/start/0/end/0/c</v>
      </c>
    </row>
    <row r="3638" spans="1:8" x14ac:dyDescent="0.25">
      <c r="A3638">
        <v>650734</v>
      </c>
      <c r="B3638" t="s">
        <v>7060</v>
      </c>
      <c r="C3638" t="s">
        <v>7061</v>
      </c>
      <c r="D3638" t="s">
        <v>609</v>
      </c>
      <c r="E3638" t="s">
        <v>11</v>
      </c>
      <c r="G3638" t="str">
        <f>HYPERLINK(_xlfn.CONCAT("https://tablet.otzar.org/",CHAR(35),"/book/650734/p/-1/t/1/fs/0/start/0/end/0/c"),"קונטרס מנחת פורים")</f>
        <v>קונטרס מנחת פורים</v>
      </c>
      <c r="H3638" t="str">
        <f>_xlfn.CONCAT("https://tablet.otzar.org/",CHAR(35),"/book/650734/p/-1/t/1/fs/0/start/0/end/0/c")</f>
        <v>https://tablet.otzar.org/#/book/650734/p/-1/t/1/fs/0/start/0/end/0/c</v>
      </c>
    </row>
    <row r="3639" spans="1:8" x14ac:dyDescent="0.25">
      <c r="A3639">
        <v>653169</v>
      </c>
      <c r="B3639" t="s">
        <v>7062</v>
      </c>
      <c r="C3639" t="s">
        <v>4437</v>
      </c>
      <c r="E3639" t="s">
        <v>213</v>
      </c>
      <c r="G3639" t="str">
        <f>HYPERLINK(_xlfn.CONCAT("https://tablet.otzar.org/",CHAR(35),"/book/653169/p/-1/t/1/fs/0/start/0/end/0/c"),"קונטרס מסיבות פורים")</f>
        <v>קונטרס מסיבות פורים</v>
      </c>
      <c r="H3639" t="str">
        <f>_xlfn.CONCAT("https://tablet.otzar.org/",CHAR(35),"/book/653169/p/-1/t/1/fs/0/start/0/end/0/c")</f>
        <v>https://tablet.otzar.org/#/book/653169/p/-1/t/1/fs/0/start/0/end/0/c</v>
      </c>
    </row>
    <row r="3640" spans="1:8" x14ac:dyDescent="0.25">
      <c r="A3640">
        <v>650749</v>
      </c>
      <c r="B3640" t="s">
        <v>7063</v>
      </c>
      <c r="C3640" t="s">
        <v>7064</v>
      </c>
      <c r="D3640" t="s">
        <v>52</v>
      </c>
      <c r="E3640" t="s">
        <v>11</v>
      </c>
      <c r="G3640" t="str">
        <f>HYPERLINK(_xlfn.CONCAT("https://tablet.otzar.org/",CHAR(35),"/book/650749/p/-1/t/1/fs/0/start/0/end/0/c"),"קונטרס מעין החכמה")</f>
        <v>קונטרס מעין החכמה</v>
      </c>
      <c r="H3640" t="str">
        <f>_xlfn.CONCAT("https://tablet.otzar.org/",CHAR(35),"/book/650749/p/-1/t/1/fs/0/start/0/end/0/c")</f>
        <v>https://tablet.otzar.org/#/book/650749/p/-1/t/1/fs/0/start/0/end/0/c</v>
      </c>
    </row>
    <row r="3641" spans="1:8" x14ac:dyDescent="0.25">
      <c r="A3641">
        <v>655004</v>
      </c>
      <c r="B3641" t="s">
        <v>7065</v>
      </c>
      <c r="C3641" t="s">
        <v>409</v>
      </c>
      <c r="D3641" t="s">
        <v>52</v>
      </c>
      <c r="E3641" t="s">
        <v>320</v>
      </c>
      <c r="G3641" t="str">
        <f>HYPERLINK(_xlfn.CONCAT("https://tablet.otzar.org/",CHAR(35),"/book/655004/p/-1/t/1/fs/0/start/0/end/0/c"),"קונטרס מעלות מצות הפרישה")</f>
        <v>קונטרס מעלות מצות הפרישה</v>
      </c>
      <c r="H3641" t="str">
        <f>_xlfn.CONCAT("https://tablet.otzar.org/",CHAR(35),"/book/655004/p/-1/t/1/fs/0/start/0/end/0/c")</f>
        <v>https://tablet.otzar.org/#/book/655004/p/-1/t/1/fs/0/start/0/end/0/c</v>
      </c>
    </row>
    <row r="3642" spans="1:8" x14ac:dyDescent="0.25">
      <c r="A3642">
        <v>655007</v>
      </c>
      <c r="B3642" t="s">
        <v>7066</v>
      </c>
      <c r="C3642" t="s">
        <v>409</v>
      </c>
      <c r="D3642" t="s">
        <v>52</v>
      </c>
      <c r="E3642" t="s">
        <v>507</v>
      </c>
      <c r="G3642" t="str">
        <f>HYPERLINK(_xlfn.CONCAT("https://tablet.otzar.org/",CHAR(35),"/book/655007/p/-1/t/1/fs/0/start/0/end/0/c"),"קונטרס מעלות מצות הפרישה (יידיש)")</f>
        <v>קונטרס מעלות מצות הפרישה (יידיש)</v>
      </c>
      <c r="H3642" t="str">
        <f>_xlfn.CONCAT("https://tablet.otzar.org/",CHAR(35),"/book/655007/p/-1/t/1/fs/0/start/0/end/0/c")</f>
        <v>https://tablet.otzar.org/#/book/655007/p/-1/t/1/fs/0/start/0/end/0/c</v>
      </c>
    </row>
    <row r="3643" spans="1:8" x14ac:dyDescent="0.25">
      <c r="A3643">
        <v>647639</v>
      </c>
      <c r="B3643" t="s">
        <v>7067</v>
      </c>
      <c r="C3643" t="s">
        <v>7068</v>
      </c>
      <c r="D3643" t="s">
        <v>10</v>
      </c>
      <c r="E3643" t="s">
        <v>670</v>
      </c>
      <c r="G3643" t="str">
        <f>HYPERLINK(_xlfn.CONCAT("https://tablet.otzar.org/",CHAR(35),"/book/647639/p/-1/t/1/fs/0/start/0/end/0/c"),"קונטרס מענה חיים")</f>
        <v>קונטרס מענה חיים</v>
      </c>
      <c r="H3643" t="str">
        <f>_xlfn.CONCAT("https://tablet.otzar.org/",CHAR(35),"/book/647639/p/-1/t/1/fs/0/start/0/end/0/c")</f>
        <v>https://tablet.otzar.org/#/book/647639/p/-1/t/1/fs/0/start/0/end/0/c</v>
      </c>
    </row>
    <row r="3644" spans="1:8" x14ac:dyDescent="0.25">
      <c r="A3644">
        <v>649330</v>
      </c>
      <c r="B3644" t="s">
        <v>7069</v>
      </c>
      <c r="C3644" t="s">
        <v>7070</v>
      </c>
      <c r="D3644" t="s">
        <v>948</v>
      </c>
      <c r="E3644" t="s">
        <v>70</v>
      </c>
      <c r="G3644" t="str">
        <f>HYPERLINK(_xlfn.CONCAT("https://tablet.otzar.org/",CHAR(35),"/book/649330/p/-1/t/1/fs/0/start/0/end/0/c"),"קונטרס מציאת יעקב")</f>
        <v>קונטרס מציאת יעקב</v>
      </c>
      <c r="H3644" t="str">
        <f>_xlfn.CONCAT("https://tablet.otzar.org/",CHAR(35),"/book/649330/p/-1/t/1/fs/0/start/0/end/0/c")</f>
        <v>https://tablet.otzar.org/#/book/649330/p/-1/t/1/fs/0/start/0/end/0/c</v>
      </c>
    </row>
    <row r="3645" spans="1:8" x14ac:dyDescent="0.25">
      <c r="A3645">
        <v>652756</v>
      </c>
      <c r="B3645" t="s">
        <v>7071</v>
      </c>
      <c r="C3645" t="s">
        <v>7072</v>
      </c>
      <c r="D3645" t="s">
        <v>7073</v>
      </c>
      <c r="E3645" t="s">
        <v>7074</v>
      </c>
      <c r="G3645" t="str">
        <f>HYPERLINK(_xlfn.CONCAT("https://tablet.otzar.org/",CHAR(35),"/book/652756/p/-1/t/1/fs/0/start/0/end/0/c"),"קונטרס מציצה")</f>
        <v>קונטרס מציצה</v>
      </c>
      <c r="H3645" t="str">
        <f>_xlfn.CONCAT("https://tablet.otzar.org/",CHAR(35),"/book/652756/p/-1/t/1/fs/0/start/0/end/0/c")</f>
        <v>https://tablet.otzar.org/#/book/652756/p/-1/t/1/fs/0/start/0/end/0/c</v>
      </c>
    </row>
    <row r="3646" spans="1:8" x14ac:dyDescent="0.25">
      <c r="A3646">
        <v>647697</v>
      </c>
      <c r="B3646" t="s">
        <v>7075</v>
      </c>
      <c r="C3646" t="s">
        <v>7076</v>
      </c>
      <c r="D3646" t="s">
        <v>10</v>
      </c>
      <c r="E3646" t="s">
        <v>35</v>
      </c>
      <c r="G3646" t="str">
        <f>HYPERLINK(_xlfn.CONCAT("https://tablet.otzar.org/",CHAR(35),"/book/647697/p/-1/t/1/fs/0/start/0/end/0/c"),"קונטרס מראה גרמי")</f>
        <v>קונטרס מראה גרמי</v>
      </c>
      <c r="H3646" t="str">
        <f>_xlfn.CONCAT("https://tablet.otzar.org/",CHAR(35),"/book/647697/p/-1/t/1/fs/0/start/0/end/0/c")</f>
        <v>https://tablet.otzar.org/#/book/647697/p/-1/t/1/fs/0/start/0/end/0/c</v>
      </c>
    </row>
    <row r="3647" spans="1:8" x14ac:dyDescent="0.25">
      <c r="A3647">
        <v>651552</v>
      </c>
      <c r="B3647" t="s">
        <v>7077</v>
      </c>
      <c r="C3647" t="s">
        <v>7078</v>
      </c>
      <c r="D3647" t="s">
        <v>3160</v>
      </c>
      <c r="E3647" t="s">
        <v>45</v>
      </c>
      <c r="G3647" t="str">
        <f>HYPERLINK(_xlfn.CONCAT("https://tablet.otzar.org/",CHAR(35),"/book/651552/p/-1/t/1/fs/0/start/0/end/0/c"),"קונטרס מראש צורים")</f>
        <v>קונטרס מראש צורים</v>
      </c>
      <c r="H3647" t="str">
        <f>_xlfn.CONCAT("https://tablet.otzar.org/",CHAR(35),"/book/651552/p/-1/t/1/fs/0/start/0/end/0/c")</f>
        <v>https://tablet.otzar.org/#/book/651552/p/-1/t/1/fs/0/start/0/end/0/c</v>
      </c>
    </row>
    <row r="3648" spans="1:8" x14ac:dyDescent="0.25">
      <c r="A3648">
        <v>637772</v>
      </c>
      <c r="B3648" t="s">
        <v>7079</v>
      </c>
      <c r="C3648" t="s">
        <v>5176</v>
      </c>
      <c r="D3648" t="s">
        <v>52</v>
      </c>
      <c r="E3648" t="s">
        <v>70</v>
      </c>
      <c r="G3648" t="str">
        <f>HYPERLINK(_xlfn.CONCAT("https://tablet.otzar.org/",CHAR(35),"/book/637772/p/-1/t/1/fs/0/start/0/end/0/c"),"קונטרס משא משה - פרק כל גגות")</f>
        <v>קונטרס משא משה - פרק כל גגות</v>
      </c>
      <c r="H3648" t="str">
        <f>_xlfn.CONCAT("https://tablet.otzar.org/",CHAR(35),"/book/637772/p/-1/t/1/fs/0/start/0/end/0/c")</f>
        <v>https://tablet.otzar.org/#/book/637772/p/-1/t/1/fs/0/start/0/end/0/c</v>
      </c>
    </row>
    <row r="3649" spans="1:8" x14ac:dyDescent="0.25">
      <c r="A3649">
        <v>651577</v>
      </c>
      <c r="B3649" t="s">
        <v>7080</v>
      </c>
      <c r="C3649" t="s">
        <v>7081</v>
      </c>
      <c r="E3649" t="s">
        <v>45</v>
      </c>
      <c r="G3649" t="str">
        <f>HYPERLINK(_xlfn.CONCAT("https://tablet.otzar.org/",CHAR(35),"/book/651577/p/-1/t/1/fs/0/start/0/end/0/c"),"קונטרס משבצות זהב")</f>
        <v>קונטרס משבצות זהב</v>
      </c>
      <c r="H3649" t="str">
        <f>_xlfn.CONCAT("https://tablet.otzar.org/",CHAR(35),"/book/651577/p/-1/t/1/fs/0/start/0/end/0/c")</f>
        <v>https://tablet.otzar.org/#/book/651577/p/-1/t/1/fs/0/start/0/end/0/c</v>
      </c>
    </row>
    <row r="3650" spans="1:8" x14ac:dyDescent="0.25">
      <c r="A3650">
        <v>651649</v>
      </c>
      <c r="B3650" t="s">
        <v>7082</v>
      </c>
      <c r="C3650" t="s">
        <v>7083</v>
      </c>
      <c r="D3650" t="s">
        <v>3408</v>
      </c>
      <c r="E3650" t="s">
        <v>35</v>
      </c>
      <c r="G3650" t="str">
        <f>HYPERLINK(_xlfn.CONCAT("https://tablet.otzar.org/",CHAR(35),"/book/651649/p/-1/t/1/fs/0/start/0/end/0/c"),"קונטרס משיב נפש")</f>
        <v>קונטרס משיב נפש</v>
      </c>
      <c r="H3650" t="str">
        <f>_xlfn.CONCAT("https://tablet.otzar.org/",CHAR(35),"/book/651649/p/-1/t/1/fs/0/start/0/end/0/c")</f>
        <v>https://tablet.otzar.org/#/book/651649/p/-1/t/1/fs/0/start/0/end/0/c</v>
      </c>
    </row>
    <row r="3651" spans="1:8" x14ac:dyDescent="0.25">
      <c r="A3651">
        <v>648074</v>
      </c>
      <c r="B3651" t="s">
        <v>7084</v>
      </c>
      <c r="C3651" t="s">
        <v>7085</v>
      </c>
      <c r="D3651" t="s">
        <v>52</v>
      </c>
      <c r="E3651" t="s">
        <v>35</v>
      </c>
      <c r="G3651" t="str">
        <f>HYPERLINK(_xlfn.CONCAT("https://tablet.otzar.org/",CHAR(35),"/exKotar/648074"),"קונטרס משנה סדורה - 3 כרכים")</f>
        <v>קונטרס משנה סדורה - 3 כרכים</v>
      </c>
      <c r="H3651" t="str">
        <f>_xlfn.CONCAT("https://tablet.otzar.org/",CHAR(35),"/exKotar/648074")</f>
        <v>https://tablet.otzar.org/#/exKotar/648074</v>
      </c>
    </row>
    <row r="3652" spans="1:8" x14ac:dyDescent="0.25">
      <c r="A3652">
        <v>649873</v>
      </c>
      <c r="B3652" t="s">
        <v>7086</v>
      </c>
      <c r="C3652" t="s">
        <v>7087</v>
      </c>
      <c r="D3652" t="s">
        <v>52</v>
      </c>
      <c r="E3652" t="s">
        <v>11</v>
      </c>
      <c r="G3652" t="str">
        <f>HYPERLINK(_xlfn.CONCAT("https://tablet.otzar.org/",CHAR(35),"/book/649873/p/-1/t/1/fs/0/start/0/end/0/c"),"קונטרס משתה ושמחה ולא תפלה וזעקה")</f>
        <v>קונטרס משתה ושמחה ולא תפלה וזעקה</v>
      </c>
      <c r="H3652" t="str">
        <f>_xlfn.CONCAT("https://tablet.otzar.org/",CHAR(35),"/book/649873/p/-1/t/1/fs/0/start/0/end/0/c")</f>
        <v>https://tablet.otzar.org/#/book/649873/p/-1/t/1/fs/0/start/0/end/0/c</v>
      </c>
    </row>
    <row r="3653" spans="1:8" x14ac:dyDescent="0.25">
      <c r="A3653">
        <v>646711</v>
      </c>
      <c r="B3653" t="s">
        <v>7088</v>
      </c>
      <c r="C3653" t="s">
        <v>7089</v>
      </c>
      <c r="D3653" t="s">
        <v>34</v>
      </c>
      <c r="E3653" t="s">
        <v>62</v>
      </c>
      <c r="G3653" t="str">
        <f>HYPERLINK(_xlfn.CONCAT("https://tablet.otzar.org/",CHAR(35),"/book/646711/p/-1/t/1/fs/0/start/0/end/0/c"),"קונטרס נועם יהודה")</f>
        <v>קונטרס נועם יהודה</v>
      </c>
      <c r="H3653" t="str">
        <f>_xlfn.CONCAT("https://tablet.otzar.org/",CHAR(35),"/book/646711/p/-1/t/1/fs/0/start/0/end/0/c")</f>
        <v>https://tablet.otzar.org/#/book/646711/p/-1/t/1/fs/0/start/0/end/0/c</v>
      </c>
    </row>
    <row r="3654" spans="1:8" x14ac:dyDescent="0.25">
      <c r="A3654">
        <v>642856</v>
      </c>
      <c r="B3654" t="s">
        <v>7090</v>
      </c>
      <c r="C3654" t="s">
        <v>2223</v>
      </c>
      <c r="D3654" t="s">
        <v>52</v>
      </c>
      <c r="E3654" t="s">
        <v>84</v>
      </c>
      <c r="G3654" t="str">
        <f>HYPERLINK(_xlfn.CONCAT("https://tablet.otzar.org/",CHAR(35),"/book/642856/p/-1/t/1/fs/0/start/0/end/0/c"),"קונטרס נחמת נפתליה")</f>
        <v>קונטרס נחמת נפתליה</v>
      </c>
      <c r="H3654" t="str">
        <f>_xlfn.CONCAT("https://tablet.otzar.org/",CHAR(35),"/book/642856/p/-1/t/1/fs/0/start/0/end/0/c")</f>
        <v>https://tablet.otzar.org/#/book/642856/p/-1/t/1/fs/0/start/0/end/0/c</v>
      </c>
    </row>
    <row r="3655" spans="1:8" x14ac:dyDescent="0.25">
      <c r="A3655">
        <v>651435</v>
      </c>
      <c r="B3655" t="s">
        <v>7091</v>
      </c>
      <c r="C3655" t="s">
        <v>6529</v>
      </c>
      <c r="D3655" t="s">
        <v>10</v>
      </c>
      <c r="E3655" t="s">
        <v>383</v>
      </c>
      <c r="G3655" t="str">
        <f>HYPERLINK(_xlfn.CONCAT("https://tablet.otzar.org/",CHAR(35),"/book/651435/p/-1/t/1/fs/0/start/0/end/0/c"),"קונטרס נעם השבת")</f>
        <v>קונטרס נעם השבת</v>
      </c>
      <c r="H3655" t="str">
        <f>_xlfn.CONCAT("https://tablet.otzar.org/",CHAR(35),"/book/651435/p/-1/t/1/fs/0/start/0/end/0/c")</f>
        <v>https://tablet.otzar.org/#/book/651435/p/-1/t/1/fs/0/start/0/end/0/c</v>
      </c>
    </row>
    <row r="3656" spans="1:8" x14ac:dyDescent="0.25">
      <c r="A3656">
        <v>651764</v>
      </c>
      <c r="B3656" t="s">
        <v>7092</v>
      </c>
      <c r="C3656" t="s">
        <v>614</v>
      </c>
      <c r="D3656" t="s">
        <v>10</v>
      </c>
      <c r="E3656" t="s">
        <v>11</v>
      </c>
      <c r="G3656" t="str">
        <f>HYPERLINK(_xlfn.CONCAT("https://tablet.otzar.org/",CHAR(35),"/book/651764/p/-1/t/1/fs/0/start/0/end/0/c"),"קונטרס נעשה אדם - ל""""ג בעומר חג השבועות")</f>
        <v>קונטרס נעשה אדם - ל""ג בעומר חג השבועות</v>
      </c>
      <c r="H3656" t="str">
        <f>_xlfn.CONCAT("https://tablet.otzar.org/",CHAR(35),"/book/651764/p/-1/t/1/fs/0/start/0/end/0/c")</f>
        <v>https://tablet.otzar.org/#/book/651764/p/-1/t/1/fs/0/start/0/end/0/c</v>
      </c>
    </row>
    <row r="3657" spans="1:8" x14ac:dyDescent="0.25">
      <c r="A3657">
        <v>639931</v>
      </c>
      <c r="B3657" t="s">
        <v>7093</v>
      </c>
      <c r="C3657" t="s">
        <v>7094</v>
      </c>
      <c r="D3657" t="s">
        <v>52</v>
      </c>
      <c r="E3657" t="s">
        <v>1077</v>
      </c>
      <c r="G3657" t="str">
        <f>HYPERLINK(_xlfn.CONCAT("https://tablet.otzar.org/",CHAR(35),"/book/639931/p/-1/t/1/fs/0/start/0/end/0/c"),"קונטרס נר מצוה ותורה אור")</f>
        <v>קונטרס נר מצוה ותורה אור</v>
      </c>
      <c r="H3657" t="str">
        <f>_xlfn.CONCAT("https://tablet.otzar.org/",CHAR(35),"/book/639931/p/-1/t/1/fs/0/start/0/end/0/c")</f>
        <v>https://tablet.otzar.org/#/book/639931/p/-1/t/1/fs/0/start/0/end/0/c</v>
      </c>
    </row>
    <row r="3658" spans="1:8" x14ac:dyDescent="0.25">
      <c r="A3658">
        <v>642854</v>
      </c>
      <c r="B3658" t="s">
        <v>7095</v>
      </c>
      <c r="C3658" t="s">
        <v>2223</v>
      </c>
      <c r="D3658" t="s">
        <v>52</v>
      </c>
      <c r="E3658" t="s">
        <v>383</v>
      </c>
      <c r="G3658" t="str">
        <f>HYPERLINK(_xlfn.CONCAT("https://tablet.otzar.org/",CHAR(35),"/book/642854/p/-1/t/1/fs/0/start/0/end/0/c"),"קונטרס נשמת אברהם - אבילות")</f>
        <v>קונטרס נשמת אברהם - אבילות</v>
      </c>
      <c r="H3658" t="str">
        <f>_xlfn.CONCAT("https://tablet.otzar.org/",CHAR(35),"/book/642854/p/-1/t/1/fs/0/start/0/end/0/c")</f>
        <v>https://tablet.otzar.org/#/book/642854/p/-1/t/1/fs/0/start/0/end/0/c</v>
      </c>
    </row>
    <row r="3659" spans="1:8" x14ac:dyDescent="0.25">
      <c r="A3659">
        <v>651310</v>
      </c>
      <c r="B3659" t="s">
        <v>7096</v>
      </c>
      <c r="C3659" t="s">
        <v>2201</v>
      </c>
      <c r="D3659" t="s">
        <v>52</v>
      </c>
      <c r="E3659" t="s">
        <v>1187</v>
      </c>
      <c r="G3659" t="str">
        <f>HYPERLINK(_xlfn.CONCAT("https://tablet.otzar.org/",CHAR(35),"/book/651310/p/-1/t/1/fs/0/start/0/end/0/c"),"קונטרס סדר השמינית")</f>
        <v>קונטרס סדר השמינית</v>
      </c>
      <c r="H3659" t="str">
        <f>_xlfn.CONCAT("https://tablet.otzar.org/",CHAR(35),"/book/651310/p/-1/t/1/fs/0/start/0/end/0/c")</f>
        <v>https://tablet.otzar.org/#/book/651310/p/-1/t/1/fs/0/start/0/end/0/c</v>
      </c>
    </row>
    <row r="3660" spans="1:8" x14ac:dyDescent="0.25">
      <c r="A3660">
        <v>651811</v>
      </c>
      <c r="B3660" t="s">
        <v>7097</v>
      </c>
      <c r="C3660" t="s">
        <v>7098</v>
      </c>
      <c r="D3660" t="s">
        <v>10</v>
      </c>
      <c r="E3660" t="s">
        <v>405</v>
      </c>
      <c r="G3660" t="str">
        <f>HYPERLINK(_xlfn.CONCAT("https://tablet.otzar.org/",CHAR(35),"/book/651811/p/-1/t/1/fs/0/start/0/end/0/c"),"קונטרס סדרת ועדים")</f>
        <v>קונטרס סדרת ועדים</v>
      </c>
      <c r="H3660" t="str">
        <f>_xlfn.CONCAT("https://tablet.otzar.org/",CHAR(35),"/book/651811/p/-1/t/1/fs/0/start/0/end/0/c")</f>
        <v>https://tablet.otzar.org/#/book/651811/p/-1/t/1/fs/0/start/0/end/0/c</v>
      </c>
    </row>
    <row r="3661" spans="1:8" x14ac:dyDescent="0.25">
      <c r="A3661">
        <v>651048</v>
      </c>
      <c r="B3661" t="s">
        <v>7099</v>
      </c>
      <c r="C3661" t="s">
        <v>1923</v>
      </c>
      <c r="D3661" t="s">
        <v>52</v>
      </c>
      <c r="E3661" t="s">
        <v>84</v>
      </c>
      <c r="G3661" t="str">
        <f>HYPERLINK(_xlfn.CONCAT("https://tablet.otzar.org/",CHAR(35),"/book/651048/p/-1/t/1/fs/0/start/0/end/0/c"),"קונטרס סוד הזכירה")</f>
        <v>קונטרס סוד הזכירה</v>
      </c>
      <c r="H3661" t="str">
        <f>_xlfn.CONCAT("https://tablet.otzar.org/",CHAR(35),"/book/651048/p/-1/t/1/fs/0/start/0/end/0/c")</f>
        <v>https://tablet.otzar.org/#/book/651048/p/-1/t/1/fs/0/start/0/end/0/c</v>
      </c>
    </row>
    <row r="3662" spans="1:8" x14ac:dyDescent="0.25">
      <c r="A3662">
        <v>651223</v>
      </c>
      <c r="B3662" t="s">
        <v>7100</v>
      </c>
      <c r="C3662" t="s">
        <v>7101</v>
      </c>
      <c r="D3662" t="s">
        <v>10</v>
      </c>
      <c r="E3662" t="s">
        <v>352</v>
      </c>
      <c r="G3662" t="str">
        <f>HYPERLINK(_xlfn.CONCAT("https://tablet.otzar.org/",CHAR(35),"/book/651223/p/-1/t/1/fs/0/start/0/end/0/c"),"קונטרס סימנא טבא מילתא")</f>
        <v>קונטרס סימנא טבא מילתא</v>
      </c>
      <c r="H3662" t="str">
        <f>_xlfn.CONCAT("https://tablet.otzar.org/",CHAR(35),"/book/651223/p/-1/t/1/fs/0/start/0/end/0/c")</f>
        <v>https://tablet.otzar.org/#/book/651223/p/-1/t/1/fs/0/start/0/end/0/c</v>
      </c>
    </row>
    <row r="3663" spans="1:8" x14ac:dyDescent="0.25">
      <c r="A3663">
        <v>654892</v>
      </c>
      <c r="B3663" t="s">
        <v>7102</v>
      </c>
      <c r="C3663" t="s">
        <v>5425</v>
      </c>
      <c r="D3663" t="s">
        <v>10</v>
      </c>
      <c r="E3663" t="s">
        <v>29</v>
      </c>
      <c r="G3663" t="str">
        <f>HYPERLINK(_xlfn.CONCAT("https://tablet.otzar.org/",CHAR(35),"/book/654892/p/-1/t/1/fs/0/start/0/end/0/c"),"קונטרס עבדי הם")</f>
        <v>קונטרס עבדי הם</v>
      </c>
      <c r="H3663" t="str">
        <f>_xlfn.CONCAT("https://tablet.otzar.org/",CHAR(35),"/book/654892/p/-1/t/1/fs/0/start/0/end/0/c")</f>
        <v>https://tablet.otzar.org/#/book/654892/p/-1/t/1/fs/0/start/0/end/0/c</v>
      </c>
    </row>
    <row r="3664" spans="1:8" x14ac:dyDescent="0.25">
      <c r="A3664">
        <v>637767</v>
      </c>
      <c r="B3664" t="s">
        <v>7103</v>
      </c>
      <c r="C3664" t="s">
        <v>5176</v>
      </c>
      <c r="D3664" t="s">
        <v>52</v>
      </c>
      <c r="E3664" t="s">
        <v>70</v>
      </c>
      <c r="G3664" t="str">
        <f>HYPERLINK(_xlfn.CONCAT("https://tablet.otzar.org/",CHAR(35),"/exKotar/637767"),"קונטרס עבודת משא - 3 כרכים")</f>
        <v>קונטרס עבודת משא - 3 כרכים</v>
      </c>
      <c r="H3664" t="str">
        <f>_xlfn.CONCAT("https://tablet.otzar.org/",CHAR(35),"/exKotar/637767")</f>
        <v>https://tablet.otzar.org/#/exKotar/637767</v>
      </c>
    </row>
    <row r="3665" spans="1:8" x14ac:dyDescent="0.25">
      <c r="A3665">
        <v>650703</v>
      </c>
      <c r="B3665" t="s">
        <v>7104</v>
      </c>
      <c r="C3665" t="s">
        <v>1346</v>
      </c>
      <c r="D3665" t="s">
        <v>52</v>
      </c>
      <c r="E3665" t="s">
        <v>35</v>
      </c>
      <c r="G3665" t="str">
        <f>HYPERLINK(_xlfn.CONCAT("https://tablet.otzar.org/",CHAR(35),"/book/650703/p/-1/t/1/fs/0/start/0/end/0/c"),"קונטרס עבודת מתנה")</f>
        <v>קונטרס עבודת מתנה</v>
      </c>
      <c r="H3665" t="str">
        <f>_xlfn.CONCAT("https://tablet.otzar.org/",CHAR(35),"/book/650703/p/-1/t/1/fs/0/start/0/end/0/c")</f>
        <v>https://tablet.otzar.org/#/book/650703/p/-1/t/1/fs/0/start/0/end/0/c</v>
      </c>
    </row>
    <row r="3666" spans="1:8" x14ac:dyDescent="0.25">
      <c r="A3666">
        <v>651434</v>
      </c>
      <c r="B3666" t="s">
        <v>7105</v>
      </c>
      <c r="C3666" t="s">
        <v>7106</v>
      </c>
      <c r="D3666" t="s">
        <v>34</v>
      </c>
      <c r="E3666" t="s">
        <v>89</v>
      </c>
      <c r="G3666" t="str">
        <f>HYPERLINK(_xlfn.CONCAT("https://tablet.otzar.org/",CHAR(35),"/book/651434/p/-1/t/1/fs/0/start/0/end/0/c"),"קונטרס עובר לסוחר")</f>
        <v>קונטרס עובר לסוחר</v>
      </c>
      <c r="H3666" t="str">
        <f>_xlfn.CONCAT("https://tablet.otzar.org/",CHAR(35),"/book/651434/p/-1/t/1/fs/0/start/0/end/0/c")</f>
        <v>https://tablet.otzar.org/#/book/651434/p/-1/t/1/fs/0/start/0/end/0/c</v>
      </c>
    </row>
    <row r="3667" spans="1:8" x14ac:dyDescent="0.25">
      <c r="A3667">
        <v>649860</v>
      </c>
      <c r="B3667" t="s">
        <v>7107</v>
      </c>
      <c r="C3667" t="s">
        <v>7108</v>
      </c>
      <c r="E3667" t="s">
        <v>1082</v>
      </c>
      <c r="G3667" t="str">
        <f>HYPERLINK(_xlfn.CONCAT("https://tablet.otzar.org/",CHAR(35),"/exKotar/649860"),"קונטרס עולת יצחק - 2 כרכים")</f>
        <v>קונטרס עולת יצחק - 2 כרכים</v>
      </c>
      <c r="H3667" t="str">
        <f>_xlfn.CONCAT("https://tablet.otzar.org/",CHAR(35),"/exKotar/649860")</f>
        <v>https://tablet.otzar.org/#/exKotar/649860</v>
      </c>
    </row>
    <row r="3668" spans="1:8" x14ac:dyDescent="0.25">
      <c r="A3668">
        <v>647873</v>
      </c>
      <c r="B3668" t="s">
        <v>7109</v>
      </c>
      <c r="C3668" t="s">
        <v>7110</v>
      </c>
      <c r="D3668" t="s">
        <v>52</v>
      </c>
      <c r="E3668" t="s">
        <v>45</v>
      </c>
      <c r="G3668" t="str">
        <f>HYPERLINK(_xlfn.CONCAT("https://tablet.otzar.org/",CHAR(35),"/book/647873/p/-1/t/1/fs/0/start/0/end/0/c"),"קונטרס עזרת אליעזר - חנוכה")</f>
        <v>קונטרס עזרת אליעזר - חנוכה</v>
      </c>
      <c r="H3668" t="str">
        <f>_xlfn.CONCAT("https://tablet.otzar.org/",CHAR(35),"/book/647873/p/-1/t/1/fs/0/start/0/end/0/c")</f>
        <v>https://tablet.otzar.org/#/book/647873/p/-1/t/1/fs/0/start/0/end/0/c</v>
      </c>
    </row>
    <row r="3669" spans="1:8" x14ac:dyDescent="0.25">
      <c r="A3669">
        <v>651595</v>
      </c>
      <c r="B3669" t="s">
        <v>7111</v>
      </c>
      <c r="C3669" t="s">
        <v>7024</v>
      </c>
      <c r="D3669" t="s">
        <v>10</v>
      </c>
      <c r="E3669" t="s">
        <v>405</v>
      </c>
      <c r="G3669" t="str">
        <f>HYPERLINK(_xlfn.CONCAT("https://tablet.otzar.org/",CHAR(35),"/book/651595/p/-1/t/1/fs/0/start/0/end/0/c"),"קונטרס עיקר כתובה - כתובות")</f>
        <v>קונטרס עיקר כתובה - כתובות</v>
      </c>
      <c r="H3669" t="str">
        <f>_xlfn.CONCAT("https://tablet.otzar.org/",CHAR(35),"/book/651595/p/-1/t/1/fs/0/start/0/end/0/c")</f>
        <v>https://tablet.otzar.org/#/book/651595/p/-1/t/1/fs/0/start/0/end/0/c</v>
      </c>
    </row>
    <row r="3670" spans="1:8" x14ac:dyDescent="0.25">
      <c r="A3670">
        <v>654031</v>
      </c>
      <c r="B3670" t="s">
        <v>7112</v>
      </c>
      <c r="C3670" t="s">
        <v>7113</v>
      </c>
      <c r="D3670" t="s">
        <v>133</v>
      </c>
      <c r="E3670" t="s">
        <v>11</v>
      </c>
      <c r="G3670" t="str">
        <f>HYPERLINK(_xlfn.CONCAT("https://tablet.otzar.org/",CHAR(35),"/book/654031/p/-1/t/1/fs/0/start/0/end/0/c"),"קונטרס עירוב כהלכתו")</f>
        <v>קונטרס עירוב כהלכתו</v>
      </c>
      <c r="H3670" t="str">
        <f>_xlfn.CONCAT("https://tablet.otzar.org/",CHAR(35),"/book/654031/p/-1/t/1/fs/0/start/0/end/0/c")</f>
        <v>https://tablet.otzar.org/#/book/654031/p/-1/t/1/fs/0/start/0/end/0/c</v>
      </c>
    </row>
    <row r="3671" spans="1:8" x14ac:dyDescent="0.25">
      <c r="A3671">
        <v>656035</v>
      </c>
      <c r="B3671" t="s">
        <v>7114</v>
      </c>
      <c r="C3671" t="s">
        <v>2709</v>
      </c>
      <c r="D3671" t="s">
        <v>193</v>
      </c>
      <c r="E3671" t="s">
        <v>29</v>
      </c>
      <c r="G3671" t="str">
        <f>HYPERLINK(_xlfn.CONCAT("https://tablet.otzar.org/",CHAR(35),"/book/656035/p/-1/t/1/fs/0/start/0/end/0/c"),"קונטרס על הלכות צדקה")</f>
        <v>קונטרס על הלכות צדקה</v>
      </c>
      <c r="H3671" t="str">
        <f>_xlfn.CONCAT("https://tablet.otzar.org/",CHAR(35),"/book/656035/p/-1/t/1/fs/0/start/0/end/0/c")</f>
        <v>https://tablet.otzar.org/#/book/656035/p/-1/t/1/fs/0/start/0/end/0/c</v>
      </c>
    </row>
    <row r="3672" spans="1:8" x14ac:dyDescent="0.25">
      <c r="A3672">
        <v>657148</v>
      </c>
      <c r="B3672" t="s">
        <v>7115</v>
      </c>
      <c r="C3672" t="s">
        <v>7116</v>
      </c>
      <c r="D3672" t="s">
        <v>10</v>
      </c>
      <c r="E3672" t="s">
        <v>1056</v>
      </c>
      <c r="G3672" t="str">
        <f>HYPERLINK(_xlfn.CONCAT("https://tablet.otzar.org/",CHAR(35),"/book/657148/p/-1/t/1/fs/0/start/0/end/0/c"),"קונטרס על מסכת נדה")</f>
        <v>קונטרס על מסכת נדה</v>
      </c>
      <c r="H3672" t="str">
        <f>_xlfn.CONCAT("https://tablet.otzar.org/",CHAR(35),"/book/657148/p/-1/t/1/fs/0/start/0/end/0/c")</f>
        <v>https://tablet.otzar.org/#/book/657148/p/-1/t/1/fs/0/start/0/end/0/c</v>
      </c>
    </row>
    <row r="3673" spans="1:8" x14ac:dyDescent="0.25">
      <c r="A3673">
        <v>653421</v>
      </c>
      <c r="B3673" t="s">
        <v>7117</v>
      </c>
      <c r="C3673" t="s">
        <v>7118</v>
      </c>
      <c r="E3673" t="s">
        <v>558</v>
      </c>
      <c r="G3673" t="str">
        <f>HYPERLINK(_xlfn.CONCAT("https://tablet.otzar.org/",CHAR(35),"/book/653421/p/-1/t/1/fs/0/start/0/end/0/c"),"קונטרס על נס וחי - מאמר אסתר")</f>
        <v>קונטרס על נס וחי - מאמר אסתר</v>
      </c>
      <c r="H3673" t="str">
        <f>_xlfn.CONCAT("https://tablet.otzar.org/",CHAR(35),"/book/653421/p/-1/t/1/fs/0/start/0/end/0/c")</f>
        <v>https://tablet.otzar.org/#/book/653421/p/-1/t/1/fs/0/start/0/end/0/c</v>
      </c>
    </row>
    <row r="3674" spans="1:8" x14ac:dyDescent="0.25">
      <c r="A3674">
        <v>647699</v>
      </c>
      <c r="B3674" t="s">
        <v>7119</v>
      </c>
      <c r="C3674" t="s">
        <v>7120</v>
      </c>
      <c r="D3674" t="s">
        <v>34</v>
      </c>
      <c r="E3674" t="s">
        <v>507</v>
      </c>
      <c r="G3674" t="str">
        <f>HYPERLINK(_xlfn.CONCAT("https://tablet.otzar.org/",CHAR(35),"/book/647699/p/-1/t/1/fs/0/start/0/end/0/c"),"קונטרס ענייני שחיטה")</f>
        <v>קונטרס ענייני שחיטה</v>
      </c>
      <c r="H3674" t="str">
        <f>_xlfn.CONCAT("https://tablet.otzar.org/",CHAR(35),"/book/647699/p/-1/t/1/fs/0/start/0/end/0/c")</f>
        <v>https://tablet.otzar.org/#/book/647699/p/-1/t/1/fs/0/start/0/end/0/c</v>
      </c>
    </row>
    <row r="3675" spans="1:8" x14ac:dyDescent="0.25">
      <c r="A3675">
        <v>647700</v>
      </c>
      <c r="B3675" t="s">
        <v>7121</v>
      </c>
      <c r="C3675" t="s">
        <v>7120</v>
      </c>
      <c r="D3675" t="s">
        <v>34</v>
      </c>
      <c r="E3675" t="s">
        <v>507</v>
      </c>
      <c r="G3675" t="str">
        <f>HYPERLINK(_xlfn.CONCAT("https://tablet.otzar.org/",CHAR(35),"/book/647700/p/-1/t/1/fs/0/start/0/end/0/c"),"קונטרס ענייני תערובת")</f>
        <v>קונטרס ענייני תערובת</v>
      </c>
      <c r="H3675" t="str">
        <f>_xlfn.CONCAT("https://tablet.otzar.org/",CHAR(35),"/book/647700/p/-1/t/1/fs/0/start/0/end/0/c")</f>
        <v>https://tablet.otzar.org/#/book/647700/p/-1/t/1/fs/0/start/0/end/0/c</v>
      </c>
    </row>
    <row r="3676" spans="1:8" x14ac:dyDescent="0.25">
      <c r="A3676">
        <v>629950</v>
      </c>
      <c r="B3676" t="s">
        <v>7122</v>
      </c>
      <c r="C3676" t="s">
        <v>7123</v>
      </c>
      <c r="D3676" t="s">
        <v>340</v>
      </c>
      <c r="E3676" t="s">
        <v>117</v>
      </c>
      <c r="G3676" t="str">
        <f>HYPERLINK(_xlfn.CONCAT("https://tablet.otzar.org/",CHAR(35),"/book/629950/p/-1/t/1/fs/0/start/0/end/0/c"),"קונטרס פארו עלי")</f>
        <v>קונטרס פארו עלי</v>
      </c>
      <c r="H3676" t="str">
        <f>_xlfn.CONCAT("https://tablet.otzar.org/",CHAR(35),"/book/629950/p/-1/t/1/fs/0/start/0/end/0/c")</f>
        <v>https://tablet.otzar.org/#/book/629950/p/-1/t/1/fs/0/start/0/end/0/c</v>
      </c>
    </row>
    <row r="3677" spans="1:8" x14ac:dyDescent="0.25">
      <c r="A3677">
        <v>643153</v>
      </c>
      <c r="B3677" t="s">
        <v>7124</v>
      </c>
      <c r="C3677" t="s">
        <v>7125</v>
      </c>
      <c r="D3677" t="s">
        <v>10</v>
      </c>
      <c r="E3677" t="s">
        <v>710</v>
      </c>
      <c r="G3677" t="str">
        <f>HYPERLINK(_xlfn.CONCAT("https://tablet.otzar.org/",CHAR(35),"/book/643153/p/-1/t/1/fs/0/start/0/end/0/c"),"קונטרס פודה ומציל")</f>
        <v>קונטרס פודה ומציל</v>
      </c>
      <c r="H3677" t="str">
        <f>_xlfn.CONCAT("https://tablet.otzar.org/",CHAR(35),"/book/643153/p/-1/t/1/fs/0/start/0/end/0/c")</f>
        <v>https://tablet.otzar.org/#/book/643153/p/-1/t/1/fs/0/start/0/end/0/c</v>
      </c>
    </row>
    <row r="3678" spans="1:8" x14ac:dyDescent="0.25">
      <c r="A3678">
        <v>648344</v>
      </c>
      <c r="B3678" t="s">
        <v>7126</v>
      </c>
      <c r="C3678" t="s">
        <v>614</v>
      </c>
      <c r="D3678" t="s">
        <v>34</v>
      </c>
      <c r="E3678" t="s">
        <v>84</v>
      </c>
      <c r="G3678" t="str">
        <f>HYPERLINK(_xlfn.CONCAT("https://tablet.otzar.org/",CHAR(35),"/book/648344/p/-1/t/1/fs/0/start/0/end/0/c"),"קונטרס פירותיך מתוקים")</f>
        <v>קונטרס פירותיך מתוקים</v>
      </c>
      <c r="H3678" t="str">
        <f>_xlfn.CONCAT("https://tablet.otzar.org/",CHAR(35),"/book/648344/p/-1/t/1/fs/0/start/0/end/0/c")</f>
        <v>https://tablet.otzar.org/#/book/648344/p/-1/t/1/fs/0/start/0/end/0/c</v>
      </c>
    </row>
    <row r="3679" spans="1:8" x14ac:dyDescent="0.25">
      <c r="A3679">
        <v>649745</v>
      </c>
      <c r="B3679" t="s">
        <v>7127</v>
      </c>
      <c r="C3679" t="s">
        <v>7128</v>
      </c>
      <c r="D3679" t="s">
        <v>1200</v>
      </c>
      <c r="E3679" t="s">
        <v>224</v>
      </c>
      <c r="G3679" t="str">
        <f>HYPERLINK(_xlfn.CONCAT("https://tablet.otzar.org/",CHAR(35),"/book/649745/p/-1/t/1/fs/0/start/0/end/0/c"),"קונטרס פירותיך מתוקים - גיטין")</f>
        <v>קונטרס פירותיך מתוקים - גיטין</v>
      </c>
      <c r="H3679" t="str">
        <f>_xlfn.CONCAT("https://tablet.otzar.org/",CHAR(35),"/book/649745/p/-1/t/1/fs/0/start/0/end/0/c")</f>
        <v>https://tablet.otzar.org/#/book/649745/p/-1/t/1/fs/0/start/0/end/0/c</v>
      </c>
    </row>
    <row r="3680" spans="1:8" x14ac:dyDescent="0.25">
      <c r="A3680">
        <v>650966</v>
      </c>
      <c r="B3680" t="s">
        <v>7129</v>
      </c>
      <c r="C3680" t="s">
        <v>7130</v>
      </c>
      <c r="D3680" t="s">
        <v>10</v>
      </c>
      <c r="E3680" t="s">
        <v>574</v>
      </c>
      <c r="G3680" t="str">
        <f>HYPERLINK(_xlfn.CONCAT("https://tablet.otzar.org/",CHAR(35),"/book/650966/p/-1/t/1/fs/0/start/0/end/0/c"),"קונטרס פני משה - נדה")</f>
        <v>קונטרס פני משה - נדה</v>
      </c>
      <c r="H3680" t="str">
        <f>_xlfn.CONCAT("https://tablet.otzar.org/",CHAR(35),"/book/650966/p/-1/t/1/fs/0/start/0/end/0/c")</f>
        <v>https://tablet.otzar.org/#/book/650966/p/-1/t/1/fs/0/start/0/end/0/c</v>
      </c>
    </row>
    <row r="3681" spans="1:8" x14ac:dyDescent="0.25">
      <c r="A3681">
        <v>653170</v>
      </c>
      <c r="B3681" t="s">
        <v>7131</v>
      </c>
      <c r="C3681" t="s">
        <v>4437</v>
      </c>
      <c r="E3681" t="s">
        <v>574</v>
      </c>
      <c r="G3681" t="str">
        <f>HYPERLINK(_xlfn.CONCAT("https://tablet.otzar.org/",CHAR(35),"/book/653170/p/-1/t/1/fs/0/start/0/end/0/c"),"קונטרס פסח")</f>
        <v>קונטרס פסח</v>
      </c>
      <c r="H3681" t="str">
        <f>_xlfn.CONCAT("https://tablet.otzar.org/",CHAR(35),"/book/653170/p/-1/t/1/fs/0/start/0/end/0/c")</f>
        <v>https://tablet.otzar.org/#/book/653170/p/-1/t/1/fs/0/start/0/end/0/c</v>
      </c>
    </row>
    <row r="3682" spans="1:8" x14ac:dyDescent="0.25">
      <c r="A3682">
        <v>648778</v>
      </c>
      <c r="B3682" t="s">
        <v>7132</v>
      </c>
      <c r="C3682" t="s">
        <v>7133</v>
      </c>
      <c r="D3682" t="s">
        <v>1200</v>
      </c>
      <c r="E3682" t="s">
        <v>11</v>
      </c>
      <c r="G3682" t="str">
        <f>HYPERLINK(_xlfn.CONCAT("https://tablet.otzar.org/",CHAR(35),"/book/648778/p/-1/t/1/fs/0/start/0/end/0/c"),"קונטרס פרדס הלכה - חנוכה")</f>
        <v>קונטרס פרדס הלכה - חנוכה</v>
      </c>
      <c r="H3682" t="str">
        <f>_xlfn.CONCAT("https://tablet.otzar.org/",CHAR(35),"/book/648778/p/-1/t/1/fs/0/start/0/end/0/c")</f>
        <v>https://tablet.otzar.org/#/book/648778/p/-1/t/1/fs/0/start/0/end/0/c</v>
      </c>
    </row>
    <row r="3683" spans="1:8" x14ac:dyDescent="0.25">
      <c r="A3683">
        <v>650707</v>
      </c>
      <c r="B3683" t="s">
        <v>7134</v>
      </c>
      <c r="C3683" t="s">
        <v>1030</v>
      </c>
      <c r="D3683" t="s">
        <v>948</v>
      </c>
      <c r="E3683" t="s">
        <v>306</v>
      </c>
      <c r="G3683" t="str">
        <f>HYPERLINK(_xlfn.CONCAT("https://tablet.otzar.org/",CHAR(35),"/book/650707/p/-1/t/1/fs/0/start/0/end/0/c"),"קונטרס קבורת משה")</f>
        <v>קונטרס קבורת משה</v>
      </c>
      <c r="H3683" t="str">
        <f>_xlfn.CONCAT("https://tablet.otzar.org/",CHAR(35),"/book/650707/p/-1/t/1/fs/0/start/0/end/0/c")</f>
        <v>https://tablet.otzar.org/#/book/650707/p/-1/t/1/fs/0/start/0/end/0/c</v>
      </c>
    </row>
    <row r="3684" spans="1:8" x14ac:dyDescent="0.25">
      <c r="A3684">
        <v>648843</v>
      </c>
      <c r="B3684" t="s">
        <v>7135</v>
      </c>
      <c r="C3684" t="s">
        <v>7136</v>
      </c>
      <c r="D3684" t="s">
        <v>52</v>
      </c>
      <c r="E3684" t="s">
        <v>11</v>
      </c>
      <c r="G3684" t="str">
        <f>HYPERLINK(_xlfn.CONCAT("https://tablet.otzar.org/",CHAR(35),"/book/648843/p/-1/t/1/fs/0/start/0/end/0/c"),"קונטרס קבל וקיים")</f>
        <v>קונטרס קבל וקיים</v>
      </c>
      <c r="H3684" t="str">
        <f>_xlfn.CONCAT("https://tablet.otzar.org/",CHAR(35),"/book/648843/p/-1/t/1/fs/0/start/0/end/0/c")</f>
        <v>https://tablet.otzar.org/#/book/648843/p/-1/t/1/fs/0/start/0/end/0/c</v>
      </c>
    </row>
    <row r="3685" spans="1:8" x14ac:dyDescent="0.25">
      <c r="A3685">
        <v>648471</v>
      </c>
      <c r="B3685" t="s">
        <v>7137</v>
      </c>
      <c r="C3685" t="s">
        <v>7138</v>
      </c>
      <c r="D3685" t="s">
        <v>52</v>
      </c>
      <c r="E3685" t="s">
        <v>780</v>
      </c>
      <c r="G3685" t="str">
        <f>HYPERLINK(_xlfn.CONCAT("https://tablet.otzar.org/",CHAR(35),"/book/648471/p/-1/t/1/fs/0/start/0/end/0/c"),"קונטרס קבלת התורה")</f>
        <v>קונטרס קבלת התורה</v>
      </c>
      <c r="H3685" t="str">
        <f>_xlfn.CONCAT("https://tablet.otzar.org/",CHAR(35),"/book/648471/p/-1/t/1/fs/0/start/0/end/0/c")</f>
        <v>https://tablet.otzar.org/#/book/648471/p/-1/t/1/fs/0/start/0/end/0/c</v>
      </c>
    </row>
    <row r="3686" spans="1:8" x14ac:dyDescent="0.25">
      <c r="A3686">
        <v>647593</v>
      </c>
      <c r="B3686" t="s">
        <v>7139</v>
      </c>
      <c r="C3686" t="s">
        <v>1427</v>
      </c>
      <c r="D3686" t="s">
        <v>181</v>
      </c>
      <c r="E3686" t="s">
        <v>35</v>
      </c>
      <c r="G3686" t="str">
        <f>HYPERLINK(_xlfn.CONCAT("https://tablet.otzar.org/",CHAR(35),"/book/647593/p/-1/t/1/fs/0/start/0/end/0/c"),"קונטרס קבלת עול תורה בפרשיות ק""""ש")</f>
        <v>קונטרס קבלת עול תורה בפרשיות ק""ש</v>
      </c>
      <c r="H3686" t="str">
        <f>_xlfn.CONCAT("https://tablet.otzar.org/",CHAR(35),"/book/647593/p/-1/t/1/fs/0/start/0/end/0/c")</f>
        <v>https://tablet.otzar.org/#/book/647593/p/-1/t/1/fs/0/start/0/end/0/c</v>
      </c>
    </row>
    <row r="3687" spans="1:8" x14ac:dyDescent="0.25">
      <c r="A3687">
        <v>654207</v>
      </c>
      <c r="B3687" t="s">
        <v>7140</v>
      </c>
      <c r="C3687" t="s">
        <v>351</v>
      </c>
      <c r="D3687" t="s">
        <v>139</v>
      </c>
      <c r="E3687" t="s">
        <v>146</v>
      </c>
      <c r="G3687" t="str">
        <f>HYPERLINK(_xlfn.CONCAT("https://tablet.otzar.org/",CHAR(35),"/book/654207/p/-1/t/1/fs/0/start/0/end/0/c"),"קונטרס קול רינה - תולדות אהרן - זידיטשוב")</f>
        <v>קונטרס קול רינה - תולדות אהרן - זידיטשוב</v>
      </c>
      <c r="H3687" t="str">
        <f>_xlfn.CONCAT("https://tablet.otzar.org/",CHAR(35),"/book/654207/p/-1/t/1/fs/0/start/0/end/0/c")</f>
        <v>https://tablet.otzar.org/#/book/654207/p/-1/t/1/fs/0/start/0/end/0/c</v>
      </c>
    </row>
    <row r="3688" spans="1:8" x14ac:dyDescent="0.25">
      <c r="A3688">
        <v>651418</v>
      </c>
      <c r="B3688" t="s">
        <v>7141</v>
      </c>
      <c r="C3688" t="s">
        <v>7142</v>
      </c>
      <c r="D3688" t="s">
        <v>10</v>
      </c>
      <c r="E3688" t="s">
        <v>1077</v>
      </c>
      <c r="G3688" t="str">
        <f>HYPERLINK(_xlfn.CONCAT("https://tablet.otzar.org/",CHAR(35),"/book/651418/p/-1/t/1/fs/0/start/0/end/0/c"),"קונטרס קול שופר")</f>
        <v>קונטרס קול שופר</v>
      </c>
      <c r="H3688" t="str">
        <f>_xlfn.CONCAT("https://tablet.otzar.org/",CHAR(35),"/book/651418/p/-1/t/1/fs/0/start/0/end/0/c")</f>
        <v>https://tablet.otzar.org/#/book/651418/p/-1/t/1/fs/0/start/0/end/0/c</v>
      </c>
    </row>
    <row r="3689" spans="1:8" x14ac:dyDescent="0.25">
      <c r="A3689">
        <v>654487</v>
      </c>
      <c r="B3689" t="s">
        <v>7143</v>
      </c>
      <c r="C3689" t="s">
        <v>6875</v>
      </c>
      <c r="D3689" t="s">
        <v>10</v>
      </c>
      <c r="E3689" t="s">
        <v>11</v>
      </c>
      <c r="G3689" t="str">
        <f>HYPERLINK(_xlfn.CONCAT("https://tablet.otzar.org/",CHAR(35),"/book/654487/p/-1/t/1/fs/0/start/0/end/0/c"),"קונטרס קל וחומר - יומא")</f>
        <v>קונטרס קל וחומר - יומא</v>
      </c>
      <c r="H3689" t="str">
        <f>_xlfn.CONCAT("https://tablet.otzar.org/",CHAR(35),"/book/654487/p/-1/t/1/fs/0/start/0/end/0/c")</f>
        <v>https://tablet.otzar.org/#/book/654487/p/-1/t/1/fs/0/start/0/end/0/c</v>
      </c>
    </row>
    <row r="3690" spans="1:8" x14ac:dyDescent="0.25">
      <c r="A3690">
        <v>651046</v>
      </c>
      <c r="B3690" t="s">
        <v>7144</v>
      </c>
      <c r="C3690" t="s">
        <v>1923</v>
      </c>
      <c r="D3690" t="s">
        <v>52</v>
      </c>
      <c r="E3690" t="s">
        <v>35</v>
      </c>
      <c r="G3690" t="str">
        <f>HYPERLINK(_xlfn.CONCAT("https://tablet.otzar.org/",CHAR(35),"/book/651046/p/-1/t/1/fs/0/start/0/end/0/c"),"קונטרס קנה לך חבר")</f>
        <v>קונטרס קנה לך חבר</v>
      </c>
      <c r="H3690" t="str">
        <f>_xlfn.CONCAT("https://tablet.otzar.org/",CHAR(35),"/book/651046/p/-1/t/1/fs/0/start/0/end/0/c")</f>
        <v>https://tablet.otzar.org/#/book/651046/p/-1/t/1/fs/0/start/0/end/0/c</v>
      </c>
    </row>
    <row r="3691" spans="1:8" x14ac:dyDescent="0.25">
      <c r="A3691">
        <v>649205</v>
      </c>
      <c r="B3691" t="s">
        <v>7145</v>
      </c>
      <c r="C3691" t="s">
        <v>6869</v>
      </c>
      <c r="D3691" t="s">
        <v>10</v>
      </c>
      <c r="E3691" t="s">
        <v>11</v>
      </c>
      <c r="G3691" t="str">
        <f>HYPERLINK(_xlfn.CONCAT("https://tablet.otzar.org/",CHAR(35),"/book/649205/p/-1/t/1/fs/0/start/0/end/0/c"),"קונטרס קריאה של חיבה")</f>
        <v>קונטרס קריאה של חיבה</v>
      </c>
      <c r="H3691" t="str">
        <f>_xlfn.CONCAT("https://tablet.otzar.org/",CHAR(35),"/book/649205/p/-1/t/1/fs/0/start/0/end/0/c")</f>
        <v>https://tablet.otzar.org/#/book/649205/p/-1/t/1/fs/0/start/0/end/0/c</v>
      </c>
    </row>
    <row r="3692" spans="1:8" x14ac:dyDescent="0.25">
      <c r="A3692">
        <v>653505</v>
      </c>
      <c r="B3692" t="s">
        <v>7146</v>
      </c>
      <c r="C3692" t="s">
        <v>7147</v>
      </c>
      <c r="D3692" t="s">
        <v>52</v>
      </c>
      <c r="E3692" t="s">
        <v>690</v>
      </c>
      <c r="G3692" t="str">
        <f>HYPERLINK(_xlfn.CONCAT("https://tablet.otzar.org/",CHAR(35),"/book/653505/p/-1/t/1/fs/0/start/0/end/0/c"),"קונטרס ראש חודש")</f>
        <v>קונטרס ראש חודש</v>
      </c>
      <c r="H3692" t="str">
        <f>_xlfn.CONCAT("https://tablet.otzar.org/",CHAR(35),"/book/653505/p/-1/t/1/fs/0/start/0/end/0/c")</f>
        <v>https://tablet.otzar.org/#/book/653505/p/-1/t/1/fs/0/start/0/end/0/c</v>
      </c>
    </row>
    <row r="3693" spans="1:8" x14ac:dyDescent="0.25">
      <c r="A3693">
        <v>646025</v>
      </c>
      <c r="B3693" t="s">
        <v>7148</v>
      </c>
      <c r="C3693" t="s">
        <v>6707</v>
      </c>
      <c r="E3693" t="s">
        <v>84</v>
      </c>
      <c r="G3693" t="str">
        <f>HYPERLINK(_xlfn.CONCAT("https://tablet.otzar.org/",CHAR(35),"/book/646025/p/-1/t/1/fs/0/start/0/end/0/c"),"קונטרס ראש שמחתי")</f>
        <v>קונטרס ראש שמחתי</v>
      </c>
      <c r="H3693" t="str">
        <f>_xlfn.CONCAT("https://tablet.otzar.org/",CHAR(35),"/book/646025/p/-1/t/1/fs/0/start/0/end/0/c")</f>
        <v>https://tablet.otzar.org/#/book/646025/p/-1/t/1/fs/0/start/0/end/0/c</v>
      </c>
    </row>
    <row r="3694" spans="1:8" x14ac:dyDescent="0.25">
      <c r="A3694">
        <v>648548</v>
      </c>
      <c r="B3694" t="s">
        <v>7149</v>
      </c>
      <c r="C3694" t="s">
        <v>2341</v>
      </c>
      <c r="D3694" t="s">
        <v>7150</v>
      </c>
      <c r="E3694" t="s">
        <v>1364</v>
      </c>
      <c r="G3694" t="str">
        <f>HYPERLINK(_xlfn.CONCAT("https://tablet.otzar.org/",CHAR(35),"/book/648548/p/-1/t/1/fs/0/start/0/end/0/c"),"קונטרס רחשי לבב")</f>
        <v>קונטרס רחשי לבב</v>
      </c>
      <c r="H3694" t="str">
        <f>_xlfn.CONCAT("https://tablet.otzar.org/",CHAR(35),"/book/648548/p/-1/t/1/fs/0/start/0/end/0/c")</f>
        <v>https://tablet.otzar.org/#/book/648548/p/-1/t/1/fs/0/start/0/end/0/c</v>
      </c>
    </row>
    <row r="3695" spans="1:8" x14ac:dyDescent="0.25">
      <c r="A3695">
        <v>648537</v>
      </c>
      <c r="B3695" t="s">
        <v>7151</v>
      </c>
      <c r="C3695" t="s">
        <v>2341</v>
      </c>
      <c r="D3695" t="s">
        <v>7150</v>
      </c>
      <c r="E3695" t="s">
        <v>1364</v>
      </c>
      <c r="G3695" t="str">
        <f>HYPERLINK(_xlfn.CONCAT("https://tablet.otzar.org/",CHAR(35),"/book/648537/p/-1/t/1/fs/0/start/0/end/0/c"),"קונטרס רחשי לבב ח""""ב")</f>
        <v>קונטרס רחשי לבב ח""ב</v>
      </c>
      <c r="H3695" t="str">
        <f>_xlfn.CONCAT("https://tablet.otzar.org/",CHAR(35),"/book/648537/p/-1/t/1/fs/0/start/0/end/0/c")</f>
        <v>https://tablet.otzar.org/#/book/648537/p/-1/t/1/fs/0/start/0/end/0/c</v>
      </c>
    </row>
    <row r="3696" spans="1:8" x14ac:dyDescent="0.25">
      <c r="A3696">
        <v>650040</v>
      </c>
      <c r="B3696" t="s">
        <v>7152</v>
      </c>
      <c r="C3696" t="s">
        <v>6871</v>
      </c>
      <c r="D3696" t="s">
        <v>52</v>
      </c>
      <c r="E3696" t="s">
        <v>35</v>
      </c>
      <c r="G3696" t="str">
        <f>HYPERLINK(_xlfn.CONCAT("https://tablet.otzar.org/",CHAR(35),"/book/650040/p/-1/t/1/fs/0/start/0/end/0/c"),"קונטרס רשימות בקידושין")</f>
        <v>קונטרס רשימות בקידושין</v>
      </c>
      <c r="H3696" t="str">
        <f>_xlfn.CONCAT("https://tablet.otzar.org/",CHAR(35),"/book/650040/p/-1/t/1/fs/0/start/0/end/0/c")</f>
        <v>https://tablet.otzar.org/#/book/650040/p/-1/t/1/fs/0/start/0/end/0/c</v>
      </c>
    </row>
    <row r="3697" spans="1:8" x14ac:dyDescent="0.25">
      <c r="A3697">
        <v>655723</v>
      </c>
      <c r="B3697" t="s">
        <v>7153</v>
      </c>
      <c r="C3697" t="s">
        <v>5476</v>
      </c>
      <c r="D3697" t="s">
        <v>10</v>
      </c>
      <c r="E3697" t="s">
        <v>399</v>
      </c>
      <c r="G3697" t="str">
        <f>HYPERLINK(_xlfn.CONCAT("https://tablet.otzar.org/",CHAR(35),"/book/655723/p/-1/t/1/fs/0/start/0/end/0/c"),"קונטרס שב שמעתתא")</f>
        <v>קונטרס שב שמעתתא</v>
      </c>
      <c r="H3697" t="str">
        <f>_xlfn.CONCAT("https://tablet.otzar.org/",CHAR(35),"/book/655723/p/-1/t/1/fs/0/start/0/end/0/c")</f>
        <v>https://tablet.otzar.org/#/book/655723/p/-1/t/1/fs/0/start/0/end/0/c</v>
      </c>
    </row>
    <row r="3698" spans="1:8" x14ac:dyDescent="0.25">
      <c r="A3698">
        <v>650038</v>
      </c>
      <c r="B3698" t="s">
        <v>7154</v>
      </c>
      <c r="C3698" t="s">
        <v>6871</v>
      </c>
      <c r="D3698" t="s">
        <v>52</v>
      </c>
      <c r="E3698" t="s">
        <v>35</v>
      </c>
      <c r="G3698" t="str">
        <f>HYPERLINK(_xlfn.CONCAT("https://tablet.otzar.org/",CHAR(35),"/book/650038/p/-1/t/1/fs/0/start/0/end/0/c"),"קונטרס שבועת הדיינים")</f>
        <v>קונטרס שבועת הדיינים</v>
      </c>
      <c r="H3698" t="str">
        <f>_xlfn.CONCAT("https://tablet.otzar.org/",CHAR(35),"/book/650038/p/-1/t/1/fs/0/start/0/end/0/c")</f>
        <v>https://tablet.otzar.org/#/book/650038/p/-1/t/1/fs/0/start/0/end/0/c</v>
      </c>
    </row>
    <row r="3699" spans="1:8" x14ac:dyDescent="0.25">
      <c r="A3699">
        <v>654372</v>
      </c>
      <c r="B3699" t="s">
        <v>7155</v>
      </c>
      <c r="C3699" t="s">
        <v>1284</v>
      </c>
      <c r="D3699" t="s">
        <v>1586</v>
      </c>
      <c r="E3699" t="s">
        <v>11</v>
      </c>
      <c r="G3699" t="str">
        <f>HYPERLINK(_xlfn.CONCAT("https://tablet.otzar.org/",CHAR(35),"/book/654372/p/-1/t/1/fs/0/start/0/end/0/c"),"קונטרס שבות עילם")</f>
        <v>קונטרס שבות עילם</v>
      </c>
      <c r="H3699" t="str">
        <f>_xlfn.CONCAT("https://tablet.otzar.org/",CHAR(35),"/book/654372/p/-1/t/1/fs/0/start/0/end/0/c")</f>
        <v>https://tablet.otzar.org/#/book/654372/p/-1/t/1/fs/0/start/0/end/0/c</v>
      </c>
    </row>
    <row r="3700" spans="1:8" x14ac:dyDescent="0.25">
      <c r="A3700">
        <v>647834</v>
      </c>
      <c r="B3700" t="s">
        <v>7156</v>
      </c>
      <c r="C3700" t="s">
        <v>7157</v>
      </c>
      <c r="D3700" t="s">
        <v>52</v>
      </c>
      <c r="E3700" t="s">
        <v>11</v>
      </c>
      <c r="G3700" t="str">
        <f>HYPERLINK(_xlfn.CONCAT("https://tablet.otzar.org/",CHAR(35),"/book/647834/p/-1/t/1/fs/0/start/0/end/0/c"),"קונטרס שביבי משא - בראשית")</f>
        <v>קונטרס שביבי משא - בראשית</v>
      </c>
      <c r="H3700" t="str">
        <f>_xlfn.CONCAT("https://tablet.otzar.org/",CHAR(35),"/book/647834/p/-1/t/1/fs/0/start/0/end/0/c")</f>
        <v>https://tablet.otzar.org/#/book/647834/p/-1/t/1/fs/0/start/0/end/0/c</v>
      </c>
    </row>
    <row r="3701" spans="1:8" x14ac:dyDescent="0.25">
      <c r="A3701">
        <v>655074</v>
      </c>
      <c r="B3701" t="s">
        <v>7158</v>
      </c>
      <c r="C3701" t="s">
        <v>614</v>
      </c>
      <c r="D3701" t="s">
        <v>10</v>
      </c>
      <c r="E3701" t="s">
        <v>35</v>
      </c>
      <c r="G3701" t="str">
        <f>HYPERLINK(_xlfn.CONCAT("https://tablet.otzar.org/",CHAR(35),"/exKotar/655074"),"קונטרס שבראנו לכבודו - 2 כרכים")</f>
        <v>קונטרס שבראנו לכבודו - 2 כרכים</v>
      </c>
      <c r="H3701" t="str">
        <f>_xlfn.CONCAT("https://tablet.otzar.org/",CHAR(35),"/exKotar/655074")</f>
        <v>https://tablet.otzar.org/#/exKotar/655074</v>
      </c>
    </row>
    <row r="3702" spans="1:8" x14ac:dyDescent="0.25">
      <c r="A3702">
        <v>651424</v>
      </c>
      <c r="B3702" t="s">
        <v>7159</v>
      </c>
      <c r="C3702" t="s">
        <v>7160</v>
      </c>
      <c r="D3702" t="s">
        <v>7161</v>
      </c>
      <c r="E3702" t="s">
        <v>1288</v>
      </c>
      <c r="G3702" t="str">
        <f>HYPERLINK(_xlfn.CONCAT("https://tablet.otzar.org/",CHAR(35),"/book/651424/p/-1/t/1/fs/0/start/0/end/0/c"),"קונטרס שיעורים על מסכת בבא קמא")</f>
        <v>קונטרס שיעורים על מסכת בבא קמא</v>
      </c>
      <c r="H3702" t="str">
        <f>_xlfn.CONCAT("https://tablet.otzar.org/",CHAR(35),"/book/651424/p/-1/t/1/fs/0/start/0/end/0/c")</f>
        <v>https://tablet.otzar.org/#/book/651424/p/-1/t/1/fs/0/start/0/end/0/c</v>
      </c>
    </row>
    <row r="3703" spans="1:8" x14ac:dyDescent="0.25">
      <c r="A3703">
        <v>649356</v>
      </c>
      <c r="B3703" t="s">
        <v>7162</v>
      </c>
      <c r="C3703" t="s">
        <v>7163</v>
      </c>
      <c r="D3703" t="s">
        <v>10</v>
      </c>
      <c r="E3703" t="s">
        <v>769</v>
      </c>
      <c r="G3703" t="str">
        <f>HYPERLINK(_xlfn.CONCAT("https://tablet.otzar.org/",CHAR(35),"/book/649356/p/-1/t/1/fs/0/start/0/end/0/c"),"קונטרס שיר ומליצה ודברי התעוררות")</f>
        <v>קונטרס שיר ומליצה ודברי התעוררות</v>
      </c>
      <c r="H3703" t="str">
        <f>_xlfn.CONCAT("https://tablet.otzar.org/",CHAR(35),"/book/649356/p/-1/t/1/fs/0/start/0/end/0/c")</f>
        <v>https://tablet.otzar.org/#/book/649356/p/-1/t/1/fs/0/start/0/end/0/c</v>
      </c>
    </row>
    <row r="3704" spans="1:8" x14ac:dyDescent="0.25">
      <c r="A3704">
        <v>615737</v>
      </c>
      <c r="B3704" t="s">
        <v>7164</v>
      </c>
      <c r="C3704" t="s">
        <v>738</v>
      </c>
      <c r="D3704" t="s">
        <v>10</v>
      </c>
      <c r="E3704" t="s">
        <v>352</v>
      </c>
      <c r="G3704" t="str">
        <f>HYPERLINK(_xlfn.CONCAT("https://tablet.otzar.org/",CHAR(35),"/book/615737/p/-1/t/1/fs/0/start/0/end/0/c"),"קונטרס שירה על הים")</f>
        <v>קונטרס שירה על הים</v>
      </c>
      <c r="H3704" t="str">
        <f>_xlfn.CONCAT("https://tablet.otzar.org/",CHAR(35),"/book/615737/p/-1/t/1/fs/0/start/0/end/0/c")</f>
        <v>https://tablet.otzar.org/#/book/615737/p/-1/t/1/fs/0/start/0/end/0/c</v>
      </c>
    </row>
    <row r="3705" spans="1:8" x14ac:dyDescent="0.25">
      <c r="A3705">
        <v>651891</v>
      </c>
      <c r="B3705" t="s">
        <v>7165</v>
      </c>
      <c r="C3705" t="s">
        <v>7166</v>
      </c>
      <c r="E3705" t="s">
        <v>11</v>
      </c>
      <c r="G3705" t="str">
        <f>HYPERLINK(_xlfn.CONCAT("https://tablet.otzar.org/",CHAR(35),"/book/651891/p/-1/t/1/fs/0/start/0/end/0/c"),"קונטרס שירת דוד")</f>
        <v>קונטרס שירת דוד</v>
      </c>
      <c r="H3705" t="str">
        <f>_xlfn.CONCAT("https://tablet.otzar.org/",CHAR(35),"/book/651891/p/-1/t/1/fs/0/start/0/end/0/c")</f>
        <v>https://tablet.otzar.org/#/book/651891/p/-1/t/1/fs/0/start/0/end/0/c</v>
      </c>
    </row>
    <row r="3706" spans="1:8" x14ac:dyDescent="0.25">
      <c r="A3706">
        <v>649472</v>
      </c>
      <c r="B3706" t="s">
        <v>7167</v>
      </c>
      <c r="C3706" t="s">
        <v>7168</v>
      </c>
      <c r="D3706" t="s">
        <v>2512</v>
      </c>
      <c r="E3706" t="s">
        <v>11</v>
      </c>
      <c r="G3706" t="str">
        <f>HYPERLINK(_xlfn.CONCAT("https://tablet.otzar.org/",CHAR(35),"/book/649472/p/-1/t/1/fs/0/start/0/end/0/c"),"קונטרס שירת הים")</f>
        <v>קונטרס שירת הים</v>
      </c>
      <c r="H3706" t="str">
        <f>_xlfn.CONCAT("https://tablet.otzar.org/",CHAR(35),"/book/649472/p/-1/t/1/fs/0/start/0/end/0/c")</f>
        <v>https://tablet.otzar.org/#/book/649472/p/-1/t/1/fs/0/start/0/end/0/c</v>
      </c>
    </row>
    <row r="3707" spans="1:8" x14ac:dyDescent="0.25">
      <c r="A3707">
        <v>651049</v>
      </c>
      <c r="B3707" t="s">
        <v>7169</v>
      </c>
      <c r="C3707" t="s">
        <v>1923</v>
      </c>
      <c r="D3707" t="s">
        <v>52</v>
      </c>
      <c r="E3707" t="s">
        <v>45</v>
      </c>
      <c r="G3707" t="str">
        <f>HYPERLINK(_xlfn.CONCAT("https://tablet.otzar.org/",CHAR(35),"/book/651049/p/-1/t/1/fs/0/start/0/end/0/c"),"קונטרס שלהבת י""""ה")</f>
        <v>קונטרס שלהבת י""ה</v>
      </c>
      <c r="H3707" t="str">
        <f>_xlfn.CONCAT("https://tablet.otzar.org/",CHAR(35),"/book/651049/p/-1/t/1/fs/0/start/0/end/0/c")</f>
        <v>https://tablet.otzar.org/#/book/651049/p/-1/t/1/fs/0/start/0/end/0/c</v>
      </c>
    </row>
    <row r="3708" spans="1:8" x14ac:dyDescent="0.25">
      <c r="A3708">
        <v>648841</v>
      </c>
      <c r="B3708" t="s">
        <v>7170</v>
      </c>
      <c r="C3708" t="s">
        <v>7136</v>
      </c>
      <c r="D3708" t="s">
        <v>52</v>
      </c>
      <c r="E3708" t="s">
        <v>11</v>
      </c>
      <c r="G3708" t="str">
        <f>HYPERLINK(_xlfn.CONCAT("https://tablet.otzar.org/",CHAR(35),"/book/648841/p/-1/t/1/fs/0/start/0/end/0/c"),"קונטרס שמח נפש")</f>
        <v>קונטרס שמח נפש</v>
      </c>
      <c r="H3708" t="str">
        <f>_xlfn.CONCAT("https://tablet.otzar.org/",CHAR(35),"/book/648841/p/-1/t/1/fs/0/start/0/end/0/c")</f>
        <v>https://tablet.otzar.org/#/book/648841/p/-1/t/1/fs/0/start/0/end/0/c</v>
      </c>
    </row>
    <row r="3709" spans="1:8" x14ac:dyDescent="0.25">
      <c r="A3709">
        <v>642778</v>
      </c>
      <c r="B3709" t="s">
        <v>7171</v>
      </c>
      <c r="C3709" t="s">
        <v>7172</v>
      </c>
      <c r="D3709" t="s">
        <v>34</v>
      </c>
      <c r="E3709" t="s">
        <v>70</v>
      </c>
      <c r="G3709" t="str">
        <f>HYPERLINK(_xlfn.CONCAT("https://tablet.otzar.org/",CHAR(35),"/book/642778/p/-1/t/1/fs/0/start/0/end/0/c"),"קונטרס שמירת הברית")</f>
        <v>קונטרס שמירת הברית</v>
      </c>
      <c r="H3709" t="str">
        <f>_xlfn.CONCAT("https://tablet.otzar.org/",CHAR(35),"/book/642778/p/-1/t/1/fs/0/start/0/end/0/c")</f>
        <v>https://tablet.otzar.org/#/book/642778/p/-1/t/1/fs/0/start/0/end/0/c</v>
      </c>
    </row>
    <row r="3710" spans="1:8" x14ac:dyDescent="0.25">
      <c r="A3710">
        <v>652857</v>
      </c>
      <c r="B3710" t="s">
        <v>7173</v>
      </c>
      <c r="C3710" t="s">
        <v>614</v>
      </c>
      <c r="D3710" t="s">
        <v>34</v>
      </c>
      <c r="E3710" t="s">
        <v>11</v>
      </c>
      <c r="G3710" t="str">
        <f>HYPERLINK(_xlfn.CONCAT("https://tablet.otzar.org/",CHAR(35),"/book/652857/p/-1/t/1/fs/0/start/0/end/0/c"),"קונטרס שמעתתא דחזקה")</f>
        <v>קונטרס שמעתתא דחזקה</v>
      </c>
      <c r="H3710" t="str">
        <f>_xlfn.CONCAT("https://tablet.otzar.org/",CHAR(35),"/book/652857/p/-1/t/1/fs/0/start/0/end/0/c")</f>
        <v>https://tablet.otzar.org/#/book/652857/p/-1/t/1/fs/0/start/0/end/0/c</v>
      </c>
    </row>
    <row r="3711" spans="1:8" x14ac:dyDescent="0.25">
      <c r="A3711">
        <v>652858</v>
      </c>
      <c r="B3711" t="s">
        <v>7174</v>
      </c>
      <c r="C3711" t="s">
        <v>614</v>
      </c>
      <c r="D3711" t="s">
        <v>34</v>
      </c>
      <c r="E3711" t="s">
        <v>11</v>
      </c>
      <c r="G3711" t="str">
        <f>HYPERLINK(_xlfn.CONCAT("https://tablet.otzar.org/",CHAR(35),"/book/652858/p/-1/t/1/fs/0/start/0/end/0/c"),"קונטרס שמעתתא דחנוכה")</f>
        <v>קונטרס שמעתתא דחנוכה</v>
      </c>
      <c r="H3711" t="str">
        <f>_xlfn.CONCAT("https://tablet.otzar.org/",CHAR(35),"/book/652858/p/-1/t/1/fs/0/start/0/end/0/c")</f>
        <v>https://tablet.otzar.org/#/book/652858/p/-1/t/1/fs/0/start/0/end/0/c</v>
      </c>
    </row>
    <row r="3712" spans="1:8" x14ac:dyDescent="0.25">
      <c r="A3712">
        <v>652859</v>
      </c>
      <c r="B3712" t="s">
        <v>7175</v>
      </c>
      <c r="C3712" t="s">
        <v>614</v>
      </c>
      <c r="D3712" t="s">
        <v>34</v>
      </c>
      <c r="E3712" t="s">
        <v>35</v>
      </c>
      <c r="G3712" t="str">
        <f>HYPERLINK(_xlfn.CONCAT("https://tablet.otzar.org/",CHAR(35),"/book/652859/p/-1/t/1/fs/0/start/0/end/0/c"),"קונטרס שמעתתא דמוחזק")</f>
        <v>קונטרס שמעתתא דמוחזק</v>
      </c>
      <c r="H3712" t="str">
        <f>_xlfn.CONCAT("https://tablet.otzar.org/",CHAR(35),"/book/652859/p/-1/t/1/fs/0/start/0/end/0/c")</f>
        <v>https://tablet.otzar.org/#/book/652859/p/-1/t/1/fs/0/start/0/end/0/c</v>
      </c>
    </row>
    <row r="3713" spans="1:8" x14ac:dyDescent="0.25">
      <c r="A3713">
        <v>651868</v>
      </c>
      <c r="B3713" t="s">
        <v>7176</v>
      </c>
      <c r="C3713" t="s">
        <v>7177</v>
      </c>
      <c r="D3713" t="s">
        <v>10</v>
      </c>
      <c r="E3713" t="s">
        <v>11</v>
      </c>
      <c r="G3713" t="str">
        <f>HYPERLINK(_xlfn.CONCAT("https://tablet.otzar.org/",CHAR(35),"/book/651868/p/-1/t/1/fs/0/start/0/end/0/c"),"קונטרס שנת השבע")</f>
        <v>קונטרס שנת השבע</v>
      </c>
      <c r="H3713" t="str">
        <f>_xlfn.CONCAT("https://tablet.otzar.org/",CHAR(35),"/book/651868/p/-1/t/1/fs/0/start/0/end/0/c")</f>
        <v>https://tablet.otzar.org/#/book/651868/p/-1/t/1/fs/0/start/0/end/0/c</v>
      </c>
    </row>
    <row r="3714" spans="1:8" x14ac:dyDescent="0.25">
      <c r="A3714">
        <v>643125</v>
      </c>
      <c r="B3714" t="s">
        <v>7178</v>
      </c>
      <c r="C3714" t="s">
        <v>7179</v>
      </c>
      <c r="E3714" t="s">
        <v>184</v>
      </c>
      <c r="G3714" t="str">
        <f>HYPERLINK(_xlfn.CONCAT("https://tablet.otzar.org/",CHAR(35),"/book/643125/p/-1/t/1/fs/0/start/0/end/0/c"),"קונטרס שערי אורה קובץ ועדים")</f>
        <v>קונטרס שערי אורה קובץ ועדים</v>
      </c>
      <c r="H3714" t="str">
        <f>_xlfn.CONCAT("https://tablet.otzar.org/",CHAR(35),"/book/643125/p/-1/t/1/fs/0/start/0/end/0/c")</f>
        <v>https://tablet.otzar.org/#/book/643125/p/-1/t/1/fs/0/start/0/end/0/c</v>
      </c>
    </row>
    <row r="3715" spans="1:8" x14ac:dyDescent="0.25">
      <c r="A3715">
        <v>654527</v>
      </c>
      <c r="B3715" t="s">
        <v>7180</v>
      </c>
      <c r="C3715" t="s">
        <v>308</v>
      </c>
      <c r="E3715" t="s">
        <v>45</v>
      </c>
      <c r="G3715" t="str">
        <f>HYPERLINK(_xlfn.CONCAT("https://tablet.otzar.org/",CHAR(35),"/exKotar/654527"),"קונטרס שערי יוסף - 13 כרכים")</f>
        <v>קונטרס שערי יוסף - 13 כרכים</v>
      </c>
      <c r="H3715" t="str">
        <f>_xlfn.CONCAT("https://tablet.otzar.org/",CHAR(35),"/exKotar/654527")</f>
        <v>https://tablet.otzar.org/#/exKotar/654527</v>
      </c>
    </row>
    <row r="3716" spans="1:8" x14ac:dyDescent="0.25">
      <c r="A3716">
        <v>647677</v>
      </c>
      <c r="B3716" t="s">
        <v>7181</v>
      </c>
      <c r="C3716" t="s">
        <v>7182</v>
      </c>
      <c r="D3716" t="s">
        <v>328</v>
      </c>
      <c r="E3716" t="s">
        <v>45</v>
      </c>
      <c r="G3716" t="str">
        <f>HYPERLINK(_xlfn.CONCAT("https://tablet.otzar.org/",CHAR(35),"/book/647677/p/-1/t/1/fs/0/start/0/end/0/c"),"קונטרס שערי יסודות")</f>
        <v>קונטרס שערי יסודות</v>
      </c>
      <c r="H3716" t="str">
        <f>_xlfn.CONCAT("https://tablet.otzar.org/",CHAR(35),"/book/647677/p/-1/t/1/fs/0/start/0/end/0/c")</f>
        <v>https://tablet.otzar.org/#/book/647677/p/-1/t/1/fs/0/start/0/end/0/c</v>
      </c>
    </row>
    <row r="3717" spans="1:8" x14ac:dyDescent="0.25">
      <c r="A3717">
        <v>648472</v>
      </c>
      <c r="B3717" t="s">
        <v>7183</v>
      </c>
      <c r="C3717" t="s">
        <v>614</v>
      </c>
      <c r="D3717" t="s">
        <v>34</v>
      </c>
      <c r="E3717" t="s">
        <v>35</v>
      </c>
      <c r="G3717" t="str">
        <f>HYPERLINK(_xlfn.CONCAT("https://tablet.otzar.org/",CHAR(35),"/book/648472/p/-1/t/1/fs/0/start/0/end/0/c"),"קונטרס שערי מועד - פסח")</f>
        <v>קונטרס שערי מועד - פסח</v>
      </c>
      <c r="H3717" t="str">
        <f>_xlfn.CONCAT("https://tablet.otzar.org/",CHAR(35),"/book/648472/p/-1/t/1/fs/0/start/0/end/0/c")</f>
        <v>https://tablet.otzar.org/#/book/648472/p/-1/t/1/fs/0/start/0/end/0/c</v>
      </c>
    </row>
    <row r="3718" spans="1:8" x14ac:dyDescent="0.25">
      <c r="A3718">
        <v>651415</v>
      </c>
      <c r="B3718" t="s">
        <v>7184</v>
      </c>
      <c r="C3718" t="s">
        <v>7185</v>
      </c>
      <c r="D3718" t="s">
        <v>28</v>
      </c>
      <c r="E3718" t="s">
        <v>35</v>
      </c>
      <c r="G3718" t="str">
        <f>HYPERLINK(_xlfn.CONCAT("https://tablet.otzar.org/",CHAR(35),"/book/651415/p/-1/t/1/fs/0/start/0/end/0/c"),"קונטרס שש אנכי")</f>
        <v>קונטרס שש אנכי</v>
      </c>
      <c r="H3718" t="str">
        <f>_xlfn.CONCAT("https://tablet.otzar.org/",CHAR(35),"/book/651415/p/-1/t/1/fs/0/start/0/end/0/c")</f>
        <v>https://tablet.otzar.org/#/book/651415/p/-1/t/1/fs/0/start/0/end/0/c</v>
      </c>
    </row>
    <row r="3719" spans="1:8" x14ac:dyDescent="0.25">
      <c r="A3719">
        <v>650733</v>
      </c>
      <c r="B3719" t="s">
        <v>7186</v>
      </c>
      <c r="C3719" t="s">
        <v>6847</v>
      </c>
      <c r="D3719" t="s">
        <v>34</v>
      </c>
      <c r="E3719" t="s">
        <v>35</v>
      </c>
      <c r="G3719" t="str">
        <f>HYPERLINK(_xlfn.CONCAT("https://tablet.otzar.org/",CHAR(35),"/book/650733/p/-1/t/1/fs/0/start/0/end/0/c"),"קונטרס תהילה לדוד")</f>
        <v>קונטרס תהילה לדוד</v>
      </c>
      <c r="H3719" t="str">
        <f>_xlfn.CONCAT("https://tablet.otzar.org/",CHAR(35),"/book/650733/p/-1/t/1/fs/0/start/0/end/0/c")</f>
        <v>https://tablet.otzar.org/#/book/650733/p/-1/t/1/fs/0/start/0/end/0/c</v>
      </c>
    </row>
    <row r="3720" spans="1:8" x14ac:dyDescent="0.25">
      <c r="A3720">
        <v>650215</v>
      </c>
      <c r="B3720" t="s">
        <v>7187</v>
      </c>
      <c r="C3720" t="s">
        <v>7188</v>
      </c>
      <c r="D3720" t="s">
        <v>10</v>
      </c>
      <c r="E3720" t="s">
        <v>200</v>
      </c>
      <c r="G3720" t="str">
        <f>HYPERLINK(_xlfn.CONCAT("https://tablet.otzar.org/",CHAR(35),"/book/650215/p/-1/t/1/fs/0/start/0/end/0/c"),"קונטרס תורת הלשון - ב")</f>
        <v>קונטרס תורת הלשון - ב</v>
      </c>
      <c r="H3720" t="str">
        <f>_xlfn.CONCAT("https://tablet.otzar.org/",CHAR(35),"/book/650215/p/-1/t/1/fs/0/start/0/end/0/c")</f>
        <v>https://tablet.otzar.org/#/book/650215/p/-1/t/1/fs/0/start/0/end/0/c</v>
      </c>
    </row>
    <row r="3721" spans="1:8" x14ac:dyDescent="0.25">
      <c r="A3721">
        <v>650211</v>
      </c>
      <c r="B3721" t="s">
        <v>7189</v>
      </c>
      <c r="C3721" t="s">
        <v>7190</v>
      </c>
      <c r="D3721" t="s">
        <v>340</v>
      </c>
      <c r="E3721" t="s">
        <v>35</v>
      </c>
      <c r="G3721" t="str">
        <f>HYPERLINK(_xlfn.CONCAT("https://tablet.otzar.org/",CHAR(35),"/exKotar/650211"),"קונטרס תורת יחזקאל - 2 כרכים")</f>
        <v>קונטרס תורת יחזקאל - 2 כרכים</v>
      </c>
      <c r="H3721" t="str">
        <f>_xlfn.CONCAT("https://tablet.otzar.org/",CHAR(35),"/exKotar/650211")</f>
        <v>https://tablet.otzar.org/#/exKotar/650211</v>
      </c>
    </row>
    <row r="3722" spans="1:8" x14ac:dyDescent="0.25">
      <c r="A3722">
        <v>647393</v>
      </c>
      <c r="B3722" t="s">
        <v>7191</v>
      </c>
      <c r="C3722" t="s">
        <v>7192</v>
      </c>
      <c r="E3722" t="s">
        <v>2368</v>
      </c>
      <c r="G3722" t="str">
        <f>HYPERLINK(_xlfn.CONCAT("https://tablet.otzar.org/",CHAR(35),"/book/647393/p/-1/t/1/fs/0/start/0/end/0/c"),"קונטרס תיקון נשמה")</f>
        <v>קונטרס תיקון נשמה</v>
      </c>
      <c r="H3722" t="str">
        <f>_xlfn.CONCAT("https://tablet.otzar.org/",CHAR(35),"/book/647393/p/-1/t/1/fs/0/start/0/end/0/c")</f>
        <v>https://tablet.otzar.org/#/book/647393/p/-1/t/1/fs/0/start/0/end/0/c</v>
      </c>
    </row>
    <row r="3723" spans="1:8" x14ac:dyDescent="0.25">
      <c r="A3723">
        <v>650732</v>
      </c>
      <c r="B3723" t="s">
        <v>7193</v>
      </c>
      <c r="C3723" t="s">
        <v>7194</v>
      </c>
      <c r="D3723" t="s">
        <v>10</v>
      </c>
      <c r="E3723" t="s">
        <v>11</v>
      </c>
      <c r="G3723" t="str">
        <f>HYPERLINK(_xlfn.CONCAT("https://tablet.otzar.org/",CHAR(35),"/book/650732/p/-1/t/1/fs/0/start/0/end/0/c"),"קונטרס תל ירמות")</f>
        <v>קונטרס תל ירמות</v>
      </c>
      <c r="H3723" t="str">
        <f>_xlfn.CONCAT("https://tablet.otzar.org/",CHAR(35),"/book/650732/p/-1/t/1/fs/0/start/0/end/0/c")</f>
        <v>https://tablet.otzar.org/#/book/650732/p/-1/t/1/fs/0/start/0/end/0/c</v>
      </c>
    </row>
    <row r="3724" spans="1:8" x14ac:dyDescent="0.25">
      <c r="A3724">
        <v>649342</v>
      </c>
      <c r="B3724" t="s">
        <v>7195</v>
      </c>
      <c r="C3724" t="s">
        <v>7196</v>
      </c>
      <c r="D3724" t="s">
        <v>10</v>
      </c>
      <c r="E3724" t="s">
        <v>769</v>
      </c>
      <c r="G3724" t="str">
        <f>HYPERLINK(_xlfn.CONCAT("https://tablet.otzar.org/",CHAR(35),"/book/649342/p/-1/t/1/fs/0/start/0/end/0/c"),"קונטרס תפארת בנים")</f>
        <v>קונטרס תפארת בנים</v>
      </c>
      <c r="H3724" t="str">
        <f>_xlfn.CONCAT("https://tablet.otzar.org/",CHAR(35),"/book/649342/p/-1/t/1/fs/0/start/0/end/0/c")</f>
        <v>https://tablet.otzar.org/#/book/649342/p/-1/t/1/fs/0/start/0/end/0/c</v>
      </c>
    </row>
    <row r="3725" spans="1:8" x14ac:dyDescent="0.25">
      <c r="A3725">
        <v>655060</v>
      </c>
      <c r="B3725" t="s">
        <v>7197</v>
      </c>
      <c r="C3725" t="s">
        <v>7198</v>
      </c>
      <c r="D3725" t="s">
        <v>34</v>
      </c>
      <c r="E3725" t="s">
        <v>45</v>
      </c>
      <c r="G3725" t="str">
        <f>HYPERLINK(_xlfn.CONCAT("https://tablet.otzar.org/",CHAR(35),"/book/655060/p/-1/t/1/fs/0/start/0/end/0/c"),"קונטרס תפלות ותחנונים בענין התורה הק' מליקוטי תפ")</f>
        <v>קונטרס תפלות ותחנונים בענין התורה הק' מליקוטי תפ</v>
      </c>
      <c r="H3725" t="str">
        <f>_xlfn.CONCAT("https://tablet.otzar.org/",CHAR(35),"/book/655060/p/-1/t/1/fs/0/start/0/end/0/c")</f>
        <v>https://tablet.otzar.org/#/book/655060/p/-1/t/1/fs/0/start/0/end/0/c</v>
      </c>
    </row>
    <row r="3726" spans="1:8" x14ac:dyDescent="0.25">
      <c r="A3726">
        <v>653522</v>
      </c>
      <c r="B3726" t="s">
        <v>7199</v>
      </c>
      <c r="C3726" t="s">
        <v>7200</v>
      </c>
      <c r="D3726" t="s">
        <v>10</v>
      </c>
      <c r="E3726" t="s">
        <v>7201</v>
      </c>
      <c r="G3726" t="str">
        <f>HYPERLINK(_xlfn.CONCAT("https://tablet.otzar.org/",CHAR(35),"/book/653522/p/-1/t/1/fs/0/start/0/end/0/c"),"קורות היהודים בספרד המוסלמית - ב")</f>
        <v>קורות היהודים בספרד המוסלמית - ב</v>
      </c>
      <c r="H3726" t="str">
        <f>_xlfn.CONCAT("https://tablet.otzar.org/",CHAR(35),"/book/653522/p/-1/t/1/fs/0/start/0/end/0/c")</f>
        <v>https://tablet.otzar.org/#/book/653522/p/-1/t/1/fs/0/start/0/end/0/c</v>
      </c>
    </row>
    <row r="3727" spans="1:8" x14ac:dyDescent="0.25">
      <c r="A3727">
        <v>641963</v>
      </c>
      <c r="B3727" t="s">
        <v>7202</v>
      </c>
      <c r="C3727" t="s">
        <v>7203</v>
      </c>
      <c r="D3727" t="s">
        <v>7204</v>
      </c>
      <c r="E3727" t="s">
        <v>1483</v>
      </c>
      <c r="G3727" t="str">
        <f>HYPERLINK(_xlfn.CONCAT("https://tablet.otzar.org/",CHAR(35),"/book/641963/p/-1/t/1/fs/0/start/0/end/0/c"),"קורות עם עולם - א")</f>
        <v>קורות עם עולם - א</v>
      </c>
      <c r="H3727" t="str">
        <f>_xlfn.CONCAT("https://tablet.otzar.org/",CHAR(35),"/book/641963/p/-1/t/1/fs/0/start/0/end/0/c")</f>
        <v>https://tablet.otzar.org/#/book/641963/p/-1/t/1/fs/0/start/0/end/0/c</v>
      </c>
    </row>
    <row r="3728" spans="1:8" x14ac:dyDescent="0.25">
      <c r="A3728">
        <v>648991</v>
      </c>
      <c r="B3728" t="s">
        <v>7205</v>
      </c>
      <c r="C3728" t="s">
        <v>7206</v>
      </c>
      <c r="D3728" t="s">
        <v>10</v>
      </c>
      <c r="E3728" t="s">
        <v>558</v>
      </c>
      <c r="G3728" t="str">
        <f>HYPERLINK(_xlfn.CONCAT("https://tablet.otzar.org/",CHAR(35),"/book/648991/p/-1/t/1/fs/0/start/0/end/0/c"),"קושיות אבי עזרי")</f>
        <v>קושיות אבי עזרי</v>
      </c>
      <c r="H3728" t="str">
        <f>_xlfn.CONCAT("https://tablet.otzar.org/",CHAR(35),"/book/648991/p/-1/t/1/fs/0/start/0/end/0/c")</f>
        <v>https://tablet.otzar.org/#/book/648991/p/-1/t/1/fs/0/start/0/end/0/c</v>
      </c>
    </row>
    <row r="3729" spans="1:8" x14ac:dyDescent="0.25">
      <c r="A3729">
        <v>642149</v>
      </c>
      <c r="B3729" t="s">
        <v>7207</v>
      </c>
      <c r="C3729" t="s">
        <v>7208</v>
      </c>
      <c r="D3729" t="s">
        <v>10</v>
      </c>
      <c r="E3729" t="s">
        <v>35</v>
      </c>
      <c r="G3729" t="str">
        <f>HYPERLINK(_xlfn.CONCAT("https://tablet.otzar.org/",CHAR(35),"/exKotar/642149"),"קטלוג ברנד - 8 כרכים")</f>
        <v>קטלוג ברנד - 8 כרכים</v>
      </c>
      <c r="H3729" t="str">
        <f>_xlfn.CONCAT("https://tablet.otzar.org/",CHAR(35),"/exKotar/642149")</f>
        <v>https://tablet.otzar.org/#/exKotar/642149</v>
      </c>
    </row>
    <row r="3730" spans="1:8" x14ac:dyDescent="0.25">
      <c r="A3730">
        <v>638228</v>
      </c>
      <c r="B3730" t="s">
        <v>7209</v>
      </c>
      <c r="C3730" t="s">
        <v>7210</v>
      </c>
      <c r="D3730" t="s">
        <v>10</v>
      </c>
      <c r="E3730" t="s">
        <v>35</v>
      </c>
      <c r="G3730" t="str">
        <f>HYPERLINK(_xlfn.CONCAT("https://tablet.otzar.org/",CHAR(35),"/exKotar/638228"),"קטלוג גנזים - 3 כרכים")</f>
        <v>קטלוג גנזים - 3 כרכים</v>
      </c>
      <c r="H3730" t="str">
        <f>_xlfn.CONCAT("https://tablet.otzar.org/",CHAR(35),"/exKotar/638228")</f>
        <v>https://tablet.otzar.org/#/exKotar/638228</v>
      </c>
    </row>
    <row r="3731" spans="1:8" x14ac:dyDescent="0.25">
      <c r="A3731">
        <v>647556</v>
      </c>
      <c r="B3731" t="s">
        <v>7211</v>
      </c>
      <c r="C3731" t="s">
        <v>7212</v>
      </c>
      <c r="D3731" t="s">
        <v>10</v>
      </c>
      <c r="E3731" t="s">
        <v>35</v>
      </c>
      <c r="G3731" t="str">
        <f>HYPERLINK(_xlfn.CONCAT("https://tablet.otzar.org/",CHAR(35),"/exKotar/647556"),"קטלוג קדם - 4 כרכים")</f>
        <v>קטלוג קדם - 4 כרכים</v>
      </c>
      <c r="H3731" t="str">
        <f>_xlfn.CONCAT("https://tablet.otzar.org/",CHAR(35),"/exKotar/647556")</f>
        <v>https://tablet.otzar.org/#/exKotar/647556</v>
      </c>
    </row>
    <row r="3732" spans="1:8" x14ac:dyDescent="0.25">
      <c r="A3732">
        <v>647528</v>
      </c>
      <c r="B3732" t="s">
        <v>7213</v>
      </c>
      <c r="C3732" t="s">
        <v>7208</v>
      </c>
      <c r="D3732" t="s">
        <v>10</v>
      </c>
      <c r="E3732" t="s">
        <v>11</v>
      </c>
      <c r="G3732" t="str">
        <f>HYPERLINK(_xlfn.CONCAT("https://tablet.otzar.org/",CHAR(35),"/exKotar/647528"),"קטלוג רפאלי - 6 כרכים")</f>
        <v>קטלוג רפאלי - 6 כרכים</v>
      </c>
      <c r="H3732" t="str">
        <f>_xlfn.CONCAT("https://tablet.otzar.org/",CHAR(35),"/exKotar/647528")</f>
        <v>https://tablet.otzar.org/#/exKotar/647528</v>
      </c>
    </row>
    <row r="3733" spans="1:8" x14ac:dyDescent="0.25">
      <c r="A3733">
        <v>642701</v>
      </c>
      <c r="B3733" t="s">
        <v>7214</v>
      </c>
      <c r="C3733" t="s">
        <v>7208</v>
      </c>
      <c r="D3733" t="s">
        <v>10</v>
      </c>
      <c r="E3733" t="s">
        <v>35</v>
      </c>
      <c r="G3733" t="str">
        <f>HYPERLINK(_xlfn.CONCAT("https://tablet.otzar.org/",CHAR(35),"/exKotar/642701"),"קטלוג תאג' ארט - 3 כרכים")</f>
        <v>קטלוג תאג' ארט - 3 כרכים</v>
      </c>
      <c r="H3733" t="str">
        <f>_xlfn.CONCAT("https://tablet.otzar.org/",CHAR(35),"/exKotar/642701")</f>
        <v>https://tablet.otzar.org/#/exKotar/642701</v>
      </c>
    </row>
    <row r="3734" spans="1:8" x14ac:dyDescent="0.25">
      <c r="A3734">
        <v>654484</v>
      </c>
      <c r="B3734" t="s">
        <v>7215</v>
      </c>
      <c r="C3734" t="s">
        <v>4317</v>
      </c>
      <c r="D3734" t="s">
        <v>52</v>
      </c>
      <c r="E3734" t="s">
        <v>35</v>
      </c>
      <c r="G3734" t="str">
        <f>HYPERLINK(_xlfn.CONCAT("https://tablet.otzar.org/",CHAR(35),"/book/654484/p/-1/t/1/fs/0/start/0/end/0/c"),"קיבוץ ביכורים")</f>
        <v>קיבוץ ביכורים</v>
      </c>
      <c r="H3734" t="str">
        <f>_xlfn.CONCAT("https://tablet.otzar.org/",CHAR(35),"/book/654484/p/-1/t/1/fs/0/start/0/end/0/c")</f>
        <v>https://tablet.otzar.org/#/book/654484/p/-1/t/1/fs/0/start/0/end/0/c</v>
      </c>
    </row>
    <row r="3735" spans="1:8" x14ac:dyDescent="0.25">
      <c r="A3735">
        <v>652672</v>
      </c>
      <c r="B3735" t="s">
        <v>7216</v>
      </c>
      <c r="C3735" t="s">
        <v>2478</v>
      </c>
      <c r="D3735" t="s">
        <v>10</v>
      </c>
      <c r="E3735" t="s">
        <v>2368</v>
      </c>
      <c r="G3735" t="str">
        <f>HYPERLINK(_xlfn.CONCAT("https://tablet.otzar.org/",CHAR(35),"/book/652672/p/-1/t/1/fs/0/start/0/end/0/c"),"קידוש השם")</f>
        <v>קידוש השם</v>
      </c>
      <c r="H3735" t="str">
        <f>_xlfn.CONCAT("https://tablet.otzar.org/",CHAR(35),"/book/652672/p/-1/t/1/fs/0/start/0/end/0/c")</f>
        <v>https://tablet.otzar.org/#/book/652672/p/-1/t/1/fs/0/start/0/end/0/c</v>
      </c>
    </row>
    <row r="3736" spans="1:8" x14ac:dyDescent="0.25">
      <c r="A3736">
        <v>656119</v>
      </c>
      <c r="B3736" t="s">
        <v>7217</v>
      </c>
      <c r="C3736" t="s">
        <v>2438</v>
      </c>
      <c r="D3736" t="s">
        <v>52</v>
      </c>
      <c r="E3736" t="s">
        <v>657</v>
      </c>
      <c r="G3736" t="str">
        <f>HYPERLINK(_xlfn.CONCAT("https://tablet.otzar.org/",CHAR(35),"/book/656119/p/-1/t/1/fs/0/start/0/end/0/c"),"קיימו וקבלו")</f>
        <v>קיימו וקבלו</v>
      </c>
      <c r="H3736" t="str">
        <f>_xlfn.CONCAT("https://tablet.otzar.org/",CHAR(35),"/book/656119/p/-1/t/1/fs/0/start/0/end/0/c")</f>
        <v>https://tablet.otzar.org/#/book/656119/p/-1/t/1/fs/0/start/0/end/0/c</v>
      </c>
    </row>
    <row r="3737" spans="1:8" x14ac:dyDescent="0.25">
      <c r="A3737">
        <v>651934</v>
      </c>
      <c r="B3737" t="s">
        <v>7218</v>
      </c>
      <c r="C3737" t="s">
        <v>7219</v>
      </c>
      <c r="D3737" t="s">
        <v>7220</v>
      </c>
      <c r="E3737" t="s">
        <v>7221</v>
      </c>
      <c r="G3737" t="str">
        <f>HYPERLINK(_xlfn.CONCAT("https://tablet.otzar.org/",CHAR(35),"/book/651934/p/-1/t/1/fs/0/start/0/end/0/c"),"קינה לדוד")</f>
        <v>קינה לדוד</v>
      </c>
      <c r="H3737" t="str">
        <f>_xlfn.CONCAT("https://tablet.otzar.org/",CHAR(35),"/book/651934/p/-1/t/1/fs/0/start/0/end/0/c")</f>
        <v>https://tablet.otzar.org/#/book/651934/p/-1/t/1/fs/0/start/0/end/0/c</v>
      </c>
    </row>
    <row r="3738" spans="1:8" x14ac:dyDescent="0.25">
      <c r="A3738">
        <v>648542</v>
      </c>
      <c r="B3738" t="s">
        <v>7222</v>
      </c>
      <c r="C3738" t="s">
        <v>7223</v>
      </c>
      <c r="E3738" t="s">
        <v>70</v>
      </c>
      <c r="G3738" t="str">
        <f>HYPERLINK(_xlfn.CONCAT("https://tablet.otzar.org/",CHAR(35),"/book/648542/p/-1/t/1/fs/0/start/0/end/0/c"),"קינות הלכות וסדר התפלה לתשעה באב")</f>
        <v>קינות הלכות וסדר התפלה לתשעה באב</v>
      </c>
      <c r="H3738" t="str">
        <f>_xlfn.CONCAT("https://tablet.otzar.org/",CHAR(35),"/book/648542/p/-1/t/1/fs/0/start/0/end/0/c")</f>
        <v>https://tablet.otzar.org/#/book/648542/p/-1/t/1/fs/0/start/0/end/0/c</v>
      </c>
    </row>
    <row r="3739" spans="1:8" x14ac:dyDescent="0.25">
      <c r="A3739">
        <v>638009</v>
      </c>
      <c r="B3739" t="s">
        <v>7224</v>
      </c>
      <c r="C3739" t="s">
        <v>7225</v>
      </c>
      <c r="D3739" t="s">
        <v>340</v>
      </c>
      <c r="E3739" t="s">
        <v>84</v>
      </c>
      <c r="G3739" t="str">
        <f>HYPERLINK(_xlfn.CONCAT("https://tablet.otzar.org/",CHAR(35),"/book/638009/p/-1/t/1/fs/0/start/0/end/0/c"),"קינות כמנהג אשכנז &lt;מבוארות ומוערות&gt;")</f>
        <v>קינות כמנהג אשכנז &lt;מבוארות ומוערות&gt;</v>
      </c>
      <c r="H3739" t="str">
        <f>_xlfn.CONCAT("https://tablet.otzar.org/",CHAR(35),"/book/638009/p/-1/t/1/fs/0/start/0/end/0/c")</f>
        <v>https://tablet.otzar.org/#/book/638009/p/-1/t/1/fs/0/start/0/end/0/c</v>
      </c>
    </row>
    <row r="3740" spans="1:8" x14ac:dyDescent="0.25">
      <c r="A3740">
        <v>651741</v>
      </c>
      <c r="B3740" t="s">
        <v>7226</v>
      </c>
      <c r="C3740" t="s">
        <v>7227</v>
      </c>
      <c r="D3740" t="s">
        <v>52</v>
      </c>
      <c r="E3740" t="s">
        <v>11</v>
      </c>
      <c r="G3740" t="str">
        <f>HYPERLINK(_xlfn.CONCAT("https://tablet.otzar.org/",CHAR(35),"/book/651741/p/-1/t/1/fs/0/start/0/end/0/c"),"קיצור דיני ומנהגי ליל הסדר")</f>
        <v>קיצור דיני ומנהגי ליל הסדר</v>
      </c>
      <c r="H3740" t="str">
        <f>_xlfn.CONCAT("https://tablet.otzar.org/",CHAR(35),"/book/651741/p/-1/t/1/fs/0/start/0/end/0/c")</f>
        <v>https://tablet.otzar.org/#/book/651741/p/-1/t/1/fs/0/start/0/end/0/c</v>
      </c>
    </row>
    <row r="3741" spans="1:8" x14ac:dyDescent="0.25">
      <c r="A3741">
        <v>653246</v>
      </c>
      <c r="B3741" t="s">
        <v>7228</v>
      </c>
      <c r="C3741" t="s">
        <v>7229</v>
      </c>
      <c r="D3741" t="s">
        <v>52</v>
      </c>
      <c r="E3741" t="s">
        <v>11</v>
      </c>
      <c r="G3741" t="str">
        <f>HYPERLINK(_xlfn.CONCAT("https://tablet.otzar.org/",CHAR(35),"/book/653246/p/-1/t/1/fs/0/start/0/end/0/c"),"קיצור דיני שביעית")</f>
        <v>קיצור דיני שביעית</v>
      </c>
      <c r="H3741" t="str">
        <f>_xlfn.CONCAT("https://tablet.otzar.org/",CHAR(35),"/book/653246/p/-1/t/1/fs/0/start/0/end/0/c")</f>
        <v>https://tablet.otzar.org/#/book/653246/p/-1/t/1/fs/0/start/0/end/0/c</v>
      </c>
    </row>
    <row r="3742" spans="1:8" x14ac:dyDescent="0.25">
      <c r="A3742">
        <v>649340</v>
      </c>
      <c r="B3742" t="s">
        <v>7230</v>
      </c>
      <c r="C3742" t="s">
        <v>7231</v>
      </c>
      <c r="D3742" t="s">
        <v>10</v>
      </c>
      <c r="E3742" t="s">
        <v>224</v>
      </c>
      <c r="G3742" t="str">
        <f>HYPERLINK(_xlfn.CONCAT("https://tablet.otzar.org/",CHAR(35),"/book/649340/p/-1/t/1/fs/0/start/0/end/0/c"),"קיצור דיני שמיטת קרקעות")</f>
        <v>קיצור דיני שמיטת קרקעות</v>
      </c>
      <c r="H3742" t="str">
        <f>_xlfn.CONCAT("https://tablet.otzar.org/",CHAR(35),"/book/649340/p/-1/t/1/fs/0/start/0/end/0/c")</f>
        <v>https://tablet.otzar.org/#/book/649340/p/-1/t/1/fs/0/start/0/end/0/c</v>
      </c>
    </row>
    <row r="3743" spans="1:8" x14ac:dyDescent="0.25">
      <c r="A3743">
        <v>651345</v>
      </c>
      <c r="B3743" t="s">
        <v>7232</v>
      </c>
      <c r="C3743" t="s">
        <v>7233</v>
      </c>
      <c r="E3743" t="s">
        <v>507</v>
      </c>
      <c r="G3743" t="str">
        <f>HYPERLINK(_xlfn.CONCAT("https://tablet.otzar.org/",CHAR(35),"/book/651345/p/-1/t/1/fs/0/start/0/end/0/c"),"קיצור דינים דשבת")</f>
        <v>קיצור דינים דשבת</v>
      </c>
      <c r="H3743" t="str">
        <f>_xlfn.CONCAT("https://tablet.otzar.org/",CHAR(35),"/book/651345/p/-1/t/1/fs/0/start/0/end/0/c")</f>
        <v>https://tablet.otzar.org/#/book/651345/p/-1/t/1/fs/0/start/0/end/0/c</v>
      </c>
    </row>
    <row r="3744" spans="1:8" x14ac:dyDescent="0.25">
      <c r="A3744">
        <v>646702</v>
      </c>
      <c r="B3744" t="s">
        <v>7234</v>
      </c>
      <c r="C3744" t="s">
        <v>7235</v>
      </c>
      <c r="D3744" t="s">
        <v>510</v>
      </c>
      <c r="E3744" t="s">
        <v>84</v>
      </c>
      <c r="G3744" t="str">
        <f>HYPERLINK(_xlfn.CONCAT("https://tablet.otzar.org/",CHAR(35),"/book/646702/p/-1/t/1/fs/0/start/0/end/0/c"),"קיצור הלכות - נדה ויחוד")</f>
        <v>קיצור הלכות - נדה ויחוד</v>
      </c>
      <c r="H3744" t="str">
        <f>_xlfn.CONCAT("https://tablet.otzar.org/",CHAR(35),"/book/646702/p/-1/t/1/fs/0/start/0/end/0/c")</f>
        <v>https://tablet.otzar.org/#/book/646702/p/-1/t/1/fs/0/start/0/end/0/c</v>
      </c>
    </row>
    <row r="3745" spans="1:8" x14ac:dyDescent="0.25">
      <c r="A3745">
        <v>652841</v>
      </c>
      <c r="B3745" t="s">
        <v>7236</v>
      </c>
      <c r="C3745" t="s">
        <v>7237</v>
      </c>
      <c r="D3745" t="s">
        <v>52</v>
      </c>
      <c r="E3745" t="s">
        <v>77</v>
      </c>
      <c r="G3745" t="str">
        <f>HYPERLINK(_xlfn.CONCAT("https://tablet.otzar.org/",CHAR(35),"/book/652841/p/-1/t/1/fs/0/start/0/end/0/c"),"קיצור הלכות - חינוך הבנים, תפילין")</f>
        <v>קיצור הלכות - חינוך הבנים, תפילין</v>
      </c>
      <c r="H3745" t="str">
        <f>_xlfn.CONCAT("https://tablet.otzar.org/",CHAR(35),"/book/652841/p/-1/t/1/fs/0/start/0/end/0/c")</f>
        <v>https://tablet.otzar.org/#/book/652841/p/-1/t/1/fs/0/start/0/end/0/c</v>
      </c>
    </row>
    <row r="3746" spans="1:8" x14ac:dyDescent="0.25">
      <c r="A3746">
        <v>653363</v>
      </c>
      <c r="B3746" t="s">
        <v>7238</v>
      </c>
      <c r="C3746" t="s">
        <v>7239</v>
      </c>
      <c r="D3746" t="s">
        <v>34</v>
      </c>
      <c r="E3746" t="s">
        <v>405</v>
      </c>
      <c r="G3746" t="str">
        <f>HYPERLINK(_xlfn.CONCAT("https://tablet.otzar.org/",CHAR(35),"/book/653363/p/-1/t/1/fs/0/start/0/end/0/c"),"קיצור הלכות ד' מינים")</f>
        <v>קיצור הלכות ד' מינים</v>
      </c>
      <c r="H3746" t="str">
        <f>_xlfn.CONCAT("https://tablet.otzar.org/",CHAR(35),"/book/653363/p/-1/t/1/fs/0/start/0/end/0/c")</f>
        <v>https://tablet.otzar.org/#/book/653363/p/-1/t/1/fs/0/start/0/end/0/c</v>
      </c>
    </row>
    <row r="3747" spans="1:8" x14ac:dyDescent="0.25">
      <c r="A3747">
        <v>651056</v>
      </c>
      <c r="B3747" t="s">
        <v>7240</v>
      </c>
      <c r="C3747" t="s">
        <v>2569</v>
      </c>
      <c r="D3747" t="s">
        <v>52</v>
      </c>
      <c r="E3747" t="s">
        <v>70</v>
      </c>
      <c r="G3747" t="str">
        <f>HYPERLINK(_xlfn.CONCAT("https://tablet.otzar.org/",CHAR(35),"/book/651056/p/-1/t/1/fs/0/start/0/end/0/c"),"קיצור הלכות חלה")</f>
        <v>קיצור הלכות חלה</v>
      </c>
      <c r="H3747" t="str">
        <f>_xlfn.CONCAT("https://tablet.otzar.org/",CHAR(35),"/book/651056/p/-1/t/1/fs/0/start/0/end/0/c")</f>
        <v>https://tablet.otzar.org/#/book/651056/p/-1/t/1/fs/0/start/0/end/0/c</v>
      </c>
    </row>
    <row r="3748" spans="1:8" x14ac:dyDescent="0.25">
      <c r="A3748">
        <v>654459</v>
      </c>
      <c r="B3748" t="s">
        <v>7241</v>
      </c>
      <c r="C3748" t="s">
        <v>2253</v>
      </c>
      <c r="D3748" t="s">
        <v>52</v>
      </c>
      <c r="E3748" t="s">
        <v>11</v>
      </c>
      <c r="G3748" t="str">
        <f>HYPERLINK(_xlfn.CONCAT("https://tablet.otzar.org/",CHAR(35),"/book/654459/p/-1/t/1/fs/0/start/0/end/0/c"),"קיצור הלכות יום טוב")</f>
        <v>קיצור הלכות יום טוב</v>
      </c>
      <c r="H3748" t="str">
        <f>_xlfn.CONCAT("https://tablet.otzar.org/",CHAR(35),"/book/654459/p/-1/t/1/fs/0/start/0/end/0/c")</f>
        <v>https://tablet.otzar.org/#/book/654459/p/-1/t/1/fs/0/start/0/end/0/c</v>
      </c>
    </row>
    <row r="3749" spans="1:8" x14ac:dyDescent="0.25">
      <c r="A3749">
        <v>655418</v>
      </c>
      <c r="B3749" t="s">
        <v>7242</v>
      </c>
      <c r="C3749" t="s">
        <v>7147</v>
      </c>
      <c r="D3749" t="s">
        <v>52</v>
      </c>
      <c r="E3749" t="s">
        <v>11</v>
      </c>
      <c r="G3749" t="str">
        <f>HYPERLINK(_xlfn.CONCAT("https://tablet.otzar.org/",CHAR(35),"/exKotar/655418"),"קיצור הלכות מועדים - 2 כרכים")</f>
        <v>קיצור הלכות מועדים - 2 כרכים</v>
      </c>
      <c r="H3749" t="str">
        <f>_xlfn.CONCAT("https://tablet.otzar.org/",CHAR(35),"/exKotar/655418")</f>
        <v>https://tablet.otzar.org/#/exKotar/655418</v>
      </c>
    </row>
    <row r="3750" spans="1:8" x14ac:dyDescent="0.25">
      <c r="A3750">
        <v>654266</v>
      </c>
      <c r="B3750" t="s">
        <v>7243</v>
      </c>
      <c r="C3750" t="s">
        <v>4015</v>
      </c>
      <c r="D3750" t="s">
        <v>855</v>
      </c>
      <c r="E3750" t="s">
        <v>19</v>
      </c>
      <c r="G3750" t="str">
        <f>HYPERLINK(_xlfn.CONCAT("https://tablet.otzar.org/",CHAR(35),"/book/654266/p/-1/t/1/fs/0/start/0/end/0/c"),"קיצור הקדמת הרמב""""ם לפירוש המשניות")</f>
        <v>קיצור הקדמת הרמב""ם לפירוש המשניות</v>
      </c>
      <c r="H3750" t="str">
        <f>_xlfn.CONCAT("https://tablet.otzar.org/",CHAR(35),"/book/654266/p/-1/t/1/fs/0/start/0/end/0/c")</f>
        <v>https://tablet.otzar.org/#/book/654266/p/-1/t/1/fs/0/start/0/end/0/c</v>
      </c>
    </row>
    <row r="3751" spans="1:8" x14ac:dyDescent="0.25">
      <c r="A3751">
        <v>653326</v>
      </c>
      <c r="B3751" t="s">
        <v>7244</v>
      </c>
      <c r="C3751" t="s">
        <v>3561</v>
      </c>
      <c r="D3751" t="s">
        <v>2234</v>
      </c>
      <c r="E3751" t="s">
        <v>337</v>
      </c>
      <c r="G3751" t="str">
        <f>HYPERLINK(_xlfn.CONCAT("https://tablet.otzar.org/",CHAR(35),"/book/653326/p/-1/t/1/fs/0/start/0/end/0/c"),"קיצור מטה אפרים")</f>
        <v>קיצור מטה אפרים</v>
      </c>
      <c r="H3751" t="str">
        <f>_xlfn.CONCAT("https://tablet.otzar.org/",CHAR(35),"/book/653326/p/-1/t/1/fs/0/start/0/end/0/c")</f>
        <v>https://tablet.otzar.org/#/book/653326/p/-1/t/1/fs/0/start/0/end/0/c</v>
      </c>
    </row>
    <row r="3752" spans="1:8" x14ac:dyDescent="0.25">
      <c r="A3752">
        <v>654456</v>
      </c>
      <c r="B3752" t="s">
        <v>7245</v>
      </c>
      <c r="C3752" t="s">
        <v>2253</v>
      </c>
      <c r="D3752" t="s">
        <v>52</v>
      </c>
      <c r="E3752" t="s">
        <v>11</v>
      </c>
      <c r="G3752" t="str">
        <f>HYPERLINK(_xlfn.CONCAT("https://tablet.otzar.org/",CHAR(35),"/book/654456/p/-1/t/1/fs/0/start/0/end/0/c"),"קיצור סדר היום לנשים")</f>
        <v>קיצור סדר היום לנשים</v>
      </c>
      <c r="H3752" t="str">
        <f>_xlfn.CONCAT("https://tablet.otzar.org/",CHAR(35),"/book/654456/p/-1/t/1/fs/0/start/0/end/0/c")</f>
        <v>https://tablet.otzar.org/#/book/654456/p/-1/t/1/fs/0/start/0/end/0/c</v>
      </c>
    </row>
    <row r="3753" spans="1:8" x14ac:dyDescent="0.25">
      <c r="A3753">
        <v>655516</v>
      </c>
      <c r="B3753" t="s">
        <v>7246</v>
      </c>
      <c r="C3753" t="s">
        <v>1095</v>
      </c>
      <c r="D3753" t="s">
        <v>10</v>
      </c>
      <c r="E3753" t="s">
        <v>84</v>
      </c>
      <c r="G3753" t="str">
        <f>HYPERLINK(_xlfn.CONCAT("https://tablet.otzar.org/",CHAR(35),"/book/655516/p/-1/t/1/fs/0/start/0/end/0/c"),"קיצור ספרי בדיקת המזון כהלכה")</f>
        <v>קיצור ספרי בדיקת המזון כהלכה</v>
      </c>
      <c r="H3753" t="str">
        <f>_xlfn.CONCAT("https://tablet.otzar.org/",CHAR(35),"/book/655516/p/-1/t/1/fs/0/start/0/end/0/c")</f>
        <v>https://tablet.otzar.org/#/book/655516/p/-1/t/1/fs/0/start/0/end/0/c</v>
      </c>
    </row>
    <row r="3754" spans="1:8" x14ac:dyDescent="0.25">
      <c r="A3754">
        <v>655263</v>
      </c>
      <c r="B3754" t="s">
        <v>7247</v>
      </c>
      <c r="C3754" t="s">
        <v>2145</v>
      </c>
      <c r="D3754" t="s">
        <v>10</v>
      </c>
      <c r="E3754" t="s">
        <v>11</v>
      </c>
      <c r="G3754" t="str">
        <f>HYPERLINK(_xlfn.CONCAT("https://tablet.otzar.org/",CHAR(35),"/exKotar/655263"),"קיצור שו""""ע ע""""פ חזון עובדיה - 4 כרכים")</f>
        <v>קיצור שו""ע ע""פ חזון עובדיה - 4 כרכים</v>
      </c>
      <c r="H3754" t="str">
        <f>_xlfn.CONCAT("https://tablet.otzar.org/",CHAR(35),"/exKotar/655263")</f>
        <v>https://tablet.otzar.org/#/exKotar/655263</v>
      </c>
    </row>
    <row r="3755" spans="1:8" x14ac:dyDescent="0.25">
      <c r="A3755">
        <v>655304</v>
      </c>
      <c r="B3755" t="s">
        <v>7248</v>
      </c>
      <c r="C3755" t="s">
        <v>2145</v>
      </c>
      <c r="D3755" t="s">
        <v>10</v>
      </c>
      <c r="E3755" t="s">
        <v>657</v>
      </c>
      <c r="G3755" t="str">
        <f>HYPERLINK(_xlfn.CONCAT("https://tablet.otzar.org/",CHAR(35),"/exKotar/655304"),"קיצור שו""""ע ע""""פ חזון עובדיה (בצרפתית) - 4 כרכים")</f>
        <v>קיצור שו""ע ע""פ חזון עובדיה (בצרפתית) - 4 כרכים</v>
      </c>
      <c r="H3755" t="str">
        <f>_xlfn.CONCAT("https://tablet.otzar.org/",CHAR(35),"/exKotar/655304")</f>
        <v>https://tablet.otzar.org/#/exKotar/655304</v>
      </c>
    </row>
    <row r="3756" spans="1:8" x14ac:dyDescent="0.25">
      <c r="A3756">
        <v>650248</v>
      </c>
      <c r="B3756" t="s">
        <v>7249</v>
      </c>
      <c r="C3756" t="s">
        <v>7250</v>
      </c>
      <c r="D3756" t="s">
        <v>463</v>
      </c>
      <c r="E3756" t="s">
        <v>35</v>
      </c>
      <c r="G3756" t="str">
        <f>HYPERLINK(_xlfn.CONCAT("https://tablet.otzar.org/",CHAR(35),"/book/650248/p/-1/t/1/fs/0/start/0/end/0/c"),"קיצור שלחן ערוך עם פסקי אדמו""""ר הזקן")</f>
        <v>קיצור שלחן ערוך עם פסקי אדמו""ר הזקן</v>
      </c>
      <c r="H3756" t="str">
        <f>_xlfn.CONCAT("https://tablet.otzar.org/",CHAR(35),"/book/650248/p/-1/t/1/fs/0/start/0/end/0/c")</f>
        <v>https://tablet.otzar.org/#/book/650248/p/-1/t/1/fs/0/start/0/end/0/c</v>
      </c>
    </row>
    <row r="3757" spans="1:8" x14ac:dyDescent="0.25">
      <c r="A3757">
        <v>650155</v>
      </c>
      <c r="B3757" t="s">
        <v>7251</v>
      </c>
      <c r="C3757" t="s">
        <v>7252</v>
      </c>
      <c r="D3757" t="s">
        <v>273</v>
      </c>
      <c r="E3757" t="s">
        <v>25</v>
      </c>
      <c r="G3757" t="str">
        <f>HYPERLINK(_xlfn.CONCAT("https://tablet.otzar.org/",CHAR(35),"/book/650155/p/-1/t/1/fs/0/start/0/end/0/c"),"קיצור תולדות היהודים בהונגריה מהימים הקדומים ועל לאחר השואה")</f>
        <v>קיצור תולדות היהודים בהונגריה מהימים הקדומים ועל לאחר השואה</v>
      </c>
      <c r="H3757" t="str">
        <f>_xlfn.CONCAT("https://tablet.otzar.org/",CHAR(35),"/book/650155/p/-1/t/1/fs/0/start/0/end/0/c")</f>
        <v>https://tablet.otzar.org/#/book/650155/p/-1/t/1/fs/0/start/0/end/0/c</v>
      </c>
    </row>
    <row r="3758" spans="1:8" x14ac:dyDescent="0.25">
      <c r="A3758">
        <v>647899</v>
      </c>
      <c r="B3758" t="s">
        <v>7253</v>
      </c>
      <c r="C3758" t="s">
        <v>7254</v>
      </c>
      <c r="D3758" t="s">
        <v>10</v>
      </c>
      <c r="E3758" t="s">
        <v>70</v>
      </c>
      <c r="G3758" t="str">
        <f>HYPERLINK(_xlfn.CONCAT("https://tablet.otzar.org/",CHAR(35),"/book/647899/p/-1/t/1/fs/0/start/0/end/0/c"),"קירוב הגאולה")</f>
        <v>קירוב הגאולה</v>
      </c>
      <c r="H3758" t="str">
        <f>_xlfn.CONCAT("https://tablet.otzar.org/",CHAR(35),"/book/647899/p/-1/t/1/fs/0/start/0/end/0/c")</f>
        <v>https://tablet.otzar.org/#/book/647899/p/-1/t/1/fs/0/start/0/end/0/c</v>
      </c>
    </row>
    <row r="3759" spans="1:8" x14ac:dyDescent="0.25">
      <c r="A3759">
        <v>656354</v>
      </c>
      <c r="B3759" t="s">
        <v>7255</v>
      </c>
      <c r="C3759" t="s">
        <v>1164</v>
      </c>
      <c r="E3759" t="s">
        <v>84</v>
      </c>
      <c r="G3759" t="str">
        <f>HYPERLINK(_xlfn.CONCAT("https://tablet.otzar.org/",CHAR(35),"/book/656354/p/-1/t/1/fs/0/start/0/end/0/c"),"קמה אלמתי - א")</f>
        <v>קמה אלמתי - א</v>
      </c>
      <c r="H3759" t="str">
        <f>_xlfn.CONCAT("https://tablet.otzar.org/",CHAR(35),"/book/656354/p/-1/t/1/fs/0/start/0/end/0/c")</f>
        <v>https://tablet.otzar.org/#/book/656354/p/-1/t/1/fs/0/start/0/end/0/c</v>
      </c>
    </row>
    <row r="3760" spans="1:8" x14ac:dyDescent="0.25">
      <c r="A3760">
        <v>655108</v>
      </c>
      <c r="B3760" t="s">
        <v>7256</v>
      </c>
      <c r="C3760" t="s">
        <v>7257</v>
      </c>
      <c r="D3760" t="s">
        <v>7258</v>
      </c>
      <c r="E3760" t="s">
        <v>7259</v>
      </c>
      <c r="G3760" t="str">
        <f>HYPERLINK(_xlfn.CONCAT("https://tablet.otzar.org/",CHAR(35),"/book/655108/p/-1/t/1/fs/0/start/0/end/0/c"),"קנאת ציון - ב")</f>
        <v>קנאת ציון - ב</v>
      </c>
      <c r="H3760" t="str">
        <f>_xlfn.CONCAT("https://tablet.otzar.org/",CHAR(35),"/book/655108/p/-1/t/1/fs/0/start/0/end/0/c")</f>
        <v>https://tablet.otzar.org/#/book/655108/p/-1/t/1/fs/0/start/0/end/0/c</v>
      </c>
    </row>
    <row r="3761" spans="1:8" x14ac:dyDescent="0.25">
      <c r="A3761">
        <v>650931</v>
      </c>
      <c r="B3761" t="s">
        <v>7260</v>
      </c>
      <c r="C3761" t="s">
        <v>7261</v>
      </c>
      <c r="D3761" t="s">
        <v>10</v>
      </c>
      <c r="E3761" t="s">
        <v>35</v>
      </c>
      <c r="G3761" t="str">
        <f>HYPERLINK(_xlfn.CONCAT("https://tablet.otzar.org/",CHAR(35),"/exKotar/650931"),"קנין דעה - 2 כרכים")</f>
        <v>קנין דעה - 2 כרכים</v>
      </c>
      <c r="H3761" t="str">
        <f>_xlfn.CONCAT("https://tablet.otzar.org/",CHAR(35),"/exKotar/650931")</f>
        <v>https://tablet.otzar.org/#/exKotar/650931</v>
      </c>
    </row>
    <row r="3762" spans="1:8" x14ac:dyDescent="0.25">
      <c r="A3762">
        <v>648797</v>
      </c>
      <c r="B3762" t="s">
        <v>7262</v>
      </c>
      <c r="C3762" t="s">
        <v>7250</v>
      </c>
      <c r="D3762" t="s">
        <v>139</v>
      </c>
      <c r="E3762" t="s">
        <v>117</v>
      </c>
      <c r="G3762" t="str">
        <f>HYPERLINK(_xlfn.CONCAT("https://tablet.otzar.org/",CHAR(35),"/book/648797/p/-1/t/1/fs/0/start/0/end/0/c"),"קסת הסופר &lt;לשכת הסופר&gt; - א (מהדורה חדשה)")</f>
        <v>קסת הסופר &lt;לשכת הסופר&gt; - א (מהדורה חדשה)</v>
      </c>
      <c r="H3762" t="str">
        <f>_xlfn.CONCAT("https://tablet.otzar.org/",CHAR(35),"/book/648797/p/-1/t/1/fs/0/start/0/end/0/c")</f>
        <v>https://tablet.otzar.org/#/book/648797/p/-1/t/1/fs/0/start/0/end/0/c</v>
      </c>
    </row>
    <row r="3763" spans="1:8" x14ac:dyDescent="0.25">
      <c r="A3763">
        <v>650731</v>
      </c>
      <c r="B3763" t="s">
        <v>7263</v>
      </c>
      <c r="C3763" t="s">
        <v>382</v>
      </c>
      <c r="E3763" t="s">
        <v>11</v>
      </c>
      <c r="G3763" t="str">
        <f>HYPERLINK(_xlfn.CONCAT("https://tablet.otzar.org/",CHAR(35),"/book/650731/p/-1/t/1/fs/0/start/0/end/0/c"),"קערת כסף - פסח")</f>
        <v>קערת כסף - פסח</v>
      </c>
      <c r="H3763" t="str">
        <f>_xlfn.CONCAT("https://tablet.otzar.org/",CHAR(35),"/book/650731/p/-1/t/1/fs/0/start/0/end/0/c")</f>
        <v>https://tablet.otzar.org/#/book/650731/p/-1/t/1/fs/0/start/0/end/0/c</v>
      </c>
    </row>
    <row r="3764" spans="1:8" x14ac:dyDescent="0.25">
      <c r="A3764">
        <v>651347</v>
      </c>
      <c r="B3764" t="s">
        <v>7264</v>
      </c>
      <c r="C3764" t="s">
        <v>2573</v>
      </c>
      <c r="D3764" t="s">
        <v>10</v>
      </c>
      <c r="E3764" t="s">
        <v>1157</v>
      </c>
      <c r="G3764" t="str">
        <f>HYPERLINK(_xlfn.CONCAT("https://tablet.otzar.org/",CHAR(35),"/exKotar/651347"),"קצור הלכות נדה - 2 כרכים")</f>
        <v>קצור הלכות נדה - 2 כרכים</v>
      </c>
      <c r="H3764" t="str">
        <f>_xlfn.CONCAT("https://tablet.otzar.org/",CHAR(35),"/exKotar/651347")</f>
        <v>https://tablet.otzar.org/#/exKotar/651347</v>
      </c>
    </row>
    <row r="3765" spans="1:8" x14ac:dyDescent="0.25">
      <c r="A3765">
        <v>654937</v>
      </c>
      <c r="B3765" t="s">
        <v>7265</v>
      </c>
      <c r="C3765" t="s">
        <v>79</v>
      </c>
      <c r="D3765" t="s">
        <v>52</v>
      </c>
      <c r="E3765" t="s">
        <v>11</v>
      </c>
      <c r="G3765" t="str">
        <f>HYPERLINK(_xlfn.CONCAT("https://tablet.otzar.org/",CHAR(35),"/exKotar/654937"),"קצות החושן &lt;שמועות רבותינו&gt; - 2 כרכים")</f>
        <v>קצות החושן &lt;שמועות רבותינו&gt; - 2 כרכים</v>
      </c>
      <c r="H3765" t="str">
        <f>_xlfn.CONCAT("https://tablet.otzar.org/",CHAR(35),"/exKotar/654937")</f>
        <v>https://tablet.otzar.org/#/exKotar/654937</v>
      </c>
    </row>
    <row r="3766" spans="1:8" x14ac:dyDescent="0.25">
      <c r="A3766">
        <v>6096</v>
      </c>
      <c r="B3766" t="s">
        <v>7266</v>
      </c>
      <c r="C3766" t="s">
        <v>7267</v>
      </c>
      <c r="D3766" t="s">
        <v>10</v>
      </c>
      <c r="E3766" t="s">
        <v>769</v>
      </c>
      <c r="G3766" t="str">
        <f>HYPERLINK(_xlfn.CONCAT("https://tablet.otzar.org/",CHAR(35),"/book/6096/p/-1/t/1/fs/0/start/0/end/0/c"),"קציר ראובן")</f>
        <v>קציר ראובן</v>
      </c>
      <c r="H3766" t="str">
        <f>_xlfn.CONCAT("https://tablet.otzar.org/",CHAR(35),"/book/6096/p/-1/t/1/fs/0/start/0/end/0/c")</f>
        <v>https://tablet.otzar.org/#/book/6096/p/-1/t/1/fs/0/start/0/end/0/c</v>
      </c>
    </row>
    <row r="3767" spans="1:8" x14ac:dyDescent="0.25">
      <c r="A3767">
        <v>652947</v>
      </c>
      <c r="B3767" t="s">
        <v>7268</v>
      </c>
      <c r="C3767" t="s">
        <v>614</v>
      </c>
      <c r="D3767" t="s">
        <v>52</v>
      </c>
      <c r="E3767" t="s">
        <v>126</v>
      </c>
      <c r="G3767" t="str">
        <f>HYPERLINK(_xlfn.CONCAT("https://tablet.otzar.org/",CHAR(35),"/book/652947/p/-1/t/1/fs/0/start/0/end/0/c"),"קצירת האומר - סנהדרין")</f>
        <v>קצירת האומר - סנהדרין</v>
      </c>
      <c r="H3767" t="str">
        <f>_xlfn.CONCAT("https://tablet.otzar.org/",CHAR(35),"/book/652947/p/-1/t/1/fs/0/start/0/end/0/c")</f>
        <v>https://tablet.otzar.org/#/book/652947/p/-1/t/1/fs/0/start/0/end/0/c</v>
      </c>
    </row>
    <row r="3768" spans="1:8" x14ac:dyDescent="0.25">
      <c r="A3768">
        <v>652778</v>
      </c>
      <c r="B3768" t="s">
        <v>7269</v>
      </c>
      <c r="C3768" t="s">
        <v>7270</v>
      </c>
      <c r="D3768" t="s">
        <v>34</v>
      </c>
      <c r="E3768" t="s">
        <v>11</v>
      </c>
      <c r="G3768" t="str">
        <f>HYPERLINK(_xlfn.CONCAT("https://tablet.otzar.org/",CHAR(35),"/book/652778/p/-1/t/1/fs/0/start/0/end/0/c"),"קרבן אברהם")</f>
        <v>קרבן אברהם</v>
      </c>
      <c r="H3768" t="str">
        <f>_xlfn.CONCAT("https://tablet.otzar.org/",CHAR(35),"/book/652778/p/-1/t/1/fs/0/start/0/end/0/c")</f>
        <v>https://tablet.otzar.org/#/book/652778/p/-1/t/1/fs/0/start/0/end/0/c</v>
      </c>
    </row>
    <row r="3769" spans="1:8" x14ac:dyDescent="0.25">
      <c r="A3769">
        <v>654669</v>
      </c>
      <c r="B3769" t="s">
        <v>7271</v>
      </c>
      <c r="C3769" t="s">
        <v>7272</v>
      </c>
      <c r="D3769" t="s">
        <v>10</v>
      </c>
      <c r="E3769" t="s">
        <v>7273</v>
      </c>
      <c r="G3769" t="str">
        <f>HYPERLINK(_xlfn.CONCAT("https://tablet.otzar.org/",CHAR(35),"/book/654669/p/-1/t/1/fs/0/start/0/end/0/c"),"קרבן אהרן - מהדורה חדשה")</f>
        <v>קרבן אהרן - מהדורה חדשה</v>
      </c>
      <c r="H3769" t="str">
        <f>_xlfn.CONCAT("https://tablet.otzar.org/",CHAR(35),"/book/654669/p/-1/t/1/fs/0/start/0/end/0/c")</f>
        <v>https://tablet.otzar.org/#/book/654669/p/-1/t/1/fs/0/start/0/end/0/c</v>
      </c>
    </row>
    <row r="3770" spans="1:8" x14ac:dyDescent="0.25">
      <c r="A3770">
        <v>652923</v>
      </c>
      <c r="B3770" t="s">
        <v>7274</v>
      </c>
      <c r="C3770" t="s">
        <v>4881</v>
      </c>
      <c r="D3770" t="s">
        <v>606</v>
      </c>
      <c r="E3770" t="s">
        <v>62</v>
      </c>
      <c r="G3770" t="str">
        <f>HYPERLINK(_xlfn.CONCAT("https://tablet.otzar.org/",CHAR(35),"/book/652923/p/-1/t/1/fs/0/start/0/end/0/c"),"קרבן איל")</f>
        <v>קרבן איל</v>
      </c>
      <c r="H3770" t="str">
        <f>_xlfn.CONCAT("https://tablet.otzar.org/",CHAR(35),"/book/652923/p/-1/t/1/fs/0/start/0/end/0/c")</f>
        <v>https://tablet.otzar.org/#/book/652923/p/-1/t/1/fs/0/start/0/end/0/c</v>
      </c>
    </row>
    <row r="3771" spans="1:8" x14ac:dyDescent="0.25">
      <c r="A3771">
        <v>653524</v>
      </c>
      <c r="B3771" t="s">
        <v>7275</v>
      </c>
      <c r="C3771" t="s">
        <v>2106</v>
      </c>
      <c r="D3771" t="s">
        <v>34</v>
      </c>
      <c r="E3771" t="s">
        <v>70</v>
      </c>
      <c r="G3771" t="str">
        <f>HYPERLINK(_xlfn.CONCAT("https://tablet.otzar.org/",CHAR(35),"/book/653524/p/-1/t/1/fs/0/start/0/end/0/c"),"קרבן אליהו")</f>
        <v>קרבן אליהו</v>
      </c>
      <c r="H3771" t="str">
        <f>_xlfn.CONCAT("https://tablet.otzar.org/",CHAR(35),"/book/653524/p/-1/t/1/fs/0/start/0/end/0/c")</f>
        <v>https://tablet.otzar.org/#/book/653524/p/-1/t/1/fs/0/start/0/end/0/c</v>
      </c>
    </row>
    <row r="3772" spans="1:8" x14ac:dyDescent="0.25">
      <c r="A3772">
        <v>651247</v>
      </c>
      <c r="B3772" t="s">
        <v>7276</v>
      </c>
      <c r="C3772" t="s">
        <v>5115</v>
      </c>
      <c r="D3772" t="s">
        <v>10</v>
      </c>
      <c r="E3772" t="s">
        <v>35</v>
      </c>
      <c r="G3772" t="str">
        <f>HYPERLINK(_xlfn.CONCAT("https://tablet.otzar.org/",CHAR(35),"/book/651247/p/-1/t/1/fs/0/start/0/end/0/c"),"קרואי מועד - יום טוב וראש חודש")</f>
        <v>קרואי מועד - יום טוב וראש חודש</v>
      </c>
      <c r="H3772" t="str">
        <f>_xlfn.CONCAT("https://tablet.otzar.org/",CHAR(35),"/book/651247/p/-1/t/1/fs/0/start/0/end/0/c")</f>
        <v>https://tablet.otzar.org/#/book/651247/p/-1/t/1/fs/0/start/0/end/0/c</v>
      </c>
    </row>
    <row r="3773" spans="1:8" x14ac:dyDescent="0.25">
      <c r="A3773">
        <v>649946</v>
      </c>
      <c r="B3773" t="s">
        <v>7277</v>
      </c>
      <c r="C3773" t="s">
        <v>1441</v>
      </c>
      <c r="D3773" t="s">
        <v>7278</v>
      </c>
      <c r="E3773" t="s">
        <v>6784</v>
      </c>
      <c r="G3773" t="str">
        <f>HYPERLINK(_xlfn.CONCAT("https://tablet.otzar.org/",CHAR(35),"/book/649946/p/-1/t/1/fs/0/start/0/end/0/c"),"קריאה נאמנה")</f>
        <v>קריאה נאמנה</v>
      </c>
      <c r="H3773" t="str">
        <f>_xlfn.CONCAT("https://tablet.otzar.org/",CHAR(35),"/book/649946/p/-1/t/1/fs/0/start/0/end/0/c")</f>
        <v>https://tablet.otzar.org/#/book/649946/p/-1/t/1/fs/0/start/0/end/0/c</v>
      </c>
    </row>
    <row r="3774" spans="1:8" x14ac:dyDescent="0.25">
      <c r="A3774">
        <v>647929</v>
      </c>
      <c r="B3774" t="s">
        <v>7279</v>
      </c>
      <c r="C3774" t="s">
        <v>548</v>
      </c>
      <c r="D3774" t="s">
        <v>10</v>
      </c>
      <c r="E3774" t="s">
        <v>3106</v>
      </c>
      <c r="G3774" t="str">
        <f>HYPERLINK(_xlfn.CONCAT("https://tablet.otzar.org/",CHAR(35),"/book/647929/p/-1/t/1/fs/0/start/0/end/0/c"),"קריאת הקודש")</f>
        <v>קריאת הקודש</v>
      </c>
      <c r="H3774" t="str">
        <f>_xlfn.CONCAT("https://tablet.otzar.org/",CHAR(35),"/book/647929/p/-1/t/1/fs/0/start/0/end/0/c")</f>
        <v>https://tablet.otzar.org/#/book/647929/p/-1/t/1/fs/0/start/0/end/0/c</v>
      </c>
    </row>
    <row r="3775" spans="1:8" x14ac:dyDescent="0.25">
      <c r="A3775">
        <v>643131</v>
      </c>
      <c r="B3775" t="s">
        <v>7280</v>
      </c>
      <c r="C3775" t="s">
        <v>7281</v>
      </c>
      <c r="D3775" t="s">
        <v>2802</v>
      </c>
      <c r="E3775" t="s">
        <v>495</v>
      </c>
      <c r="G3775" t="str">
        <f>HYPERLINK(_xlfn.CONCAT("https://tablet.otzar.org/",CHAR(35),"/book/643131/p/-1/t/1/fs/0/start/0/end/0/c"),"קריאת שמע וברכותיה")</f>
        <v>קריאת שמע וברכותיה</v>
      </c>
      <c r="H3775" t="str">
        <f>_xlfn.CONCAT("https://tablet.otzar.org/",CHAR(35),"/book/643131/p/-1/t/1/fs/0/start/0/end/0/c")</f>
        <v>https://tablet.otzar.org/#/book/643131/p/-1/t/1/fs/0/start/0/end/0/c</v>
      </c>
    </row>
    <row r="3776" spans="1:8" x14ac:dyDescent="0.25">
      <c r="A3776">
        <v>650190</v>
      </c>
      <c r="B3776" t="s">
        <v>7282</v>
      </c>
      <c r="C3776" t="s">
        <v>7283</v>
      </c>
      <c r="E3776" t="s">
        <v>246</v>
      </c>
      <c r="G3776" t="str">
        <f>HYPERLINK(_xlfn.CONCAT("https://tablet.otzar.org/",CHAR(35),"/book/650190/p/-1/t/1/fs/0/start/0/end/0/c"),"קרית מלך")</f>
        <v>קרית מלך</v>
      </c>
      <c r="H3776" t="str">
        <f>_xlfn.CONCAT("https://tablet.otzar.org/",CHAR(35),"/book/650190/p/-1/t/1/fs/0/start/0/end/0/c")</f>
        <v>https://tablet.otzar.org/#/book/650190/p/-1/t/1/fs/0/start/0/end/0/c</v>
      </c>
    </row>
    <row r="3777" spans="1:8" x14ac:dyDescent="0.25">
      <c r="A3777">
        <v>643165</v>
      </c>
      <c r="B3777" t="s">
        <v>7284</v>
      </c>
      <c r="C3777" t="s">
        <v>7285</v>
      </c>
      <c r="D3777" t="s">
        <v>10</v>
      </c>
      <c r="E3777" t="s">
        <v>70</v>
      </c>
      <c r="G3777" t="str">
        <f>HYPERLINK(_xlfn.CONCAT("https://tablet.otzar.org/",CHAR(35),"/book/643165/p/-1/t/1/fs/0/start/0/end/0/c"),"קרית מלך - יא")</f>
        <v>קרית מלך - יא</v>
      </c>
      <c r="H3777" t="str">
        <f>_xlfn.CONCAT("https://tablet.otzar.org/",CHAR(35),"/book/643165/p/-1/t/1/fs/0/start/0/end/0/c")</f>
        <v>https://tablet.otzar.org/#/book/643165/p/-1/t/1/fs/0/start/0/end/0/c</v>
      </c>
    </row>
    <row r="3778" spans="1:8" x14ac:dyDescent="0.25">
      <c r="A3778">
        <v>655592</v>
      </c>
      <c r="B3778" t="s">
        <v>7286</v>
      </c>
      <c r="C3778" t="s">
        <v>7287</v>
      </c>
      <c r="D3778" t="s">
        <v>287</v>
      </c>
      <c r="E3778" t="s">
        <v>402</v>
      </c>
      <c r="G3778" t="str">
        <f>HYPERLINK(_xlfn.CONCAT("https://tablet.otzar.org/",CHAR(35),"/book/655592/p/-1/t/1/fs/0/start/0/end/0/c"),"קרן לדוד - החדש")</f>
        <v>קרן לדוד - החדש</v>
      </c>
      <c r="H3778" t="str">
        <f>_xlfn.CONCAT("https://tablet.otzar.org/",CHAR(35),"/book/655592/p/-1/t/1/fs/0/start/0/end/0/c")</f>
        <v>https://tablet.otzar.org/#/book/655592/p/-1/t/1/fs/0/start/0/end/0/c</v>
      </c>
    </row>
    <row r="3779" spans="1:8" x14ac:dyDescent="0.25">
      <c r="A3779">
        <v>648726</v>
      </c>
      <c r="B3779" t="s">
        <v>7288</v>
      </c>
      <c r="C3779" t="s">
        <v>7289</v>
      </c>
      <c r="E3779" t="s">
        <v>2368</v>
      </c>
      <c r="G3779" t="str">
        <f>HYPERLINK(_xlfn.CONCAT("https://tablet.otzar.org/",CHAR(35),"/book/648726/p/-1/t/1/fs/0/start/0/end/0/c"),"קרני אור - א")</f>
        <v>קרני אור - א</v>
      </c>
      <c r="H3779" t="str">
        <f>_xlfn.CONCAT("https://tablet.otzar.org/",CHAR(35),"/book/648726/p/-1/t/1/fs/0/start/0/end/0/c")</f>
        <v>https://tablet.otzar.org/#/book/648726/p/-1/t/1/fs/0/start/0/end/0/c</v>
      </c>
    </row>
    <row r="3780" spans="1:8" x14ac:dyDescent="0.25">
      <c r="A3780">
        <v>654490</v>
      </c>
      <c r="B3780" t="s">
        <v>7290</v>
      </c>
      <c r="C3780" t="s">
        <v>7291</v>
      </c>
      <c r="D3780" t="s">
        <v>796</v>
      </c>
      <c r="E3780" t="s">
        <v>70</v>
      </c>
      <c r="G3780" t="str">
        <f>HYPERLINK(_xlfn.CONCAT("https://tablet.otzar.org/",CHAR(35),"/book/654490/p/-1/t/1/fs/0/start/0/end/0/c"),"קרני ראם - מדע אהבה")</f>
        <v>קרני ראם - מדע אהבה</v>
      </c>
      <c r="H3780" t="str">
        <f>_xlfn.CONCAT("https://tablet.otzar.org/",CHAR(35),"/book/654490/p/-1/t/1/fs/0/start/0/end/0/c")</f>
        <v>https://tablet.otzar.org/#/book/654490/p/-1/t/1/fs/0/start/0/end/0/c</v>
      </c>
    </row>
    <row r="3781" spans="1:8" x14ac:dyDescent="0.25">
      <c r="A3781">
        <v>653244</v>
      </c>
      <c r="B3781" t="s">
        <v>7292</v>
      </c>
      <c r="C3781" t="s">
        <v>2964</v>
      </c>
      <c r="D3781" t="s">
        <v>52</v>
      </c>
      <c r="E3781" t="s">
        <v>11</v>
      </c>
      <c r="G3781" t="str">
        <f>HYPERLINK(_xlfn.CONCAT("https://tablet.otzar.org/",CHAR(35),"/book/653244/p/-1/t/1/fs/0/start/0/end/0/c"),"קשר איתן בטאון ויזניץ - צב")</f>
        <v>קשר איתן בטאון ויזניץ - צב</v>
      </c>
      <c r="H3781" t="str">
        <f>_xlfn.CONCAT("https://tablet.otzar.org/",CHAR(35),"/book/653244/p/-1/t/1/fs/0/start/0/end/0/c")</f>
        <v>https://tablet.otzar.org/#/book/653244/p/-1/t/1/fs/0/start/0/end/0/c</v>
      </c>
    </row>
    <row r="3782" spans="1:8" x14ac:dyDescent="0.25">
      <c r="A3782">
        <v>652851</v>
      </c>
      <c r="B3782" t="s">
        <v>7293</v>
      </c>
      <c r="C3782" t="s">
        <v>7294</v>
      </c>
      <c r="D3782" t="s">
        <v>10</v>
      </c>
      <c r="E3782" t="s">
        <v>769</v>
      </c>
      <c r="G3782" t="str">
        <f>HYPERLINK(_xlfn.CONCAT("https://tablet.otzar.org/",CHAR(35),"/book/652851/p/-1/t/1/fs/0/start/0/end/0/c"),"ר' אריה היה אומר")</f>
        <v>ר' אריה היה אומר</v>
      </c>
      <c r="H3782" t="str">
        <f>_xlfn.CONCAT("https://tablet.otzar.org/",CHAR(35),"/book/652851/p/-1/t/1/fs/0/start/0/end/0/c")</f>
        <v>https://tablet.otzar.org/#/book/652851/p/-1/t/1/fs/0/start/0/end/0/c</v>
      </c>
    </row>
    <row r="3783" spans="1:8" x14ac:dyDescent="0.25">
      <c r="A3783">
        <v>648970</v>
      </c>
      <c r="B3783" t="s">
        <v>7295</v>
      </c>
      <c r="C3783" t="s">
        <v>7296</v>
      </c>
      <c r="E3783" t="s">
        <v>507</v>
      </c>
      <c r="G3783" t="str">
        <f>HYPERLINK(_xlfn.CONCAT("https://tablet.otzar.org/",CHAR(35),"/book/648970/p/-1/t/1/fs/0/start/0/end/0/c"),"ר' דב מעיני")</f>
        <v>ר' דב מעיני</v>
      </c>
      <c r="H3783" t="str">
        <f>_xlfn.CONCAT("https://tablet.otzar.org/",CHAR(35),"/book/648970/p/-1/t/1/fs/0/start/0/end/0/c")</f>
        <v>https://tablet.otzar.org/#/book/648970/p/-1/t/1/fs/0/start/0/end/0/c</v>
      </c>
    </row>
    <row r="3784" spans="1:8" x14ac:dyDescent="0.25">
      <c r="A3784">
        <v>651565</v>
      </c>
      <c r="B3784" t="s">
        <v>7297</v>
      </c>
      <c r="C3784" t="s">
        <v>7298</v>
      </c>
      <c r="E3784" t="s">
        <v>1364</v>
      </c>
      <c r="G3784" t="str">
        <f>HYPERLINK(_xlfn.CONCAT("https://tablet.otzar.org/",CHAR(35),"/book/651565/p/-1/t/1/fs/0/start/0/end/0/c"),"ר' זעליג'ל קעלמער")</f>
        <v>ר' זעליג'ל קעלמער</v>
      </c>
      <c r="H3784" t="str">
        <f>_xlfn.CONCAT("https://tablet.otzar.org/",CHAR(35),"/book/651565/p/-1/t/1/fs/0/start/0/end/0/c")</f>
        <v>https://tablet.otzar.org/#/book/651565/p/-1/t/1/fs/0/start/0/end/0/c</v>
      </c>
    </row>
    <row r="3785" spans="1:8" x14ac:dyDescent="0.25">
      <c r="A3785">
        <v>647932</v>
      </c>
      <c r="B3785" t="s">
        <v>7299</v>
      </c>
      <c r="C3785" t="s">
        <v>7300</v>
      </c>
      <c r="D3785" t="s">
        <v>34</v>
      </c>
      <c r="E3785" t="s">
        <v>2648</v>
      </c>
      <c r="G3785" t="str">
        <f>HYPERLINK(_xlfn.CONCAT("https://tablet.otzar.org/",CHAR(35),"/book/647932/p/-1/t/1/fs/0/start/0/end/0/c"),"ר' יצחק בדאהב מפעל חייו ושכונתו")</f>
        <v>ר' יצחק בדאהב מפעל חייו ושכונתו</v>
      </c>
      <c r="H3785" t="str">
        <f>_xlfn.CONCAT("https://tablet.otzar.org/",CHAR(35),"/book/647932/p/-1/t/1/fs/0/start/0/end/0/c")</f>
        <v>https://tablet.otzar.org/#/book/647932/p/-1/t/1/fs/0/start/0/end/0/c</v>
      </c>
    </row>
    <row r="3786" spans="1:8" x14ac:dyDescent="0.25">
      <c r="A3786">
        <v>649957</v>
      </c>
      <c r="B3786" t="s">
        <v>7301</v>
      </c>
      <c r="C3786" t="s">
        <v>7302</v>
      </c>
      <c r="D3786" t="s">
        <v>39</v>
      </c>
      <c r="E3786" t="s">
        <v>435</v>
      </c>
      <c r="G3786" t="str">
        <f>HYPERLINK(_xlfn.CONCAT("https://tablet.otzar.org/",CHAR(35),"/book/649957/p/-1/t/1/fs/0/start/0/end/0/c"),"ראי""""ה עשירית")</f>
        <v>ראי""ה עשירית</v>
      </c>
      <c r="H3786" t="str">
        <f>_xlfn.CONCAT("https://tablet.otzar.org/",CHAR(35),"/book/649957/p/-1/t/1/fs/0/start/0/end/0/c")</f>
        <v>https://tablet.otzar.org/#/book/649957/p/-1/t/1/fs/0/start/0/end/0/c</v>
      </c>
    </row>
    <row r="3787" spans="1:8" x14ac:dyDescent="0.25">
      <c r="A3787">
        <v>653267</v>
      </c>
      <c r="B3787" t="s">
        <v>7303</v>
      </c>
      <c r="C3787" t="s">
        <v>663</v>
      </c>
      <c r="D3787" t="s">
        <v>840</v>
      </c>
      <c r="E3787" t="s">
        <v>200</v>
      </c>
      <c r="G3787" t="str">
        <f>HYPERLINK(_xlfn.CONCAT("https://tablet.otzar.org/",CHAR(35),"/book/653267/p/-1/t/1/fs/0/start/0/end/0/c"),"ראש דבריך")</f>
        <v>ראש דבריך</v>
      </c>
      <c r="H3787" t="str">
        <f>_xlfn.CONCAT("https://tablet.otzar.org/",CHAR(35),"/book/653267/p/-1/t/1/fs/0/start/0/end/0/c")</f>
        <v>https://tablet.otzar.org/#/book/653267/p/-1/t/1/fs/0/start/0/end/0/c</v>
      </c>
    </row>
    <row r="3788" spans="1:8" x14ac:dyDescent="0.25">
      <c r="A3788">
        <v>654305</v>
      </c>
      <c r="B3788" t="s">
        <v>7304</v>
      </c>
      <c r="C3788" t="s">
        <v>7305</v>
      </c>
      <c r="D3788" t="s">
        <v>10</v>
      </c>
      <c r="E3788" t="s">
        <v>35</v>
      </c>
      <c r="G3788" t="str">
        <f>HYPERLINK(_xlfn.CONCAT("https://tablet.otzar.org/",CHAR(35),"/book/654305/p/-1/t/1/fs/0/start/0/end/0/c"),"ראש דברך - מועדים")</f>
        <v>ראש דברך - מועדים</v>
      </c>
      <c r="H3788" t="str">
        <f>_xlfn.CONCAT("https://tablet.otzar.org/",CHAR(35),"/book/654305/p/-1/t/1/fs/0/start/0/end/0/c")</f>
        <v>https://tablet.otzar.org/#/book/654305/p/-1/t/1/fs/0/start/0/end/0/c</v>
      </c>
    </row>
    <row r="3789" spans="1:8" x14ac:dyDescent="0.25">
      <c r="A3789">
        <v>651832</v>
      </c>
      <c r="B3789" t="s">
        <v>7306</v>
      </c>
      <c r="C3789" t="s">
        <v>7307</v>
      </c>
      <c r="D3789" t="s">
        <v>10</v>
      </c>
      <c r="E3789" t="s">
        <v>213</v>
      </c>
      <c r="G3789" t="str">
        <f>HYPERLINK(_xlfn.CONCAT("https://tablet.otzar.org/",CHAR(35),"/book/651832/p/-1/t/1/fs/0/start/0/end/0/c"),"ראש הישיבה - מרן הגאון רבי שמואל רוזובסקי זצ""""ל")</f>
        <v>ראש הישיבה - מרן הגאון רבי שמואל רוזובסקי זצ""ל</v>
      </c>
      <c r="H3789" t="str">
        <f>_xlfn.CONCAT("https://tablet.otzar.org/",CHAR(35),"/book/651832/p/-1/t/1/fs/0/start/0/end/0/c")</f>
        <v>https://tablet.otzar.org/#/book/651832/p/-1/t/1/fs/0/start/0/end/0/c</v>
      </c>
    </row>
    <row r="3790" spans="1:8" x14ac:dyDescent="0.25">
      <c r="A3790">
        <v>651983</v>
      </c>
      <c r="B3790" t="s">
        <v>7308</v>
      </c>
      <c r="C3790" t="s">
        <v>5078</v>
      </c>
      <c r="E3790" t="s">
        <v>35</v>
      </c>
      <c r="G3790" t="str">
        <f>HYPERLINK(_xlfn.CONCAT("https://tablet.otzar.org/",CHAR(35),"/book/651983/p/-1/t/1/fs/0/start/0/end/0/c"),"ראש המלמדים - במדבר")</f>
        <v>ראש המלמדים - במדבר</v>
      </c>
      <c r="H3790" t="str">
        <f>_xlfn.CONCAT("https://tablet.otzar.org/",CHAR(35),"/book/651983/p/-1/t/1/fs/0/start/0/end/0/c")</f>
        <v>https://tablet.otzar.org/#/book/651983/p/-1/t/1/fs/0/start/0/end/0/c</v>
      </c>
    </row>
    <row r="3791" spans="1:8" x14ac:dyDescent="0.25">
      <c r="A3791">
        <v>655241</v>
      </c>
      <c r="B3791" t="s">
        <v>7309</v>
      </c>
      <c r="C3791" t="s">
        <v>911</v>
      </c>
      <c r="D3791" t="s">
        <v>10</v>
      </c>
      <c r="E3791" t="s">
        <v>402</v>
      </c>
      <c r="G3791" t="str">
        <f>HYPERLINK(_xlfn.CONCAT("https://tablet.otzar.org/",CHAR(35),"/book/655241/p/-1/t/1/fs/0/start/0/end/0/c"),"ראש חודש, ברכת החמה, ברכת הלבנה, בהלכה ובאגדה")</f>
        <v>ראש חודש, ברכת החמה, ברכת הלבנה, בהלכה ובאגדה</v>
      </c>
      <c r="H3791" t="str">
        <f>_xlfn.CONCAT("https://tablet.otzar.org/",CHAR(35),"/book/655241/p/-1/t/1/fs/0/start/0/end/0/c")</f>
        <v>https://tablet.otzar.org/#/book/655241/p/-1/t/1/fs/0/start/0/end/0/c</v>
      </c>
    </row>
    <row r="3792" spans="1:8" x14ac:dyDescent="0.25">
      <c r="A3792">
        <v>647664</v>
      </c>
      <c r="B3792" t="s">
        <v>7310</v>
      </c>
      <c r="C3792" t="s">
        <v>7311</v>
      </c>
      <c r="D3792" t="s">
        <v>52</v>
      </c>
      <c r="E3792" t="s">
        <v>35</v>
      </c>
      <c r="G3792" t="str">
        <f>HYPERLINK(_xlfn.CONCAT("https://tablet.otzar.org/",CHAR(35),"/exKotar/647664"),"ראש יוסף - 2 כרכים")</f>
        <v>ראש יוסף - 2 כרכים</v>
      </c>
      <c r="H3792" t="str">
        <f>_xlfn.CONCAT("https://tablet.otzar.org/",CHAR(35),"/exKotar/647664")</f>
        <v>https://tablet.otzar.org/#/exKotar/647664</v>
      </c>
    </row>
    <row r="3793" spans="1:8" x14ac:dyDescent="0.25">
      <c r="A3793">
        <v>651501</v>
      </c>
      <c r="B3793" t="s">
        <v>7312</v>
      </c>
      <c r="C3793" t="s">
        <v>614</v>
      </c>
      <c r="D3793" t="s">
        <v>10</v>
      </c>
      <c r="E3793" t="s">
        <v>690</v>
      </c>
      <c r="G3793" t="str">
        <f>HYPERLINK(_xlfn.CONCAT("https://tablet.otzar.org/",CHAR(35),"/book/651501/p/-1/t/1/fs/0/start/0/end/0/c"),"ראש שמחתי - שהחיינו")</f>
        <v>ראש שמחתי - שהחיינו</v>
      </c>
      <c r="H3793" t="str">
        <f>_xlfn.CONCAT("https://tablet.otzar.org/",CHAR(35),"/book/651501/p/-1/t/1/fs/0/start/0/end/0/c")</f>
        <v>https://tablet.otzar.org/#/book/651501/p/-1/t/1/fs/0/start/0/end/0/c</v>
      </c>
    </row>
    <row r="3794" spans="1:8" x14ac:dyDescent="0.25">
      <c r="A3794">
        <v>653259</v>
      </c>
      <c r="B3794" t="s">
        <v>7313</v>
      </c>
      <c r="C3794" t="s">
        <v>7314</v>
      </c>
      <c r="E3794" t="s">
        <v>11</v>
      </c>
      <c r="G3794" t="str">
        <f>HYPERLINK(_xlfn.CONCAT("https://tablet.otzar.org/",CHAR(35),"/exKotar/653259"),"ראשית דרכו - 3 כרכים")</f>
        <v>ראשית דרכו - 3 כרכים</v>
      </c>
      <c r="H3794" t="str">
        <f>_xlfn.CONCAT("https://tablet.otzar.org/",CHAR(35),"/exKotar/653259")</f>
        <v>https://tablet.otzar.org/#/exKotar/653259</v>
      </c>
    </row>
    <row r="3795" spans="1:8" x14ac:dyDescent="0.25">
      <c r="A3795">
        <v>647254</v>
      </c>
      <c r="B3795" t="s">
        <v>7315</v>
      </c>
      <c r="C3795" t="s">
        <v>7316</v>
      </c>
      <c r="D3795" t="s">
        <v>7317</v>
      </c>
      <c r="E3795">
        <v>1956</v>
      </c>
      <c r="G3795" t="str">
        <f>HYPERLINK(_xlfn.CONCAT("https://tablet.otzar.org/",CHAR(35),"/book/647254/p/-1/t/1/fs/0/start/0/end/0/c"),"ראשית הציונות המדינית המודרנית")</f>
        <v>ראשית הציונות המדינית המודרנית</v>
      </c>
      <c r="H3795" t="str">
        <f>_xlfn.CONCAT("https://tablet.otzar.org/",CHAR(35),"/book/647254/p/-1/t/1/fs/0/start/0/end/0/c")</f>
        <v>https://tablet.otzar.org/#/book/647254/p/-1/t/1/fs/0/start/0/end/0/c</v>
      </c>
    </row>
    <row r="3796" spans="1:8" x14ac:dyDescent="0.25">
      <c r="A3796">
        <v>649834</v>
      </c>
      <c r="B3796" t="s">
        <v>7318</v>
      </c>
      <c r="C3796" t="s">
        <v>7319</v>
      </c>
      <c r="D3796" t="s">
        <v>347</v>
      </c>
      <c r="E3796" t="s">
        <v>11</v>
      </c>
      <c r="G3796" t="str">
        <f>HYPERLINK(_xlfn.CONCAT("https://tablet.otzar.org/",CHAR(35),"/book/649834/p/-1/t/1/fs/0/start/0/end/0/c"),"ראשית כל פרי - ביכורים")</f>
        <v>ראשית כל פרי - ביכורים</v>
      </c>
      <c r="H3796" t="str">
        <f>_xlfn.CONCAT("https://tablet.otzar.org/",CHAR(35),"/book/649834/p/-1/t/1/fs/0/start/0/end/0/c")</f>
        <v>https://tablet.otzar.org/#/book/649834/p/-1/t/1/fs/0/start/0/end/0/c</v>
      </c>
    </row>
    <row r="3797" spans="1:8" x14ac:dyDescent="0.25">
      <c r="A3797">
        <v>647665</v>
      </c>
      <c r="B3797" t="s">
        <v>7320</v>
      </c>
      <c r="C3797" t="s">
        <v>7321</v>
      </c>
      <c r="D3797" t="s">
        <v>7322</v>
      </c>
      <c r="E3797" t="s">
        <v>11</v>
      </c>
      <c r="G3797" t="str">
        <f>HYPERLINK(_xlfn.CONCAT("https://tablet.otzar.org/",CHAR(35),"/book/647665/p/-1/t/1/fs/0/start/0/end/0/c"),"ראשית עריסותכם - חלה")</f>
        <v>ראשית עריסותכם - חלה</v>
      </c>
      <c r="H3797" t="str">
        <f>_xlfn.CONCAT("https://tablet.otzar.org/",CHAR(35),"/book/647665/p/-1/t/1/fs/0/start/0/end/0/c")</f>
        <v>https://tablet.otzar.org/#/book/647665/p/-1/t/1/fs/0/start/0/end/0/c</v>
      </c>
    </row>
    <row r="3798" spans="1:8" x14ac:dyDescent="0.25">
      <c r="A3798">
        <v>650246</v>
      </c>
      <c r="B3798" t="s">
        <v>7323</v>
      </c>
      <c r="C3798" t="s">
        <v>7324</v>
      </c>
      <c r="D3798" t="s">
        <v>386</v>
      </c>
      <c r="E3798" t="s">
        <v>45</v>
      </c>
      <c r="G3798" t="str">
        <f>HYPERLINK(_xlfn.CONCAT("https://tablet.otzar.org/",CHAR(35),"/book/650246/p/-1/t/1/fs/0/start/0/end/0/c"),"רב בישראל")</f>
        <v>רב בישראל</v>
      </c>
      <c r="H3798" t="str">
        <f>_xlfn.CONCAT("https://tablet.otzar.org/",CHAR(35),"/book/650246/p/-1/t/1/fs/0/start/0/end/0/c")</f>
        <v>https://tablet.otzar.org/#/book/650246/p/-1/t/1/fs/0/start/0/end/0/c</v>
      </c>
    </row>
    <row r="3799" spans="1:8" x14ac:dyDescent="0.25">
      <c r="A3799">
        <v>655112</v>
      </c>
      <c r="B3799" t="s">
        <v>7325</v>
      </c>
      <c r="C3799" t="s">
        <v>382</v>
      </c>
      <c r="D3799" t="s">
        <v>10</v>
      </c>
      <c r="E3799" t="s">
        <v>11</v>
      </c>
      <c r="G3799" t="str">
        <f>HYPERLINK(_xlfn.CONCAT("https://tablet.otzar.org/",CHAR(35),"/book/655112/p/-1/t/1/fs/0/start/0/end/0/c"),"רב ברכות - ט")</f>
        <v>רב ברכות - ט</v>
      </c>
      <c r="H3799" t="str">
        <f>_xlfn.CONCAT("https://tablet.otzar.org/",CHAR(35),"/book/655112/p/-1/t/1/fs/0/start/0/end/0/c")</f>
        <v>https://tablet.otzar.org/#/book/655112/p/-1/t/1/fs/0/start/0/end/0/c</v>
      </c>
    </row>
    <row r="3800" spans="1:8" x14ac:dyDescent="0.25">
      <c r="A3800">
        <v>647449</v>
      </c>
      <c r="B3800" t="s">
        <v>7326</v>
      </c>
      <c r="C3800" t="s">
        <v>7327</v>
      </c>
      <c r="D3800" t="s">
        <v>139</v>
      </c>
      <c r="E3800" t="s">
        <v>763</v>
      </c>
      <c r="G3800" t="str">
        <f>HYPERLINK(_xlfn.CONCAT("https://tablet.otzar.org/",CHAR(35),"/book/647449/p/-1/t/1/fs/0/start/0/end/0/c"),"רבה אמונתך")</f>
        <v>רבה אמונתך</v>
      </c>
      <c r="H3800" t="str">
        <f>_xlfn.CONCAT("https://tablet.otzar.org/",CHAR(35),"/book/647449/p/-1/t/1/fs/0/start/0/end/0/c")</f>
        <v>https://tablet.otzar.org/#/book/647449/p/-1/t/1/fs/0/start/0/end/0/c</v>
      </c>
    </row>
    <row r="3801" spans="1:8" x14ac:dyDescent="0.25">
      <c r="A3801">
        <v>639187</v>
      </c>
      <c r="B3801" t="s">
        <v>7328</v>
      </c>
      <c r="C3801" t="s">
        <v>7329</v>
      </c>
      <c r="D3801" t="s">
        <v>10</v>
      </c>
      <c r="E3801" t="s">
        <v>507</v>
      </c>
      <c r="G3801" t="str">
        <f>HYPERLINK(_xlfn.CONCAT("https://tablet.otzar.org/",CHAR(35),"/book/639187/p/-1/t/1/fs/0/start/0/end/0/c"),"רבי יעקב ן' נעים ויחסו לקבלה ולשבתאות - תדפיס")</f>
        <v>רבי יעקב ן' נעים ויחסו לקבלה ולשבתאות - תדפיס</v>
      </c>
      <c r="H3801" t="str">
        <f>_xlfn.CONCAT("https://tablet.otzar.org/",CHAR(35),"/book/639187/p/-1/t/1/fs/0/start/0/end/0/c")</f>
        <v>https://tablet.otzar.org/#/book/639187/p/-1/t/1/fs/0/start/0/end/0/c</v>
      </c>
    </row>
    <row r="3802" spans="1:8" x14ac:dyDescent="0.25">
      <c r="A3802">
        <v>652816</v>
      </c>
      <c r="B3802" t="s">
        <v>7330</v>
      </c>
      <c r="C3802" t="s">
        <v>851</v>
      </c>
      <c r="D3802" t="s">
        <v>129</v>
      </c>
      <c r="E3802" t="s">
        <v>7331</v>
      </c>
      <c r="G3802" t="str">
        <f>HYPERLINK(_xlfn.CONCAT("https://tablet.otzar.org/",CHAR(35),"/book/652816/p/-1/t/1/fs/0/start/0/end/0/c"),"רבי ישראל בעל שם טוב")</f>
        <v>רבי ישראל בעל שם טוב</v>
      </c>
      <c r="H3802" t="str">
        <f>_xlfn.CONCAT("https://tablet.otzar.org/",CHAR(35),"/book/652816/p/-1/t/1/fs/0/start/0/end/0/c")</f>
        <v>https://tablet.otzar.org/#/book/652816/p/-1/t/1/fs/0/start/0/end/0/c</v>
      </c>
    </row>
    <row r="3803" spans="1:8" x14ac:dyDescent="0.25">
      <c r="A3803">
        <v>654108</v>
      </c>
      <c r="B3803" t="s">
        <v>7332</v>
      </c>
      <c r="C3803" t="s">
        <v>7333</v>
      </c>
      <c r="D3803" t="s">
        <v>10</v>
      </c>
      <c r="E3803" t="s">
        <v>77</v>
      </c>
      <c r="G3803" t="str">
        <f>HYPERLINK(_xlfn.CONCAT("https://tablet.otzar.org/",CHAR(35),"/book/654108/p/-1/t/1/fs/0/start/0/end/0/c"),"רבי מרדכי פגרמנסקי")</f>
        <v>רבי מרדכי פגרמנסקי</v>
      </c>
      <c r="H3803" t="str">
        <f>_xlfn.CONCAT("https://tablet.otzar.org/",CHAR(35),"/book/654108/p/-1/t/1/fs/0/start/0/end/0/c")</f>
        <v>https://tablet.otzar.org/#/book/654108/p/-1/t/1/fs/0/start/0/end/0/c</v>
      </c>
    </row>
    <row r="3804" spans="1:8" x14ac:dyDescent="0.25">
      <c r="A3804">
        <v>641931</v>
      </c>
      <c r="B3804" t="s">
        <v>7334</v>
      </c>
      <c r="C3804" t="s">
        <v>7335</v>
      </c>
      <c r="D3804" t="s">
        <v>7336</v>
      </c>
      <c r="E3804" t="s">
        <v>4081</v>
      </c>
      <c r="G3804" t="str">
        <f>HYPERLINK(_xlfn.CONCAT("https://tablet.otzar.org/",CHAR(35),"/book/641931/p/-1/t/1/fs/0/start/0/end/0/c"),"רבי נחום מטשרנוביל")</f>
        <v>רבי נחום מטשרנוביל</v>
      </c>
      <c r="H3804" t="str">
        <f>_xlfn.CONCAT("https://tablet.otzar.org/",CHAR(35),"/book/641931/p/-1/t/1/fs/0/start/0/end/0/c")</f>
        <v>https://tablet.otzar.org/#/book/641931/p/-1/t/1/fs/0/start/0/end/0/c</v>
      </c>
    </row>
    <row r="3805" spans="1:8" x14ac:dyDescent="0.25">
      <c r="A3805">
        <v>649097</v>
      </c>
      <c r="B3805" t="s">
        <v>7337</v>
      </c>
      <c r="C3805" t="s">
        <v>7338</v>
      </c>
      <c r="D3805" t="s">
        <v>129</v>
      </c>
      <c r="E3805" t="s">
        <v>643</v>
      </c>
      <c r="G3805" t="str">
        <f>HYPERLINK(_xlfn.CONCAT("https://tablet.otzar.org/",CHAR(35),"/book/649097/p/-1/t/1/fs/0/start/0/end/0/c"),"רבי עקיבא")</f>
        <v>רבי עקיבא</v>
      </c>
      <c r="H3805" t="str">
        <f>_xlfn.CONCAT("https://tablet.otzar.org/",CHAR(35),"/book/649097/p/-1/t/1/fs/0/start/0/end/0/c")</f>
        <v>https://tablet.otzar.org/#/book/649097/p/-1/t/1/fs/0/start/0/end/0/c</v>
      </c>
    </row>
    <row r="3806" spans="1:8" x14ac:dyDescent="0.25">
      <c r="A3806">
        <v>653482</v>
      </c>
      <c r="B3806" t="s">
        <v>7339</v>
      </c>
      <c r="C3806" t="s">
        <v>7340</v>
      </c>
      <c r="D3806" t="s">
        <v>10</v>
      </c>
      <c r="E3806" t="s">
        <v>77</v>
      </c>
      <c r="G3806" t="str">
        <f>HYPERLINK(_xlfn.CONCAT("https://tablet.otzar.org/",CHAR(35),"/book/653482/p/-1/t/1/fs/0/start/0/end/0/c"),"רבי ראובן כ""""ץ רבה של אם המושבות")</f>
        <v>רבי ראובן כ""ץ רבה של אם המושבות</v>
      </c>
      <c r="H3806" t="str">
        <f>_xlfn.CONCAT("https://tablet.otzar.org/",CHAR(35),"/book/653482/p/-1/t/1/fs/0/start/0/end/0/c")</f>
        <v>https://tablet.otzar.org/#/book/653482/p/-1/t/1/fs/0/start/0/end/0/c</v>
      </c>
    </row>
    <row r="3807" spans="1:8" x14ac:dyDescent="0.25">
      <c r="A3807">
        <v>652033</v>
      </c>
      <c r="B3807" t="s">
        <v>7341</v>
      </c>
      <c r="C3807" t="s">
        <v>7342</v>
      </c>
      <c r="D3807" t="s">
        <v>52</v>
      </c>
      <c r="E3807" t="s">
        <v>246</v>
      </c>
      <c r="G3807" t="str">
        <f>HYPERLINK(_xlfn.CONCAT("https://tablet.otzar.org/",CHAR(35),"/book/652033/p/-1/t/1/fs/0/start/0/end/0/c"),"רבי שלום רדאעי וחיבוריו, תאניה ואניה, האסיף, מערכי לב")</f>
        <v>רבי שלום רדאעי וחיבוריו, תאניה ואניה, האסיף, מערכי לב</v>
      </c>
      <c r="H3807" t="str">
        <f>_xlfn.CONCAT("https://tablet.otzar.org/",CHAR(35),"/book/652033/p/-1/t/1/fs/0/start/0/end/0/c")</f>
        <v>https://tablet.otzar.org/#/book/652033/p/-1/t/1/fs/0/start/0/end/0/c</v>
      </c>
    </row>
    <row r="3808" spans="1:8" x14ac:dyDescent="0.25">
      <c r="A3808">
        <v>649421</v>
      </c>
      <c r="B3808" t="s">
        <v>7343</v>
      </c>
      <c r="C3808" t="s">
        <v>7344</v>
      </c>
      <c r="D3808" t="s">
        <v>39</v>
      </c>
      <c r="E3808" t="s">
        <v>3106</v>
      </c>
      <c r="G3808" t="str">
        <f>HYPERLINK(_xlfn.CONCAT("https://tablet.otzar.org/",CHAR(35),"/book/649421/p/-1/t/1/fs/0/start/0/end/0/c"),"רבי שמואל אבו - חצירא,")</f>
        <v>רבי שמואל אבו - חצירא,</v>
      </c>
      <c r="H3808" t="str">
        <f>_xlfn.CONCAT("https://tablet.otzar.org/",CHAR(35),"/book/649421/p/-1/t/1/fs/0/start/0/end/0/c")</f>
        <v>https://tablet.otzar.org/#/book/649421/p/-1/t/1/fs/0/start/0/end/0/c</v>
      </c>
    </row>
    <row r="3809" spans="1:8" x14ac:dyDescent="0.25">
      <c r="A3809">
        <v>651766</v>
      </c>
      <c r="B3809" t="s">
        <v>7345</v>
      </c>
      <c r="C3809" t="s">
        <v>7346</v>
      </c>
      <c r="D3809" t="s">
        <v>948</v>
      </c>
      <c r="E3809" t="s">
        <v>35</v>
      </c>
      <c r="G3809" t="str">
        <f>HYPERLINK(_xlfn.CONCAT("https://tablet.otzar.org/",CHAR(35),"/exKotar/651766"),"רביד הזהב - 2 כרכים")</f>
        <v>רביד הזהב - 2 כרכים</v>
      </c>
      <c r="H3809" t="str">
        <f>_xlfn.CONCAT("https://tablet.otzar.org/",CHAR(35),"/exKotar/651766")</f>
        <v>https://tablet.otzar.org/#/exKotar/651766</v>
      </c>
    </row>
    <row r="3810" spans="1:8" x14ac:dyDescent="0.25">
      <c r="A3810">
        <v>653301</v>
      </c>
      <c r="B3810" t="s">
        <v>7347</v>
      </c>
      <c r="C3810" t="s">
        <v>7348</v>
      </c>
      <c r="E3810" t="s">
        <v>507</v>
      </c>
      <c r="G3810" t="str">
        <f>HYPERLINK(_xlfn.CONCAT("https://tablet.otzar.org/",CHAR(35),"/book/653301/p/-1/t/1/fs/0/start/0/end/0/c"),"רבינו יוסף רוזין")</f>
        <v>רבינו יוסף רוזין</v>
      </c>
      <c r="H3810" t="str">
        <f>_xlfn.CONCAT("https://tablet.otzar.org/",CHAR(35),"/book/653301/p/-1/t/1/fs/0/start/0/end/0/c")</f>
        <v>https://tablet.otzar.org/#/book/653301/p/-1/t/1/fs/0/start/0/end/0/c</v>
      </c>
    </row>
    <row r="3811" spans="1:8" x14ac:dyDescent="0.25">
      <c r="A3811">
        <v>639700</v>
      </c>
      <c r="B3811" t="s">
        <v>7349</v>
      </c>
      <c r="C3811" t="s">
        <v>7350</v>
      </c>
      <c r="D3811" t="s">
        <v>52</v>
      </c>
      <c r="E3811" t="s">
        <v>77</v>
      </c>
      <c r="G3811" t="str">
        <f>HYPERLINK(_xlfn.CONCAT("https://tablet.otzar.org/",CHAR(35),"/book/639700/p/-1/t/1/fs/0/start/0/end/0/c"),"רבינו יחיא אלשיך")</f>
        <v>רבינו יחיא אלשיך</v>
      </c>
      <c r="H3811" t="str">
        <f>_xlfn.CONCAT("https://tablet.otzar.org/",CHAR(35),"/book/639700/p/-1/t/1/fs/0/start/0/end/0/c")</f>
        <v>https://tablet.otzar.org/#/book/639700/p/-1/t/1/fs/0/start/0/end/0/c</v>
      </c>
    </row>
    <row r="3812" spans="1:8" x14ac:dyDescent="0.25">
      <c r="A3812">
        <v>656123</v>
      </c>
      <c r="B3812" t="s">
        <v>7351</v>
      </c>
      <c r="C3812" t="s">
        <v>2438</v>
      </c>
      <c r="D3812" t="s">
        <v>52</v>
      </c>
      <c r="E3812" t="s">
        <v>657</v>
      </c>
      <c r="G3812" t="str">
        <f>HYPERLINK(_xlfn.CONCAT("https://tablet.otzar.org/",CHAR(35),"/book/656123/p/-1/t/1/fs/0/start/0/end/0/c"),"רואה בשמחתה")</f>
        <v>רואה בשמחתה</v>
      </c>
      <c r="H3812" t="str">
        <f>_xlfn.CONCAT("https://tablet.otzar.org/",CHAR(35),"/book/656123/p/-1/t/1/fs/0/start/0/end/0/c")</f>
        <v>https://tablet.otzar.org/#/book/656123/p/-1/t/1/fs/0/start/0/end/0/c</v>
      </c>
    </row>
    <row r="3813" spans="1:8" x14ac:dyDescent="0.25">
      <c r="A3813">
        <v>646751</v>
      </c>
      <c r="B3813" t="s">
        <v>7352</v>
      </c>
      <c r="C3813" t="s">
        <v>7353</v>
      </c>
      <c r="D3813" t="s">
        <v>10</v>
      </c>
      <c r="E3813" t="s">
        <v>62</v>
      </c>
      <c r="G3813" t="str">
        <f>HYPERLINK(_xlfn.CONCAT("https://tablet.otzar.org/",CHAR(35),"/book/646751/p/-1/t/1/fs/0/start/0/end/0/c"),"רואי השמש - ילקוט לברכת החמה מגנזי מאורי אשכנז")</f>
        <v>רואי השמש - ילקוט לברכת החמה מגנזי מאורי אשכנז</v>
      </c>
      <c r="H3813" t="str">
        <f>_xlfn.CONCAT("https://tablet.otzar.org/",CHAR(35),"/book/646751/p/-1/t/1/fs/0/start/0/end/0/c")</f>
        <v>https://tablet.otzar.org/#/book/646751/p/-1/t/1/fs/0/start/0/end/0/c</v>
      </c>
    </row>
    <row r="3814" spans="1:8" x14ac:dyDescent="0.25">
      <c r="A3814">
        <v>653506</v>
      </c>
      <c r="B3814" t="s">
        <v>7354</v>
      </c>
      <c r="C3814" t="s">
        <v>7355</v>
      </c>
      <c r="D3814" t="s">
        <v>10</v>
      </c>
      <c r="E3814" t="s">
        <v>11</v>
      </c>
      <c r="G3814" t="str">
        <f>HYPERLINK(_xlfn.CONCAT("https://tablet.otzar.org/",CHAR(35),"/exKotar/653506"),"רואין את הנשמע - 2 כרכים")</f>
        <v>רואין את הנשמע - 2 כרכים</v>
      </c>
      <c r="H3814" t="str">
        <f>_xlfn.CONCAT("https://tablet.otzar.org/",CHAR(35),"/exKotar/653506")</f>
        <v>https://tablet.otzar.org/#/exKotar/653506</v>
      </c>
    </row>
    <row r="3815" spans="1:8" x14ac:dyDescent="0.25">
      <c r="A3815">
        <v>651821</v>
      </c>
      <c r="B3815" t="s">
        <v>7356</v>
      </c>
      <c r="C3815" t="s">
        <v>7357</v>
      </c>
      <c r="D3815" t="s">
        <v>34</v>
      </c>
      <c r="E3815" t="s">
        <v>11</v>
      </c>
      <c r="G3815" t="str">
        <f>HYPERLINK(_xlfn.CONCAT("https://tablet.otzar.org/",CHAR(35),"/book/651821/p/-1/t/1/fs/0/start/0/end/0/c"),"רוב דגן &lt;מהדורה חדשה&gt; - א")</f>
        <v>רוב דגן &lt;מהדורה חדשה&gt; - א</v>
      </c>
      <c r="H3815" t="str">
        <f>_xlfn.CONCAT("https://tablet.otzar.org/",CHAR(35),"/book/651821/p/-1/t/1/fs/0/start/0/end/0/c")</f>
        <v>https://tablet.otzar.org/#/book/651821/p/-1/t/1/fs/0/start/0/end/0/c</v>
      </c>
    </row>
    <row r="3816" spans="1:8" x14ac:dyDescent="0.25">
      <c r="A3816">
        <v>650398</v>
      </c>
      <c r="B3816" t="s">
        <v>7358</v>
      </c>
      <c r="C3816" t="s">
        <v>7359</v>
      </c>
      <c r="D3816" t="s">
        <v>10</v>
      </c>
      <c r="E3816" t="s">
        <v>213</v>
      </c>
      <c r="G3816" t="str">
        <f>HYPERLINK(_xlfn.CONCAT("https://tablet.otzar.org/",CHAR(35),"/exKotar/650398"),"רווחא שמעתא - 2 כרכים")</f>
        <v>רווחא שמעתא - 2 כרכים</v>
      </c>
      <c r="H3816" t="str">
        <f>_xlfn.CONCAT("https://tablet.otzar.org/",CHAR(35),"/exKotar/650398")</f>
        <v>https://tablet.otzar.org/#/exKotar/650398</v>
      </c>
    </row>
    <row r="3817" spans="1:8" x14ac:dyDescent="0.25">
      <c r="A3817">
        <v>17023</v>
      </c>
      <c r="B3817" t="s">
        <v>7360</v>
      </c>
      <c r="C3817" t="s">
        <v>2423</v>
      </c>
      <c r="D3817" t="s">
        <v>796</v>
      </c>
      <c r="E3817" t="s">
        <v>582</v>
      </c>
      <c r="G3817" t="str">
        <f>HYPERLINK(_xlfn.CONCAT("https://tablet.otzar.org/",CHAR(35),"/book/17023/p/-1/t/1/fs/0/start/0/end/0/c"),"רוח אליהו")</f>
        <v>רוח אליהו</v>
      </c>
      <c r="H3817" t="str">
        <f>_xlfn.CONCAT("https://tablet.otzar.org/",CHAR(35),"/book/17023/p/-1/t/1/fs/0/start/0/end/0/c")</f>
        <v>https://tablet.otzar.org/#/book/17023/p/-1/t/1/fs/0/start/0/end/0/c</v>
      </c>
    </row>
    <row r="3818" spans="1:8" x14ac:dyDescent="0.25">
      <c r="A3818">
        <v>650958</v>
      </c>
      <c r="B3818" t="s">
        <v>7361</v>
      </c>
      <c r="C3818" t="s">
        <v>7362</v>
      </c>
      <c r="D3818" t="s">
        <v>52</v>
      </c>
      <c r="E3818" t="s">
        <v>70</v>
      </c>
      <c r="G3818" t="str">
        <f>HYPERLINK(_xlfn.CONCAT("https://tablet.otzar.org/",CHAR(35),"/book/650958/p/-1/t/1/fs/0/start/0/end/0/c"),"רוח חיים")</f>
        <v>רוח חיים</v>
      </c>
      <c r="H3818" t="str">
        <f>_xlfn.CONCAT("https://tablet.otzar.org/",CHAR(35),"/book/650958/p/-1/t/1/fs/0/start/0/end/0/c")</f>
        <v>https://tablet.otzar.org/#/book/650958/p/-1/t/1/fs/0/start/0/end/0/c</v>
      </c>
    </row>
    <row r="3819" spans="1:8" x14ac:dyDescent="0.25">
      <c r="A3819">
        <v>654694</v>
      </c>
      <c r="B3819" t="s">
        <v>7363</v>
      </c>
      <c r="C3819" t="s">
        <v>7364</v>
      </c>
      <c r="D3819" t="s">
        <v>10</v>
      </c>
      <c r="E3819" t="s">
        <v>6369</v>
      </c>
      <c r="G3819" t="str">
        <f>HYPERLINK(_xlfn.CONCAT("https://tablet.otzar.org/",CHAR(35),"/book/654694/p/-1/t/1/fs/0/start/0/end/0/c"),"רוח חיים &lt;מהדורת תושיה&gt;")</f>
        <v>רוח חיים &lt;מהדורת תושיה&gt;</v>
      </c>
      <c r="H3819" t="str">
        <f>_xlfn.CONCAT("https://tablet.otzar.org/",CHAR(35),"/book/654694/p/-1/t/1/fs/0/start/0/end/0/c")</f>
        <v>https://tablet.otzar.org/#/book/654694/p/-1/t/1/fs/0/start/0/end/0/c</v>
      </c>
    </row>
    <row r="3820" spans="1:8" x14ac:dyDescent="0.25">
      <c r="A3820">
        <v>650005</v>
      </c>
      <c r="B3820" t="s">
        <v>7365</v>
      </c>
      <c r="C3820" t="s">
        <v>209</v>
      </c>
      <c r="D3820" t="s">
        <v>52</v>
      </c>
      <c r="E3820" t="s">
        <v>35</v>
      </c>
      <c r="G3820" t="str">
        <f>HYPERLINK(_xlfn.CONCAT("https://tablet.otzar.org/",CHAR(35),"/book/650005/p/-1/t/1/fs/0/start/0/end/0/c"),"רוח עצה וגבורה")</f>
        <v>רוח עצה וגבורה</v>
      </c>
      <c r="H3820" t="str">
        <f>_xlfn.CONCAT("https://tablet.otzar.org/",CHAR(35),"/book/650005/p/-1/t/1/fs/0/start/0/end/0/c")</f>
        <v>https://tablet.otzar.org/#/book/650005/p/-1/t/1/fs/0/start/0/end/0/c</v>
      </c>
    </row>
    <row r="3821" spans="1:8" x14ac:dyDescent="0.25">
      <c r="A3821">
        <v>647679</v>
      </c>
      <c r="B3821" t="s">
        <v>7366</v>
      </c>
      <c r="C3821" t="s">
        <v>4021</v>
      </c>
      <c r="D3821" t="s">
        <v>10</v>
      </c>
      <c r="E3821" t="s">
        <v>89</v>
      </c>
      <c r="G3821" t="str">
        <f>HYPERLINK(_xlfn.CONCAT("https://tablet.otzar.org/",CHAR(35),"/book/647679/p/-1/t/1/fs/0/start/0/end/0/c"),"רופא חולים א")</f>
        <v>רופא חולים א</v>
      </c>
      <c r="H3821" t="str">
        <f>_xlfn.CONCAT("https://tablet.otzar.org/",CHAR(35),"/book/647679/p/-1/t/1/fs/0/start/0/end/0/c")</f>
        <v>https://tablet.otzar.org/#/book/647679/p/-1/t/1/fs/0/start/0/end/0/c</v>
      </c>
    </row>
    <row r="3822" spans="1:8" x14ac:dyDescent="0.25">
      <c r="A3822">
        <v>647234</v>
      </c>
      <c r="B3822" t="s">
        <v>7367</v>
      </c>
      <c r="C3822" t="s">
        <v>4021</v>
      </c>
      <c r="D3822" t="s">
        <v>10</v>
      </c>
      <c r="E3822" t="s">
        <v>89</v>
      </c>
      <c r="G3822" t="str">
        <f>HYPERLINK(_xlfn.CONCAT("https://tablet.otzar.org/",CHAR(35),"/book/647234/p/-1/t/1/fs/0/start/0/end/0/c"),"רופא חולים ב")</f>
        <v>רופא חולים ב</v>
      </c>
      <c r="H3822" t="str">
        <f>_xlfn.CONCAT("https://tablet.otzar.org/",CHAR(35),"/book/647234/p/-1/t/1/fs/0/start/0/end/0/c")</f>
        <v>https://tablet.otzar.org/#/book/647234/p/-1/t/1/fs/0/start/0/end/0/c</v>
      </c>
    </row>
    <row r="3823" spans="1:8" x14ac:dyDescent="0.25">
      <c r="A3823">
        <v>647235</v>
      </c>
      <c r="B3823" t="s">
        <v>7368</v>
      </c>
      <c r="C3823" t="s">
        <v>4021</v>
      </c>
      <c r="D3823" t="s">
        <v>10</v>
      </c>
      <c r="E3823" t="s">
        <v>690</v>
      </c>
      <c r="G3823" t="str">
        <f>HYPERLINK(_xlfn.CONCAT("https://tablet.otzar.org/",CHAR(35),"/book/647235/p/-1/t/1/fs/0/start/0/end/0/c"),"רופא חולים ג")</f>
        <v>רופא חולים ג</v>
      </c>
      <c r="H3823" t="str">
        <f>_xlfn.CONCAT("https://tablet.otzar.org/",CHAR(35),"/book/647235/p/-1/t/1/fs/0/start/0/end/0/c")</f>
        <v>https://tablet.otzar.org/#/book/647235/p/-1/t/1/fs/0/start/0/end/0/c</v>
      </c>
    </row>
    <row r="3824" spans="1:8" x14ac:dyDescent="0.25">
      <c r="A3824">
        <v>650204</v>
      </c>
      <c r="B3824" t="s">
        <v>7369</v>
      </c>
      <c r="C3824" t="s">
        <v>7370</v>
      </c>
      <c r="D3824" t="s">
        <v>10</v>
      </c>
      <c r="E3824" t="s">
        <v>11</v>
      </c>
      <c r="G3824" t="str">
        <f>HYPERLINK(_xlfn.CONCAT("https://tablet.otzar.org/",CHAR(35),"/book/650204/p/-1/t/1/fs/0/start/0/end/0/c"),"רזא דמהימנותא &lt;רזא דארמונ""""י&gt; א")</f>
        <v>רזא דמהימנותא &lt;רזא דארמונ""י&gt; א</v>
      </c>
      <c r="H3824" t="str">
        <f>_xlfn.CONCAT("https://tablet.otzar.org/",CHAR(35),"/book/650204/p/-1/t/1/fs/0/start/0/end/0/c")</f>
        <v>https://tablet.otzar.org/#/book/650204/p/-1/t/1/fs/0/start/0/end/0/c</v>
      </c>
    </row>
    <row r="3825" spans="1:8" x14ac:dyDescent="0.25">
      <c r="A3825">
        <v>647662</v>
      </c>
      <c r="B3825" t="s">
        <v>7371</v>
      </c>
      <c r="C3825" t="s">
        <v>7372</v>
      </c>
      <c r="D3825" t="s">
        <v>52</v>
      </c>
      <c r="E3825" t="s">
        <v>35</v>
      </c>
      <c r="G3825" t="str">
        <f>HYPERLINK(_xlfn.CONCAT("https://tablet.otzar.org/",CHAR(35),"/book/647662/p/-1/t/1/fs/0/start/0/end/0/c"),"רזא דשבתא")</f>
        <v>רזא דשבתא</v>
      </c>
      <c r="H3825" t="str">
        <f>_xlfn.CONCAT("https://tablet.otzar.org/",CHAR(35),"/book/647662/p/-1/t/1/fs/0/start/0/end/0/c")</f>
        <v>https://tablet.otzar.org/#/book/647662/p/-1/t/1/fs/0/start/0/end/0/c</v>
      </c>
    </row>
    <row r="3826" spans="1:8" x14ac:dyDescent="0.25">
      <c r="A3826">
        <v>655437</v>
      </c>
      <c r="B3826" t="s">
        <v>7373</v>
      </c>
      <c r="C3826" t="s">
        <v>7374</v>
      </c>
      <c r="D3826" t="s">
        <v>52</v>
      </c>
      <c r="E3826" t="s">
        <v>84</v>
      </c>
      <c r="G3826" t="str">
        <f>HYPERLINK(_xlfn.CONCAT("https://tablet.otzar.org/",CHAR(35),"/book/655437/p/-1/t/1/fs/0/start/0/end/0/c"),"רזיאל המלאך - סודי רזיא - סוד קדושים")</f>
        <v>רזיאל המלאך - סודי רזיא - סוד קדושים</v>
      </c>
      <c r="H3826" t="str">
        <f>_xlfn.CONCAT("https://tablet.otzar.org/",CHAR(35),"/book/655437/p/-1/t/1/fs/0/start/0/end/0/c")</f>
        <v>https://tablet.otzar.org/#/book/655437/p/-1/t/1/fs/0/start/0/end/0/c</v>
      </c>
    </row>
    <row r="3827" spans="1:8" x14ac:dyDescent="0.25">
      <c r="A3827">
        <v>653434</v>
      </c>
      <c r="B3827" t="s">
        <v>7375</v>
      </c>
      <c r="C3827" t="s">
        <v>3761</v>
      </c>
      <c r="E3827" t="s">
        <v>11</v>
      </c>
      <c r="G3827" t="str">
        <f>HYPERLINK(_xlfn.CONCAT("https://tablet.otzar.org/",CHAR(35),"/book/653434/p/-1/t/1/fs/0/start/0/end/0/c"),"רחמים לחיים - אלול")</f>
        <v>רחמים לחיים - אלול</v>
      </c>
      <c r="H3827" t="str">
        <f>_xlfn.CONCAT("https://tablet.otzar.org/",CHAR(35),"/book/653434/p/-1/t/1/fs/0/start/0/end/0/c")</f>
        <v>https://tablet.otzar.org/#/book/653434/p/-1/t/1/fs/0/start/0/end/0/c</v>
      </c>
    </row>
    <row r="3828" spans="1:8" x14ac:dyDescent="0.25">
      <c r="A3828">
        <v>647977</v>
      </c>
      <c r="B3828" t="s">
        <v>7376</v>
      </c>
      <c r="C3828" t="s">
        <v>7377</v>
      </c>
      <c r="D3828" t="s">
        <v>2314</v>
      </c>
      <c r="E3828" t="s">
        <v>11</v>
      </c>
      <c r="G3828" t="str">
        <f>HYPERLINK(_xlfn.CONCAT("https://tablet.otzar.org/",CHAR(35),"/book/647977/p/-1/t/1/fs/0/start/0/end/0/c"),"רחשי יוסף - נישואין ב")</f>
        <v>רחשי יוסף - נישואין ב</v>
      </c>
      <c r="H3828" t="str">
        <f>_xlfn.CONCAT("https://tablet.otzar.org/",CHAR(35),"/book/647977/p/-1/t/1/fs/0/start/0/end/0/c")</f>
        <v>https://tablet.otzar.org/#/book/647977/p/-1/t/1/fs/0/start/0/end/0/c</v>
      </c>
    </row>
    <row r="3829" spans="1:8" x14ac:dyDescent="0.25">
      <c r="A3829">
        <v>649846</v>
      </c>
      <c r="B3829" t="s">
        <v>7378</v>
      </c>
      <c r="C3829" t="s">
        <v>7379</v>
      </c>
      <c r="D3829" t="s">
        <v>34</v>
      </c>
      <c r="E3829" t="s">
        <v>213</v>
      </c>
      <c r="G3829" t="str">
        <f>HYPERLINK(_xlfn.CONCAT("https://tablet.otzar.org/",CHAR(35),"/book/649846/p/-1/t/1/fs/0/start/0/end/0/c"),"ריבית בגוי")</f>
        <v>ריבית בגוי</v>
      </c>
      <c r="H3829" t="str">
        <f>_xlfn.CONCAT("https://tablet.otzar.org/",CHAR(35),"/book/649846/p/-1/t/1/fs/0/start/0/end/0/c")</f>
        <v>https://tablet.otzar.org/#/book/649846/p/-1/t/1/fs/0/start/0/end/0/c</v>
      </c>
    </row>
    <row r="3830" spans="1:8" x14ac:dyDescent="0.25">
      <c r="A3830">
        <v>654261</v>
      </c>
      <c r="B3830" t="s">
        <v>7380</v>
      </c>
      <c r="C3830" t="s">
        <v>7381</v>
      </c>
      <c r="D3830" t="s">
        <v>139</v>
      </c>
      <c r="E3830" t="s">
        <v>11</v>
      </c>
      <c r="G3830" t="str">
        <f>HYPERLINK(_xlfn.CONCAT("https://tablet.otzar.org/",CHAR(35),"/book/654261/p/-1/t/1/fs/0/start/0/end/0/c"),"ריבית מפורשת - אגר נטר")</f>
        <v>ריבית מפורשת - אגר נטר</v>
      </c>
      <c r="H3830" t="str">
        <f>_xlfn.CONCAT("https://tablet.otzar.org/",CHAR(35),"/book/654261/p/-1/t/1/fs/0/start/0/end/0/c")</f>
        <v>https://tablet.otzar.org/#/book/654261/p/-1/t/1/fs/0/start/0/end/0/c</v>
      </c>
    </row>
    <row r="3831" spans="1:8" x14ac:dyDescent="0.25">
      <c r="A3831">
        <v>654598</v>
      </c>
      <c r="B3831" t="s">
        <v>7382</v>
      </c>
      <c r="C3831" t="s">
        <v>7383</v>
      </c>
      <c r="D3831" t="s">
        <v>34</v>
      </c>
      <c r="E3831" t="s">
        <v>35</v>
      </c>
      <c r="G3831" t="str">
        <f>HYPERLINK(_xlfn.CONCAT("https://tablet.otzar.org/",CHAR(35),"/book/654598/p/-1/t/1/fs/0/start/0/end/0/c"),"ריהטא דשמעתתא - קידושין, נזיר")</f>
        <v>ריהטא דשמעתתא - קידושין, נזיר</v>
      </c>
      <c r="H3831" t="str">
        <f>_xlfn.CONCAT("https://tablet.otzar.org/",CHAR(35),"/book/654598/p/-1/t/1/fs/0/start/0/end/0/c")</f>
        <v>https://tablet.otzar.org/#/book/654598/p/-1/t/1/fs/0/start/0/end/0/c</v>
      </c>
    </row>
    <row r="3832" spans="1:8" x14ac:dyDescent="0.25">
      <c r="A3832">
        <v>653561</v>
      </c>
      <c r="B3832" t="s">
        <v>7384</v>
      </c>
      <c r="C3832" t="s">
        <v>7385</v>
      </c>
      <c r="D3832" t="s">
        <v>88</v>
      </c>
      <c r="E3832" t="s">
        <v>405</v>
      </c>
      <c r="G3832" t="str">
        <f>HYPERLINK(_xlfn.CONCAT("https://tablet.otzar.org/",CHAR(35),"/book/653561/p/-1/t/1/fs/0/start/0/end/0/c"),"ריח פנחס")</f>
        <v>ריח פנחס</v>
      </c>
      <c r="H3832" t="str">
        <f>_xlfn.CONCAT("https://tablet.otzar.org/",CHAR(35),"/book/653561/p/-1/t/1/fs/0/start/0/end/0/c")</f>
        <v>https://tablet.otzar.org/#/book/653561/p/-1/t/1/fs/0/start/0/end/0/c</v>
      </c>
    </row>
    <row r="3833" spans="1:8" x14ac:dyDescent="0.25">
      <c r="A3833">
        <v>647627</v>
      </c>
      <c r="B3833" t="s">
        <v>7386</v>
      </c>
      <c r="C3833" t="s">
        <v>7387</v>
      </c>
      <c r="E3833" t="s">
        <v>205</v>
      </c>
      <c r="G3833" t="str">
        <f>HYPERLINK(_xlfn.CONCAT("https://tablet.otzar.org/",CHAR(35),"/book/647627/p/-1/t/1/fs/0/start/0/end/0/c"),"רינת אברהם - איזהו נשך")</f>
        <v>רינת אברהם - איזהו נשך</v>
      </c>
      <c r="H3833" t="str">
        <f>_xlfn.CONCAT("https://tablet.otzar.org/",CHAR(35),"/book/647627/p/-1/t/1/fs/0/start/0/end/0/c")</f>
        <v>https://tablet.otzar.org/#/book/647627/p/-1/t/1/fs/0/start/0/end/0/c</v>
      </c>
    </row>
    <row r="3834" spans="1:8" x14ac:dyDescent="0.25">
      <c r="A3834">
        <v>653994</v>
      </c>
      <c r="B3834" t="s">
        <v>7388</v>
      </c>
      <c r="C3834" t="s">
        <v>7389</v>
      </c>
      <c r="D3834" t="s">
        <v>133</v>
      </c>
      <c r="E3834" t="s">
        <v>45</v>
      </c>
      <c r="G3834" t="str">
        <f>HYPERLINK(_xlfn.CONCAT("https://tablet.otzar.org/",CHAR(35),"/exKotar/653994"),"רינת אהרן - 4 כרכים")</f>
        <v>רינת אהרן - 4 כרכים</v>
      </c>
      <c r="H3834" t="str">
        <f>_xlfn.CONCAT("https://tablet.otzar.org/",CHAR(35),"/exKotar/653994")</f>
        <v>https://tablet.otzar.org/#/exKotar/653994</v>
      </c>
    </row>
    <row r="3835" spans="1:8" x14ac:dyDescent="0.25">
      <c r="A3835">
        <v>646948</v>
      </c>
      <c r="B3835" t="s">
        <v>7390</v>
      </c>
      <c r="C3835" t="s">
        <v>7391</v>
      </c>
      <c r="D3835" t="s">
        <v>10</v>
      </c>
      <c r="E3835" t="s">
        <v>40</v>
      </c>
      <c r="G3835" t="str">
        <f>HYPERLINK(_xlfn.CONCAT("https://tablet.otzar.org/",CHAR(35),"/book/646948/p/-1/t/1/fs/0/start/0/end/0/c"),"ריצבש""""י - חתם סופר")</f>
        <v>ריצבש""י - חתם סופר</v>
      </c>
      <c r="H3835" t="str">
        <f>_xlfn.CONCAT("https://tablet.otzar.org/",CHAR(35),"/book/646948/p/-1/t/1/fs/0/start/0/end/0/c")</f>
        <v>https://tablet.otzar.org/#/book/646948/p/-1/t/1/fs/0/start/0/end/0/c</v>
      </c>
    </row>
    <row r="3836" spans="1:8" x14ac:dyDescent="0.25">
      <c r="A3836">
        <v>647768</v>
      </c>
      <c r="B3836" t="s">
        <v>7392</v>
      </c>
      <c r="C3836" t="s">
        <v>7393</v>
      </c>
      <c r="D3836" t="s">
        <v>34</v>
      </c>
      <c r="E3836" t="s">
        <v>84</v>
      </c>
      <c r="G3836" t="str">
        <f>HYPERLINK(_xlfn.CONCAT("https://tablet.otzar.org/",CHAR(35),"/exKotar/647768"),"רמ""""ח יסודות מצוות עשה - 2 כרכים")</f>
        <v>רמ""ח יסודות מצוות עשה - 2 כרכים</v>
      </c>
      <c r="H3836" t="str">
        <f>_xlfn.CONCAT("https://tablet.otzar.org/",CHAR(35),"/exKotar/647768")</f>
        <v>https://tablet.otzar.org/#/exKotar/647768</v>
      </c>
    </row>
    <row r="3837" spans="1:8" x14ac:dyDescent="0.25">
      <c r="A3837">
        <v>651791</v>
      </c>
      <c r="B3837" t="s">
        <v>7394</v>
      </c>
      <c r="C3837" t="s">
        <v>7395</v>
      </c>
      <c r="D3837" t="s">
        <v>10</v>
      </c>
      <c r="E3837" t="s">
        <v>11</v>
      </c>
      <c r="G3837" t="str">
        <f>HYPERLINK(_xlfn.CONCAT("https://tablet.otzar.org/",CHAR(35),"/book/651791/p/-1/t/1/fs/0/start/0/end/0/c"),"רמות גלעד - ד")</f>
        <v>רמות גלעד - ד</v>
      </c>
      <c r="H3837" t="str">
        <f>_xlfn.CONCAT("https://tablet.otzar.org/",CHAR(35),"/book/651791/p/-1/t/1/fs/0/start/0/end/0/c")</f>
        <v>https://tablet.otzar.org/#/book/651791/p/-1/t/1/fs/0/start/0/end/0/c</v>
      </c>
    </row>
    <row r="3838" spans="1:8" x14ac:dyDescent="0.25">
      <c r="A3838">
        <v>656221</v>
      </c>
      <c r="B3838" t="s">
        <v>7396</v>
      </c>
      <c r="C3838" t="s">
        <v>7397</v>
      </c>
      <c r="D3838" t="s">
        <v>52</v>
      </c>
      <c r="E3838" t="s">
        <v>11</v>
      </c>
      <c r="G3838" t="str">
        <f>HYPERLINK(_xlfn.CONCAT("https://tablet.otzar.org/",CHAR(35),"/exKotar/656221"),"רעיא מהימנא - 3 כרכים")</f>
        <v>רעיא מהימנא - 3 כרכים</v>
      </c>
      <c r="H3838" t="str">
        <f>_xlfn.CONCAT("https://tablet.otzar.org/",CHAR(35),"/exKotar/656221")</f>
        <v>https://tablet.otzar.org/#/exKotar/656221</v>
      </c>
    </row>
    <row r="3839" spans="1:8" x14ac:dyDescent="0.25">
      <c r="A3839">
        <v>650819</v>
      </c>
      <c r="B3839" t="s">
        <v>7398</v>
      </c>
      <c r="C3839" t="s">
        <v>7399</v>
      </c>
      <c r="D3839" t="s">
        <v>34</v>
      </c>
      <c r="E3839" t="s">
        <v>45</v>
      </c>
      <c r="G3839" t="str">
        <f>HYPERLINK(_xlfn.CONCAT("https://tablet.otzar.org/",CHAR(35),"/book/650819/p/-1/t/1/fs/0/start/0/end/0/c"),"רעים אהובים")</f>
        <v>רעים אהובים</v>
      </c>
      <c r="H3839" t="str">
        <f>_xlfn.CONCAT("https://tablet.otzar.org/",CHAR(35),"/book/650819/p/-1/t/1/fs/0/start/0/end/0/c")</f>
        <v>https://tablet.otzar.org/#/book/650819/p/-1/t/1/fs/0/start/0/end/0/c</v>
      </c>
    </row>
    <row r="3840" spans="1:8" x14ac:dyDescent="0.25">
      <c r="A3840">
        <v>649188</v>
      </c>
      <c r="B3840" t="s">
        <v>7400</v>
      </c>
      <c r="C3840" t="s">
        <v>7401</v>
      </c>
      <c r="D3840" t="s">
        <v>34</v>
      </c>
      <c r="E3840" t="s">
        <v>11</v>
      </c>
      <c r="G3840" t="str">
        <f>HYPERLINK(_xlfn.CONCAT("https://tablet.otzar.org/",CHAR(35),"/book/649188/p/-1/t/1/fs/0/start/0/end/0/c"),"רפאני ה'")</f>
        <v>רפאני ה'</v>
      </c>
      <c r="H3840" t="str">
        <f>_xlfn.CONCAT("https://tablet.otzar.org/",CHAR(35),"/book/649188/p/-1/t/1/fs/0/start/0/end/0/c")</f>
        <v>https://tablet.otzar.org/#/book/649188/p/-1/t/1/fs/0/start/0/end/0/c</v>
      </c>
    </row>
    <row r="3841" spans="1:8" x14ac:dyDescent="0.25">
      <c r="A3841">
        <v>650370</v>
      </c>
      <c r="B3841" t="s">
        <v>7402</v>
      </c>
      <c r="C3841" t="s">
        <v>7403</v>
      </c>
      <c r="D3841" t="s">
        <v>34</v>
      </c>
      <c r="E3841" t="s">
        <v>70</v>
      </c>
      <c r="G3841" t="str">
        <f>HYPERLINK(_xlfn.CONCAT("https://tablet.otzar.org/",CHAR(35),"/book/650370/p/-1/t/1/fs/0/start/0/end/0/c"),"רפואה למכה &lt;מהדורה חדשה&gt;")</f>
        <v>רפואה למכה &lt;מהדורה חדשה&gt;</v>
      </c>
      <c r="H3841" t="str">
        <f>_xlfn.CONCAT("https://tablet.otzar.org/",CHAR(35),"/book/650370/p/-1/t/1/fs/0/start/0/end/0/c")</f>
        <v>https://tablet.otzar.org/#/book/650370/p/-1/t/1/fs/0/start/0/end/0/c</v>
      </c>
    </row>
    <row r="3842" spans="1:8" x14ac:dyDescent="0.25">
      <c r="A3842">
        <v>649570</v>
      </c>
      <c r="B3842" t="s">
        <v>7404</v>
      </c>
      <c r="C3842" t="s">
        <v>3541</v>
      </c>
      <c r="D3842" t="s">
        <v>58</v>
      </c>
      <c r="E3842" t="s">
        <v>3861</v>
      </c>
      <c r="G3842" t="str">
        <f>HYPERLINK(_xlfn.CONCAT("https://tablet.otzar.org/",CHAR(35),"/book/649570/p/-1/t/1/fs/0/start/0/end/0/c"),"רפואות וסגולות")</f>
        <v>רפואות וסגולות</v>
      </c>
      <c r="H3842" t="str">
        <f>_xlfn.CONCAT("https://tablet.otzar.org/",CHAR(35),"/book/649570/p/-1/t/1/fs/0/start/0/end/0/c")</f>
        <v>https://tablet.otzar.org/#/book/649570/p/-1/t/1/fs/0/start/0/end/0/c</v>
      </c>
    </row>
    <row r="3843" spans="1:8" x14ac:dyDescent="0.25">
      <c r="A3843">
        <v>648444</v>
      </c>
      <c r="B3843" t="s">
        <v>7405</v>
      </c>
      <c r="C3843" t="s">
        <v>7406</v>
      </c>
      <c r="D3843" t="s">
        <v>10</v>
      </c>
      <c r="E3843" t="s">
        <v>84</v>
      </c>
      <c r="G3843" t="str">
        <f>HYPERLINK(_xlfn.CONCAT("https://tablet.otzar.org/",CHAR(35),"/book/648444/p/-1/t/1/fs/0/start/0/end/0/c"),"רצון אליהו - ביאור הגר""""א הלכות בדיקת חמץ")</f>
        <v>רצון אליהו - ביאור הגר""א הלכות בדיקת חמץ</v>
      </c>
      <c r="H3843" t="str">
        <f>_xlfn.CONCAT("https://tablet.otzar.org/",CHAR(35),"/book/648444/p/-1/t/1/fs/0/start/0/end/0/c")</f>
        <v>https://tablet.otzar.org/#/book/648444/p/-1/t/1/fs/0/start/0/end/0/c</v>
      </c>
    </row>
    <row r="3844" spans="1:8" x14ac:dyDescent="0.25">
      <c r="A3844">
        <v>641668</v>
      </c>
      <c r="B3844" t="s">
        <v>7407</v>
      </c>
      <c r="C3844" t="s">
        <v>7408</v>
      </c>
      <c r="E3844" t="s">
        <v>1919</v>
      </c>
      <c r="G3844" t="str">
        <f>HYPERLINK(_xlfn.CONCAT("https://tablet.otzar.org/",CHAR(35),"/book/641668/p/-1/t/1/fs/0/start/0/end/0/c"),"רצון ישראל - שבת, מילה, תפילין")</f>
        <v>רצון ישראל - שבת, מילה, תפילין</v>
      </c>
      <c r="H3844" t="str">
        <f>_xlfn.CONCAT("https://tablet.otzar.org/",CHAR(35),"/book/641668/p/-1/t/1/fs/0/start/0/end/0/c")</f>
        <v>https://tablet.otzar.org/#/book/641668/p/-1/t/1/fs/0/start/0/end/0/c</v>
      </c>
    </row>
    <row r="3845" spans="1:8" x14ac:dyDescent="0.25">
      <c r="A3845">
        <v>651790</v>
      </c>
      <c r="B3845" t="s">
        <v>7409</v>
      </c>
      <c r="C3845" t="s">
        <v>614</v>
      </c>
      <c r="D3845" t="s">
        <v>52</v>
      </c>
      <c r="E3845" t="s">
        <v>11</v>
      </c>
      <c r="G3845" t="str">
        <f>HYPERLINK(_xlfn.CONCAT("https://tablet.otzar.org/",CHAR(35),"/book/651790/p/-1/t/1/fs/0/start/0/end/0/c"),"רצונך חפצתי")</f>
        <v>רצונך חפצתי</v>
      </c>
      <c r="H3845" t="str">
        <f>_xlfn.CONCAT("https://tablet.otzar.org/",CHAR(35),"/book/651790/p/-1/t/1/fs/0/start/0/end/0/c")</f>
        <v>https://tablet.otzar.org/#/book/651790/p/-1/t/1/fs/0/start/0/end/0/c</v>
      </c>
    </row>
    <row r="3846" spans="1:8" x14ac:dyDescent="0.25">
      <c r="A3846">
        <v>648888</v>
      </c>
      <c r="B3846" t="s">
        <v>7410</v>
      </c>
      <c r="C3846" t="s">
        <v>7411</v>
      </c>
      <c r="D3846" t="s">
        <v>10</v>
      </c>
      <c r="E3846" t="s">
        <v>366</v>
      </c>
      <c r="G3846" t="str">
        <f>HYPERLINK(_xlfn.CONCAT("https://tablet.otzar.org/",CHAR(35),"/book/648888/p/-1/t/1/fs/0/start/0/end/0/c"),"רצח הקדוש ר' פנחס סגלוב")</f>
        <v>רצח הקדוש ר' פנחס סגלוב</v>
      </c>
      <c r="H3846" t="str">
        <f>_xlfn.CONCAT("https://tablet.otzar.org/",CHAR(35),"/book/648888/p/-1/t/1/fs/0/start/0/end/0/c")</f>
        <v>https://tablet.otzar.org/#/book/648888/p/-1/t/1/fs/0/start/0/end/0/c</v>
      </c>
    </row>
    <row r="3847" spans="1:8" x14ac:dyDescent="0.25">
      <c r="A3847">
        <v>649854</v>
      </c>
      <c r="B3847" t="s">
        <v>7412</v>
      </c>
      <c r="C3847" t="s">
        <v>7413</v>
      </c>
      <c r="E3847" t="s">
        <v>736</v>
      </c>
      <c r="G3847" t="str">
        <f>HYPERLINK(_xlfn.CONCAT("https://tablet.otzar.org/",CHAR(35),"/book/649854/p/-1/t/1/fs/0/start/0/end/0/c"),"רק חזק ואמץ")</f>
        <v>רק חזק ואמץ</v>
      </c>
      <c r="H3847" t="str">
        <f>_xlfn.CONCAT("https://tablet.otzar.org/",CHAR(35),"/book/649854/p/-1/t/1/fs/0/start/0/end/0/c")</f>
        <v>https://tablet.otzar.org/#/book/649854/p/-1/t/1/fs/0/start/0/end/0/c</v>
      </c>
    </row>
    <row r="3848" spans="1:8" x14ac:dyDescent="0.25">
      <c r="A3848">
        <v>641666</v>
      </c>
      <c r="B3848" t="s">
        <v>7414</v>
      </c>
      <c r="C3848" t="s">
        <v>7415</v>
      </c>
      <c r="D3848" t="s">
        <v>424</v>
      </c>
      <c r="E3848" t="s">
        <v>425</v>
      </c>
      <c r="G3848" t="str">
        <f>HYPERLINK(_xlfn.CONCAT("https://tablet.otzar.org/",CHAR(35),"/book/641666/p/-1/t/1/fs/0/start/0/end/0/c"),"רש""""י")</f>
        <v>רש""י</v>
      </c>
      <c r="H3848" t="str">
        <f>_xlfn.CONCAT("https://tablet.otzar.org/",CHAR(35),"/book/641666/p/-1/t/1/fs/0/start/0/end/0/c")</f>
        <v>https://tablet.otzar.org/#/book/641666/p/-1/t/1/fs/0/start/0/end/0/c</v>
      </c>
    </row>
    <row r="3849" spans="1:8" x14ac:dyDescent="0.25">
      <c r="A3849">
        <v>654993</v>
      </c>
      <c r="B3849" t="s">
        <v>7416</v>
      </c>
      <c r="C3849" t="s">
        <v>125</v>
      </c>
      <c r="D3849" t="s">
        <v>10</v>
      </c>
      <c r="E3849" t="s">
        <v>205</v>
      </c>
      <c r="G3849" t="str">
        <f>HYPERLINK(_xlfn.CONCAT("https://tablet.otzar.org/",CHAR(35),"/exKotar/654993"),"רשב""""י ממתיבתא קדישא - 2 כרכים")</f>
        <v>רשב""י ממתיבתא קדישא - 2 כרכים</v>
      </c>
      <c r="H3849" t="str">
        <f>_xlfn.CONCAT("https://tablet.otzar.org/",CHAR(35),"/exKotar/654993")</f>
        <v>https://tablet.otzar.org/#/exKotar/654993</v>
      </c>
    </row>
    <row r="3850" spans="1:8" x14ac:dyDescent="0.25">
      <c r="A3850">
        <v>655957</v>
      </c>
      <c r="B3850" t="s">
        <v>7417</v>
      </c>
      <c r="C3850" t="s">
        <v>733</v>
      </c>
      <c r="D3850" t="s">
        <v>52</v>
      </c>
      <c r="E3850" t="s">
        <v>84</v>
      </c>
      <c r="G3850" t="str">
        <f>HYPERLINK(_xlfn.CONCAT("https://tablet.otzar.org/",CHAR(35),"/book/655957/p/-1/t/1/fs/0/start/0/end/0/c"),"רשימות על מסכת בבא קמא")</f>
        <v>רשימות על מסכת בבא קמא</v>
      </c>
      <c r="H3850" t="str">
        <f>_xlfn.CONCAT("https://tablet.otzar.org/",CHAR(35),"/book/655957/p/-1/t/1/fs/0/start/0/end/0/c")</f>
        <v>https://tablet.otzar.org/#/book/655957/p/-1/t/1/fs/0/start/0/end/0/c</v>
      </c>
    </row>
    <row r="3851" spans="1:8" x14ac:dyDescent="0.25">
      <c r="A3851">
        <v>654289</v>
      </c>
      <c r="B3851" t="s">
        <v>7418</v>
      </c>
      <c r="C3851" t="s">
        <v>989</v>
      </c>
      <c r="D3851" t="s">
        <v>10</v>
      </c>
      <c r="E3851" t="s">
        <v>117</v>
      </c>
      <c r="G3851" t="str">
        <f>HYPERLINK(_xlfn.CONCAT("https://tablet.otzar.org/",CHAR(35),"/book/654289/p/-1/t/1/fs/0/start/0/end/0/c"),"רשפי אש - תורה ומועדים")</f>
        <v>רשפי אש - תורה ומועדים</v>
      </c>
      <c r="H3851" t="str">
        <f>_xlfn.CONCAT("https://tablet.otzar.org/",CHAR(35),"/book/654289/p/-1/t/1/fs/0/start/0/end/0/c")</f>
        <v>https://tablet.otzar.org/#/book/654289/p/-1/t/1/fs/0/start/0/end/0/c</v>
      </c>
    </row>
    <row r="3852" spans="1:8" x14ac:dyDescent="0.25">
      <c r="A3852">
        <v>656214</v>
      </c>
      <c r="B3852" t="s">
        <v>7419</v>
      </c>
      <c r="C3852" t="s">
        <v>7420</v>
      </c>
      <c r="D3852" t="s">
        <v>10</v>
      </c>
      <c r="E3852" t="s">
        <v>507</v>
      </c>
      <c r="G3852" t="str">
        <f>HYPERLINK(_xlfn.CONCAT("https://tablet.otzar.org/",CHAR(35),"/book/656214/p/-1/t/1/fs/0/start/0/end/0/c"),"שאגת אריה &lt;מכון כנסת&gt; - מכות")</f>
        <v>שאגת אריה &lt;מכון כנסת&gt; - מכות</v>
      </c>
      <c r="H3852" t="str">
        <f>_xlfn.CONCAT("https://tablet.otzar.org/",CHAR(35),"/book/656214/p/-1/t/1/fs/0/start/0/end/0/c")</f>
        <v>https://tablet.otzar.org/#/book/656214/p/-1/t/1/fs/0/start/0/end/0/c</v>
      </c>
    </row>
    <row r="3853" spans="1:8" x14ac:dyDescent="0.25">
      <c r="A3853">
        <v>656927</v>
      </c>
      <c r="B3853" t="s">
        <v>7421</v>
      </c>
      <c r="C3853" t="s">
        <v>1666</v>
      </c>
      <c r="D3853" t="s">
        <v>10</v>
      </c>
      <c r="E3853" t="s">
        <v>11</v>
      </c>
      <c r="G3853" t="str">
        <f>HYPERLINK(_xlfn.CONCAT("https://tablet.otzar.org/",CHAR(35),"/book/656927/p/-1/t/1/fs/0/start/0/end/0/c"),"שאגת אריה החדשות &lt;מכון משנת רבי אהרן&gt;")</f>
        <v>שאגת אריה החדשות &lt;מכון משנת רבי אהרן&gt;</v>
      </c>
      <c r="H3853" t="str">
        <f>_xlfn.CONCAT("https://tablet.otzar.org/",CHAR(35),"/book/656927/p/-1/t/1/fs/0/start/0/end/0/c")</f>
        <v>https://tablet.otzar.org/#/book/656927/p/-1/t/1/fs/0/start/0/end/0/c</v>
      </c>
    </row>
    <row r="3854" spans="1:8" x14ac:dyDescent="0.25">
      <c r="A3854">
        <v>643480</v>
      </c>
      <c r="B3854" t="s">
        <v>7422</v>
      </c>
      <c r="C3854" t="s">
        <v>7423</v>
      </c>
      <c r="D3854" t="s">
        <v>10</v>
      </c>
      <c r="E3854" t="s">
        <v>45</v>
      </c>
      <c r="G3854" t="str">
        <f>HYPERLINK(_xlfn.CONCAT("https://tablet.otzar.org/",CHAR(35),"/book/643480/p/-1/t/1/fs/0/start/0/end/0/c"),"שאגת כהן")</f>
        <v>שאגת כהן</v>
      </c>
      <c r="H3854" t="str">
        <f>_xlfn.CONCAT("https://tablet.otzar.org/",CHAR(35),"/book/643480/p/-1/t/1/fs/0/start/0/end/0/c")</f>
        <v>https://tablet.otzar.org/#/book/643480/p/-1/t/1/fs/0/start/0/end/0/c</v>
      </c>
    </row>
    <row r="3855" spans="1:8" x14ac:dyDescent="0.25">
      <c r="A3855">
        <v>647513</v>
      </c>
      <c r="B3855" t="s">
        <v>7424</v>
      </c>
      <c r="C3855" t="s">
        <v>7425</v>
      </c>
      <c r="E3855" t="s">
        <v>7039</v>
      </c>
      <c r="G3855" t="str">
        <f>HYPERLINK(_xlfn.CONCAT("https://tablet.otzar.org/",CHAR(35),"/book/647513/p/-1/t/1/fs/0/start/0/end/0/c"),"שאו מרום עיניכם")</f>
        <v>שאו מרום עיניכם</v>
      </c>
      <c r="H3855" t="str">
        <f>_xlfn.CONCAT("https://tablet.otzar.org/",CHAR(35),"/book/647513/p/-1/t/1/fs/0/start/0/end/0/c")</f>
        <v>https://tablet.otzar.org/#/book/647513/p/-1/t/1/fs/0/start/0/end/0/c</v>
      </c>
    </row>
    <row r="3856" spans="1:8" x14ac:dyDescent="0.25">
      <c r="A3856">
        <v>650583</v>
      </c>
      <c r="B3856" t="s">
        <v>7426</v>
      </c>
      <c r="C3856" t="s">
        <v>907</v>
      </c>
      <c r="D3856" t="s">
        <v>10</v>
      </c>
      <c r="E3856" t="s">
        <v>558</v>
      </c>
      <c r="G3856" t="str">
        <f>HYPERLINK(_xlfn.CONCAT("https://tablet.otzar.org/",CHAR(35),"/book/650583/p/-1/t/1/fs/0/start/0/end/0/c"),"שאול בחיר ה'")</f>
        <v>שאול בחיר ה'</v>
      </c>
      <c r="H3856" t="str">
        <f>_xlfn.CONCAT("https://tablet.otzar.org/",CHAR(35),"/book/650583/p/-1/t/1/fs/0/start/0/end/0/c")</f>
        <v>https://tablet.otzar.org/#/book/650583/p/-1/t/1/fs/0/start/0/end/0/c</v>
      </c>
    </row>
    <row r="3857" spans="1:8" x14ac:dyDescent="0.25">
      <c r="A3857">
        <v>650661</v>
      </c>
      <c r="B3857" t="s">
        <v>7427</v>
      </c>
      <c r="C3857" t="s">
        <v>7428</v>
      </c>
      <c r="D3857" t="s">
        <v>10</v>
      </c>
      <c r="E3857" t="s">
        <v>213</v>
      </c>
      <c r="G3857" t="str">
        <f>HYPERLINK(_xlfn.CONCAT("https://tablet.otzar.org/",CHAR(35),"/book/650661/p/-1/t/1/fs/0/start/0/end/0/c"),"שאי עטרה")</f>
        <v>שאי עטרה</v>
      </c>
      <c r="H3857" t="str">
        <f>_xlfn.CONCAT("https://tablet.otzar.org/",CHAR(35),"/book/650661/p/-1/t/1/fs/0/start/0/end/0/c")</f>
        <v>https://tablet.otzar.org/#/book/650661/p/-1/t/1/fs/0/start/0/end/0/c</v>
      </c>
    </row>
    <row r="3858" spans="1:8" x14ac:dyDescent="0.25">
      <c r="A3858">
        <v>648790</v>
      </c>
      <c r="B3858" t="s">
        <v>7429</v>
      </c>
      <c r="C3858" t="s">
        <v>2174</v>
      </c>
      <c r="D3858" t="s">
        <v>52</v>
      </c>
      <c r="E3858" t="s">
        <v>11</v>
      </c>
      <c r="G3858" t="str">
        <f>HYPERLINK(_xlfn.CONCAT("https://tablet.otzar.org/",CHAR(35),"/exKotar/648790"),"שאילת משה - 3 כרכים")</f>
        <v>שאילת משה - 3 כרכים</v>
      </c>
      <c r="H3858" t="str">
        <f>_xlfn.CONCAT("https://tablet.otzar.org/",CHAR(35),"/exKotar/648790")</f>
        <v>https://tablet.otzar.org/#/exKotar/648790</v>
      </c>
    </row>
    <row r="3859" spans="1:8" x14ac:dyDescent="0.25">
      <c r="A3859">
        <v>655782</v>
      </c>
      <c r="B3859" t="s">
        <v>7430</v>
      </c>
      <c r="C3859" t="s">
        <v>7431</v>
      </c>
      <c r="D3859" t="s">
        <v>1162</v>
      </c>
      <c r="E3859" t="s">
        <v>11</v>
      </c>
      <c r="G3859" t="str">
        <f>HYPERLINK(_xlfn.CONCAT("https://tablet.otzar.org/",CHAR(35),"/book/655782/p/-1/t/1/fs/0/start/0/end/0/c"),"שאל יעקב - ב")</f>
        <v>שאל יעקב - ב</v>
      </c>
      <c r="H3859" t="str">
        <f>_xlfn.CONCAT("https://tablet.otzar.org/",CHAR(35),"/book/655782/p/-1/t/1/fs/0/start/0/end/0/c")</f>
        <v>https://tablet.otzar.org/#/book/655782/p/-1/t/1/fs/0/start/0/end/0/c</v>
      </c>
    </row>
    <row r="3860" spans="1:8" x14ac:dyDescent="0.25">
      <c r="A3860">
        <v>654468</v>
      </c>
      <c r="B3860" t="s">
        <v>7432</v>
      </c>
      <c r="C3860" t="s">
        <v>1038</v>
      </c>
      <c r="D3860" t="s">
        <v>52</v>
      </c>
      <c r="E3860" t="s">
        <v>11</v>
      </c>
      <c r="G3860" t="str">
        <f>HYPERLINK(_xlfn.CONCAT("https://tablet.otzar.org/",CHAR(35),"/book/654468/p/-1/t/1/fs/0/start/0/end/0/c"),"שאלה בשם אומרו")</f>
        <v>שאלה בשם אומרו</v>
      </c>
      <c r="H3860" t="str">
        <f>_xlfn.CONCAT("https://tablet.otzar.org/",CHAR(35),"/book/654468/p/-1/t/1/fs/0/start/0/end/0/c")</f>
        <v>https://tablet.otzar.org/#/book/654468/p/-1/t/1/fs/0/start/0/end/0/c</v>
      </c>
    </row>
    <row r="3861" spans="1:8" x14ac:dyDescent="0.25">
      <c r="A3861">
        <v>649455</v>
      </c>
      <c r="B3861" t="s">
        <v>7433</v>
      </c>
      <c r="C3861" t="s">
        <v>7434</v>
      </c>
      <c r="D3861" t="s">
        <v>10</v>
      </c>
      <c r="E3861" t="s">
        <v>977</v>
      </c>
      <c r="G3861" t="str">
        <f>HYPERLINK(_xlfn.CONCAT("https://tablet.otzar.org/",CHAR(35),"/exKotar/649455"),"שאלו שלום ירושלים - 2 כרכים")</f>
        <v>שאלו שלום ירושלים - 2 כרכים</v>
      </c>
      <c r="H3861" t="str">
        <f>_xlfn.CONCAT("https://tablet.otzar.org/",CHAR(35),"/exKotar/649455")</f>
        <v>https://tablet.otzar.org/#/exKotar/649455</v>
      </c>
    </row>
    <row r="3862" spans="1:8" x14ac:dyDescent="0.25">
      <c r="A3862">
        <v>651634</v>
      </c>
      <c r="B3862" t="s">
        <v>7435</v>
      </c>
      <c r="C3862" t="s">
        <v>7436</v>
      </c>
      <c r="D3862" t="s">
        <v>609</v>
      </c>
      <c r="E3862" t="s">
        <v>817</v>
      </c>
      <c r="G3862" t="str">
        <f>HYPERLINK(_xlfn.CONCAT("https://tablet.otzar.org/",CHAR(35),"/book/651634/p/-1/t/1/fs/0/start/0/end/0/c"),"שאלות ותשובות - מסכת סוטה")</f>
        <v>שאלות ותשובות - מסכת סוטה</v>
      </c>
      <c r="H3862" t="str">
        <f>_xlfn.CONCAT("https://tablet.otzar.org/",CHAR(35),"/book/651634/p/-1/t/1/fs/0/start/0/end/0/c")</f>
        <v>https://tablet.otzar.org/#/book/651634/p/-1/t/1/fs/0/start/0/end/0/c</v>
      </c>
    </row>
    <row r="3863" spans="1:8" x14ac:dyDescent="0.25">
      <c r="A3863">
        <v>648919</v>
      </c>
      <c r="B3863" t="s">
        <v>7437</v>
      </c>
      <c r="C3863" t="s">
        <v>7438</v>
      </c>
      <c r="D3863" t="s">
        <v>10</v>
      </c>
      <c r="E3863" t="s">
        <v>670</v>
      </c>
      <c r="G3863" t="str">
        <f>HYPERLINK(_xlfn.CONCAT("https://tablet.otzar.org/",CHAR(35),"/exKotar/648919"),"שאלות ותשובות - 7 כרכים")</f>
        <v>שאלות ותשובות - 7 כרכים</v>
      </c>
      <c r="H3863" t="str">
        <f>_xlfn.CONCAT("https://tablet.otzar.org/",CHAR(35),"/exKotar/648919")</f>
        <v>https://tablet.otzar.org/#/exKotar/648919</v>
      </c>
    </row>
    <row r="3864" spans="1:8" x14ac:dyDescent="0.25">
      <c r="A3864">
        <v>649240</v>
      </c>
      <c r="B3864" t="s">
        <v>7439</v>
      </c>
      <c r="C3864" t="s">
        <v>7440</v>
      </c>
      <c r="D3864" t="s">
        <v>4850</v>
      </c>
      <c r="E3864" t="s">
        <v>84</v>
      </c>
      <c r="G3864" t="str">
        <f>HYPERLINK(_xlfn.CONCAT("https://tablet.otzar.org/",CHAR(35),"/book/649240/p/-1/t/1/fs/0/start/0/end/0/c"),"שאלות ותשובות בסוד שיח - א")</f>
        <v>שאלות ותשובות בסוד שיח - א</v>
      </c>
      <c r="H3864" t="str">
        <f>_xlfn.CONCAT("https://tablet.otzar.org/",CHAR(35),"/book/649240/p/-1/t/1/fs/0/start/0/end/0/c")</f>
        <v>https://tablet.otzar.org/#/book/649240/p/-1/t/1/fs/0/start/0/end/0/c</v>
      </c>
    </row>
    <row r="3865" spans="1:8" x14ac:dyDescent="0.25">
      <c r="A3865">
        <v>649321</v>
      </c>
      <c r="B3865" t="s">
        <v>7441</v>
      </c>
      <c r="C3865" t="s">
        <v>7442</v>
      </c>
      <c r="D3865" t="s">
        <v>10</v>
      </c>
      <c r="E3865" t="s">
        <v>11</v>
      </c>
      <c r="G3865" t="str">
        <f>HYPERLINK(_xlfn.CONCAT("https://tablet.otzar.org/",CHAR(35),"/book/649321/p/-1/t/1/fs/0/start/0/end/0/c"),"שאלות ותשובות דבר חיים - א")</f>
        <v>שאלות ותשובות דבר חיים - א</v>
      </c>
      <c r="H3865" t="str">
        <f>_xlfn.CONCAT("https://tablet.otzar.org/",CHAR(35),"/book/649321/p/-1/t/1/fs/0/start/0/end/0/c")</f>
        <v>https://tablet.otzar.org/#/book/649321/p/-1/t/1/fs/0/start/0/end/0/c</v>
      </c>
    </row>
    <row r="3866" spans="1:8" x14ac:dyDescent="0.25">
      <c r="A3866">
        <v>647257</v>
      </c>
      <c r="B3866" t="s">
        <v>7443</v>
      </c>
      <c r="C3866" t="s">
        <v>7444</v>
      </c>
      <c r="D3866" t="s">
        <v>39</v>
      </c>
      <c r="E3866" t="s">
        <v>643</v>
      </c>
      <c r="G3866" t="str">
        <f>HYPERLINK(_xlfn.CONCAT("https://tablet.otzar.org/",CHAR(35),"/book/647257/p/-1/t/1/fs/0/start/0/end/0/c"),"שאלות ותשובות הגאונים")</f>
        <v>שאלות ותשובות הגאונים</v>
      </c>
      <c r="H3866" t="str">
        <f>_xlfn.CONCAT("https://tablet.otzar.org/",CHAR(35),"/book/647257/p/-1/t/1/fs/0/start/0/end/0/c")</f>
        <v>https://tablet.otzar.org/#/book/647257/p/-1/t/1/fs/0/start/0/end/0/c</v>
      </c>
    </row>
    <row r="3867" spans="1:8" x14ac:dyDescent="0.25">
      <c r="A3867">
        <v>649157</v>
      </c>
      <c r="B3867" t="s">
        <v>7445</v>
      </c>
      <c r="C3867" t="s">
        <v>7446</v>
      </c>
      <c r="D3867" t="s">
        <v>10</v>
      </c>
      <c r="E3867" t="s">
        <v>574</v>
      </c>
      <c r="G3867" t="str">
        <f>HYPERLINK(_xlfn.CONCAT("https://tablet.otzar.org/",CHAR(35),"/book/649157/p/-1/t/1/fs/0/start/0/end/0/c"),"שאלות ותשובות הר""""י לבית הלוי &lt;מהדורת זכרון אהרן&gt;")</f>
        <v>שאלות ותשובות הר""י לבית הלוי &lt;מהדורת זכרון אהרן&gt;</v>
      </c>
      <c r="H3867" t="str">
        <f>_xlfn.CONCAT("https://tablet.otzar.org/",CHAR(35),"/book/649157/p/-1/t/1/fs/0/start/0/end/0/c")</f>
        <v>https://tablet.otzar.org/#/book/649157/p/-1/t/1/fs/0/start/0/end/0/c</v>
      </c>
    </row>
    <row r="3868" spans="1:8" x14ac:dyDescent="0.25">
      <c r="A3868">
        <v>656841</v>
      </c>
      <c r="B3868" t="s">
        <v>7447</v>
      </c>
      <c r="C3868" t="s">
        <v>7448</v>
      </c>
      <c r="D3868" t="s">
        <v>10</v>
      </c>
      <c r="E3868" t="s">
        <v>11</v>
      </c>
      <c r="G3868" t="str">
        <f>HYPERLINK(_xlfn.CONCAT("https://tablet.otzar.org/",CHAR(35),"/book/656841/p/-1/t/1/fs/0/start/0/end/0/c"),"שאלות ותשובות חידושי ופירושי רבי דוד בן שושן")</f>
        <v>שאלות ותשובות חידושי ופירושי רבי דוד בן שושן</v>
      </c>
      <c r="H3868" t="str">
        <f>_xlfn.CONCAT("https://tablet.otzar.org/",CHAR(35),"/book/656841/p/-1/t/1/fs/0/start/0/end/0/c")</f>
        <v>https://tablet.otzar.org/#/book/656841/p/-1/t/1/fs/0/start/0/end/0/c</v>
      </c>
    </row>
    <row r="3869" spans="1:8" x14ac:dyDescent="0.25">
      <c r="A3869">
        <v>654815</v>
      </c>
      <c r="B3869" t="s">
        <v>7449</v>
      </c>
      <c r="C3869" t="s">
        <v>7450</v>
      </c>
      <c r="D3869" t="s">
        <v>10</v>
      </c>
      <c r="E3869" t="s">
        <v>11</v>
      </c>
      <c r="G3869" t="str">
        <f>HYPERLINK(_xlfn.CONCAT("https://tablet.otzar.org/",CHAR(35),"/book/654815/p/-1/t/1/fs/0/start/0/end/0/c"),"שאלות ותשובות רבינו יוסף אבן ציאח")</f>
        <v>שאלות ותשובות רבינו יוסף אבן ציאח</v>
      </c>
      <c r="H3869" t="str">
        <f>_xlfn.CONCAT("https://tablet.otzar.org/",CHAR(35),"/book/654815/p/-1/t/1/fs/0/start/0/end/0/c")</f>
        <v>https://tablet.otzar.org/#/book/654815/p/-1/t/1/fs/0/start/0/end/0/c</v>
      </c>
    </row>
    <row r="3870" spans="1:8" x14ac:dyDescent="0.25">
      <c r="A3870">
        <v>654225</v>
      </c>
      <c r="B3870" t="s">
        <v>7451</v>
      </c>
      <c r="C3870" t="s">
        <v>7452</v>
      </c>
      <c r="D3870" t="s">
        <v>855</v>
      </c>
      <c r="E3870" t="s">
        <v>11</v>
      </c>
      <c r="G3870" t="str">
        <f>HYPERLINK(_xlfn.CONCAT("https://tablet.otzar.org/",CHAR(35),"/book/654225/p/-1/t/1/fs/0/start/0/end/0/c"),"שאלות ותשובת בחושן משפט - ב")</f>
        <v>שאלות ותשובת בחושן משפט - ב</v>
      </c>
      <c r="H3870" t="str">
        <f>_xlfn.CONCAT("https://tablet.otzar.org/",CHAR(35),"/book/654225/p/-1/t/1/fs/0/start/0/end/0/c")</f>
        <v>https://tablet.otzar.org/#/book/654225/p/-1/t/1/fs/0/start/0/end/0/c</v>
      </c>
    </row>
    <row r="3871" spans="1:8" x14ac:dyDescent="0.25">
      <c r="A3871">
        <v>653546</v>
      </c>
      <c r="B3871" t="s">
        <v>7453</v>
      </c>
      <c r="C3871" t="s">
        <v>7454</v>
      </c>
      <c r="D3871" t="s">
        <v>340</v>
      </c>
      <c r="E3871" t="s">
        <v>11</v>
      </c>
      <c r="G3871" t="str">
        <f>HYPERLINK(_xlfn.CONCAT("https://tablet.otzar.org/",CHAR(35),"/book/653546/p/-1/t/1/fs/0/start/0/end/0/c"),"שאלת המטוטלת - ב")</f>
        <v>שאלת המטוטלת - ב</v>
      </c>
      <c r="H3871" t="str">
        <f>_xlfn.CONCAT("https://tablet.otzar.org/",CHAR(35),"/book/653546/p/-1/t/1/fs/0/start/0/end/0/c")</f>
        <v>https://tablet.otzar.org/#/book/653546/p/-1/t/1/fs/0/start/0/end/0/c</v>
      </c>
    </row>
    <row r="3872" spans="1:8" x14ac:dyDescent="0.25">
      <c r="A3872">
        <v>647936</v>
      </c>
      <c r="B3872" t="s">
        <v>7455</v>
      </c>
      <c r="C3872" t="s">
        <v>7456</v>
      </c>
      <c r="D3872" t="s">
        <v>34</v>
      </c>
      <c r="E3872" t="s">
        <v>84</v>
      </c>
      <c r="G3872" t="str">
        <f>HYPERLINK(_xlfn.CONCAT("https://tablet.otzar.org/",CHAR(35),"/book/647936/p/-1/t/1/fs/0/start/0/end/0/c"),"שאלת יעקב")</f>
        <v>שאלת יעקב</v>
      </c>
      <c r="H3872" t="str">
        <f>_xlfn.CONCAT("https://tablet.otzar.org/",CHAR(35),"/book/647936/p/-1/t/1/fs/0/start/0/end/0/c")</f>
        <v>https://tablet.otzar.org/#/book/647936/p/-1/t/1/fs/0/start/0/end/0/c</v>
      </c>
    </row>
    <row r="3873" spans="1:8" x14ac:dyDescent="0.25">
      <c r="A3873">
        <v>651013</v>
      </c>
      <c r="B3873" t="s">
        <v>7457</v>
      </c>
      <c r="C3873" t="s">
        <v>7458</v>
      </c>
      <c r="D3873" t="s">
        <v>34</v>
      </c>
      <c r="E3873" t="s">
        <v>35</v>
      </c>
      <c r="G3873" t="str">
        <f>HYPERLINK(_xlfn.CONCAT("https://tablet.otzar.org/",CHAR(35),"/book/651013/p/-1/t/1/fs/0/start/0/end/0/c"),"שאלתי מעמו - מועדים")</f>
        <v>שאלתי מעמו - מועדים</v>
      </c>
      <c r="H3873" t="str">
        <f>_xlfn.CONCAT("https://tablet.otzar.org/",CHAR(35),"/book/651013/p/-1/t/1/fs/0/start/0/end/0/c")</f>
        <v>https://tablet.otzar.org/#/book/651013/p/-1/t/1/fs/0/start/0/end/0/c</v>
      </c>
    </row>
    <row r="3874" spans="1:8" x14ac:dyDescent="0.25">
      <c r="A3874">
        <v>653980</v>
      </c>
      <c r="B3874" t="s">
        <v>7459</v>
      </c>
      <c r="C3874" t="s">
        <v>7460</v>
      </c>
      <c r="E3874" t="s">
        <v>1189</v>
      </c>
      <c r="G3874" t="str">
        <f>HYPERLINK(_xlfn.CONCAT("https://tablet.otzar.org/",CHAR(35),"/book/653980/p/-1/t/1/fs/0/start/0/end/0/c"),"שארית יוסף - א, ימי יוסף ב")</f>
        <v>שארית יוסף - א, ימי יוסף ב</v>
      </c>
      <c r="H3874" t="str">
        <f>_xlfn.CONCAT("https://tablet.otzar.org/",CHAR(35),"/book/653980/p/-1/t/1/fs/0/start/0/end/0/c")</f>
        <v>https://tablet.otzar.org/#/book/653980/p/-1/t/1/fs/0/start/0/end/0/c</v>
      </c>
    </row>
    <row r="3875" spans="1:8" x14ac:dyDescent="0.25">
      <c r="A3875">
        <v>651840</v>
      </c>
      <c r="B3875" t="s">
        <v>7461</v>
      </c>
      <c r="C3875" t="s">
        <v>7462</v>
      </c>
      <c r="D3875" t="s">
        <v>10</v>
      </c>
      <c r="E3875" t="s">
        <v>146</v>
      </c>
      <c r="G3875" t="str">
        <f>HYPERLINK(_xlfn.CONCAT("https://tablet.otzar.org/",CHAR(35),"/book/651840/p/-1/t/1/fs/0/start/0/end/0/c"),"שארית יוסף וישראל")</f>
        <v>שארית יוסף וישראל</v>
      </c>
      <c r="H3875" t="str">
        <f>_xlfn.CONCAT("https://tablet.otzar.org/",CHAR(35),"/book/651840/p/-1/t/1/fs/0/start/0/end/0/c")</f>
        <v>https://tablet.otzar.org/#/book/651840/p/-1/t/1/fs/0/start/0/end/0/c</v>
      </c>
    </row>
    <row r="3876" spans="1:8" x14ac:dyDescent="0.25">
      <c r="A3876">
        <v>648337</v>
      </c>
      <c r="B3876" t="s">
        <v>7463</v>
      </c>
      <c r="C3876" t="s">
        <v>7464</v>
      </c>
      <c r="D3876" t="s">
        <v>10</v>
      </c>
      <c r="E3876" t="s">
        <v>804</v>
      </c>
      <c r="G3876" t="str">
        <f>HYPERLINK(_xlfn.CONCAT("https://tablet.otzar.org/",CHAR(35),"/book/648337/p/-1/t/1/fs/0/start/0/end/0/c"),"שארית יעקב")</f>
        <v>שארית יעקב</v>
      </c>
      <c r="H3876" t="str">
        <f>_xlfn.CONCAT("https://tablet.otzar.org/",CHAR(35),"/book/648337/p/-1/t/1/fs/0/start/0/end/0/c")</f>
        <v>https://tablet.otzar.org/#/book/648337/p/-1/t/1/fs/0/start/0/end/0/c</v>
      </c>
    </row>
    <row r="3877" spans="1:8" x14ac:dyDescent="0.25">
      <c r="A3877">
        <v>654369</v>
      </c>
      <c r="B3877" t="s">
        <v>7465</v>
      </c>
      <c r="C3877" t="s">
        <v>7466</v>
      </c>
      <c r="E3877" t="s">
        <v>84</v>
      </c>
      <c r="G3877" t="str">
        <f>HYPERLINK(_xlfn.CONCAT("https://tablet.otzar.org/",CHAR(35),"/book/654369/p/-1/t/1/fs/0/start/0/end/0/c"),"שארית לחיים")</f>
        <v>שארית לחיים</v>
      </c>
      <c r="H3877" t="str">
        <f>_xlfn.CONCAT("https://tablet.otzar.org/",CHAR(35),"/book/654369/p/-1/t/1/fs/0/start/0/end/0/c")</f>
        <v>https://tablet.otzar.org/#/book/654369/p/-1/t/1/fs/0/start/0/end/0/c</v>
      </c>
    </row>
    <row r="3878" spans="1:8" x14ac:dyDescent="0.25">
      <c r="A3878">
        <v>649772</v>
      </c>
      <c r="B3878" t="s">
        <v>7467</v>
      </c>
      <c r="C3878" t="s">
        <v>7468</v>
      </c>
      <c r="D3878" t="s">
        <v>7469</v>
      </c>
      <c r="E3878" t="s">
        <v>7469</v>
      </c>
      <c r="G3878" t="str">
        <f>HYPERLINK(_xlfn.CONCAT("https://tablet.otzar.org/",CHAR(35),"/exKotar/649772"),"שארית מנחם - 2 כרכים")</f>
        <v>שארית מנחם - 2 כרכים</v>
      </c>
      <c r="H3878" t="str">
        <f>_xlfn.CONCAT("https://tablet.otzar.org/",CHAR(35),"/exKotar/649772")</f>
        <v>https://tablet.otzar.org/#/exKotar/649772</v>
      </c>
    </row>
    <row r="3879" spans="1:8" x14ac:dyDescent="0.25">
      <c r="A3879">
        <v>654936</v>
      </c>
      <c r="B3879" t="s">
        <v>7470</v>
      </c>
      <c r="C3879" t="s">
        <v>79</v>
      </c>
      <c r="D3879" t="s">
        <v>10</v>
      </c>
      <c r="E3879" t="s">
        <v>399</v>
      </c>
      <c r="G3879" t="str">
        <f>HYPERLINK(_xlfn.CONCAT("https://tablet.otzar.org/",CHAR(35),"/book/654936/p/-1/t/1/fs/0/start/0/end/0/c"),"שב שמעתתא - שמועות רבותינו")</f>
        <v>שב שמעתתא - שמועות רבותינו</v>
      </c>
      <c r="H3879" t="str">
        <f>_xlfn.CONCAT("https://tablet.otzar.org/",CHAR(35),"/book/654936/p/-1/t/1/fs/0/start/0/end/0/c")</f>
        <v>https://tablet.otzar.org/#/book/654936/p/-1/t/1/fs/0/start/0/end/0/c</v>
      </c>
    </row>
    <row r="3880" spans="1:8" x14ac:dyDescent="0.25">
      <c r="A3880">
        <v>647387</v>
      </c>
      <c r="B3880" t="s">
        <v>7471</v>
      </c>
      <c r="C3880" t="s">
        <v>7471</v>
      </c>
      <c r="D3880" t="s">
        <v>7472</v>
      </c>
      <c r="E3880" t="s">
        <v>70</v>
      </c>
      <c r="G3880" t="str">
        <f>HYPERLINK(_xlfn.CONCAT("https://tablet.otzar.org/",CHAR(35),"/book/647387/p/-1/t/1/fs/0/start/0/end/0/c"),"שבועות")</f>
        <v>שבועות</v>
      </c>
      <c r="H3880" t="str">
        <f>_xlfn.CONCAT("https://tablet.otzar.org/",CHAR(35),"/book/647387/p/-1/t/1/fs/0/start/0/end/0/c")</f>
        <v>https://tablet.otzar.org/#/book/647387/p/-1/t/1/fs/0/start/0/end/0/c</v>
      </c>
    </row>
    <row r="3881" spans="1:8" x14ac:dyDescent="0.25">
      <c r="A3881">
        <v>656837</v>
      </c>
      <c r="B3881" t="s">
        <v>7473</v>
      </c>
      <c r="C3881" t="s">
        <v>7474</v>
      </c>
      <c r="D3881" t="s">
        <v>10</v>
      </c>
      <c r="E3881" t="s">
        <v>11</v>
      </c>
      <c r="G3881" t="str">
        <f>HYPERLINK(_xlfn.CONCAT("https://tablet.otzar.org/",CHAR(35),"/exKotar/656837"),"שבות יעקב &lt;מהדורת זכרון אהרן&gt; - 3 כרכים")</f>
        <v>שבות יעקב &lt;מהדורת זכרון אהרן&gt; - 3 כרכים</v>
      </c>
      <c r="H3881" t="str">
        <f>_xlfn.CONCAT("https://tablet.otzar.org/",CHAR(35),"/exKotar/656837")</f>
        <v>https://tablet.otzar.org/#/exKotar/656837</v>
      </c>
    </row>
    <row r="3882" spans="1:8" x14ac:dyDescent="0.25">
      <c r="A3882">
        <v>648208</v>
      </c>
      <c r="B3882" t="s">
        <v>7475</v>
      </c>
      <c r="C3882" t="s">
        <v>7476</v>
      </c>
      <c r="D3882" t="s">
        <v>10</v>
      </c>
      <c r="E3882" t="s">
        <v>690</v>
      </c>
      <c r="G3882" t="str">
        <f>HYPERLINK(_xlfn.CONCAT("https://tablet.otzar.org/",CHAR(35),"/book/648208/p/-1/t/1/fs/0/start/0/end/0/c"),"שבחה של ירושלים")</f>
        <v>שבחה של ירושלים</v>
      </c>
      <c r="H3882" t="str">
        <f>_xlfn.CONCAT("https://tablet.otzar.org/",CHAR(35),"/book/648208/p/-1/t/1/fs/0/start/0/end/0/c")</f>
        <v>https://tablet.otzar.org/#/book/648208/p/-1/t/1/fs/0/start/0/end/0/c</v>
      </c>
    </row>
    <row r="3883" spans="1:8" x14ac:dyDescent="0.25">
      <c r="A3883">
        <v>655179</v>
      </c>
      <c r="B3883" t="s">
        <v>7477</v>
      </c>
      <c r="C3883" t="s">
        <v>7478</v>
      </c>
      <c r="E3883" t="s">
        <v>11</v>
      </c>
      <c r="G3883" t="str">
        <f>HYPERLINK(_xlfn.CONCAT("https://tablet.otzar.org/",CHAR(35),"/book/655179/p/-1/t/1/fs/0/start/0/end/0/c"),"שבחו הדורים")</f>
        <v>שבחו הדורים</v>
      </c>
      <c r="H3883" t="str">
        <f>_xlfn.CONCAT("https://tablet.otzar.org/",CHAR(35),"/book/655179/p/-1/t/1/fs/0/start/0/end/0/c")</f>
        <v>https://tablet.otzar.org/#/book/655179/p/-1/t/1/fs/0/start/0/end/0/c</v>
      </c>
    </row>
    <row r="3884" spans="1:8" x14ac:dyDescent="0.25">
      <c r="A3884">
        <v>656046</v>
      </c>
      <c r="B3884" t="s">
        <v>7479</v>
      </c>
      <c r="C3884" t="s">
        <v>2709</v>
      </c>
      <c r="D3884" t="s">
        <v>10</v>
      </c>
      <c r="E3884" t="s">
        <v>29</v>
      </c>
      <c r="G3884" t="str">
        <f>HYPERLINK(_xlfn.CONCAT("https://tablet.otzar.org/",CHAR(35),"/book/656046/p/-1/t/1/fs/0/start/0/end/0/c"),"שבחי ארץ החיים")</f>
        <v>שבחי ארץ החיים</v>
      </c>
      <c r="H3884" t="str">
        <f>_xlfn.CONCAT("https://tablet.otzar.org/",CHAR(35),"/book/656046/p/-1/t/1/fs/0/start/0/end/0/c")</f>
        <v>https://tablet.otzar.org/#/book/656046/p/-1/t/1/fs/0/start/0/end/0/c</v>
      </c>
    </row>
    <row r="3885" spans="1:8" x14ac:dyDescent="0.25">
      <c r="A3885">
        <v>649546</v>
      </c>
      <c r="B3885" t="s">
        <v>7480</v>
      </c>
      <c r="C3885" t="s">
        <v>6496</v>
      </c>
      <c r="D3885" t="s">
        <v>58</v>
      </c>
      <c r="E3885" t="s">
        <v>4213</v>
      </c>
      <c r="G3885" t="str">
        <f>HYPERLINK(_xlfn.CONCAT("https://tablet.otzar.org/",CHAR(35),"/book/649546/p/-1/t/1/fs/0/start/0/end/0/c"),"שבחי ארץ הקדושה")</f>
        <v>שבחי ארץ הקדושה</v>
      </c>
      <c r="H3885" t="str">
        <f>_xlfn.CONCAT("https://tablet.otzar.org/",CHAR(35),"/book/649546/p/-1/t/1/fs/0/start/0/end/0/c")</f>
        <v>https://tablet.otzar.org/#/book/649546/p/-1/t/1/fs/0/start/0/end/0/c</v>
      </c>
    </row>
    <row r="3886" spans="1:8" x14ac:dyDescent="0.25">
      <c r="A3886">
        <v>649536</v>
      </c>
      <c r="B3886" t="s">
        <v>7481</v>
      </c>
      <c r="C3886" t="s">
        <v>7482</v>
      </c>
      <c r="D3886" t="s">
        <v>39</v>
      </c>
      <c r="E3886" t="s">
        <v>4390</v>
      </c>
      <c r="G3886" t="str">
        <f>HYPERLINK(_xlfn.CONCAT("https://tablet.otzar.org/",CHAR(35),"/book/649536/p/-1/t/1/fs/0/start/0/end/0/c"),"שבחי האר""""י")</f>
        <v>שבחי האר""י</v>
      </c>
      <c r="H3886" t="str">
        <f>_xlfn.CONCAT("https://tablet.otzar.org/",CHAR(35),"/book/649536/p/-1/t/1/fs/0/start/0/end/0/c")</f>
        <v>https://tablet.otzar.org/#/book/649536/p/-1/t/1/fs/0/start/0/end/0/c</v>
      </c>
    </row>
    <row r="3887" spans="1:8" x14ac:dyDescent="0.25">
      <c r="A3887">
        <v>648887</v>
      </c>
      <c r="B3887" t="s">
        <v>7483</v>
      </c>
      <c r="C3887" t="s">
        <v>7484</v>
      </c>
      <c r="D3887" t="s">
        <v>7485</v>
      </c>
      <c r="E3887" t="s">
        <v>7486</v>
      </c>
      <c r="G3887" t="str">
        <f>HYPERLINK(_xlfn.CONCAT("https://tablet.otzar.org/",CHAR(35),"/book/648887/p/-1/t/1/fs/0/start/0/end/0/c"),"שבחי הבעש""""ט")</f>
        <v>שבחי הבעש""ט</v>
      </c>
      <c r="H3887" t="str">
        <f>_xlfn.CONCAT("https://tablet.otzar.org/",CHAR(35),"/book/648887/p/-1/t/1/fs/0/start/0/end/0/c")</f>
        <v>https://tablet.otzar.org/#/book/648887/p/-1/t/1/fs/0/start/0/end/0/c</v>
      </c>
    </row>
    <row r="3888" spans="1:8" x14ac:dyDescent="0.25">
      <c r="A3888">
        <v>649466</v>
      </c>
      <c r="B3888" t="s">
        <v>7487</v>
      </c>
      <c r="C3888" t="s">
        <v>7488</v>
      </c>
      <c r="D3888" t="s">
        <v>866</v>
      </c>
      <c r="E3888" t="s">
        <v>7489</v>
      </c>
      <c r="G3888" t="str">
        <f>HYPERLINK(_xlfn.CONCAT("https://tablet.otzar.org/",CHAR(35),"/book/649466/p/-1/t/1/fs/0/start/0/end/0/c"),"שבחי ירושלים &lt;דפוס ראשון&gt;")</f>
        <v>שבחי ירושלים &lt;דפוס ראשון&gt;</v>
      </c>
      <c r="H3888" t="str">
        <f>_xlfn.CONCAT("https://tablet.otzar.org/",CHAR(35),"/book/649466/p/-1/t/1/fs/0/start/0/end/0/c")</f>
        <v>https://tablet.otzar.org/#/book/649466/p/-1/t/1/fs/0/start/0/end/0/c</v>
      </c>
    </row>
    <row r="3889" spans="1:8" x14ac:dyDescent="0.25">
      <c r="A3889">
        <v>649467</v>
      </c>
      <c r="B3889" t="s">
        <v>7490</v>
      </c>
      <c r="C3889" t="s">
        <v>7491</v>
      </c>
      <c r="D3889" t="s">
        <v>7492</v>
      </c>
      <c r="E3889" t="s">
        <v>6159</v>
      </c>
      <c r="G3889" t="str">
        <f>HYPERLINK(_xlfn.CONCAT("https://tablet.otzar.org/",CHAR(35),"/book/649467/p/-1/t/1/fs/0/start/0/end/0/c"),"שבחי ירושלים")</f>
        <v>שבחי ירושלים</v>
      </c>
      <c r="H3889" t="str">
        <f>_xlfn.CONCAT("https://tablet.otzar.org/",CHAR(35),"/book/649467/p/-1/t/1/fs/0/start/0/end/0/c")</f>
        <v>https://tablet.otzar.org/#/book/649467/p/-1/t/1/fs/0/start/0/end/0/c</v>
      </c>
    </row>
    <row r="3890" spans="1:8" x14ac:dyDescent="0.25">
      <c r="A3890">
        <v>649452</v>
      </c>
      <c r="B3890" t="s">
        <v>7490</v>
      </c>
      <c r="C3890" t="s">
        <v>7488</v>
      </c>
      <c r="D3890" t="s">
        <v>7493</v>
      </c>
      <c r="E3890" t="s">
        <v>7494</v>
      </c>
      <c r="G3890" t="str">
        <f>HYPERLINK(_xlfn.CONCAT("https://tablet.otzar.org/",CHAR(35),"/book/649452/p/-1/t/1/fs/0/start/0/end/0/c"),"שבחי ירושלים")</f>
        <v>שבחי ירושלים</v>
      </c>
      <c r="H3890" t="str">
        <f>_xlfn.CONCAT("https://tablet.otzar.org/",CHAR(35),"/book/649452/p/-1/t/1/fs/0/start/0/end/0/c")</f>
        <v>https://tablet.otzar.org/#/book/649452/p/-1/t/1/fs/0/start/0/end/0/c</v>
      </c>
    </row>
    <row r="3891" spans="1:8" x14ac:dyDescent="0.25">
      <c r="A3891">
        <v>655452</v>
      </c>
      <c r="B3891" t="s">
        <v>7495</v>
      </c>
      <c r="C3891" t="s">
        <v>7496</v>
      </c>
      <c r="D3891" t="s">
        <v>10</v>
      </c>
      <c r="E3891" t="s">
        <v>312</v>
      </c>
      <c r="G3891" t="str">
        <f>HYPERLINK(_xlfn.CONCAT("https://tablet.otzar.org/",CHAR(35),"/book/655452/p/-1/t/1/fs/0/start/0/end/0/c"),"שבחי כהן כתר תורה - מהדורה חדשה")</f>
        <v>שבחי כהן כתר תורה - מהדורה חדשה</v>
      </c>
      <c r="H3891" t="str">
        <f>_xlfn.CONCAT("https://tablet.otzar.org/",CHAR(35),"/book/655452/p/-1/t/1/fs/0/start/0/end/0/c")</f>
        <v>https://tablet.otzar.org/#/book/655452/p/-1/t/1/fs/0/start/0/end/0/c</v>
      </c>
    </row>
    <row r="3892" spans="1:8" x14ac:dyDescent="0.25">
      <c r="A3892">
        <v>653295</v>
      </c>
      <c r="B3892" t="s">
        <v>7497</v>
      </c>
      <c r="C3892" t="s">
        <v>7498</v>
      </c>
      <c r="D3892" t="s">
        <v>10</v>
      </c>
      <c r="E3892" t="s">
        <v>55</v>
      </c>
      <c r="G3892" t="str">
        <f>HYPERLINK(_xlfn.CONCAT("https://tablet.otzar.org/",CHAR(35),"/book/653295/p/-1/t/1/fs/0/start/0/end/0/c"),"שבחי קול הנבואה")</f>
        <v>שבחי קול הנבואה</v>
      </c>
      <c r="H3892" t="str">
        <f>_xlfn.CONCAT("https://tablet.otzar.org/",CHAR(35),"/book/653295/p/-1/t/1/fs/0/start/0/end/0/c")</f>
        <v>https://tablet.otzar.org/#/book/653295/p/-1/t/1/fs/0/start/0/end/0/c</v>
      </c>
    </row>
    <row r="3893" spans="1:8" x14ac:dyDescent="0.25">
      <c r="A3893">
        <v>648009</v>
      </c>
      <c r="B3893" t="s">
        <v>7499</v>
      </c>
      <c r="C3893" t="s">
        <v>2106</v>
      </c>
      <c r="D3893" t="s">
        <v>7500</v>
      </c>
      <c r="E3893" t="s">
        <v>5773</v>
      </c>
      <c r="G3893" t="str">
        <f>HYPERLINK(_xlfn.CONCAT("https://tablet.otzar.org/",CHAR(35),"/book/648009/p/-1/t/1/fs/0/start/0/end/0/c"),"שבט מוסר")</f>
        <v>שבט מוסר</v>
      </c>
      <c r="H3893" t="str">
        <f>_xlfn.CONCAT("https://tablet.otzar.org/",CHAR(35),"/book/648009/p/-1/t/1/fs/0/start/0/end/0/c")</f>
        <v>https://tablet.otzar.org/#/book/648009/p/-1/t/1/fs/0/start/0/end/0/c</v>
      </c>
    </row>
    <row r="3894" spans="1:8" x14ac:dyDescent="0.25">
      <c r="A3894">
        <v>647794</v>
      </c>
      <c r="B3894" t="s">
        <v>7501</v>
      </c>
      <c r="C3894" t="s">
        <v>2476</v>
      </c>
      <c r="D3894" t="s">
        <v>212</v>
      </c>
      <c r="E3894" t="s">
        <v>35</v>
      </c>
      <c r="G3894" t="str">
        <f>HYPERLINK(_xlfn.CONCAT("https://tablet.otzar.org/",CHAR(35),"/book/647794/p/-1/t/1/fs/0/start/0/end/0/c"),"שביב אור - בראשית")</f>
        <v>שביב אור - בראשית</v>
      </c>
      <c r="H3894" t="str">
        <f>_xlfn.CONCAT("https://tablet.otzar.org/",CHAR(35),"/book/647794/p/-1/t/1/fs/0/start/0/end/0/c")</f>
        <v>https://tablet.otzar.org/#/book/647794/p/-1/t/1/fs/0/start/0/end/0/c</v>
      </c>
    </row>
    <row r="3895" spans="1:8" x14ac:dyDescent="0.25">
      <c r="A3895">
        <v>654368</v>
      </c>
      <c r="B3895" t="s">
        <v>7502</v>
      </c>
      <c r="C3895" t="s">
        <v>7503</v>
      </c>
      <c r="E3895" t="s">
        <v>11</v>
      </c>
      <c r="G3895" t="str">
        <f>HYPERLINK(_xlfn.CONCAT("https://tablet.otzar.org/",CHAR(35),"/book/654368/p/-1/t/1/fs/0/start/0/end/0/c"),"שביבים מחיי הרבי והרבנית בצרפת")</f>
        <v>שביבים מחיי הרבי והרבנית בצרפת</v>
      </c>
      <c r="H3895" t="str">
        <f>_xlfn.CONCAT("https://tablet.otzar.org/",CHAR(35),"/book/654368/p/-1/t/1/fs/0/start/0/end/0/c")</f>
        <v>https://tablet.otzar.org/#/book/654368/p/-1/t/1/fs/0/start/0/end/0/c</v>
      </c>
    </row>
    <row r="3896" spans="1:8" x14ac:dyDescent="0.25">
      <c r="A3896">
        <v>649243</v>
      </c>
      <c r="B3896" t="s">
        <v>7504</v>
      </c>
      <c r="C3896" t="s">
        <v>7505</v>
      </c>
      <c r="D3896" t="s">
        <v>7506</v>
      </c>
      <c r="E3896" t="s">
        <v>11</v>
      </c>
      <c r="G3896" t="str">
        <f>HYPERLINK(_xlfn.CONCAT("https://tablet.otzar.org/",CHAR(35),"/exKotar/649243"),"שביל הלכה - 3 כרכים")</f>
        <v>שביל הלכה - 3 כרכים</v>
      </c>
      <c r="H3896" t="str">
        <f>_xlfn.CONCAT("https://tablet.otzar.org/",CHAR(35),"/exKotar/649243")</f>
        <v>https://tablet.otzar.org/#/exKotar/649243</v>
      </c>
    </row>
    <row r="3897" spans="1:8" x14ac:dyDescent="0.25">
      <c r="A3897">
        <v>649449</v>
      </c>
      <c r="B3897" t="s">
        <v>7507</v>
      </c>
      <c r="C3897" t="s">
        <v>7508</v>
      </c>
      <c r="D3897" t="s">
        <v>58</v>
      </c>
      <c r="E3897" t="s">
        <v>5542</v>
      </c>
      <c r="G3897" t="str">
        <f>HYPERLINK(_xlfn.CONCAT("https://tablet.otzar.org/",CHAR(35),"/book/649449/p/-1/t/1/fs/0/start/0/end/0/c"),"שבילי דרקיע")</f>
        <v>שבילי דרקיע</v>
      </c>
      <c r="H3897" t="str">
        <f>_xlfn.CONCAT("https://tablet.otzar.org/",CHAR(35),"/book/649449/p/-1/t/1/fs/0/start/0/end/0/c")</f>
        <v>https://tablet.otzar.org/#/book/649449/p/-1/t/1/fs/0/start/0/end/0/c</v>
      </c>
    </row>
    <row r="3898" spans="1:8" x14ac:dyDescent="0.25">
      <c r="A3898">
        <v>650023</v>
      </c>
      <c r="B3898" t="s">
        <v>7509</v>
      </c>
      <c r="C3898" t="s">
        <v>7510</v>
      </c>
      <c r="D3898" t="s">
        <v>7511</v>
      </c>
      <c r="E3898" t="s">
        <v>84</v>
      </c>
      <c r="G3898" t="str">
        <f>HYPERLINK(_xlfn.CONCAT("https://tablet.otzar.org/",CHAR(35),"/exKotar/650023"),"שבילין - 2 כרכים")</f>
        <v>שבילין - 2 כרכים</v>
      </c>
      <c r="H3898" t="str">
        <f>_xlfn.CONCAT("https://tablet.otzar.org/",CHAR(35),"/exKotar/650023")</f>
        <v>https://tablet.otzar.org/#/exKotar/650023</v>
      </c>
    </row>
    <row r="3899" spans="1:8" x14ac:dyDescent="0.25">
      <c r="A3899">
        <v>656057</v>
      </c>
      <c r="B3899" t="s">
        <v>7512</v>
      </c>
      <c r="C3899" t="s">
        <v>614</v>
      </c>
      <c r="D3899" t="s">
        <v>193</v>
      </c>
      <c r="E3899" t="s">
        <v>29</v>
      </c>
      <c r="G3899" t="str">
        <f>HYPERLINK(_xlfn.CONCAT("https://tablet.otzar.org/",CHAR(35),"/book/656057/p/-1/t/1/fs/0/start/0/end/0/c"),"שביעין חביבין")</f>
        <v>שביעין חביבין</v>
      </c>
      <c r="H3899" t="str">
        <f>_xlfn.CONCAT("https://tablet.otzar.org/",CHAR(35),"/book/656057/p/-1/t/1/fs/0/start/0/end/0/c")</f>
        <v>https://tablet.otzar.org/#/book/656057/p/-1/t/1/fs/0/start/0/end/0/c</v>
      </c>
    </row>
    <row r="3900" spans="1:8" x14ac:dyDescent="0.25">
      <c r="A3900">
        <v>651303</v>
      </c>
      <c r="B3900" t="s">
        <v>7513</v>
      </c>
      <c r="C3900" t="s">
        <v>7514</v>
      </c>
      <c r="D3900" t="s">
        <v>52</v>
      </c>
      <c r="E3900" t="s">
        <v>70</v>
      </c>
      <c r="G3900" t="str">
        <f>HYPERLINK(_xlfn.CONCAT("https://tablet.otzar.org/",CHAR(35),"/book/651303/p/-1/t/1/fs/0/start/0/end/0/c"),"שביעית ושמינית למעשה")</f>
        <v>שביעית ושמינית למעשה</v>
      </c>
      <c r="H3900" t="str">
        <f>_xlfn.CONCAT("https://tablet.otzar.org/",CHAR(35),"/book/651303/p/-1/t/1/fs/0/start/0/end/0/c")</f>
        <v>https://tablet.otzar.org/#/book/651303/p/-1/t/1/fs/0/start/0/end/0/c</v>
      </c>
    </row>
    <row r="3901" spans="1:8" x14ac:dyDescent="0.25">
      <c r="A3901">
        <v>650045</v>
      </c>
      <c r="B3901" t="s">
        <v>7515</v>
      </c>
      <c r="C3901" t="s">
        <v>4737</v>
      </c>
      <c r="E3901" t="s">
        <v>817</v>
      </c>
      <c r="G3901" t="str">
        <f>HYPERLINK(_xlfn.CONCAT("https://tablet.otzar.org/",CHAR(35),"/book/650045/p/-1/t/1/fs/0/start/0/end/0/c"),"שביתת יום טוב")</f>
        <v>שביתת יום טוב</v>
      </c>
      <c r="H3901" t="str">
        <f>_xlfn.CONCAT("https://tablet.otzar.org/",CHAR(35),"/book/650045/p/-1/t/1/fs/0/start/0/end/0/c")</f>
        <v>https://tablet.otzar.org/#/book/650045/p/-1/t/1/fs/0/start/0/end/0/c</v>
      </c>
    </row>
    <row r="3902" spans="1:8" x14ac:dyDescent="0.25">
      <c r="A3902">
        <v>650242</v>
      </c>
      <c r="B3902" t="s">
        <v>7516</v>
      </c>
      <c r="C3902" t="s">
        <v>7517</v>
      </c>
      <c r="D3902" t="s">
        <v>10</v>
      </c>
      <c r="E3902" t="s">
        <v>11</v>
      </c>
      <c r="G3902" t="str">
        <f>HYPERLINK(_xlfn.CONCAT("https://tablet.otzar.org/",CHAR(35),"/book/650242/p/-1/t/1/fs/0/start/0/end/0/c"),"שבע ברכות למעשה")</f>
        <v>שבע ברכות למעשה</v>
      </c>
      <c r="H3902" t="str">
        <f>_xlfn.CONCAT("https://tablet.otzar.org/",CHAR(35),"/book/650242/p/-1/t/1/fs/0/start/0/end/0/c")</f>
        <v>https://tablet.otzar.org/#/book/650242/p/-1/t/1/fs/0/start/0/end/0/c</v>
      </c>
    </row>
    <row r="3903" spans="1:8" x14ac:dyDescent="0.25">
      <c r="A3903">
        <v>655070</v>
      </c>
      <c r="B3903" t="s">
        <v>7518</v>
      </c>
      <c r="C3903" t="s">
        <v>614</v>
      </c>
      <c r="D3903" t="s">
        <v>10</v>
      </c>
      <c r="E3903" t="s">
        <v>35</v>
      </c>
      <c r="G3903" t="str">
        <f>HYPERLINK(_xlfn.CONCAT("https://tablet.otzar.org/",CHAR(35),"/book/655070/p/-1/t/1/fs/0/start/0/end/0/c"),"שבע יפול צדיק וקם")</f>
        <v>שבע יפול צדיק וקם</v>
      </c>
      <c r="H3903" t="str">
        <f>_xlfn.CONCAT("https://tablet.otzar.org/",CHAR(35),"/book/655070/p/-1/t/1/fs/0/start/0/end/0/c")</f>
        <v>https://tablet.otzar.org/#/book/655070/p/-1/t/1/fs/0/start/0/end/0/c</v>
      </c>
    </row>
    <row r="3904" spans="1:8" x14ac:dyDescent="0.25">
      <c r="A3904">
        <v>653644</v>
      </c>
      <c r="B3904" t="s">
        <v>7519</v>
      </c>
      <c r="C3904" t="s">
        <v>7520</v>
      </c>
      <c r="D3904" t="s">
        <v>193</v>
      </c>
      <c r="E3904" t="s">
        <v>70</v>
      </c>
      <c r="G3904" t="str">
        <f>HYPERLINK(_xlfn.CONCAT("https://tablet.otzar.org/",CHAR(35),"/book/653644/p/-1/t/1/fs/0/start/0/end/0/c"),"שבראנו לכבודו - אתה מחסי")</f>
        <v>שבראנו לכבודו - אתה מחסי</v>
      </c>
      <c r="H3904" t="str">
        <f>_xlfn.CONCAT("https://tablet.otzar.org/",CHAR(35),"/book/653644/p/-1/t/1/fs/0/start/0/end/0/c")</f>
        <v>https://tablet.otzar.org/#/book/653644/p/-1/t/1/fs/0/start/0/end/0/c</v>
      </c>
    </row>
    <row r="3905" spans="1:8" x14ac:dyDescent="0.25">
      <c r="A3905">
        <v>653233</v>
      </c>
      <c r="B3905" t="s">
        <v>7521</v>
      </c>
      <c r="C3905" t="s">
        <v>534</v>
      </c>
      <c r="D3905" t="s">
        <v>10</v>
      </c>
      <c r="E3905" t="s">
        <v>11</v>
      </c>
      <c r="G3905" t="str">
        <f>HYPERLINK(_xlfn.CONCAT("https://tablet.otzar.org/",CHAR(35),"/book/653233/p/-1/t/1/fs/0/start/0/end/0/c"),"שבת אחים - אחי עזר")</f>
        <v>שבת אחים - אחי עזר</v>
      </c>
      <c r="H3905" t="str">
        <f>_xlfn.CONCAT("https://tablet.otzar.org/",CHAR(35),"/book/653233/p/-1/t/1/fs/0/start/0/end/0/c")</f>
        <v>https://tablet.otzar.org/#/book/653233/p/-1/t/1/fs/0/start/0/end/0/c</v>
      </c>
    </row>
    <row r="3906" spans="1:8" x14ac:dyDescent="0.25">
      <c r="A3906">
        <v>650283</v>
      </c>
      <c r="B3906" t="s">
        <v>7522</v>
      </c>
      <c r="C3906" t="s">
        <v>382</v>
      </c>
      <c r="D3906" t="s">
        <v>463</v>
      </c>
      <c r="E3906" t="s">
        <v>11</v>
      </c>
      <c r="G3906" t="str">
        <f>HYPERLINK(_xlfn.CONCAT("https://tablet.otzar.org/",CHAR(35),"/book/650283/p/-1/t/1/fs/0/start/0/end/0/c"),"שבת בראשית")</f>
        <v>שבת בראשית</v>
      </c>
      <c r="H3906" t="str">
        <f>_xlfn.CONCAT("https://tablet.otzar.org/",CHAR(35),"/book/650283/p/-1/t/1/fs/0/start/0/end/0/c")</f>
        <v>https://tablet.otzar.org/#/book/650283/p/-1/t/1/fs/0/start/0/end/0/c</v>
      </c>
    </row>
    <row r="3907" spans="1:8" x14ac:dyDescent="0.25">
      <c r="A3907">
        <v>652908</v>
      </c>
      <c r="B3907" t="s">
        <v>7523</v>
      </c>
      <c r="C3907" t="s">
        <v>617</v>
      </c>
      <c r="E3907" t="s">
        <v>507</v>
      </c>
      <c r="G3907" t="str">
        <f>HYPERLINK(_xlfn.CONCAT("https://tablet.otzar.org/",CHAR(35),"/book/652908/p/-1/t/1/fs/0/start/0/end/0/c"),"שבת הממלכה")</f>
        <v>שבת הממלכה</v>
      </c>
      <c r="H3907" t="str">
        <f>_xlfn.CONCAT("https://tablet.otzar.org/",CHAR(35),"/book/652908/p/-1/t/1/fs/0/start/0/end/0/c")</f>
        <v>https://tablet.otzar.org/#/book/652908/p/-1/t/1/fs/0/start/0/end/0/c</v>
      </c>
    </row>
    <row r="3908" spans="1:8" x14ac:dyDescent="0.25">
      <c r="A3908">
        <v>654755</v>
      </c>
      <c r="B3908" t="s">
        <v>7524</v>
      </c>
      <c r="C3908" t="s">
        <v>7525</v>
      </c>
      <c r="D3908" t="s">
        <v>10</v>
      </c>
      <c r="E3908" t="s">
        <v>11</v>
      </c>
      <c r="G3908" t="str">
        <f>HYPERLINK(_xlfn.CONCAT("https://tablet.otzar.org/",CHAR(35),"/book/654755/p/-1/t/1/fs/0/start/0/end/0/c"),"שבת ומועדים - ו")</f>
        <v>שבת ומועדים - ו</v>
      </c>
      <c r="H3908" t="str">
        <f>_xlfn.CONCAT("https://tablet.otzar.org/",CHAR(35),"/book/654755/p/-1/t/1/fs/0/start/0/end/0/c")</f>
        <v>https://tablet.otzar.org/#/book/654755/p/-1/t/1/fs/0/start/0/end/0/c</v>
      </c>
    </row>
    <row r="3909" spans="1:8" x14ac:dyDescent="0.25">
      <c r="A3909">
        <v>655868</v>
      </c>
      <c r="B3909" t="s">
        <v>7526</v>
      </c>
      <c r="C3909" t="s">
        <v>3031</v>
      </c>
      <c r="D3909" t="s">
        <v>3032</v>
      </c>
      <c r="E3909" t="s">
        <v>35</v>
      </c>
      <c r="G3909" t="str">
        <f>HYPERLINK(_xlfn.CONCAT("https://tablet.otzar.org/",CHAR(35),"/book/655868/p/-1/t/1/fs/0/start/0/end/0/c"),"שבת לה'")</f>
        <v>שבת לה'</v>
      </c>
      <c r="H3909" t="str">
        <f>_xlfn.CONCAT("https://tablet.otzar.org/",CHAR(35),"/book/655868/p/-1/t/1/fs/0/start/0/end/0/c")</f>
        <v>https://tablet.otzar.org/#/book/655868/p/-1/t/1/fs/0/start/0/end/0/c</v>
      </c>
    </row>
    <row r="3910" spans="1:8" x14ac:dyDescent="0.25">
      <c r="A3910">
        <v>651504</v>
      </c>
      <c r="B3910" t="s">
        <v>7527</v>
      </c>
      <c r="C3910" t="s">
        <v>7528</v>
      </c>
      <c r="D3910" t="s">
        <v>10</v>
      </c>
      <c r="E3910" t="s">
        <v>405</v>
      </c>
      <c r="G3910" t="str">
        <f>HYPERLINK(_xlfn.CONCAT("https://tablet.otzar.org/",CHAR(35),"/book/651504/p/-1/t/1/fs/0/start/0/end/0/c"),"שבתא טבא - הוצאה")</f>
        <v>שבתא טבא - הוצאה</v>
      </c>
      <c r="H3910" t="str">
        <f>_xlfn.CONCAT("https://tablet.otzar.org/",CHAR(35),"/book/651504/p/-1/t/1/fs/0/start/0/end/0/c")</f>
        <v>https://tablet.otzar.org/#/book/651504/p/-1/t/1/fs/0/start/0/end/0/c</v>
      </c>
    </row>
    <row r="3911" spans="1:8" x14ac:dyDescent="0.25">
      <c r="A3911">
        <v>641670</v>
      </c>
      <c r="B3911" t="s">
        <v>7529</v>
      </c>
      <c r="C3911" t="s">
        <v>7530</v>
      </c>
      <c r="D3911" t="s">
        <v>39</v>
      </c>
      <c r="E3911" t="s">
        <v>2713</v>
      </c>
      <c r="G3911" t="str">
        <f>HYPERLINK(_xlfn.CONCAT("https://tablet.otzar.org/",CHAR(35),"/book/641670/p/-1/t/1/fs/0/start/0/end/0/c"),"שדה יעקב")</f>
        <v>שדה יעקב</v>
      </c>
      <c r="H3911" t="str">
        <f>_xlfn.CONCAT("https://tablet.otzar.org/",CHAR(35),"/book/641670/p/-1/t/1/fs/0/start/0/end/0/c")</f>
        <v>https://tablet.otzar.org/#/book/641670/p/-1/t/1/fs/0/start/0/end/0/c</v>
      </c>
    </row>
    <row r="3912" spans="1:8" x14ac:dyDescent="0.25">
      <c r="A3912">
        <v>656203</v>
      </c>
      <c r="B3912" t="s">
        <v>7531</v>
      </c>
      <c r="C3912" t="s">
        <v>7532</v>
      </c>
      <c r="E3912" t="s">
        <v>35</v>
      </c>
      <c r="G3912" t="str">
        <f>HYPERLINK(_xlfn.CONCAT("https://tablet.otzar.org/",CHAR(35),"/exKotar/656203"),"שדה צופים - 6 כרכים")</f>
        <v>שדה צופים - 6 כרכים</v>
      </c>
      <c r="H3912" t="str">
        <f>_xlfn.CONCAT("https://tablet.otzar.org/",CHAR(35),"/exKotar/656203")</f>
        <v>https://tablet.otzar.org/#/exKotar/656203</v>
      </c>
    </row>
    <row r="3913" spans="1:8" x14ac:dyDescent="0.25">
      <c r="A3913">
        <v>651763</v>
      </c>
      <c r="B3913" t="s">
        <v>7533</v>
      </c>
      <c r="C3913" t="s">
        <v>1030</v>
      </c>
      <c r="D3913" t="s">
        <v>948</v>
      </c>
      <c r="E3913" t="s">
        <v>19</v>
      </c>
      <c r="G3913" t="str">
        <f>HYPERLINK(_xlfn.CONCAT("https://tablet.otzar.org/",CHAR(35),"/book/651763/p/-1/t/1/fs/0/start/0/end/0/c"),"שהשמחה במעונו")</f>
        <v>שהשמחה במעונו</v>
      </c>
      <c r="H3913" t="str">
        <f>_xlfn.CONCAT("https://tablet.otzar.org/",CHAR(35),"/book/651763/p/-1/t/1/fs/0/start/0/end/0/c")</f>
        <v>https://tablet.otzar.org/#/book/651763/p/-1/t/1/fs/0/start/0/end/0/c</v>
      </c>
    </row>
    <row r="3914" spans="1:8" x14ac:dyDescent="0.25">
      <c r="A3914">
        <v>655724</v>
      </c>
      <c r="B3914" t="s">
        <v>7534</v>
      </c>
      <c r="C3914" t="s">
        <v>7535</v>
      </c>
      <c r="D3914" t="s">
        <v>340</v>
      </c>
      <c r="E3914" t="s">
        <v>11</v>
      </c>
      <c r="G3914" t="str">
        <f>HYPERLINK(_xlfn.CONCAT("https://tablet.otzar.org/",CHAR(35),"/exKotar/655724"),"שו""""ת אילן חיים - 2 כרכים")</f>
        <v>שו""ת אילן חיים - 2 כרכים</v>
      </c>
      <c r="H3914" t="str">
        <f>_xlfn.CONCAT("https://tablet.otzar.org/",CHAR(35),"/exKotar/655724")</f>
        <v>https://tablet.otzar.org/#/exKotar/655724</v>
      </c>
    </row>
    <row r="3915" spans="1:8" x14ac:dyDescent="0.25">
      <c r="A3915">
        <v>652926</v>
      </c>
      <c r="B3915" t="s">
        <v>7536</v>
      </c>
      <c r="C3915" t="s">
        <v>7537</v>
      </c>
      <c r="E3915" t="s">
        <v>161</v>
      </c>
      <c r="G3915" t="str">
        <f>HYPERLINK(_xlfn.CONCAT("https://tablet.otzar.org/",CHAR(35),"/book/652926/p/-1/t/1/fs/0/start/0/end/0/c"),"שו""""ת אינתיפאדה")</f>
        <v>שו""ת אינתיפאדה</v>
      </c>
      <c r="H3915" t="str">
        <f>_xlfn.CONCAT("https://tablet.otzar.org/",CHAR(35),"/book/652926/p/-1/t/1/fs/0/start/0/end/0/c")</f>
        <v>https://tablet.otzar.org/#/book/652926/p/-1/t/1/fs/0/start/0/end/0/c</v>
      </c>
    </row>
    <row r="3916" spans="1:8" x14ac:dyDescent="0.25">
      <c r="A3916">
        <v>647660</v>
      </c>
      <c r="B3916" t="s">
        <v>7538</v>
      </c>
      <c r="C3916" t="s">
        <v>7539</v>
      </c>
      <c r="D3916" t="s">
        <v>10</v>
      </c>
      <c r="E3916" t="s">
        <v>11</v>
      </c>
      <c r="G3916" t="str">
        <f>HYPERLINK(_xlfn.CONCAT("https://tablet.otzar.org/",CHAR(35),"/book/647660/p/-1/t/1/fs/0/start/0/end/0/c"),"שו""""ת ברכת שמואל - א")</f>
        <v>שו""ת ברכת שמואל - א</v>
      </c>
      <c r="H3916" t="str">
        <f>_xlfn.CONCAT("https://tablet.otzar.org/",CHAR(35),"/book/647660/p/-1/t/1/fs/0/start/0/end/0/c")</f>
        <v>https://tablet.otzar.org/#/book/647660/p/-1/t/1/fs/0/start/0/end/0/c</v>
      </c>
    </row>
    <row r="3917" spans="1:8" x14ac:dyDescent="0.25">
      <c r="A3917">
        <v>652803</v>
      </c>
      <c r="B3917" t="s">
        <v>7540</v>
      </c>
      <c r="C3917" t="s">
        <v>7541</v>
      </c>
      <c r="D3917" t="s">
        <v>10</v>
      </c>
      <c r="E3917" t="s">
        <v>366</v>
      </c>
      <c r="G3917" t="str">
        <f>HYPERLINK(_xlfn.CONCAT("https://tablet.otzar.org/",CHAR(35),"/book/652803/p/-1/t/1/fs/0/start/0/end/0/c"),"שו""""ת דור רביעי - ב")</f>
        <v>שו""ת דור רביעי - ב</v>
      </c>
      <c r="H3917" t="str">
        <f>_xlfn.CONCAT("https://tablet.otzar.org/",CHAR(35),"/book/652803/p/-1/t/1/fs/0/start/0/end/0/c")</f>
        <v>https://tablet.otzar.org/#/book/652803/p/-1/t/1/fs/0/start/0/end/0/c</v>
      </c>
    </row>
    <row r="3918" spans="1:8" x14ac:dyDescent="0.25">
      <c r="A3918">
        <v>655309</v>
      </c>
      <c r="B3918" t="s">
        <v>7542</v>
      </c>
      <c r="C3918" t="s">
        <v>2145</v>
      </c>
      <c r="D3918" t="s">
        <v>10</v>
      </c>
      <c r="E3918" t="s">
        <v>1240</v>
      </c>
      <c r="G3918" t="str">
        <f>HYPERLINK(_xlfn.CONCAT("https://tablet.otzar.org/",CHAR(35),"/exKotar/655309"),"שו""""ת יביע אומר - 12 כרכים")</f>
        <v>שו""ת יביע אומר - 12 כרכים</v>
      </c>
      <c r="H3918" t="str">
        <f>_xlfn.CONCAT("https://tablet.otzar.org/",CHAR(35),"/exKotar/655309")</f>
        <v>https://tablet.otzar.org/#/exKotar/655309</v>
      </c>
    </row>
    <row r="3919" spans="1:8" x14ac:dyDescent="0.25">
      <c r="A3919">
        <v>655323</v>
      </c>
      <c r="B3919" t="s">
        <v>7543</v>
      </c>
      <c r="C3919" t="s">
        <v>2145</v>
      </c>
      <c r="D3919" t="s">
        <v>10</v>
      </c>
      <c r="E3919" t="s">
        <v>45</v>
      </c>
      <c r="G3919" t="str">
        <f>HYPERLINK(_xlfn.CONCAT("https://tablet.otzar.org/",CHAR(35),"/exKotar/655323"),"שו""""ת יחוה דעת - 8 כרכים")</f>
        <v>שו""ת יחוה דעת - 8 כרכים</v>
      </c>
      <c r="H3919" t="str">
        <f>_xlfn.CONCAT("https://tablet.otzar.org/",CHAR(35),"/exKotar/655323")</f>
        <v>https://tablet.otzar.org/#/exKotar/655323</v>
      </c>
    </row>
    <row r="3920" spans="1:8" x14ac:dyDescent="0.25">
      <c r="A3920">
        <v>650757</v>
      </c>
      <c r="B3920" t="s">
        <v>7544</v>
      </c>
      <c r="C3920" t="s">
        <v>7545</v>
      </c>
      <c r="D3920" t="s">
        <v>28</v>
      </c>
      <c r="E3920" t="s">
        <v>690</v>
      </c>
      <c r="G3920" t="str">
        <f>HYPERLINK(_xlfn.CONCAT("https://tablet.otzar.org/",CHAR(35),"/exKotar/650757"),"שו""""ת יפתח ה' - 3 כרכים")</f>
        <v>שו""ת יפתח ה' - 3 כרכים</v>
      </c>
      <c r="H3920" t="str">
        <f>_xlfn.CONCAT("https://tablet.otzar.org/",CHAR(35),"/exKotar/650757")</f>
        <v>https://tablet.otzar.org/#/exKotar/650757</v>
      </c>
    </row>
    <row r="3921" spans="1:8" x14ac:dyDescent="0.25">
      <c r="A3921">
        <v>650455</v>
      </c>
      <c r="B3921" t="s">
        <v>7546</v>
      </c>
      <c r="C3921" t="s">
        <v>7547</v>
      </c>
      <c r="D3921" t="s">
        <v>39</v>
      </c>
      <c r="E3921" t="s">
        <v>673</v>
      </c>
      <c r="G3921" t="str">
        <f>HYPERLINK(_xlfn.CONCAT("https://tablet.otzar.org/",CHAR(35),"/book/650455/p/-1/t/1/fs/0/start/0/end/0/c"),"שו""""ת מהריל לא אבוש")</f>
        <v>שו""ת מהריל לא אבוש</v>
      </c>
      <c r="H3921" t="str">
        <f>_xlfn.CONCAT("https://tablet.otzar.org/",CHAR(35),"/book/650455/p/-1/t/1/fs/0/start/0/end/0/c")</f>
        <v>https://tablet.otzar.org/#/book/650455/p/-1/t/1/fs/0/start/0/end/0/c</v>
      </c>
    </row>
    <row r="3922" spans="1:8" x14ac:dyDescent="0.25">
      <c r="A3922">
        <v>651020</v>
      </c>
      <c r="B3922" t="s">
        <v>7548</v>
      </c>
      <c r="C3922" t="s">
        <v>7549</v>
      </c>
      <c r="D3922" t="s">
        <v>10</v>
      </c>
      <c r="E3922" t="s">
        <v>84</v>
      </c>
      <c r="G3922" t="str">
        <f>HYPERLINK(_xlfn.CONCAT("https://tablet.otzar.org/",CHAR(35),"/exKotar/651020"),"שו""""ת מעין אומר - 2 כרכים")</f>
        <v>שו""ת מעין אומר - 2 כרכים</v>
      </c>
      <c r="H3922" t="str">
        <f>_xlfn.CONCAT("https://tablet.otzar.org/",CHAR(35),"/exKotar/651020")</f>
        <v>https://tablet.otzar.org/#/exKotar/651020</v>
      </c>
    </row>
    <row r="3923" spans="1:8" x14ac:dyDescent="0.25">
      <c r="A3923">
        <v>655417</v>
      </c>
      <c r="B3923" t="s">
        <v>7550</v>
      </c>
      <c r="C3923" t="s">
        <v>4670</v>
      </c>
      <c r="D3923" t="s">
        <v>10</v>
      </c>
      <c r="E3923" t="s">
        <v>11</v>
      </c>
      <c r="G3923" t="str">
        <f>HYPERLINK(_xlfn.CONCAT("https://tablet.otzar.org/",CHAR(35),"/book/655417/p/-1/t/1/fs/0/start/0/end/0/c"),"שו""""ת מעשה חושב - י")</f>
        <v>שו""ת מעשה חושב - י</v>
      </c>
      <c r="H3923" t="str">
        <f>_xlfn.CONCAT("https://tablet.otzar.org/",CHAR(35),"/book/655417/p/-1/t/1/fs/0/start/0/end/0/c")</f>
        <v>https://tablet.otzar.org/#/book/655417/p/-1/t/1/fs/0/start/0/end/0/c</v>
      </c>
    </row>
    <row r="3924" spans="1:8" x14ac:dyDescent="0.25">
      <c r="A3924">
        <v>649826</v>
      </c>
      <c r="B3924" t="s">
        <v>7551</v>
      </c>
      <c r="C3924" t="s">
        <v>7552</v>
      </c>
      <c r="D3924" t="s">
        <v>34</v>
      </c>
      <c r="E3924" t="s">
        <v>70</v>
      </c>
      <c r="G3924" t="str">
        <f>HYPERLINK(_xlfn.CONCAT("https://tablet.otzar.org/",CHAR(35),"/book/649826/p/-1/t/1/fs/0/start/0/end/0/c"),"שו""""ת על מסכת חגיגה")</f>
        <v>שו""ת על מסכת חגיגה</v>
      </c>
      <c r="H3924" t="str">
        <f>_xlfn.CONCAT("https://tablet.otzar.org/",CHAR(35),"/book/649826/p/-1/t/1/fs/0/start/0/end/0/c")</f>
        <v>https://tablet.otzar.org/#/book/649826/p/-1/t/1/fs/0/start/0/end/0/c</v>
      </c>
    </row>
    <row r="3925" spans="1:8" x14ac:dyDescent="0.25">
      <c r="A3925">
        <v>649290</v>
      </c>
      <c r="B3925" t="s">
        <v>7553</v>
      </c>
      <c r="C3925" t="s">
        <v>7552</v>
      </c>
      <c r="D3925" t="s">
        <v>34</v>
      </c>
      <c r="E3925" t="s">
        <v>70</v>
      </c>
      <c r="G3925" t="str">
        <f>HYPERLINK(_xlfn.CONCAT("https://tablet.otzar.org/",CHAR(35),"/book/649290/p/-1/t/1/fs/0/start/0/end/0/c"),"שו""""ת על מסכת מועד קטן")</f>
        <v>שו""ת על מסכת מועד קטן</v>
      </c>
      <c r="H3925" t="str">
        <f>_xlfn.CONCAT("https://tablet.otzar.org/",CHAR(35),"/book/649290/p/-1/t/1/fs/0/start/0/end/0/c")</f>
        <v>https://tablet.otzar.org/#/book/649290/p/-1/t/1/fs/0/start/0/end/0/c</v>
      </c>
    </row>
    <row r="3926" spans="1:8" x14ac:dyDescent="0.25">
      <c r="A3926">
        <v>650744</v>
      </c>
      <c r="B3926" t="s">
        <v>7554</v>
      </c>
      <c r="C3926" t="s">
        <v>7555</v>
      </c>
      <c r="D3926" t="s">
        <v>840</v>
      </c>
      <c r="E3926" t="s">
        <v>11</v>
      </c>
      <c r="G3926" t="str">
        <f>HYPERLINK(_xlfn.CONCAT("https://tablet.otzar.org/",CHAR(35),"/exKotar/650744"),"שו""""ת פסקי הלכות בד' חלקי שו""""ע - 2 כרכים")</f>
        <v>שו""ת פסקי הלכות בד' חלקי שו""ע - 2 כרכים</v>
      </c>
      <c r="H3926" t="str">
        <f>_xlfn.CONCAT("https://tablet.otzar.org/",CHAR(35),"/exKotar/650744")</f>
        <v>https://tablet.otzar.org/#/exKotar/650744</v>
      </c>
    </row>
    <row r="3927" spans="1:8" x14ac:dyDescent="0.25">
      <c r="A3927">
        <v>655781</v>
      </c>
      <c r="B3927" t="s">
        <v>7556</v>
      </c>
      <c r="C3927" t="s">
        <v>382</v>
      </c>
      <c r="D3927" t="s">
        <v>34</v>
      </c>
      <c r="E3927" t="s">
        <v>11</v>
      </c>
      <c r="G3927" t="str">
        <f>HYPERLINK(_xlfn.CONCAT("https://tablet.otzar.org/",CHAR(35),"/book/655781/p/-1/t/1/fs/0/start/0/end/0/c"),"שואל ומשיב - יג")</f>
        <v>שואל ומשיב - יג</v>
      </c>
      <c r="H3927" t="str">
        <f>_xlfn.CONCAT("https://tablet.otzar.org/",CHAR(35),"/book/655781/p/-1/t/1/fs/0/start/0/end/0/c")</f>
        <v>https://tablet.otzar.org/#/book/655781/p/-1/t/1/fs/0/start/0/end/0/c</v>
      </c>
    </row>
    <row r="3928" spans="1:8" x14ac:dyDescent="0.25">
      <c r="A3928">
        <v>656866</v>
      </c>
      <c r="B3928" t="s">
        <v>7557</v>
      </c>
      <c r="C3928" t="s">
        <v>7558</v>
      </c>
      <c r="D3928" t="s">
        <v>10</v>
      </c>
      <c r="E3928" t="s">
        <v>35</v>
      </c>
      <c r="G3928" t="str">
        <f>HYPERLINK(_xlfn.CONCAT("https://tablet.otzar.org/",CHAR(35),"/book/656866/p/-1/t/1/fs/0/start/0/end/0/c"),"שואל ומשיב &lt;מהדורה חדשה&gt; - תליתאה א")</f>
        <v>שואל ומשיב &lt;מהדורה חדשה&gt; - תליתאה א</v>
      </c>
      <c r="H3928" t="str">
        <f>_xlfn.CONCAT("https://tablet.otzar.org/",CHAR(35),"/book/656866/p/-1/t/1/fs/0/start/0/end/0/c")</f>
        <v>https://tablet.otzar.org/#/book/656866/p/-1/t/1/fs/0/start/0/end/0/c</v>
      </c>
    </row>
    <row r="3929" spans="1:8" x14ac:dyDescent="0.25">
      <c r="A3929">
        <v>647400</v>
      </c>
      <c r="B3929" t="s">
        <v>7559</v>
      </c>
      <c r="C3929" t="s">
        <v>7560</v>
      </c>
      <c r="D3929" t="s">
        <v>3408</v>
      </c>
      <c r="E3929" t="s">
        <v>1157</v>
      </c>
      <c r="G3929" t="str">
        <f>HYPERLINK(_xlfn.CONCAT("https://tablet.otzar.org/",CHAR(35),"/book/647400/p/-1/t/1/fs/0/start/0/end/0/c"),"שואלין ודורשין - חג הפסח")</f>
        <v>שואלין ודורשין - חג הפסח</v>
      </c>
      <c r="H3929" t="str">
        <f>_xlfn.CONCAT("https://tablet.otzar.org/",CHAR(35),"/book/647400/p/-1/t/1/fs/0/start/0/end/0/c")</f>
        <v>https://tablet.otzar.org/#/book/647400/p/-1/t/1/fs/0/start/0/end/0/c</v>
      </c>
    </row>
    <row r="3930" spans="1:8" x14ac:dyDescent="0.25">
      <c r="A3930">
        <v>647356</v>
      </c>
      <c r="B3930" t="s">
        <v>7561</v>
      </c>
      <c r="C3930" t="s">
        <v>7562</v>
      </c>
      <c r="E3930" t="s">
        <v>2645</v>
      </c>
      <c r="G3930" t="str">
        <f>HYPERLINK(_xlfn.CONCAT("https://tablet.otzar.org/",CHAR(35),"/book/647356/p/-1/t/1/fs/0/start/0/end/0/c"),"שובה ישראל")</f>
        <v>שובה ישראל</v>
      </c>
      <c r="H3930" t="str">
        <f>_xlfn.CONCAT("https://tablet.otzar.org/",CHAR(35),"/book/647356/p/-1/t/1/fs/0/start/0/end/0/c")</f>
        <v>https://tablet.otzar.org/#/book/647356/p/-1/t/1/fs/0/start/0/end/0/c</v>
      </c>
    </row>
    <row r="3931" spans="1:8" x14ac:dyDescent="0.25">
      <c r="A3931">
        <v>656351</v>
      </c>
      <c r="B3931" t="s">
        <v>7563</v>
      </c>
      <c r="C3931" t="s">
        <v>1164</v>
      </c>
      <c r="D3931" t="s">
        <v>10</v>
      </c>
      <c r="E3931" t="s">
        <v>1240</v>
      </c>
      <c r="G3931" t="str">
        <f>HYPERLINK(_xlfn.CONCAT("https://tablet.otzar.org/",CHAR(35),"/book/656351/p/-1/t/1/fs/0/start/0/end/0/c"),"שובו אלי")</f>
        <v>שובו אלי</v>
      </c>
      <c r="H3931" t="str">
        <f>_xlfn.CONCAT("https://tablet.otzar.org/",CHAR(35),"/book/656351/p/-1/t/1/fs/0/start/0/end/0/c")</f>
        <v>https://tablet.otzar.org/#/book/656351/p/-1/t/1/fs/0/start/0/end/0/c</v>
      </c>
    </row>
    <row r="3932" spans="1:8" x14ac:dyDescent="0.25">
      <c r="A3932">
        <v>653499</v>
      </c>
      <c r="B3932" t="s">
        <v>7564</v>
      </c>
      <c r="C3932" t="s">
        <v>1923</v>
      </c>
      <c r="D3932" t="s">
        <v>52</v>
      </c>
      <c r="E3932" t="s">
        <v>11</v>
      </c>
      <c r="G3932" t="str">
        <f>HYPERLINK(_xlfn.CONCAT("https://tablet.otzar.org/",CHAR(35),"/book/653499/p/-1/t/1/fs/0/start/0/end/0/c"),"שויתי ה'")</f>
        <v>שויתי ה'</v>
      </c>
      <c r="H3932" t="str">
        <f>_xlfn.CONCAT("https://tablet.otzar.org/",CHAR(35),"/book/653499/p/-1/t/1/fs/0/start/0/end/0/c")</f>
        <v>https://tablet.otzar.org/#/book/653499/p/-1/t/1/fs/0/start/0/end/0/c</v>
      </c>
    </row>
    <row r="3933" spans="1:8" x14ac:dyDescent="0.25">
      <c r="A3933">
        <v>648247</v>
      </c>
      <c r="B3933" t="s">
        <v>7565</v>
      </c>
      <c r="C3933" t="s">
        <v>7566</v>
      </c>
      <c r="D3933" t="s">
        <v>10</v>
      </c>
      <c r="E3933" t="s">
        <v>1409</v>
      </c>
      <c r="G3933" t="str">
        <f>HYPERLINK(_xlfn.CONCAT("https://tablet.otzar.org/",CHAR(35),"/book/648247/p/-1/t/1/fs/0/start/0/end/0/c"),"שולחן השבת")</f>
        <v>שולחן השבת</v>
      </c>
      <c r="H3933" t="str">
        <f>_xlfn.CONCAT("https://tablet.otzar.org/",CHAR(35),"/book/648247/p/-1/t/1/fs/0/start/0/end/0/c")</f>
        <v>https://tablet.otzar.org/#/book/648247/p/-1/t/1/fs/0/start/0/end/0/c</v>
      </c>
    </row>
    <row r="3934" spans="1:8" x14ac:dyDescent="0.25">
      <c r="A3934">
        <v>650409</v>
      </c>
      <c r="B3934" t="s">
        <v>7567</v>
      </c>
      <c r="C3934" t="s">
        <v>7568</v>
      </c>
      <c r="D3934" t="s">
        <v>28</v>
      </c>
      <c r="E3934" t="s">
        <v>35</v>
      </c>
      <c r="G3934" t="str">
        <f>HYPERLINK(_xlfn.CONCAT("https://tablet.otzar.org/",CHAR(35),"/book/650409/p/-1/t/1/fs/0/start/0/end/0/c"),"שולחן ערוך הרב &lt;במשנת הרב&gt; - רבית א")</f>
        <v>שולחן ערוך הרב &lt;במשנת הרב&gt; - רבית א</v>
      </c>
      <c r="H3934" t="str">
        <f>_xlfn.CONCAT("https://tablet.otzar.org/",CHAR(35),"/book/650409/p/-1/t/1/fs/0/start/0/end/0/c")</f>
        <v>https://tablet.otzar.org/#/book/650409/p/-1/t/1/fs/0/start/0/end/0/c</v>
      </c>
    </row>
    <row r="3935" spans="1:8" x14ac:dyDescent="0.25">
      <c r="A3935">
        <v>651241</v>
      </c>
      <c r="B3935" t="s">
        <v>7569</v>
      </c>
      <c r="C3935" t="s">
        <v>322</v>
      </c>
      <c r="D3935" t="s">
        <v>10</v>
      </c>
      <c r="E3935" t="s">
        <v>117</v>
      </c>
      <c r="G3935" t="str">
        <f>HYPERLINK(_xlfn.CONCAT("https://tablet.otzar.org/",CHAR(35),"/exKotar/651241"),"שולי הגליון - 2 כרכים")</f>
        <v>שולי הגליון - 2 כרכים</v>
      </c>
      <c r="H3935" t="str">
        <f>_xlfn.CONCAT("https://tablet.otzar.org/",CHAR(35),"/exKotar/651241")</f>
        <v>https://tablet.otzar.org/#/exKotar/651241</v>
      </c>
    </row>
    <row r="3936" spans="1:8" x14ac:dyDescent="0.25">
      <c r="A3936">
        <v>653327</v>
      </c>
      <c r="B3936" t="s">
        <v>7570</v>
      </c>
      <c r="C3936" t="s">
        <v>7571</v>
      </c>
      <c r="D3936" t="s">
        <v>7572</v>
      </c>
      <c r="E3936" t="s">
        <v>5671</v>
      </c>
      <c r="G3936" t="str">
        <f>HYPERLINK(_xlfn.CONCAT("https://tablet.otzar.org/",CHAR(35),"/book/653327/p/-1/t/1/fs/0/start/0/end/0/c"),"שומר ישראל")</f>
        <v>שומר ישראל</v>
      </c>
      <c r="H3936" t="str">
        <f>_xlfn.CONCAT("https://tablet.otzar.org/",CHAR(35),"/book/653327/p/-1/t/1/fs/0/start/0/end/0/c")</f>
        <v>https://tablet.otzar.org/#/book/653327/p/-1/t/1/fs/0/start/0/end/0/c</v>
      </c>
    </row>
    <row r="3937" spans="1:8" x14ac:dyDescent="0.25">
      <c r="A3937">
        <v>652615</v>
      </c>
      <c r="B3937" t="s">
        <v>7573</v>
      </c>
      <c r="C3937" t="s">
        <v>7574</v>
      </c>
      <c r="D3937" t="s">
        <v>34</v>
      </c>
      <c r="E3937" t="s">
        <v>19</v>
      </c>
      <c r="G3937" t="str">
        <f>HYPERLINK(_xlfn.CONCAT("https://tablet.otzar.org/",CHAR(35),"/book/652615/p/-1/t/1/fs/0/start/0/end/0/c"),"שופריה דיוסף &lt;מהדורה חדשה&gt;")</f>
        <v>שופריה דיוסף &lt;מהדורה חדשה&gt;</v>
      </c>
      <c r="H3937" t="str">
        <f>_xlfn.CONCAT("https://tablet.otzar.org/",CHAR(35),"/book/652615/p/-1/t/1/fs/0/start/0/end/0/c")</f>
        <v>https://tablet.otzar.org/#/book/652615/p/-1/t/1/fs/0/start/0/end/0/c</v>
      </c>
    </row>
    <row r="3938" spans="1:8" x14ac:dyDescent="0.25">
      <c r="A3938">
        <v>654212</v>
      </c>
      <c r="B3938" t="s">
        <v>7575</v>
      </c>
      <c r="C3938" t="s">
        <v>351</v>
      </c>
      <c r="D3938" t="s">
        <v>10</v>
      </c>
      <c r="E3938" t="s">
        <v>89</v>
      </c>
      <c r="G3938" t="str">
        <f>HYPERLINK(_xlfn.CONCAT("https://tablet.otzar.org/",CHAR(35),"/book/654212/p/-1/t/1/fs/0/start/0/end/0/c"),"שושילתא קדישא")</f>
        <v>שושילתא קדישא</v>
      </c>
      <c r="H3938" t="str">
        <f>_xlfn.CONCAT("https://tablet.otzar.org/",CHAR(35),"/book/654212/p/-1/t/1/fs/0/start/0/end/0/c")</f>
        <v>https://tablet.otzar.org/#/book/654212/p/-1/t/1/fs/0/start/0/end/0/c</v>
      </c>
    </row>
    <row r="3939" spans="1:8" x14ac:dyDescent="0.25">
      <c r="A3939">
        <v>651631</v>
      </c>
      <c r="B3939" t="s">
        <v>7576</v>
      </c>
      <c r="C3939" t="s">
        <v>6167</v>
      </c>
      <c r="D3939" t="s">
        <v>10</v>
      </c>
      <c r="E3939" t="s">
        <v>11</v>
      </c>
      <c r="G3939" t="str">
        <f>HYPERLINK(_xlfn.CONCAT("https://tablet.otzar.org/",CHAR(35),"/book/651631/p/-1/t/1/fs/0/start/0/end/0/c"),"שושני יעקב")</f>
        <v>שושני יעקב</v>
      </c>
      <c r="H3939" t="str">
        <f>_xlfn.CONCAT("https://tablet.otzar.org/",CHAR(35),"/book/651631/p/-1/t/1/fs/0/start/0/end/0/c")</f>
        <v>https://tablet.otzar.org/#/book/651631/p/-1/t/1/fs/0/start/0/end/0/c</v>
      </c>
    </row>
    <row r="3940" spans="1:8" x14ac:dyDescent="0.25">
      <c r="A3940">
        <v>619765</v>
      </c>
      <c r="B3940" t="s">
        <v>7577</v>
      </c>
      <c r="C3940" t="s">
        <v>7578</v>
      </c>
      <c r="D3940" t="s">
        <v>34</v>
      </c>
      <c r="E3940" t="s">
        <v>780</v>
      </c>
      <c r="G3940" t="str">
        <f>HYPERLINK(_xlfn.CONCAT("https://tablet.otzar.org/",CHAR(35),"/book/619765/p/-1/t/1/fs/0/start/0/end/0/c"),"שושנת אברהם")</f>
        <v>שושנת אברהם</v>
      </c>
      <c r="H3940" t="str">
        <f>_xlfn.CONCAT("https://tablet.otzar.org/",CHAR(35),"/book/619765/p/-1/t/1/fs/0/start/0/end/0/c")</f>
        <v>https://tablet.otzar.org/#/book/619765/p/-1/t/1/fs/0/start/0/end/0/c</v>
      </c>
    </row>
    <row r="3941" spans="1:8" x14ac:dyDescent="0.25">
      <c r="A3941">
        <v>647944</v>
      </c>
      <c r="B3941" t="s">
        <v>7579</v>
      </c>
      <c r="C3941" t="s">
        <v>7580</v>
      </c>
      <c r="D3941" t="s">
        <v>52</v>
      </c>
      <c r="E3941" t="s">
        <v>495</v>
      </c>
      <c r="G3941" t="str">
        <f>HYPERLINK(_xlfn.CONCAT("https://tablet.otzar.org/",CHAR(35),"/book/647944/p/-1/t/1/fs/0/start/0/end/0/c"),"שושנת העמקים - ימים נוראים ב")</f>
        <v>שושנת העמקים - ימים נוראים ב</v>
      </c>
      <c r="H3941" t="str">
        <f>_xlfn.CONCAT("https://tablet.otzar.org/",CHAR(35),"/book/647944/p/-1/t/1/fs/0/start/0/end/0/c")</f>
        <v>https://tablet.otzar.org/#/book/647944/p/-1/t/1/fs/0/start/0/end/0/c</v>
      </c>
    </row>
    <row r="3942" spans="1:8" x14ac:dyDescent="0.25">
      <c r="A3942">
        <v>650990</v>
      </c>
      <c r="B3942" t="s">
        <v>7581</v>
      </c>
      <c r="C3942" t="s">
        <v>7582</v>
      </c>
      <c r="D3942" t="s">
        <v>52</v>
      </c>
      <c r="E3942" t="s">
        <v>45</v>
      </c>
      <c r="G3942" t="str">
        <f>HYPERLINK(_xlfn.CONCAT("https://tablet.otzar.org/",CHAR(35),"/book/650990/p/-1/t/1/fs/0/start/0/end/0/c"),"שושנת יעקב - פסחים א")</f>
        <v>שושנת יעקב - פסחים א</v>
      </c>
      <c r="H3942" t="str">
        <f>_xlfn.CONCAT("https://tablet.otzar.org/",CHAR(35),"/book/650990/p/-1/t/1/fs/0/start/0/end/0/c")</f>
        <v>https://tablet.otzar.org/#/book/650990/p/-1/t/1/fs/0/start/0/end/0/c</v>
      </c>
    </row>
    <row r="3943" spans="1:8" x14ac:dyDescent="0.25">
      <c r="A3943">
        <v>656034</v>
      </c>
      <c r="B3943" t="s">
        <v>7583</v>
      </c>
      <c r="C3943" t="s">
        <v>7584</v>
      </c>
      <c r="D3943" t="s">
        <v>10</v>
      </c>
      <c r="E3943" t="s">
        <v>35</v>
      </c>
      <c r="G3943" t="str">
        <f>HYPERLINK(_xlfn.CONCAT("https://tablet.otzar.org/",CHAR(35),"/book/656034/p/-1/t/1/fs/0/start/0/end/0/c"),"שושנת יעקב צהלה ושמחה")</f>
        <v>שושנת יעקב צהלה ושמחה</v>
      </c>
      <c r="H3943" t="str">
        <f>_xlfn.CONCAT("https://tablet.otzar.org/",CHAR(35),"/book/656034/p/-1/t/1/fs/0/start/0/end/0/c")</f>
        <v>https://tablet.otzar.org/#/book/656034/p/-1/t/1/fs/0/start/0/end/0/c</v>
      </c>
    </row>
    <row r="3944" spans="1:8" x14ac:dyDescent="0.25">
      <c r="A3944">
        <v>653923</v>
      </c>
      <c r="B3944" t="s">
        <v>7585</v>
      </c>
      <c r="C3944" t="s">
        <v>7586</v>
      </c>
      <c r="D3944" t="s">
        <v>212</v>
      </c>
      <c r="E3944" t="s">
        <v>70</v>
      </c>
      <c r="G3944" t="str">
        <f>HYPERLINK(_xlfn.CONCAT("https://tablet.otzar.org/",CHAR(35),"/book/653923/p/-1/t/1/fs/0/start/0/end/0/c"),"שחיטה ברורה")</f>
        <v>שחיטה ברורה</v>
      </c>
      <c r="H3944" t="str">
        <f>_xlfn.CONCAT("https://tablet.otzar.org/",CHAR(35),"/book/653923/p/-1/t/1/fs/0/start/0/end/0/c")</f>
        <v>https://tablet.otzar.org/#/book/653923/p/-1/t/1/fs/0/start/0/end/0/c</v>
      </c>
    </row>
    <row r="3945" spans="1:8" x14ac:dyDescent="0.25">
      <c r="A3945">
        <v>653924</v>
      </c>
      <c r="B3945" t="s">
        <v>7587</v>
      </c>
      <c r="C3945" t="s">
        <v>7586</v>
      </c>
      <c r="D3945" t="s">
        <v>212</v>
      </c>
      <c r="E3945" t="s">
        <v>70</v>
      </c>
      <c r="G3945" t="str">
        <f>HYPERLINK(_xlfn.CONCAT("https://tablet.otzar.org/",CHAR(35),"/book/653924/p/-1/t/1/fs/0/start/0/end/0/c"),"שחיטה וטריפות")</f>
        <v>שחיטה וטריפות</v>
      </c>
      <c r="H3945" t="str">
        <f>_xlfn.CONCAT("https://tablet.otzar.org/",CHAR(35),"/book/653924/p/-1/t/1/fs/0/start/0/end/0/c")</f>
        <v>https://tablet.otzar.org/#/book/653924/p/-1/t/1/fs/0/start/0/end/0/c</v>
      </c>
    </row>
    <row r="3946" spans="1:8" x14ac:dyDescent="0.25">
      <c r="A3946">
        <v>649436</v>
      </c>
      <c r="B3946" t="s">
        <v>7588</v>
      </c>
      <c r="C3946" t="s">
        <v>7589</v>
      </c>
      <c r="D3946" t="s">
        <v>600</v>
      </c>
      <c r="E3946" t="s">
        <v>7590</v>
      </c>
      <c r="G3946" t="str">
        <f>HYPERLINK(_xlfn.CONCAT("https://tablet.otzar.org/",CHAR(35),"/book/649436/p/-1/t/1/fs/0/start/0/end/0/c"),"שחיטות ובדיקות")</f>
        <v>שחיטות ובדיקות</v>
      </c>
      <c r="H3946" t="str">
        <f>_xlfn.CONCAT("https://tablet.otzar.org/",CHAR(35),"/book/649436/p/-1/t/1/fs/0/start/0/end/0/c")</f>
        <v>https://tablet.otzar.org/#/book/649436/p/-1/t/1/fs/0/start/0/end/0/c</v>
      </c>
    </row>
    <row r="3947" spans="1:8" x14ac:dyDescent="0.25">
      <c r="A3947">
        <v>652547</v>
      </c>
      <c r="B3947" t="s">
        <v>7591</v>
      </c>
      <c r="C3947" t="s">
        <v>7589</v>
      </c>
      <c r="D3947" t="s">
        <v>10</v>
      </c>
      <c r="E3947" t="s">
        <v>11</v>
      </c>
      <c r="G3947" t="str">
        <f>HYPERLINK(_xlfn.CONCAT("https://tablet.otzar.org/",CHAR(35),"/book/652547/p/-1/t/1/fs/0/start/0/end/0/c"),"שחיטות ובדיקות מהר""""י ווייל עם ל""""ז פירושים - שחיטות")</f>
        <v>שחיטות ובדיקות מהר""י ווייל עם ל""ז פירושים - שחיטות</v>
      </c>
      <c r="H3947" t="str">
        <f>_xlfn.CONCAT("https://tablet.otzar.org/",CHAR(35),"/book/652547/p/-1/t/1/fs/0/start/0/end/0/c")</f>
        <v>https://tablet.otzar.org/#/book/652547/p/-1/t/1/fs/0/start/0/end/0/c</v>
      </c>
    </row>
    <row r="3948" spans="1:8" x14ac:dyDescent="0.25">
      <c r="A3948">
        <v>650704</v>
      </c>
      <c r="B3948" t="s">
        <v>7592</v>
      </c>
      <c r="C3948" t="s">
        <v>614</v>
      </c>
      <c r="D3948" t="s">
        <v>34</v>
      </c>
      <c r="E3948" t="s">
        <v>70</v>
      </c>
      <c r="G3948" t="str">
        <f>HYPERLINK(_xlfn.CONCAT("https://tablet.otzar.org/",CHAR(35),"/book/650704/p/-1/t/1/fs/0/start/0/end/0/c"),"שחיטת הפסח")</f>
        <v>שחיטת הפסח</v>
      </c>
      <c r="H3948" t="str">
        <f>_xlfn.CONCAT("https://tablet.otzar.org/",CHAR(35),"/book/650704/p/-1/t/1/fs/0/start/0/end/0/c")</f>
        <v>https://tablet.otzar.org/#/book/650704/p/-1/t/1/fs/0/start/0/end/0/c</v>
      </c>
    </row>
    <row r="3949" spans="1:8" x14ac:dyDescent="0.25">
      <c r="A3949">
        <v>651819</v>
      </c>
      <c r="B3949" t="s">
        <v>7593</v>
      </c>
      <c r="C3949" t="s">
        <v>7528</v>
      </c>
      <c r="D3949" t="s">
        <v>10</v>
      </c>
      <c r="E3949" t="s">
        <v>11</v>
      </c>
      <c r="G3949" t="str">
        <f>HYPERLINK(_xlfn.CONCAT("https://tablet.otzar.org/",CHAR(35),"/book/651819/p/-1/t/1/fs/0/start/0/end/0/c"),"שחיטת חולין - חולין, שחיטה")</f>
        <v>שחיטת חולין - חולין, שחיטה</v>
      </c>
      <c r="H3949" t="str">
        <f>_xlfn.CONCAT("https://tablet.otzar.org/",CHAR(35),"/book/651819/p/-1/t/1/fs/0/start/0/end/0/c")</f>
        <v>https://tablet.otzar.org/#/book/651819/p/-1/t/1/fs/0/start/0/end/0/c</v>
      </c>
    </row>
    <row r="3950" spans="1:8" x14ac:dyDescent="0.25">
      <c r="A3950">
        <v>643923</v>
      </c>
      <c r="B3950" t="s">
        <v>7594</v>
      </c>
      <c r="C3950" t="s">
        <v>7595</v>
      </c>
      <c r="D3950" t="s">
        <v>10</v>
      </c>
      <c r="E3950" t="s">
        <v>126</v>
      </c>
      <c r="G3950" t="str">
        <f>HYPERLINK(_xlfn.CONCAT("https://tablet.otzar.org/",CHAR(35),"/book/643923/p/-1/t/1/fs/0/start/0/end/0/c"),"שחר אורו - הרב משה צבי נריה זצ""""ל")</f>
        <v>שחר אורו - הרב משה צבי נריה זצ""ל</v>
      </c>
      <c r="H3950" t="str">
        <f>_xlfn.CONCAT("https://tablet.otzar.org/",CHAR(35),"/book/643923/p/-1/t/1/fs/0/start/0/end/0/c")</f>
        <v>https://tablet.otzar.org/#/book/643923/p/-1/t/1/fs/0/start/0/end/0/c</v>
      </c>
    </row>
    <row r="3951" spans="1:8" x14ac:dyDescent="0.25">
      <c r="A3951">
        <v>649999</v>
      </c>
      <c r="B3951" t="s">
        <v>7596</v>
      </c>
      <c r="C3951" t="s">
        <v>209</v>
      </c>
      <c r="D3951" t="s">
        <v>52</v>
      </c>
      <c r="E3951" t="s">
        <v>35</v>
      </c>
      <c r="G3951" t="str">
        <f>HYPERLINK(_xlfn.CONCAT("https://tablet.otzar.org/",CHAR(35),"/book/649999/p/-1/t/1/fs/0/start/0/end/0/c"),"שי למורא")</f>
        <v>שי למורא</v>
      </c>
      <c r="H3951" t="str">
        <f>_xlfn.CONCAT("https://tablet.otzar.org/",CHAR(35),"/book/649999/p/-1/t/1/fs/0/start/0/end/0/c")</f>
        <v>https://tablet.otzar.org/#/book/649999/p/-1/t/1/fs/0/start/0/end/0/c</v>
      </c>
    </row>
    <row r="3952" spans="1:8" x14ac:dyDescent="0.25">
      <c r="A3952">
        <v>652930</v>
      </c>
      <c r="B3952" t="s">
        <v>7597</v>
      </c>
      <c r="C3952" t="s">
        <v>7598</v>
      </c>
      <c r="D3952" t="s">
        <v>52</v>
      </c>
      <c r="E3952" t="s">
        <v>35</v>
      </c>
      <c r="G3952" t="str">
        <f>HYPERLINK(_xlfn.CONCAT("https://tablet.otzar.org/",CHAR(35),"/book/652930/p/-1/t/1/fs/0/start/0/end/0/c"),"שי למורא - ג")</f>
        <v>שי למורא - ג</v>
      </c>
      <c r="H3952" t="str">
        <f>_xlfn.CONCAT("https://tablet.otzar.org/",CHAR(35),"/book/652930/p/-1/t/1/fs/0/start/0/end/0/c")</f>
        <v>https://tablet.otzar.org/#/book/652930/p/-1/t/1/fs/0/start/0/end/0/c</v>
      </c>
    </row>
    <row r="3953" spans="1:8" x14ac:dyDescent="0.25">
      <c r="A3953">
        <v>647788</v>
      </c>
      <c r="B3953" t="s">
        <v>7599</v>
      </c>
      <c r="C3953" t="s">
        <v>7600</v>
      </c>
      <c r="D3953" t="s">
        <v>52</v>
      </c>
      <c r="E3953" t="s">
        <v>11</v>
      </c>
      <c r="G3953" t="str">
        <f>HYPERLINK(_xlfn.CONCAT("https://tablet.otzar.org/",CHAR(35),"/book/647788/p/-1/t/1/fs/0/start/0/end/0/c"),"שי למורא - תענית")</f>
        <v>שי למורא - תענית</v>
      </c>
      <c r="H3953" t="str">
        <f>_xlfn.CONCAT("https://tablet.otzar.org/",CHAR(35),"/book/647788/p/-1/t/1/fs/0/start/0/end/0/c")</f>
        <v>https://tablet.otzar.org/#/book/647788/p/-1/t/1/fs/0/start/0/end/0/c</v>
      </c>
    </row>
    <row r="3954" spans="1:8" x14ac:dyDescent="0.25">
      <c r="A3954">
        <v>653361</v>
      </c>
      <c r="B3954" t="s">
        <v>7601</v>
      </c>
      <c r="C3954" t="s">
        <v>7602</v>
      </c>
      <c r="D3954" t="s">
        <v>7603</v>
      </c>
      <c r="E3954" t="s">
        <v>1962</v>
      </c>
      <c r="G3954" t="str">
        <f>HYPERLINK(_xlfn.CONCAT("https://tablet.otzar.org/",CHAR(35),"/book/653361/p/-1/t/1/fs/0/start/0/end/0/c"),"שי למורה")</f>
        <v>שי למורה</v>
      </c>
      <c r="H3954" t="str">
        <f>_xlfn.CONCAT("https://tablet.otzar.org/",CHAR(35),"/book/653361/p/-1/t/1/fs/0/start/0/end/0/c")</f>
        <v>https://tablet.otzar.org/#/book/653361/p/-1/t/1/fs/0/start/0/end/0/c</v>
      </c>
    </row>
    <row r="3955" spans="1:8" x14ac:dyDescent="0.25">
      <c r="A3955">
        <v>651563</v>
      </c>
      <c r="B3955" t="s">
        <v>7604</v>
      </c>
      <c r="C3955" t="s">
        <v>382</v>
      </c>
      <c r="D3955" t="s">
        <v>3408</v>
      </c>
      <c r="E3955" t="s">
        <v>11</v>
      </c>
      <c r="G3955" t="str">
        <f>HYPERLINK(_xlfn.CONCAT("https://tablet.otzar.org/",CHAR(35),"/book/651563/p/-1/t/1/fs/0/start/0/end/0/c"),"שי למלך - עד")</f>
        <v>שי למלך - עד</v>
      </c>
      <c r="H3955" t="str">
        <f>_xlfn.CONCAT("https://tablet.otzar.org/",CHAR(35),"/book/651563/p/-1/t/1/fs/0/start/0/end/0/c")</f>
        <v>https://tablet.otzar.org/#/book/651563/p/-1/t/1/fs/0/start/0/end/0/c</v>
      </c>
    </row>
    <row r="3956" spans="1:8" x14ac:dyDescent="0.25">
      <c r="A3956">
        <v>651022</v>
      </c>
      <c r="B3956" t="s">
        <v>7605</v>
      </c>
      <c r="C3956" t="s">
        <v>7606</v>
      </c>
      <c r="D3956" t="s">
        <v>1650</v>
      </c>
      <c r="E3956" t="s">
        <v>84</v>
      </c>
      <c r="G3956" t="str">
        <f>HYPERLINK(_xlfn.CONCAT("https://tablet.otzar.org/",CHAR(35),"/book/651022/p/-1/t/1/fs/0/start/0/end/0/c"),"שיורי טהרה")</f>
        <v>שיורי טהרה</v>
      </c>
      <c r="H3956" t="str">
        <f>_xlfn.CONCAT("https://tablet.otzar.org/",CHAR(35),"/book/651022/p/-1/t/1/fs/0/start/0/end/0/c")</f>
        <v>https://tablet.otzar.org/#/book/651022/p/-1/t/1/fs/0/start/0/end/0/c</v>
      </c>
    </row>
    <row r="3957" spans="1:8" x14ac:dyDescent="0.25">
      <c r="A3957">
        <v>649828</v>
      </c>
      <c r="B3957" t="s">
        <v>7607</v>
      </c>
      <c r="C3957" t="s">
        <v>7608</v>
      </c>
      <c r="D3957" t="s">
        <v>609</v>
      </c>
      <c r="E3957" t="s">
        <v>11</v>
      </c>
      <c r="G3957" t="str">
        <f>HYPERLINK(_xlfn.CONCAT("https://tablet.otzar.org/",CHAR(35),"/book/649828/p/-1/t/1/fs/0/start/0/end/0/c"),"שיח היחוד")</f>
        <v>שיח היחוד</v>
      </c>
      <c r="H3957" t="str">
        <f>_xlfn.CONCAT("https://tablet.otzar.org/",CHAR(35),"/book/649828/p/-1/t/1/fs/0/start/0/end/0/c")</f>
        <v>https://tablet.otzar.org/#/book/649828/p/-1/t/1/fs/0/start/0/end/0/c</v>
      </c>
    </row>
    <row r="3958" spans="1:8" x14ac:dyDescent="0.25">
      <c r="A3958">
        <v>649450</v>
      </c>
      <c r="B3958" t="s">
        <v>7609</v>
      </c>
      <c r="C3958" t="s">
        <v>7610</v>
      </c>
      <c r="D3958" t="s">
        <v>340</v>
      </c>
      <c r="E3958" t="s">
        <v>11</v>
      </c>
      <c r="G3958" t="str">
        <f>HYPERLINK(_xlfn.CONCAT("https://tablet.otzar.org/",CHAR(35),"/book/649450/p/-1/t/1/fs/0/start/0/end/0/c"),"שיח הסיום")</f>
        <v>שיח הסיום</v>
      </c>
      <c r="H3958" t="str">
        <f>_xlfn.CONCAT("https://tablet.otzar.org/",CHAR(35),"/book/649450/p/-1/t/1/fs/0/start/0/end/0/c")</f>
        <v>https://tablet.otzar.org/#/book/649450/p/-1/t/1/fs/0/start/0/end/0/c</v>
      </c>
    </row>
    <row r="3959" spans="1:8" x14ac:dyDescent="0.25">
      <c r="A3959">
        <v>653992</v>
      </c>
      <c r="B3959" t="s">
        <v>7611</v>
      </c>
      <c r="C3959" t="s">
        <v>7612</v>
      </c>
      <c r="D3959" t="s">
        <v>10</v>
      </c>
      <c r="E3959" t="s">
        <v>11</v>
      </c>
      <c r="G3959" t="str">
        <f>HYPERLINK(_xlfn.CONCAT("https://tablet.otzar.org/",CHAR(35),"/exKotar/653992"),"שיח יהודה - 2 כרכים")</f>
        <v>שיח יהודה - 2 כרכים</v>
      </c>
      <c r="H3959" t="str">
        <f>_xlfn.CONCAT("https://tablet.otzar.org/",CHAR(35),"/exKotar/653992")</f>
        <v>https://tablet.otzar.org/#/exKotar/653992</v>
      </c>
    </row>
    <row r="3960" spans="1:8" x14ac:dyDescent="0.25">
      <c r="A3960">
        <v>649886</v>
      </c>
      <c r="B3960" t="s">
        <v>7613</v>
      </c>
      <c r="C3960" t="s">
        <v>7614</v>
      </c>
      <c r="D3960" t="s">
        <v>347</v>
      </c>
      <c r="E3960" t="s">
        <v>11</v>
      </c>
      <c r="G3960" t="str">
        <f>HYPERLINK(_xlfn.CONCAT("https://tablet.otzar.org/",CHAR(35),"/book/649886/p/-1/t/1/fs/0/start/0/end/0/c"),"שיח יוסף - ביאורי תפילה")</f>
        <v>שיח יוסף - ביאורי תפילה</v>
      </c>
      <c r="H3960" t="str">
        <f>_xlfn.CONCAT("https://tablet.otzar.org/",CHAR(35),"/book/649886/p/-1/t/1/fs/0/start/0/end/0/c")</f>
        <v>https://tablet.otzar.org/#/book/649886/p/-1/t/1/fs/0/start/0/end/0/c</v>
      </c>
    </row>
    <row r="3961" spans="1:8" x14ac:dyDescent="0.25">
      <c r="A3961">
        <v>647964</v>
      </c>
      <c r="B3961" t="s">
        <v>7615</v>
      </c>
      <c r="C3961" t="s">
        <v>7616</v>
      </c>
      <c r="D3961" t="s">
        <v>10</v>
      </c>
      <c r="E3961" t="s">
        <v>205</v>
      </c>
      <c r="G3961" t="str">
        <f>HYPERLINK(_xlfn.CONCAT("https://tablet.otzar.org/",CHAR(35),"/book/647964/p/-1/t/1/fs/0/start/0/end/0/c"),"שיח יעקב")</f>
        <v>שיח יעקב</v>
      </c>
      <c r="H3961" t="str">
        <f>_xlfn.CONCAT("https://tablet.otzar.org/",CHAR(35),"/book/647964/p/-1/t/1/fs/0/start/0/end/0/c")</f>
        <v>https://tablet.otzar.org/#/book/647964/p/-1/t/1/fs/0/start/0/end/0/c</v>
      </c>
    </row>
    <row r="3962" spans="1:8" x14ac:dyDescent="0.25">
      <c r="A3962">
        <v>647657</v>
      </c>
      <c r="B3962" t="s">
        <v>7617</v>
      </c>
      <c r="C3962" t="s">
        <v>7618</v>
      </c>
      <c r="D3962" t="s">
        <v>277</v>
      </c>
      <c r="E3962" t="s">
        <v>117</v>
      </c>
      <c r="G3962" t="str">
        <f>HYPERLINK(_xlfn.CONCAT("https://tablet.otzar.org/",CHAR(35),"/book/647657/p/-1/t/1/fs/0/start/0/end/0/c"),"שיח יעקב - חשן משפט")</f>
        <v>שיח יעקב - חשן משפט</v>
      </c>
      <c r="H3962" t="str">
        <f>_xlfn.CONCAT("https://tablet.otzar.org/",CHAR(35),"/book/647657/p/-1/t/1/fs/0/start/0/end/0/c")</f>
        <v>https://tablet.otzar.org/#/book/647657/p/-1/t/1/fs/0/start/0/end/0/c</v>
      </c>
    </row>
    <row r="3963" spans="1:8" x14ac:dyDescent="0.25">
      <c r="A3963">
        <v>647538</v>
      </c>
      <c r="B3963" t="s">
        <v>7619</v>
      </c>
      <c r="C3963" t="s">
        <v>7608</v>
      </c>
      <c r="D3963" t="s">
        <v>609</v>
      </c>
      <c r="E3963" t="s">
        <v>35</v>
      </c>
      <c r="G3963" t="str">
        <f>HYPERLINK(_xlfn.CONCAT("https://tablet.otzar.org/",CHAR(35),"/book/647538/p/-1/t/1/fs/0/start/0/end/0/c"),"שיח יצחק - שביעית")</f>
        <v>שיח יצחק - שביעית</v>
      </c>
      <c r="H3963" t="str">
        <f>_xlfn.CONCAT("https://tablet.otzar.org/",CHAR(35),"/book/647538/p/-1/t/1/fs/0/start/0/end/0/c")</f>
        <v>https://tablet.otzar.org/#/book/647538/p/-1/t/1/fs/0/start/0/end/0/c</v>
      </c>
    </row>
    <row r="3964" spans="1:8" x14ac:dyDescent="0.25">
      <c r="A3964">
        <v>649899</v>
      </c>
      <c r="B3964" t="s">
        <v>7620</v>
      </c>
      <c r="C3964" t="s">
        <v>4961</v>
      </c>
      <c r="D3964" t="s">
        <v>10</v>
      </c>
      <c r="E3964" t="s">
        <v>11</v>
      </c>
      <c r="G3964" t="str">
        <f>HYPERLINK(_xlfn.CONCAT("https://tablet.otzar.org/",CHAR(35),"/exKotar/649899"),"שיח יצחק &lt;מהדורה חדשה&gt; - 3 כרכים")</f>
        <v>שיח יצחק &lt;מהדורה חדשה&gt; - 3 כרכים</v>
      </c>
      <c r="H3964" t="str">
        <f>_xlfn.CONCAT("https://tablet.otzar.org/",CHAR(35),"/exKotar/649899")</f>
        <v>https://tablet.otzar.org/#/exKotar/649899</v>
      </c>
    </row>
    <row r="3965" spans="1:8" x14ac:dyDescent="0.25">
      <c r="A3965">
        <v>656215</v>
      </c>
      <c r="B3965" t="s">
        <v>7621</v>
      </c>
      <c r="C3965" t="s">
        <v>7622</v>
      </c>
      <c r="D3965" t="s">
        <v>10</v>
      </c>
      <c r="E3965" t="s">
        <v>507</v>
      </c>
      <c r="G3965" t="str">
        <f>HYPERLINK(_xlfn.CONCAT("https://tablet.otzar.org/",CHAR(35),"/book/656215/p/-1/t/1/fs/0/start/0/end/0/c"),"שיח יצחק &lt;מכון כנסת&gt; - מכות")</f>
        <v>שיח יצחק &lt;מכון כנסת&gt; - מכות</v>
      </c>
      <c r="H3965" t="str">
        <f>_xlfn.CONCAT("https://tablet.otzar.org/",CHAR(35),"/book/656215/p/-1/t/1/fs/0/start/0/end/0/c")</f>
        <v>https://tablet.otzar.org/#/book/656215/p/-1/t/1/fs/0/start/0/end/0/c</v>
      </c>
    </row>
    <row r="3966" spans="1:8" x14ac:dyDescent="0.25">
      <c r="A3966">
        <v>652950</v>
      </c>
      <c r="B3966" t="s">
        <v>7623</v>
      </c>
      <c r="C3966" t="s">
        <v>382</v>
      </c>
      <c r="E3966" t="s">
        <v>416</v>
      </c>
      <c r="G3966" t="str">
        <f>HYPERLINK(_xlfn.CONCAT("https://tablet.otzar.org/",CHAR(35),"/book/652950/p/-1/t/1/fs/0/start/0/end/0/c"),"שיח מישרים - 9")</f>
        <v>שיח מישרים - 9</v>
      </c>
      <c r="H3966" t="str">
        <f>_xlfn.CONCAT("https://tablet.otzar.org/",CHAR(35),"/book/652950/p/-1/t/1/fs/0/start/0/end/0/c")</f>
        <v>https://tablet.otzar.org/#/book/652950/p/-1/t/1/fs/0/start/0/end/0/c</v>
      </c>
    </row>
    <row r="3967" spans="1:8" x14ac:dyDescent="0.25">
      <c r="A3967">
        <v>652583</v>
      </c>
      <c r="B3967" t="s">
        <v>7624</v>
      </c>
      <c r="C3967" t="s">
        <v>7625</v>
      </c>
      <c r="D3967" t="s">
        <v>34</v>
      </c>
      <c r="E3967" t="s">
        <v>11</v>
      </c>
      <c r="G3967" t="str">
        <f>HYPERLINK(_xlfn.CONCAT("https://tablet.otzar.org/",CHAR(35),"/book/652583/p/-1/t/1/fs/0/start/0/end/0/c"),"שיח משה - סוכות")</f>
        <v>שיח משה - סוכות</v>
      </c>
      <c r="H3967" t="str">
        <f>_xlfn.CONCAT("https://tablet.otzar.org/",CHAR(35),"/book/652583/p/-1/t/1/fs/0/start/0/end/0/c")</f>
        <v>https://tablet.otzar.org/#/book/652583/p/-1/t/1/fs/0/start/0/end/0/c</v>
      </c>
    </row>
    <row r="3968" spans="1:8" x14ac:dyDescent="0.25">
      <c r="A3968">
        <v>653219</v>
      </c>
      <c r="B3968" t="s">
        <v>7626</v>
      </c>
      <c r="C3968" t="s">
        <v>7627</v>
      </c>
      <c r="D3968" t="s">
        <v>52</v>
      </c>
      <c r="E3968" t="s">
        <v>62</v>
      </c>
      <c r="G3968" t="str">
        <f>HYPERLINK(_xlfn.CONCAT("https://tablet.otzar.org/",CHAR(35),"/book/653219/p/-1/t/1/fs/0/start/0/end/0/c"),"שיח משפט - ב")</f>
        <v>שיח משפט - ב</v>
      </c>
      <c r="H3968" t="str">
        <f>_xlfn.CONCAT("https://tablet.otzar.org/",CHAR(35),"/book/653219/p/-1/t/1/fs/0/start/0/end/0/c")</f>
        <v>https://tablet.otzar.org/#/book/653219/p/-1/t/1/fs/0/start/0/end/0/c</v>
      </c>
    </row>
    <row r="3969" spans="1:8" x14ac:dyDescent="0.25">
      <c r="A3969">
        <v>655508</v>
      </c>
      <c r="B3969" t="s">
        <v>7628</v>
      </c>
      <c r="C3969" t="s">
        <v>7629</v>
      </c>
      <c r="D3969" t="s">
        <v>7630</v>
      </c>
      <c r="E3969" t="s">
        <v>2536</v>
      </c>
      <c r="G3969" t="str">
        <f>HYPERLINK(_xlfn.CONCAT("https://tablet.otzar.org/",CHAR(35),"/book/655508/p/-1/t/1/fs/0/start/0/end/0/c"),"שיח רב")</f>
        <v>שיח רב</v>
      </c>
      <c r="H3969" t="str">
        <f>_xlfn.CONCAT("https://tablet.otzar.org/",CHAR(35),"/book/655508/p/-1/t/1/fs/0/start/0/end/0/c")</f>
        <v>https://tablet.otzar.org/#/book/655508/p/-1/t/1/fs/0/start/0/end/0/c</v>
      </c>
    </row>
    <row r="3970" spans="1:8" x14ac:dyDescent="0.25">
      <c r="A3970">
        <v>654469</v>
      </c>
      <c r="B3970" t="s">
        <v>7631</v>
      </c>
      <c r="C3970" t="s">
        <v>7632</v>
      </c>
      <c r="D3970" t="s">
        <v>52</v>
      </c>
      <c r="E3970" t="s">
        <v>213</v>
      </c>
      <c r="G3970" t="str">
        <f>HYPERLINK(_xlfn.CONCAT("https://tablet.otzar.org/",CHAR(35),"/book/654469/p/-1/t/1/fs/0/start/0/end/0/c"),"שיח שני")</f>
        <v>שיח שני</v>
      </c>
      <c r="H3970" t="str">
        <f>_xlfn.CONCAT("https://tablet.otzar.org/",CHAR(35),"/book/654469/p/-1/t/1/fs/0/start/0/end/0/c")</f>
        <v>https://tablet.otzar.org/#/book/654469/p/-1/t/1/fs/0/start/0/end/0/c</v>
      </c>
    </row>
    <row r="3971" spans="1:8" x14ac:dyDescent="0.25">
      <c r="A3971">
        <v>651943</v>
      </c>
      <c r="B3971" t="s">
        <v>7633</v>
      </c>
      <c r="C3971" t="s">
        <v>314</v>
      </c>
      <c r="E3971" t="s">
        <v>84</v>
      </c>
      <c r="G3971" t="str">
        <f>HYPERLINK(_xlfn.CONCAT("https://tablet.otzar.org/",CHAR(35),"/book/651943/p/-1/t/1/fs/0/start/0/end/0/c"),"שיחו בכל נפלאותיו")</f>
        <v>שיחו בכל נפלאותיו</v>
      </c>
      <c r="H3971" t="str">
        <f>_xlfn.CONCAT("https://tablet.otzar.org/",CHAR(35),"/book/651943/p/-1/t/1/fs/0/start/0/end/0/c")</f>
        <v>https://tablet.otzar.org/#/book/651943/p/-1/t/1/fs/0/start/0/end/0/c</v>
      </c>
    </row>
    <row r="3972" spans="1:8" x14ac:dyDescent="0.25">
      <c r="A3972">
        <v>647395</v>
      </c>
      <c r="B3972" t="s">
        <v>7634</v>
      </c>
      <c r="C3972" t="s">
        <v>295</v>
      </c>
      <c r="D3972" t="s">
        <v>10</v>
      </c>
      <c r="E3972" t="s">
        <v>70</v>
      </c>
      <c r="G3972" t="str">
        <f>HYPERLINK(_xlfn.CONCAT("https://tablet.otzar.org/",CHAR(35),"/book/647395/p/-1/t/1/fs/0/start/0/end/0/c"),"שיחות הרב צבי יהודה &lt;סדרה ישנה&gt;- 16 כלל ישראל - א (בראשית)")</f>
        <v>שיחות הרב צבי יהודה &lt;סדרה ישנה&gt;- 16 כלל ישראל - א (בראשית)</v>
      </c>
      <c r="H3972" t="str">
        <f>_xlfn.CONCAT("https://tablet.otzar.org/",CHAR(35),"/book/647395/p/-1/t/1/fs/0/start/0/end/0/c")</f>
        <v>https://tablet.otzar.org/#/book/647395/p/-1/t/1/fs/0/start/0/end/0/c</v>
      </c>
    </row>
    <row r="3973" spans="1:8" x14ac:dyDescent="0.25">
      <c r="A3973">
        <v>647439</v>
      </c>
      <c r="B3973" t="s">
        <v>7635</v>
      </c>
      <c r="C3973" t="s">
        <v>7636</v>
      </c>
      <c r="D3973" t="s">
        <v>10</v>
      </c>
      <c r="E3973" t="s">
        <v>383</v>
      </c>
      <c r="G3973" t="str">
        <f>HYPERLINK(_xlfn.CONCAT("https://tablet.otzar.org/",CHAR(35),"/book/647439/p/-1/t/1/fs/0/start/0/end/0/c"),"שיחות חיזוק ערב ראש חודש נובהרדוק")</f>
        <v>שיחות חיזוק ערב ראש חודש נובהרדוק</v>
      </c>
      <c r="H3973" t="str">
        <f>_xlfn.CONCAT("https://tablet.otzar.org/",CHAR(35),"/book/647439/p/-1/t/1/fs/0/start/0/end/0/c")</f>
        <v>https://tablet.otzar.org/#/book/647439/p/-1/t/1/fs/0/start/0/end/0/c</v>
      </c>
    </row>
    <row r="3974" spans="1:8" x14ac:dyDescent="0.25">
      <c r="A3974">
        <v>649876</v>
      </c>
      <c r="B3974" t="s">
        <v>7637</v>
      </c>
      <c r="C3974" t="s">
        <v>7638</v>
      </c>
      <c r="D3974" t="s">
        <v>432</v>
      </c>
      <c r="E3974" t="s">
        <v>11</v>
      </c>
      <c r="G3974" t="str">
        <f>HYPERLINK(_xlfn.CONCAT("https://tablet.otzar.org/",CHAR(35),"/book/649876/p/-1/t/1/fs/0/start/0/end/0/c"),"שיחות לימי הפורים ומגילת אסתר")</f>
        <v>שיחות לימי הפורים ומגילת אסתר</v>
      </c>
      <c r="H3974" t="str">
        <f>_xlfn.CONCAT("https://tablet.otzar.org/",CHAR(35),"/book/649876/p/-1/t/1/fs/0/start/0/end/0/c")</f>
        <v>https://tablet.otzar.org/#/book/649876/p/-1/t/1/fs/0/start/0/end/0/c</v>
      </c>
    </row>
    <row r="3975" spans="1:8" x14ac:dyDescent="0.25">
      <c r="A3975">
        <v>653247</v>
      </c>
      <c r="B3975" t="s">
        <v>7639</v>
      </c>
      <c r="C3975" t="s">
        <v>3007</v>
      </c>
      <c r="D3975" t="s">
        <v>1813</v>
      </c>
      <c r="E3975" t="s">
        <v>70</v>
      </c>
      <c r="G3975" t="str">
        <f>HYPERLINK(_xlfn.CONCAT("https://tablet.otzar.org/",CHAR(35),"/book/653247/p/-1/t/1/fs/0/start/0/end/0/c"),"שיחות לימים הנוראים")</f>
        <v>שיחות לימים הנוראים</v>
      </c>
      <c r="H3975" t="str">
        <f>_xlfn.CONCAT("https://tablet.otzar.org/",CHAR(35),"/book/653247/p/-1/t/1/fs/0/start/0/end/0/c")</f>
        <v>https://tablet.otzar.org/#/book/653247/p/-1/t/1/fs/0/start/0/end/0/c</v>
      </c>
    </row>
    <row r="3976" spans="1:8" x14ac:dyDescent="0.25">
      <c r="A3976">
        <v>648885</v>
      </c>
      <c r="B3976" t="s">
        <v>7640</v>
      </c>
      <c r="C3976" t="s">
        <v>7641</v>
      </c>
      <c r="D3976" t="s">
        <v>10</v>
      </c>
      <c r="E3976" t="s">
        <v>89</v>
      </c>
      <c r="G3976" t="str">
        <f>HYPERLINK(_xlfn.CONCAT("https://tablet.otzar.org/",CHAR(35),"/book/648885/p/-1/t/1/fs/0/start/0/end/0/c"),"שיחות נובהרדוק - ב")</f>
        <v>שיחות נובהרדוק - ב</v>
      </c>
      <c r="H3976" t="str">
        <f>_xlfn.CONCAT("https://tablet.otzar.org/",CHAR(35),"/book/648885/p/-1/t/1/fs/0/start/0/end/0/c")</f>
        <v>https://tablet.otzar.org/#/book/648885/p/-1/t/1/fs/0/start/0/end/0/c</v>
      </c>
    </row>
    <row r="3977" spans="1:8" x14ac:dyDescent="0.25">
      <c r="A3977">
        <v>651584</v>
      </c>
      <c r="B3977" t="s">
        <v>7642</v>
      </c>
      <c r="C3977" t="s">
        <v>7643</v>
      </c>
      <c r="D3977" t="s">
        <v>34</v>
      </c>
      <c r="E3977" t="s">
        <v>70</v>
      </c>
      <c r="G3977" t="str">
        <f>HYPERLINK(_xlfn.CONCAT("https://tablet.otzar.org/",CHAR(35),"/book/651584/p/-1/t/1/fs/0/start/0/end/0/c"),"שיחות רבי יעקב")</f>
        <v>שיחות רבי יעקב</v>
      </c>
      <c r="H3977" t="str">
        <f>_xlfn.CONCAT("https://tablet.otzar.org/",CHAR(35),"/book/651584/p/-1/t/1/fs/0/start/0/end/0/c")</f>
        <v>https://tablet.otzar.org/#/book/651584/p/-1/t/1/fs/0/start/0/end/0/c</v>
      </c>
    </row>
    <row r="3978" spans="1:8" x14ac:dyDescent="0.25">
      <c r="A3978">
        <v>651730</v>
      </c>
      <c r="B3978" t="s">
        <v>7644</v>
      </c>
      <c r="C3978" t="s">
        <v>5521</v>
      </c>
      <c r="D3978" t="s">
        <v>10</v>
      </c>
      <c r="E3978" t="s">
        <v>405</v>
      </c>
      <c r="G3978" t="str">
        <f>HYPERLINK(_xlfn.CONCAT("https://tablet.otzar.org/",CHAR(35),"/book/651730/p/-1/t/1/fs/0/start/0/end/0/c"),"שיחת הנפש")</f>
        <v>שיחת הנפש</v>
      </c>
      <c r="H3978" t="str">
        <f>_xlfn.CONCAT("https://tablet.otzar.org/",CHAR(35),"/book/651730/p/-1/t/1/fs/0/start/0/end/0/c")</f>
        <v>https://tablet.otzar.org/#/book/651730/p/-1/t/1/fs/0/start/0/end/0/c</v>
      </c>
    </row>
    <row r="3979" spans="1:8" x14ac:dyDescent="0.25">
      <c r="A3979">
        <v>656059</v>
      </c>
      <c r="B3979" t="s">
        <v>7645</v>
      </c>
      <c r="C3979" t="s">
        <v>7646</v>
      </c>
      <c r="D3979" t="s">
        <v>52</v>
      </c>
      <c r="E3979" t="s">
        <v>399</v>
      </c>
      <c r="G3979" t="str">
        <f>HYPERLINK(_xlfn.CONCAT("https://tablet.otzar.org/",CHAR(35),"/exKotar/656059"),"שיחת צבי - 2 כרכים")</f>
        <v>שיחת צבי - 2 כרכים</v>
      </c>
      <c r="H3979" t="str">
        <f>_xlfn.CONCAT("https://tablet.otzar.org/",CHAR(35),"/exKotar/656059")</f>
        <v>https://tablet.otzar.org/#/exKotar/656059</v>
      </c>
    </row>
    <row r="3980" spans="1:8" x14ac:dyDescent="0.25">
      <c r="A3980">
        <v>650465</v>
      </c>
      <c r="B3980" t="s">
        <v>7647</v>
      </c>
      <c r="C3980" t="s">
        <v>7648</v>
      </c>
      <c r="D3980" t="s">
        <v>34</v>
      </c>
      <c r="E3980" t="s">
        <v>89</v>
      </c>
      <c r="G3980" t="str">
        <f>HYPERLINK(_xlfn.CONCAT("https://tablet.otzar.org/",CHAR(35),"/book/650465/p/-1/t/1/fs/0/start/0/end/0/c"),"שיטה מקובצת על תלמוד ירושלמי - בבא קמא")</f>
        <v>שיטה מקובצת על תלמוד ירושלמי - בבא קמא</v>
      </c>
      <c r="H3980" t="str">
        <f>_xlfn.CONCAT("https://tablet.otzar.org/",CHAR(35),"/book/650465/p/-1/t/1/fs/0/start/0/end/0/c")</f>
        <v>https://tablet.otzar.org/#/book/650465/p/-1/t/1/fs/0/start/0/end/0/c</v>
      </c>
    </row>
    <row r="3981" spans="1:8" x14ac:dyDescent="0.25">
      <c r="A3981">
        <v>649343</v>
      </c>
      <c r="B3981" t="s">
        <v>7649</v>
      </c>
      <c r="C3981" t="s">
        <v>7650</v>
      </c>
      <c r="D3981" t="s">
        <v>7651</v>
      </c>
      <c r="E3981" t="s">
        <v>405</v>
      </c>
      <c r="G3981" t="str">
        <f>HYPERLINK(_xlfn.CONCAT("https://tablet.otzar.org/",CHAR(35),"/book/649343/p/-1/t/1/fs/0/start/0/end/0/c"),"שיטת הסימנים - בבא מציעא")</f>
        <v>שיטת הסימנים - בבא מציעא</v>
      </c>
      <c r="H3981" t="str">
        <f>_xlfn.CONCAT("https://tablet.otzar.org/",CHAR(35),"/book/649343/p/-1/t/1/fs/0/start/0/end/0/c")</f>
        <v>https://tablet.otzar.org/#/book/649343/p/-1/t/1/fs/0/start/0/end/0/c</v>
      </c>
    </row>
    <row r="3982" spans="1:8" x14ac:dyDescent="0.25">
      <c r="A3982">
        <v>652827</v>
      </c>
      <c r="B3982" t="s">
        <v>7652</v>
      </c>
      <c r="C3982" t="s">
        <v>7653</v>
      </c>
      <c r="E3982" t="s">
        <v>352</v>
      </c>
      <c r="G3982" t="str">
        <f>HYPERLINK(_xlfn.CONCAT("https://tablet.otzar.org/",CHAR(35),"/book/652827/p/-1/t/1/fs/0/start/0/end/0/c"),"שיירי מנחה")</f>
        <v>שיירי מנחה</v>
      </c>
      <c r="H3982" t="str">
        <f>_xlfn.CONCAT("https://tablet.otzar.org/",CHAR(35),"/book/652827/p/-1/t/1/fs/0/start/0/end/0/c")</f>
        <v>https://tablet.otzar.org/#/book/652827/p/-1/t/1/fs/0/start/0/end/0/c</v>
      </c>
    </row>
    <row r="3983" spans="1:8" x14ac:dyDescent="0.25">
      <c r="A3983">
        <v>649981</v>
      </c>
      <c r="B3983" t="s">
        <v>7654</v>
      </c>
      <c r="C3983" t="s">
        <v>1730</v>
      </c>
      <c r="E3983" t="s">
        <v>11</v>
      </c>
      <c r="G3983" t="str">
        <f>HYPERLINK(_xlfn.CONCAT("https://tablet.otzar.org/",CHAR(35),"/book/649981/p/-1/t/1/fs/0/start/0/end/0/c"),"שילהי האיתנים")</f>
        <v>שילהי האיתנים</v>
      </c>
      <c r="H3983" t="str">
        <f>_xlfn.CONCAT("https://tablet.otzar.org/",CHAR(35),"/book/649981/p/-1/t/1/fs/0/start/0/end/0/c")</f>
        <v>https://tablet.otzar.org/#/book/649981/p/-1/t/1/fs/0/start/0/end/0/c</v>
      </c>
    </row>
    <row r="3984" spans="1:8" x14ac:dyDescent="0.25">
      <c r="A3984">
        <v>648555</v>
      </c>
      <c r="B3984" t="s">
        <v>7655</v>
      </c>
      <c r="C3984" t="s">
        <v>7656</v>
      </c>
      <c r="D3984" t="s">
        <v>181</v>
      </c>
      <c r="E3984" t="s">
        <v>574</v>
      </c>
      <c r="G3984" t="str">
        <f>HYPERLINK(_xlfn.CONCAT("https://tablet.otzar.org/",CHAR(35),"/book/648555/p/-1/t/1/fs/0/start/0/end/0/c"),"שימה בפיהם - ארבע אבות")</f>
        <v>שימה בפיהם - ארבע אבות</v>
      </c>
      <c r="H3984" t="str">
        <f>_xlfn.CONCAT("https://tablet.otzar.org/",CHAR(35),"/book/648555/p/-1/t/1/fs/0/start/0/end/0/c")</f>
        <v>https://tablet.otzar.org/#/book/648555/p/-1/t/1/fs/0/start/0/end/0/c</v>
      </c>
    </row>
    <row r="3985" spans="1:8" x14ac:dyDescent="0.25">
      <c r="A3985">
        <v>650947</v>
      </c>
      <c r="B3985" t="s">
        <v>7657</v>
      </c>
      <c r="C3985" t="s">
        <v>2320</v>
      </c>
      <c r="D3985" t="s">
        <v>10</v>
      </c>
      <c r="E3985" t="s">
        <v>45</v>
      </c>
      <c r="G3985" t="str">
        <f>HYPERLINK(_xlfn.CONCAT("https://tablet.otzar.org/",CHAR(35),"/book/650947/p/-1/t/1/fs/0/start/0/end/0/c"),"שימני כחותם")</f>
        <v>שימני כחותם</v>
      </c>
      <c r="H3985" t="str">
        <f>_xlfn.CONCAT("https://tablet.otzar.org/",CHAR(35),"/book/650947/p/-1/t/1/fs/0/start/0/end/0/c")</f>
        <v>https://tablet.otzar.org/#/book/650947/p/-1/t/1/fs/0/start/0/end/0/c</v>
      </c>
    </row>
    <row r="3986" spans="1:8" x14ac:dyDescent="0.25">
      <c r="A3986">
        <v>648519</v>
      </c>
      <c r="B3986" t="s">
        <v>7658</v>
      </c>
      <c r="C3986" t="s">
        <v>5183</v>
      </c>
      <c r="D3986" t="s">
        <v>10</v>
      </c>
      <c r="E3986" t="s">
        <v>11</v>
      </c>
      <c r="G3986" t="str">
        <f>HYPERLINK(_xlfn.CONCAT("https://tablet.otzar.org/",CHAR(35),"/book/648519/p/-1/t/1/fs/0/start/0/end/0/c"),"שינון כהלכה - הלכות מזוזה-מעקה-שילוח הקן")</f>
        <v>שינון כהלכה - הלכות מזוזה-מעקה-שילוח הקן</v>
      </c>
      <c r="H3986" t="str">
        <f>_xlfn.CONCAT("https://tablet.otzar.org/",CHAR(35),"/book/648519/p/-1/t/1/fs/0/start/0/end/0/c")</f>
        <v>https://tablet.otzar.org/#/book/648519/p/-1/t/1/fs/0/start/0/end/0/c</v>
      </c>
    </row>
    <row r="3987" spans="1:8" x14ac:dyDescent="0.25">
      <c r="A3987">
        <v>648838</v>
      </c>
      <c r="B3987" t="s">
        <v>7659</v>
      </c>
      <c r="C3987" t="s">
        <v>7660</v>
      </c>
      <c r="D3987" t="s">
        <v>510</v>
      </c>
      <c r="E3987" t="s">
        <v>11</v>
      </c>
      <c r="G3987" t="str">
        <f>HYPERLINK(_xlfn.CONCAT("https://tablet.otzar.org/",CHAR(35),"/book/648838/p/-1/t/1/fs/0/start/0/end/0/c"),"שיעורי בנין אב")</f>
        <v>שיעורי בנין אב</v>
      </c>
      <c r="H3987" t="str">
        <f>_xlfn.CONCAT("https://tablet.otzar.org/",CHAR(35),"/book/648838/p/-1/t/1/fs/0/start/0/end/0/c")</f>
        <v>https://tablet.otzar.org/#/book/648838/p/-1/t/1/fs/0/start/0/end/0/c</v>
      </c>
    </row>
    <row r="3988" spans="1:8" x14ac:dyDescent="0.25">
      <c r="A3988">
        <v>649802</v>
      </c>
      <c r="B3988" t="s">
        <v>7661</v>
      </c>
      <c r="C3988" t="s">
        <v>7662</v>
      </c>
      <c r="D3988" t="s">
        <v>340</v>
      </c>
      <c r="E3988" t="s">
        <v>352</v>
      </c>
      <c r="G3988" t="str">
        <f>HYPERLINK(_xlfn.CONCAT("https://tablet.otzar.org/",CHAR(35),"/book/649802/p/-1/t/1/fs/0/start/0/end/0/c"),"שיעורי בקיאות - קידושין")</f>
        <v>שיעורי בקיאות - קידושין</v>
      </c>
      <c r="H3988" t="str">
        <f>_xlfn.CONCAT("https://tablet.otzar.org/",CHAR(35),"/book/649802/p/-1/t/1/fs/0/start/0/end/0/c")</f>
        <v>https://tablet.otzar.org/#/book/649802/p/-1/t/1/fs/0/start/0/end/0/c</v>
      </c>
    </row>
    <row r="3989" spans="1:8" x14ac:dyDescent="0.25">
      <c r="A3989">
        <v>649803</v>
      </c>
      <c r="B3989" t="s">
        <v>7663</v>
      </c>
      <c r="C3989" t="s">
        <v>7664</v>
      </c>
      <c r="D3989" t="s">
        <v>340</v>
      </c>
      <c r="E3989" t="s">
        <v>352</v>
      </c>
      <c r="G3989" t="str">
        <f>HYPERLINK(_xlfn.CONCAT("https://tablet.otzar.org/",CHAR(35),"/book/649803/p/-1/t/1/fs/0/start/0/end/0/c"),"שיעורי דרך התורה - קידושין")</f>
        <v>שיעורי דרך התורה - קידושין</v>
      </c>
      <c r="H3989" t="str">
        <f>_xlfn.CONCAT("https://tablet.otzar.org/",CHAR(35),"/book/649803/p/-1/t/1/fs/0/start/0/end/0/c")</f>
        <v>https://tablet.otzar.org/#/book/649803/p/-1/t/1/fs/0/start/0/end/0/c</v>
      </c>
    </row>
    <row r="3990" spans="1:8" x14ac:dyDescent="0.25">
      <c r="A3990">
        <v>654386</v>
      </c>
      <c r="B3990" t="s">
        <v>7665</v>
      </c>
      <c r="C3990" t="s">
        <v>7666</v>
      </c>
      <c r="D3990" t="s">
        <v>52</v>
      </c>
      <c r="E3990" t="s">
        <v>11</v>
      </c>
      <c r="G3990" t="str">
        <f>HYPERLINK(_xlfn.CONCAT("https://tablet.otzar.org/",CHAR(35),"/book/654386/p/-1/t/1/fs/0/start/0/end/0/c"),"שיעורי הגר""""ח קמיל - יבמות, סנהדרין")</f>
        <v>שיעורי הגר""ח קמיל - יבמות, סנהדרין</v>
      </c>
      <c r="H3990" t="str">
        <f>_xlfn.CONCAT("https://tablet.otzar.org/",CHAR(35),"/book/654386/p/-1/t/1/fs/0/start/0/end/0/c")</f>
        <v>https://tablet.otzar.org/#/book/654386/p/-1/t/1/fs/0/start/0/end/0/c</v>
      </c>
    </row>
    <row r="3991" spans="1:8" x14ac:dyDescent="0.25">
      <c r="A3991">
        <v>654426</v>
      </c>
      <c r="B3991" t="s">
        <v>7667</v>
      </c>
      <c r="C3991" t="s">
        <v>7668</v>
      </c>
      <c r="D3991" t="s">
        <v>340</v>
      </c>
      <c r="E3991" t="s">
        <v>405</v>
      </c>
      <c r="G3991" t="str">
        <f>HYPERLINK(_xlfn.CONCAT("https://tablet.otzar.org/",CHAR(35),"/exKotar/654426"),"שיעורי הגר""""מ - 2 כרכים")</f>
        <v>שיעורי הגר""מ - 2 כרכים</v>
      </c>
      <c r="H3991" t="str">
        <f>_xlfn.CONCAT("https://tablet.otzar.org/",CHAR(35),"/exKotar/654426")</f>
        <v>https://tablet.otzar.org/#/exKotar/654426</v>
      </c>
    </row>
    <row r="3992" spans="1:8" x14ac:dyDescent="0.25">
      <c r="A3992">
        <v>654931</v>
      </c>
      <c r="B3992" t="s">
        <v>7669</v>
      </c>
      <c r="C3992" t="s">
        <v>1091</v>
      </c>
      <c r="D3992" t="s">
        <v>52</v>
      </c>
      <c r="E3992" t="s">
        <v>1240</v>
      </c>
      <c r="G3992" t="str">
        <f>HYPERLINK(_xlfn.CONCAT("https://tablet.otzar.org/",CHAR(35),"/exKotar/654931"),"שיעורי הגרב""""ד פוברסקי - 8 כרכים")</f>
        <v>שיעורי הגרב""ד פוברסקי - 8 כרכים</v>
      </c>
      <c r="H3992" t="str">
        <f>_xlfn.CONCAT("https://tablet.otzar.org/",CHAR(35),"/exKotar/654931")</f>
        <v>https://tablet.otzar.org/#/exKotar/654931</v>
      </c>
    </row>
    <row r="3993" spans="1:8" x14ac:dyDescent="0.25">
      <c r="A3993">
        <v>656055</v>
      </c>
      <c r="B3993" t="s">
        <v>7670</v>
      </c>
      <c r="C3993" t="s">
        <v>4209</v>
      </c>
      <c r="D3993" t="s">
        <v>193</v>
      </c>
      <c r="E3993" t="s">
        <v>29</v>
      </c>
      <c r="G3993" t="str">
        <f>HYPERLINK(_xlfn.CONCAT("https://tablet.otzar.org/",CHAR(35),"/book/656055/p/-1/t/1/fs/0/start/0/end/0/c"),"שיעורי הוצאה")</f>
        <v>שיעורי הוצאה</v>
      </c>
      <c r="H3993" t="str">
        <f>_xlfn.CONCAT("https://tablet.otzar.org/",CHAR(35),"/book/656055/p/-1/t/1/fs/0/start/0/end/0/c")</f>
        <v>https://tablet.otzar.org/#/book/656055/p/-1/t/1/fs/0/start/0/end/0/c</v>
      </c>
    </row>
    <row r="3994" spans="1:8" x14ac:dyDescent="0.25">
      <c r="A3994">
        <v>648978</v>
      </c>
      <c r="B3994" t="s">
        <v>7671</v>
      </c>
      <c r="C3994" t="s">
        <v>7672</v>
      </c>
      <c r="D3994" t="s">
        <v>34</v>
      </c>
      <c r="E3994" t="s">
        <v>35</v>
      </c>
      <c r="G3994" t="str">
        <f>HYPERLINK(_xlfn.CONCAT("https://tablet.otzar.org/",CHAR(35),"/book/648978/p/-1/t/1/fs/0/start/0/end/0/c"),"שיעורי הוראה")</f>
        <v>שיעורי הוראה</v>
      </c>
      <c r="H3994" t="str">
        <f>_xlfn.CONCAT("https://tablet.otzar.org/",CHAR(35),"/book/648978/p/-1/t/1/fs/0/start/0/end/0/c")</f>
        <v>https://tablet.otzar.org/#/book/648978/p/-1/t/1/fs/0/start/0/end/0/c</v>
      </c>
    </row>
    <row r="3995" spans="1:8" x14ac:dyDescent="0.25">
      <c r="A3995">
        <v>651628</v>
      </c>
      <c r="B3995" t="s">
        <v>7673</v>
      </c>
      <c r="C3995" t="s">
        <v>7674</v>
      </c>
      <c r="D3995" t="s">
        <v>340</v>
      </c>
      <c r="E3995" t="s">
        <v>11</v>
      </c>
      <c r="G3995" t="str">
        <f>HYPERLINK(_xlfn.CONCAT("https://tablet.otzar.org/",CHAR(35),"/book/651628/p/-1/t/1/fs/0/start/0/end/0/c"),"שיעורי הכולל - הגעלת כלים")</f>
        <v>שיעורי הכולל - הגעלת כלים</v>
      </c>
      <c r="H3995" t="str">
        <f>_xlfn.CONCAT("https://tablet.otzar.org/",CHAR(35),"/book/651628/p/-1/t/1/fs/0/start/0/end/0/c")</f>
        <v>https://tablet.otzar.org/#/book/651628/p/-1/t/1/fs/0/start/0/end/0/c</v>
      </c>
    </row>
    <row r="3996" spans="1:8" x14ac:dyDescent="0.25">
      <c r="A3996">
        <v>653364</v>
      </c>
      <c r="B3996" t="s">
        <v>7675</v>
      </c>
      <c r="C3996" t="s">
        <v>7676</v>
      </c>
      <c r="D3996" t="s">
        <v>52</v>
      </c>
      <c r="E3996" t="s">
        <v>117</v>
      </c>
      <c r="G3996" t="str">
        <f>HYPERLINK(_xlfn.CONCAT("https://tablet.otzar.org/",CHAR(35),"/book/653364/p/-1/t/1/fs/0/start/0/end/0/c"),"שיעורי הלכה - הכנה לפסח וליל הסדר")</f>
        <v>שיעורי הלכה - הכנה לפסח וליל הסדר</v>
      </c>
      <c r="H3996" t="str">
        <f>_xlfn.CONCAT("https://tablet.otzar.org/",CHAR(35),"/book/653364/p/-1/t/1/fs/0/start/0/end/0/c")</f>
        <v>https://tablet.otzar.org/#/book/653364/p/-1/t/1/fs/0/start/0/end/0/c</v>
      </c>
    </row>
    <row r="3997" spans="1:8" x14ac:dyDescent="0.25">
      <c r="A3997">
        <v>655166</v>
      </c>
      <c r="B3997" t="s">
        <v>7677</v>
      </c>
      <c r="C3997" t="s">
        <v>2545</v>
      </c>
      <c r="D3997" t="s">
        <v>340</v>
      </c>
      <c r="E3997" t="s">
        <v>312</v>
      </c>
      <c r="G3997" t="str">
        <f>HYPERLINK(_xlfn.CONCAT("https://tablet.otzar.org/",CHAR(35),"/book/655166/p/-1/t/1/fs/0/start/0/end/0/c"),"שיעורי הלכה - ספירת העומר, חג השבועות")</f>
        <v>שיעורי הלכה - ספירת העומר, חג השבועות</v>
      </c>
      <c r="H3997" t="str">
        <f>_xlfn.CONCAT("https://tablet.otzar.org/",CHAR(35),"/book/655166/p/-1/t/1/fs/0/start/0/end/0/c")</f>
        <v>https://tablet.otzar.org/#/book/655166/p/-1/t/1/fs/0/start/0/end/0/c</v>
      </c>
    </row>
    <row r="3998" spans="1:8" x14ac:dyDescent="0.25">
      <c r="A3998">
        <v>647844</v>
      </c>
      <c r="B3998" t="s">
        <v>7678</v>
      </c>
      <c r="C3998" t="s">
        <v>7679</v>
      </c>
      <c r="D3998" t="s">
        <v>10</v>
      </c>
      <c r="E3998" t="s">
        <v>84</v>
      </c>
      <c r="G3998" t="str">
        <f>HYPERLINK(_xlfn.CONCAT("https://tablet.otzar.org/",CHAR(35),"/book/647844/p/-1/t/1/fs/0/start/0/end/0/c"),"שיעורי הלכה למשה - א")</f>
        <v>שיעורי הלכה למשה - א</v>
      </c>
      <c r="H3998" t="str">
        <f>_xlfn.CONCAT("https://tablet.otzar.org/",CHAR(35),"/book/647844/p/-1/t/1/fs/0/start/0/end/0/c")</f>
        <v>https://tablet.otzar.org/#/book/647844/p/-1/t/1/fs/0/start/0/end/0/c</v>
      </c>
    </row>
    <row r="3999" spans="1:8" x14ac:dyDescent="0.25">
      <c r="A3999">
        <v>647879</v>
      </c>
      <c r="B3999" t="s">
        <v>7680</v>
      </c>
      <c r="C3999" t="s">
        <v>7681</v>
      </c>
      <c r="D3999" t="s">
        <v>10</v>
      </c>
      <c r="E3999" t="s">
        <v>45</v>
      </c>
      <c r="G3999" t="str">
        <f>HYPERLINK(_xlfn.CONCAT("https://tablet.otzar.org/",CHAR(35),"/exKotar/647879"),"שיעורי הרא""""מ פייבלזון - 2 כרכים")</f>
        <v>שיעורי הרא""מ פייבלזון - 2 כרכים</v>
      </c>
      <c r="H3999" t="str">
        <f>_xlfn.CONCAT("https://tablet.otzar.org/",CHAR(35),"/exKotar/647879")</f>
        <v>https://tablet.otzar.org/#/exKotar/647879</v>
      </c>
    </row>
    <row r="4000" spans="1:8" x14ac:dyDescent="0.25">
      <c r="A4000">
        <v>651952</v>
      </c>
      <c r="B4000" t="s">
        <v>7682</v>
      </c>
      <c r="C4000" t="s">
        <v>7683</v>
      </c>
      <c r="D4000" t="s">
        <v>52</v>
      </c>
      <c r="E4000" t="s">
        <v>35</v>
      </c>
      <c r="G4000" t="str">
        <f>HYPERLINK(_xlfn.CONCAT("https://tablet.otzar.org/",CHAR(35),"/book/651952/p/-1/t/1/fs/0/start/0/end/0/c"),"שיעורי חומש - אורי וישעי לזכר מרן הגרא""""מ שך")</f>
        <v>שיעורי חומש - אורי וישעי לזכר מרן הגרא""מ שך</v>
      </c>
      <c r="H4000" t="str">
        <f>_xlfn.CONCAT("https://tablet.otzar.org/",CHAR(35),"/book/651952/p/-1/t/1/fs/0/start/0/end/0/c")</f>
        <v>https://tablet.otzar.org/#/book/651952/p/-1/t/1/fs/0/start/0/end/0/c</v>
      </c>
    </row>
    <row r="4001" spans="1:8" x14ac:dyDescent="0.25">
      <c r="A4001">
        <v>651428</v>
      </c>
      <c r="B4001" t="s">
        <v>7684</v>
      </c>
      <c r="C4001" t="s">
        <v>7685</v>
      </c>
      <c r="D4001" t="s">
        <v>139</v>
      </c>
      <c r="E4001" t="s">
        <v>11</v>
      </c>
      <c r="G4001" t="str">
        <f>HYPERLINK(_xlfn.CONCAT("https://tablet.otzar.org/",CHAR(35),"/book/651428/p/-1/t/1/fs/0/start/0/end/0/c"),"שיעורי מורינו הגאון רבי פנחס זליבנסקי - יבמות")</f>
        <v>שיעורי מורינו הגאון רבי פנחס זליבנסקי - יבמות</v>
      </c>
      <c r="H4001" t="str">
        <f>_xlfn.CONCAT("https://tablet.otzar.org/",CHAR(35),"/book/651428/p/-1/t/1/fs/0/start/0/end/0/c")</f>
        <v>https://tablet.otzar.org/#/book/651428/p/-1/t/1/fs/0/start/0/end/0/c</v>
      </c>
    </row>
    <row r="4002" spans="1:8" x14ac:dyDescent="0.25">
      <c r="A4002">
        <v>648796</v>
      </c>
      <c r="B4002" t="s">
        <v>7686</v>
      </c>
      <c r="C4002" t="s">
        <v>7687</v>
      </c>
      <c r="D4002" t="s">
        <v>52</v>
      </c>
      <c r="E4002" t="s">
        <v>35</v>
      </c>
      <c r="G4002" t="str">
        <f>HYPERLINK(_xlfn.CONCAT("https://tablet.otzar.org/",CHAR(35),"/book/648796/p/-1/t/1/fs/0/start/0/end/0/c"),"שיעורי מורנו רבי שמעון אהרן ברזילי - בבא בתרא (השותפין)")</f>
        <v>שיעורי מורנו רבי שמעון אהרן ברזילי - בבא בתרא (השותפין)</v>
      </c>
      <c r="H4002" t="str">
        <f>_xlfn.CONCAT("https://tablet.otzar.org/",CHAR(35),"/book/648796/p/-1/t/1/fs/0/start/0/end/0/c")</f>
        <v>https://tablet.otzar.org/#/book/648796/p/-1/t/1/fs/0/start/0/end/0/c</v>
      </c>
    </row>
    <row r="4003" spans="1:8" x14ac:dyDescent="0.25">
      <c r="A4003">
        <v>647482</v>
      </c>
      <c r="B4003" t="s">
        <v>7688</v>
      </c>
      <c r="C4003" t="s">
        <v>7689</v>
      </c>
      <c r="E4003" t="s">
        <v>7690</v>
      </c>
      <c r="G4003" t="str">
        <f>HYPERLINK(_xlfn.CONCAT("https://tablet.otzar.org/",CHAR(35),"/book/647482/p/-1/t/1/fs/0/start/0/end/0/c"),"שיעורי מסכת סנהדרין")</f>
        <v>שיעורי מסכת סנהדרין</v>
      </c>
      <c r="H4003" t="str">
        <f>_xlfn.CONCAT("https://tablet.otzar.org/",CHAR(35),"/book/647482/p/-1/t/1/fs/0/start/0/end/0/c")</f>
        <v>https://tablet.otzar.org/#/book/647482/p/-1/t/1/fs/0/start/0/end/0/c</v>
      </c>
    </row>
    <row r="4004" spans="1:8" x14ac:dyDescent="0.25">
      <c r="A4004">
        <v>656206</v>
      </c>
      <c r="B4004" t="s">
        <v>7691</v>
      </c>
      <c r="C4004" t="s">
        <v>7692</v>
      </c>
      <c r="D4004" t="s">
        <v>10</v>
      </c>
      <c r="E4004" t="s">
        <v>35</v>
      </c>
      <c r="G4004" t="str">
        <f>HYPERLINK(_xlfn.CONCAT("https://tablet.otzar.org/",CHAR(35),"/book/656206/p/-1/t/1/fs/0/start/0/end/0/c"),"שיעורי מקומות - בבא קמא")</f>
        <v>שיעורי מקומות - בבא קמא</v>
      </c>
      <c r="H4004" t="str">
        <f>_xlfn.CONCAT("https://tablet.otzar.org/",CHAR(35),"/book/656206/p/-1/t/1/fs/0/start/0/end/0/c")</f>
        <v>https://tablet.otzar.org/#/book/656206/p/-1/t/1/fs/0/start/0/end/0/c</v>
      </c>
    </row>
    <row r="4005" spans="1:8" x14ac:dyDescent="0.25">
      <c r="A4005">
        <v>648755</v>
      </c>
      <c r="B4005" t="s">
        <v>7693</v>
      </c>
      <c r="C4005" t="s">
        <v>7694</v>
      </c>
      <c r="D4005" t="s">
        <v>181</v>
      </c>
      <c r="E4005" t="s">
        <v>2368</v>
      </c>
      <c r="G4005" t="str">
        <f>HYPERLINK(_xlfn.CONCAT("https://tablet.otzar.org/",CHAR(35),"/book/648755/p/-1/t/1/fs/0/start/0/end/0/c"),"שיעורי מרנן ראשי הישיבה - כתובות")</f>
        <v>שיעורי מרנן ראשי הישיבה - כתובות</v>
      </c>
      <c r="H4005" t="str">
        <f>_xlfn.CONCAT("https://tablet.otzar.org/",CHAR(35),"/book/648755/p/-1/t/1/fs/0/start/0/end/0/c")</f>
        <v>https://tablet.otzar.org/#/book/648755/p/-1/t/1/fs/0/start/0/end/0/c</v>
      </c>
    </row>
    <row r="4006" spans="1:8" x14ac:dyDescent="0.25">
      <c r="A4006">
        <v>651622</v>
      </c>
      <c r="B4006" t="s">
        <v>7695</v>
      </c>
      <c r="C4006" t="s">
        <v>7696</v>
      </c>
      <c r="D4006" t="s">
        <v>832</v>
      </c>
      <c r="E4006" t="s">
        <v>11</v>
      </c>
      <c r="G4006" t="str">
        <f>HYPERLINK(_xlfn.CONCAT("https://tablet.otzar.org/",CHAR(35),"/book/651622/p/-1/t/1/fs/0/start/0/end/0/c"),"שיעורי משה - ברכות שבת")</f>
        <v>שיעורי משה - ברכות שבת</v>
      </c>
      <c r="H4006" t="str">
        <f>_xlfn.CONCAT("https://tablet.otzar.org/",CHAR(35),"/book/651622/p/-1/t/1/fs/0/start/0/end/0/c")</f>
        <v>https://tablet.otzar.org/#/book/651622/p/-1/t/1/fs/0/start/0/end/0/c</v>
      </c>
    </row>
    <row r="4007" spans="1:8" x14ac:dyDescent="0.25">
      <c r="A4007">
        <v>649896</v>
      </c>
      <c r="B4007" t="s">
        <v>7697</v>
      </c>
      <c r="C4007" t="s">
        <v>7698</v>
      </c>
      <c r="D4007" t="s">
        <v>10</v>
      </c>
      <c r="E4007" t="s">
        <v>1082</v>
      </c>
      <c r="G4007" t="str">
        <f>HYPERLINK(_xlfn.CONCAT("https://tablet.otzar.org/",CHAR(35),"/exKotar/649896"),"שיעורי נתיבות אשר - 7 כרכים")</f>
        <v>שיעורי נתיבות אשר - 7 כרכים</v>
      </c>
      <c r="H4007" t="str">
        <f>_xlfn.CONCAT("https://tablet.otzar.org/",CHAR(35),"/exKotar/649896")</f>
        <v>https://tablet.otzar.org/#/exKotar/649896</v>
      </c>
    </row>
    <row r="4008" spans="1:8" x14ac:dyDescent="0.25">
      <c r="A4008">
        <v>643471</v>
      </c>
      <c r="B4008" t="s">
        <v>7699</v>
      </c>
      <c r="C4008" t="s">
        <v>7700</v>
      </c>
      <c r="D4008" t="s">
        <v>34</v>
      </c>
      <c r="E4008" t="s">
        <v>70</v>
      </c>
      <c r="G4008" t="str">
        <f>HYPERLINK(_xlfn.CONCAT("https://tablet.otzar.org/",CHAR(35),"/book/643471/p/-1/t/1/fs/0/start/0/end/0/c"),"שיעורי עיון התלמוד - ג קידושין, קדשים")</f>
        <v>שיעורי עיון התלמוד - ג קידושין, קדשים</v>
      </c>
      <c r="H4008" t="str">
        <f>_xlfn.CONCAT("https://tablet.otzar.org/",CHAR(35),"/book/643471/p/-1/t/1/fs/0/start/0/end/0/c")</f>
        <v>https://tablet.otzar.org/#/book/643471/p/-1/t/1/fs/0/start/0/end/0/c</v>
      </c>
    </row>
    <row r="4009" spans="1:8" x14ac:dyDescent="0.25">
      <c r="A4009">
        <v>656124</v>
      </c>
      <c r="B4009" t="s">
        <v>7701</v>
      </c>
      <c r="C4009" t="s">
        <v>2438</v>
      </c>
      <c r="D4009" t="s">
        <v>52</v>
      </c>
      <c r="E4009" t="s">
        <v>657</v>
      </c>
      <c r="G4009" t="str">
        <f>HYPERLINK(_xlfn.CONCAT("https://tablet.otzar.org/",CHAR(35),"/book/656124/p/-1/t/1/fs/0/start/0/end/0/c"),"שיעורי פסח")</f>
        <v>שיעורי פסח</v>
      </c>
      <c r="H4009" t="str">
        <f>_xlfn.CONCAT("https://tablet.otzar.org/",CHAR(35),"/book/656124/p/-1/t/1/fs/0/start/0/end/0/c")</f>
        <v>https://tablet.otzar.org/#/book/656124/p/-1/t/1/fs/0/start/0/end/0/c</v>
      </c>
    </row>
    <row r="4010" spans="1:8" x14ac:dyDescent="0.25">
      <c r="A4010">
        <v>652450</v>
      </c>
      <c r="B4010" t="s">
        <v>7702</v>
      </c>
      <c r="C4010" t="s">
        <v>7703</v>
      </c>
      <c r="D4010" t="s">
        <v>10</v>
      </c>
      <c r="E4010" t="s">
        <v>35</v>
      </c>
      <c r="G4010" t="str">
        <f>HYPERLINK(_xlfn.CONCAT("https://tablet.otzar.org/",CHAR(35),"/exKotar/652450"),"שיעורי רבי אליהו ברוך - 2 כרכים")</f>
        <v>שיעורי רבי אליהו ברוך - 2 כרכים</v>
      </c>
      <c r="H4010" t="str">
        <f>_xlfn.CONCAT("https://tablet.otzar.org/",CHAR(35),"/exKotar/652450")</f>
        <v>https://tablet.otzar.org/#/exKotar/652450</v>
      </c>
    </row>
    <row r="4011" spans="1:8" x14ac:dyDescent="0.25">
      <c r="A4011">
        <v>649719</v>
      </c>
      <c r="B4011" t="s">
        <v>7704</v>
      </c>
      <c r="C4011" t="s">
        <v>7705</v>
      </c>
      <c r="E4011" t="s">
        <v>213</v>
      </c>
      <c r="G4011" t="str">
        <f>HYPERLINK(_xlfn.CONCAT("https://tablet.otzar.org/",CHAR(35),"/book/649719/p/-1/t/1/fs/0/start/0/end/0/c"),"שיעורי רבי אשר - גיטין")</f>
        <v>שיעורי רבי אשר - גיטין</v>
      </c>
      <c r="H4011" t="str">
        <f>_xlfn.CONCAT("https://tablet.otzar.org/",CHAR(35),"/book/649719/p/-1/t/1/fs/0/start/0/end/0/c")</f>
        <v>https://tablet.otzar.org/#/book/649719/p/-1/t/1/fs/0/start/0/end/0/c</v>
      </c>
    </row>
    <row r="4012" spans="1:8" x14ac:dyDescent="0.25">
      <c r="A4012">
        <v>639838</v>
      </c>
      <c r="B4012" t="s">
        <v>7706</v>
      </c>
      <c r="C4012" t="s">
        <v>7707</v>
      </c>
      <c r="D4012" t="s">
        <v>34</v>
      </c>
      <c r="E4012" t="s">
        <v>84</v>
      </c>
      <c r="G4012" t="str">
        <f>HYPERLINK(_xlfn.CONCAT("https://tablet.otzar.org/",CHAR(35),"/book/639838/p/-1/t/1/fs/0/start/0/end/0/c"),"שיעורי רבי יעקב משה ליבוביץ - קידושין")</f>
        <v>שיעורי רבי יעקב משה ליבוביץ - קידושין</v>
      </c>
      <c r="H4012" t="str">
        <f>_xlfn.CONCAT("https://tablet.otzar.org/",CHAR(35),"/book/639838/p/-1/t/1/fs/0/start/0/end/0/c")</f>
        <v>https://tablet.otzar.org/#/book/639838/p/-1/t/1/fs/0/start/0/end/0/c</v>
      </c>
    </row>
    <row r="4013" spans="1:8" x14ac:dyDescent="0.25">
      <c r="A4013">
        <v>649801</v>
      </c>
      <c r="B4013" t="s">
        <v>7708</v>
      </c>
      <c r="C4013" t="s">
        <v>7709</v>
      </c>
      <c r="D4013" t="s">
        <v>52</v>
      </c>
      <c r="E4013" t="s">
        <v>62</v>
      </c>
      <c r="G4013" t="str">
        <f>HYPERLINK(_xlfn.CONCAT("https://tablet.otzar.org/",CHAR(35),"/book/649801/p/-1/t/1/fs/0/start/0/end/0/c"),"שיעורי רבי ישראל - בבא קמא")</f>
        <v>שיעורי רבי ישראל - בבא קמא</v>
      </c>
      <c r="H4013" t="str">
        <f>_xlfn.CONCAT("https://tablet.otzar.org/",CHAR(35),"/book/649801/p/-1/t/1/fs/0/start/0/end/0/c")</f>
        <v>https://tablet.otzar.org/#/book/649801/p/-1/t/1/fs/0/start/0/end/0/c</v>
      </c>
    </row>
    <row r="4014" spans="1:8" x14ac:dyDescent="0.25">
      <c r="A4014">
        <v>650604</v>
      </c>
      <c r="B4014" t="s">
        <v>7710</v>
      </c>
      <c r="C4014" t="s">
        <v>7711</v>
      </c>
      <c r="D4014" t="s">
        <v>70</v>
      </c>
      <c r="E4014" t="s">
        <v>1364</v>
      </c>
      <c r="G4014" t="str">
        <f>HYPERLINK(_xlfn.CONCAT("https://tablet.otzar.org/",CHAR(35),"/book/650604/p/-1/t/1/fs/0/start/0/end/0/c"),"שיעורי רבינו הגאון הרב פסח שטיין שליט""""א - חולין")</f>
        <v>שיעורי רבינו הגאון הרב פסח שטיין שליט""א - חולין</v>
      </c>
      <c r="H4014" t="str">
        <f>_xlfn.CONCAT("https://tablet.otzar.org/",CHAR(35),"/book/650604/p/-1/t/1/fs/0/start/0/end/0/c")</f>
        <v>https://tablet.otzar.org/#/book/650604/p/-1/t/1/fs/0/start/0/end/0/c</v>
      </c>
    </row>
    <row r="4015" spans="1:8" x14ac:dyDescent="0.25">
      <c r="A4015">
        <v>654906</v>
      </c>
      <c r="B4015" t="s">
        <v>7712</v>
      </c>
      <c r="C4015" t="s">
        <v>3527</v>
      </c>
      <c r="D4015" t="s">
        <v>34</v>
      </c>
      <c r="E4015" t="s">
        <v>320</v>
      </c>
      <c r="G4015" t="str">
        <f>HYPERLINK(_xlfn.CONCAT("https://tablet.otzar.org/",CHAR(35),"/book/654906/p/-1/t/1/fs/0/start/0/end/0/c"),"שיעורי תורה לרופאים - ו")</f>
        <v>שיעורי תורה לרופאים - ו</v>
      </c>
      <c r="H4015" t="str">
        <f>_xlfn.CONCAT("https://tablet.otzar.org/",CHAR(35),"/book/654906/p/-1/t/1/fs/0/start/0/end/0/c")</f>
        <v>https://tablet.otzar.org/#/book/654906/p/-1/t/1/fs/0/start/0/end/0/c</v>
      </c>
    </row>
    <row r="4016" spans="1:8" x14ac:dyDescent="0.25">
      <c r="A4016">
        <v>650382</v>
      </c>
      <c r="B4016" t="s">
        <v>7713</v>
      </c>
      <c r="C4016" t="s">
        <v>7714</v>
      </c>
      <c r="D4016" t="s">
        <v>573</v>
      </c>
      <c r="E4016" t="s">
        <v>11</v>
      </c>
      <c r="G4016" t="str">
        <f>HYPERLINK(_xlfn.CONCAT("https://tablet.otzar.org/",CHAR(35),"/exKotar/650382"),"שיעורים - 2 כרכים")</f>
        <v>שיעורים - 2 כרכים</v>
      </c>
      <c r="H4016" t="str">
        <f>_xlfn.CONCAT("https://tablet.otzar.org/",CHAR(35),"/exKotar/650382")</f>
        <v>https://tablet.otzar.org/#/exKotar/650382</v>
      </c>
    </row>
    <row r="4017" spans="1:8" x14ac:dyDescent="0.25">
      <c r="A4017">
        <v>651781</v>
      </c>
      <c r="B4017" t="s">
        <v>7715</v>
      </c>
      <c r="C4017" t="s">
        <v>1670</v>
      </c>
      <c r="D4017" t="s">
        <v>10</v>
      </c>
      <c r="E4017" t="s">
        <v>70</v>
      </c>
      <c r="G4017" t="str">
        <f>HYPERLINK(_xlfn.CONCAT("https://tablet.otzar.org/",CHAR(35),"/book/651781/p/-1/t/1/fs/0/start/0/end/0/c"),"שיעורים בהלכות פורים")</f>
        <v>שיעורים בהלכות פורים</v>
      </c>
      <c r="H4017" t="str">
        <f>_xlfn.CONCAT("https://tablet.otzar.org/",CHAR(35),"/book/651781/p/-1/t/1/fs/0/start/0/end/0/c")</f>
        <v>https://tablet.otzar.org/#/book/651781/p/-1/t/1/fs/0/start/0/end/0/c</v>
      </c>
    </row>
    <row r="4018" spans="1:8" x14ac:dyDescent="0.25">
      <c r="A4018">
        <v>652322</v>
      </c>
      <c r="B4018" t="s">
        <v>7716</v>
      </c>
      <c r="C4018" t="s">
        <v>7717</v>
      </c>
      <c r="D4018" t="s">
        <v>951</v>
      </c>
      <c r="E4018" t="s">
        <v>70</v>
      </c>
      <c r="G4018" t="str">
        <f>HYPERLINK(_xlfn.CONCAT("https://tablet.otzar.org/",CHAR(35),"/exKotar/652322"),"שיעורים בהמשך המאמרים בשעה שהקדימו תער""""ב - 4 כרכים")</f>
        <v>שיעורים בהמשך המאמרים בשעה שהקדימו תער""ב - 4 כרכים</v>
      </c>
      <c r="H4018" t="str">
        <f>_xlfn.CONCAT("https://tablet.otzar.org/",CHAR(35),"/exKotar/652322")</f>
        <v>https://tablet.otzar.org/#/exKotar/652322</v>
      </c>
    </row>
    <row r="4019" spans="1:8" x14ac:dyDescent="0.25">
      <c r="A4019">
        <v>649841</v>
      </c>
      <c r="B4019" t="s">
        <v>7718</v>
      </c>
      <c r="C4019" t="s">
        <v>7719</v>
      </c>
      <c r="D4019" t="s">
        <v>10</v>
      </c>
      <c r="E4019" t="s">
        <v>191</v>
      </c>
      <c r="G4019" t="str">
        <f>HYPERLINK(_xlfn.CONCAT("https://tablet.otzar.org/",CHAR(35),"/book/649841/p/-1/t/1/fs/0/start/0/end/0/c"),"שיעורים במסכת בבא בתרא")</f>
        <v>שיעורים במסכת בבא בתרא</v>
      </c>
      <c r="H4019" t="str">
        <f>_xlfn.CONCAT("https://tablet.otzar.org/",CHAR(35),"/book/649841/p/-1/t/1/fs/0/start/0/end/0/c")</f>
        <v>https://tablet.otzar.org/#/book/649841/p/-1/t/1/fs/0/start/0/end/0/c</v>
      </c>
    </row>
    <row r="4020" spans="1:8" x14ac:dyDescent="0.25">
      <c r="A4020">
        <v>651896</v>
      </c>
      <c r="B4020" t="s">
        <v>7720</v>
      </c>
      <c r="C4020" t="s">
        <v>7721</v>
      </c>
      <c r="E4020" t="s">
        <v>736</v>
      </c>
      <c r="G4020" t="str">
        <f>HYPERLINK(_xlfn.CONCAT("https://tablet.otzar.org/",CHAR(35),"/book/651896/p/-1/t/1/fs/0/start/0/end/0/c"),"שיעורים במסכת כתובות")</f>
        <v>שיעורים במסכת כתובות</v>
      </c>
      <c r="H4020" t="str">
        <f>_xlfn.CONCAT("https://tablet.otzar.org/",CHAR(35),"/book/651896/p/-1/t/1/fs/0/start/0/end/0/c")</f>
        <v>https://tablet.otzar.org/#/book/651896/p/-1/t/1/fs/0/start/0/end/0/c</v>
      </c>
    </row>
    <row r="4021" spans="1:8" x14ac:dyDescent="0.25">
      <c r="A4021">
        <v>651953</v>
      </c>
      <c r="B4021" t="s">
        <v>7722</v>
      </c>
      <c r="C4021" t="s">
        <v>7723</v>
      </c>
      <c r="D4021" t="s">
        <v>340</v>
      </c>
      <c r="E4021" t="s">
        <v>1082</v>
      </c>
      <c r="G4021" t="str">
        <f>HYPERLINK(_xlfn.CONCAT("https://tablet.otzar.org/",CHAR(35),"/exKotar/651953"),"שיעורים במסכת קידושין - 2 כרכים")</f>
        <v>שיעורים במסכת קידושין - 2 כרכים</v>
      </c>
      <c r="H4021" t="str">
        <f>_xlfn.CONCAT("https://tablet.otzar.org/",CHAR(35),"/exKotar/651953")</f>
        <v>https://tablet.otzar.org/#/exKotar/651953</v>
      </c>
    </row>
    <row r="4022" spans="1:8" x14ac:dyDescent="0.25">
      <c r="A4022">
        <v>647709</v>
      </c>
      <c r="B4022" t="s">
        <v>7724</v>
      </c>
      <c r="C4022" t="s">
        <v>7653</v>
      </c>
      <c r="D4022" t="s">
        <v>52</v>
      </c>
      <c r="E4022" t="s">
        <v>35</v>
      </c>
      <c r="G4022" t="str">
        <f>HYPERLINK(_xlfn.CONCAT("https://tablet.otzar.org/",CHAR(35),"/book/647709/p/-1/t/1/fs/0/start/0/end/0/c"),"שיעורים במסכת שבועות")</f>
        <v>שיעורים במסכת שבועות</v>
      </c>
      <c r="H4022" t="str">
        <f>_xlfn.CONCAT("https://tablet.otzar.org/",CHAR(35),"/book/647709/p/-1/t/1/fs/0/start/0/end/0/c")</f>
        <v>https://tablet.otzar.org/#/book/647709/p/-1/t/1/fs/0/start/0/end/0/c</v>
      </c>
    </row>
    <row r="4023" spans="1:8" x14ac:dyDescent="0.25">
      <c r="A4023">
        <v>652918</v>
      </c>
      <c r="B4023" t="s">
        <v>7725</v>
      </c>
      <c r="C4023" t="s">
        <v>7726</v>
      </c>
      <c r="D4023" t="s">
        <v>10</v>
      </c>
      <c r="E4023" t="s">
        <v>914</v>
      </c>
      <c r="G4023" t="str">
        <f>HYPERLINK(_xlfn.CONCAT("https://tablet.otzar.org/",CHAR(35),"/book/652918/p/-1/t/1/fs/0/start/0/end/0/c"),"שיעורים במשנה - ר""""ה, תענית, מגילה")</f>
        <v>שיעורים במשנה - ר""ה, תענית, מגילה</v>
      </c>
      <c r="H4023" t="str">
        <f>_xlfn.CONCAT("https://tablet.otzar.org/",CHAR(35),"/book/652918/p/-1/t/1/fs/0/start/0/end/0/c")</f>
        <v>https://tablet.otzar.org/#/book/652918/p/-1/t/1/fs/0/start/0/end/0/c</v>
      </c>
    </row>
    <row r="4024" spans="1:8" x14ac:dyDescent="0.25">
      <c r="A4024">
        <v>656121</v>
      </c>
      <c r="B4024" t="s">
        <v>7727</v>
      </c>
      <c r="C4024" t="s">
        <v>2438</v>
      </c>
      <c r="D4024" t="s">
        <v>52</v>
      </c>
      <c r="E4024" t="s">
        <v>45</v>
      </c>
      <c r="G4024" t="str">
        <f>HYPERLINK(_xlfn.CONCAT("https://tablet.otzar.org/",CHAR(35),"/book/656121/p/-1/t/1/fs/0/start/0/end/0/c"),"שיעורים בעניני מוקצה")</f>
        <v>שיעורים בעניני מוקצה</v>
      </c>
      <c r="H4024" t="str">
        <f>_xlfn.CONCAT("https://tablet.otzar.org/",CHAR(35),"/book/656121/p/-1/t/1/fs/0/start/0/end/0/c")</f>
        <v>https://tablet.otzar.org/#/book/656121/p/-1/t/1/fs/0/start/0/end/0/c</v>
      </c>
    </row>
    <row r="4025" spans="1:8" x14ac:dyDescent="0.25">
      <c r="A4025">
        <v>647938</v>
      </c>
      <c r="B4025" t="s">
        <v>7728</v>
      </c>
      <c r="C4025" t="s">
        <v>7729</v>
      </c>
      <c r="D4025" t="s">
        <v>52</v>
      </c>
      <c r="E4025" t="s">
        <v>11</v>
      </c>
      <c r="G4025" t="str">
        <f>HYPERLINK(_xlfn.CONCAT("https://tablet.otzar.org/",CHAR(35),"/book/647938/p/-1/t/1/fs/0/start/0/end/0/c"),"שיעורים וכתבים - אורח חיים ויורה דעה")</f>
        <v>שיעורים וכתבים - אורח חיים ויורה דעה</v>
      </c>
      <c r="H4025" t="str">
        <f>_xlfn.CONCAT("https://tablet.otzar.org/",CHAR(35),"/book/647938/p/-1/t/1/fs/0/start/0/end/0/c")</f>
        <v>https://tablet.otzar.org/#/book/647938/p/-1/t/1/fs/0/start/0/end/0/c</v>
      </c>
    </row>
    <row r="4026" spans="1:8" x14ac:dyDescent="0.25">
      <c r="A4026">
        <v>649470</v>
      </c>
      <c r="B4026" t="s">
        <v>7730</v>
      </c>
      <c r="C4026" t="s">
        <v>7729</v>
      </c>
      <c r="D4026" t="s">
        <v>34</v>
      </c>
      <c r="E4026" t="s">
        <v>11</v>
      </c>
      <c r="G4026" t="str">
        <f>HYPERLINK(_xlfn.CONCAT("https://tablet.otzar.org/",CHAR(35),"/exKotar/649470"),"שיעורים וכתבים, זרעים - 2 כרכים")</f>
        <v>שיעורים וכתבים, זרעים - 2 כרכים</v>
      </c>
      <c r="H4026" t="str">
        <f>_xlfn.CONCAT("https://tablet.otzar.org/",CHAR(35),"/exKotar/649470")</f>
        <v>https://tablet.otzar.org/#/exKotar/649470</v>
      </c>
    </row>
    <row r="4027" spans="1:8" x14ac:dyDescent="0.25">
      <c r="A4027">
        <v>653437</v>
      </c>
      <c r="B4027" t="s">
        <v>7731</v>
      </c>
      <c r="C4027" t="s">
        <v>7729</v>
      </c>
      <c r="D4027" t="s">
        <v>34</v>
      </c>
      <c r="E4027" t="s">
        <v>70</v>
      </c>
      <c r="G4027" t="str">
        <f>HYPERLINK(_xlfn.CONCAT("https://tablet.otzar.org/",CHAR(35),"/book/653437/p/-1/t/1/fs/0/start/0/end/0/c"),"שיעורים וכתבים, נזיקין - בבא בתרא")</f>
        <v>שיעורים וכתבים, נזיקין - בבא בתרא</v>
      </c>
      <c r="H4027" t="str">
        <f>_xlfn.CONCAT("https://tablet.otzar.org/",CHAR(35),"/book/653437/p/-1/t/1/fs/0/start/0/end/0/c")</f>
        <v>https://tablet.otzar.org/#/book/653437/p/-1/t/1/fs/0/start/0/end/0/c</v>
      </c>
    </row>
    <row r="4028" spans="1:8" x14ac:dyDescent="0.25">
      <c r="A4028">
        <v>647917</v>
      </c>
      <c r="B4028" t="s">
        <v>7732</v>
      </c>
      <c r="C4028" t="s">
        <v>7729</v>
      </c>
      <c r="D4028" t="s">
        <v>34</v>
      </c>
      <c r="E4028" t="s">
        <v>70</v>
      </c>
      <c r="G4028" t="str">
        <f>HYPERLINK(_xlfn.CONCAT("https://tablet.otzar.org/",CHAR(35),"/book/647917/p/-1/t/1/fs/0/start/0/end/0/c"),"שיעורים וכתבים, נשים - גיטין")</f>
        <v>שיעורים וכתבים, נשים - גיטין</v>
      </c>
      <c r="H4028" t="str">
        <f>_xlfn.CONCAT("https://tablet.otzar.org/",CHAR(35),"/book/647917/p/-1/t/1/fs/0/start/0/end/0/c")</f>
        <v>https://tablet.otzar.org/#/book/647917/p/-1/t/1/fs/0/start/0/end/0/c</v>
      </c>
    </row>
    <row r="4029" spans="1:8" x14ac:dyDescent="0.25">
      <c r="A4029">
        <v>650658</v>
      </c>
      <c r="B4029" t="s">
        <v>7733</v>
      </c>
      <c r="C4029" t="s">
        <v>7734</v>
      </c>
      <c r="D4029" t="s">
        <v>10</v>
      </c>
      <c r="E4029" t="s">
        <v>35</v>
      </c>
      <c r="G4029" t="str">
        <f>HYPERLINK(_xlfn.CONCAT("https://tablet.otzar.org/",CHAR(35),"/exKotar/650658"),"שיעורים כללים - 3 כרכים")</f>
        <v>שיעורים כללים - 3 כרכים</v>
      </c>
      <c r="H4029" t="str">
        <f>_xlfn.CONCAT("https://tablet.otzar.org/",CHAR(35),"/exKotar/650658")</f>
        <v>https://tablet.otzar.org/#/exKotar/650658</v>
      </c>
    </row>
    <row r="4030" spans="1:8" x14ac:dyDescent="0.25">
      <c r="A4030">
        <v>637815</v>
      </c>
      <c r="B4030" t="s">
        <v>7735</v>
      </c>
      <c r="C4030" t="s">
        <v>7736</v>
      </c>
      <c r="D4030" t="s">
        <v>52</v>
      </c>
      <c r="E4030" t="s">
        <v>117</v>
      </c>
      <c r="G4030" t="str">
        <f>HYPERLINK(_xlfn.CONCAT("https://tablet.otzar.org/",CHAR(35),"/exKotar/637815"),"שיעורים עפ""""י הגרי""""ג - 2 כרכים")</f>
        <v>שיעורים עפ""י הגרי""ג - 2 כרכים</v>
      </c>
      <c r="H4030" t="str">
        <f>_xlfn.CONCAT("https://tablet.otzar.org/",CHAR(35),"/exKotar/637815")</f>
        <v>https://tablet.otzar.org/#/exKotar/637815</v>
      </c>
    </row>
    <row r="4031" spans="1:8" x14ac:dyDescent="0.25">
      <c r="A4031">
        <v>165592</v>
      </c>
      <c r="B4031" t="s">
        <v>7737</v>
      </c>
      <c r="C4031" t="s">
        <v>7738</v>
      </c>
      <c r="D4031" t="s">
        <v>10</v>
      </c>
      <c r="E4031" t="s">
        <v>2534</v>
      </c>
      <c r="G4031" t="str">
        <f>HYPERLINK(_xlfn.CONCAT("https://tablet.otzar.org/",CHAR(35),"/book/165592/p/-1/t/1/fs/0/start/0/end/0/c"),"שיר בר יוחאי עם באור ומקורות")</f>
        <v>שיר בר יוחאי עם באור ומקורות</v>
      </c>
      <c r="H4031" t="str">
        <f>_xlfn.CONCAT("https://tablet.otzar.org/",CHAR(35),"/book/165592/p/-1/t/1/fs/0/start/0/end/0/c")</f>
        <v>https://tablet.otzar.org/#/book/165592/p/-1/t/1/fs/0/start/0/end/0/c</v>
      </c>
    </row>
    <row r="4032" spans="1:8" x14ac:dyDescent="0.25">
      <c r="A4032">
        <v>643956</v>
      </c>
      <c r="B4032" t="s">
        <v>7739</v>
      </c>
      <c r="C4032" t="s">
        <v>3269</v>
      </c>
      <c r="E4032" t="s">
        <v>191</v>
      </c>
      <c r="G4032" t="str">
        <f>HYPERLINK(_xlfn.CONCAT("https://tablet.otzar.org/",CHAR(35),"/book/643956/p/-1/t/1/fs/0/start/0/end/0/c"),"שיר השירים &lt;צרור המור&gt;")</f>
        <v>שיר השירים &lt;צרור המור&gt;</v>
      </c>
      <c r="H4032" t="str">
        <f>_xlfn.CONCAT("https://tablet.otzar.org/",CHAR(35),"/book/643956/p/-1/t/1/fs/0/start/0/end/0/c")</f>
        <v>https://tablet.otzar.org/#/book/643956/p/-1/t/1/fs/0/start/0/end/0/c</v>
      </c>
    </row>
    <row r="4033" spans="1:8" x14ac:dyDescent="0.25">
      <c r="A4033">
        <v>654919</v>
      </c>
      <c r="B4033" t="s">
        <v>7740</v>
      </c>
      <c r="C4033" t="s">
        <v>305</v>
      </c>
      <c r="D4033" t="s">
        <v>10</v>
      </c>
      <c r="E4033" t="s">
        <v>45</v>
      </c>
      <c r="G4033" t="str">
        <f>HYPERLINK(_xlfn.CONCAT("https://tablet.otzar.org/",CHAR(35),"/book/654919/p/-1/t/1/fs/0/start/0/end/0/c"),"שיר השירים עם דברי שיר")</f>
        <v>שיר השירים עם דברי שיר</v>
      </c>
      <c r="H4033" t="str">
        <f>_xlfn.CONCAT("https://tablet.otzar.org/",CHAR(35),"/book/654919/p/-1/t/1/fs/0/start/0/end/0/c")</f>
        <v>https://tablet.otzar.org/#/book/654919/p/-1/t/1/fs/0/start/0/end/0/c</v>
      </c>
    </row>
    <row r="4034" spans="1:8" x14ac:dyDescent="0.25">
      <c r="A4034">
        <v>649441</v>
      </c>
      <c r="B4034" t="s">
        <v>7741</v>
      </c>
      <c r="C4034" t="s">
        <v>7742</v>
      </c>
      <c r="D4034" t="s">
        <v>10</v>
      </c>
      <c r="E4034" t="s">
        <v>5773</v>
      </c>
      <c r="G4034" t="str">
        <f>HYPERLINK(_xlfn.CONCAT("https://tablet.otzar.org/",CHAR(35),"/book/649441/p/-1/t/1/fs/0/start/0/end/0/c"),"שיר השירים עם פרישת יצחק אהרן")</f>
        <v>שיר השירים עם פרישת יצחק אהרן</v>
      </c>
      <c r="H4034" t="str">
        <f>_xlfn.CONCAT("https://tablet.otzar.org/",CHAR(35),"/book/649441/p/-1/t/1/fs/0/start/0/end/0/c")</f>
        <v>https://tablet.otzar.org/#/book/649441/p/-1/t/1/fs/0/start/0/end/0/c</v>
      </c>
    </row>
    <row r="4035" spans="1:8" x14ac:dyDescent="0.25">
      <c r="A4035">
        <v>648445</v>
      </c>
      <c r="B4035" t="s">
        <v>7743</v>
      </c>
      <c r="C4035" t="s">
        <v>7744</v>
      </c>
      <c r="D4035" t="s">
        <v>10</v>
      </c>
      <c r="E4035" t="s">
        <v>257</v>
      </c>
      <c r="G4035" t="str">
        <f>HYPERLINK(_xlfn.CONCAT("https://tablet.otzar.org/",CHAR(35),"/book/648445/p/-1/t/1/fs/0/start/0/end/0/c"),"שיר השירים תרגום ארמי - תרגום עברי תפסיר בלשון יהודי פרס")</f>
        <v>שיר השירים תרגום ארמי - תרגום עברי תפסיר בלשון יהודי פרס</v>
      </c>
      <c r="H4035" t="str">
        <f>_xlfn.CONCAT("https://tablet.otzar.org/",CHAR(35),"/book/648445/p/-1/t/1/fs/0/start/0/end/0/c")</f>
        <v>https://tablet.otzar.org/#/book/648445/p/-1/t/1/fs/0/start/0/end/0/c</v>
      </c>
    </row>
    <row r="4036" spans="1:8" x14ac:dyDescent="0.25">
      <c r="A4036">
        <v>652005</v>
      </c>
      <c r="B4036" t="s">
        <v>7745</v>
      </c>
      <c r="C4036" t="s">
        <v>7746</v>
      </c>
      <c r="D4036" t="s">
        <v>6919</v>
      </c>
      <c r="E4036" t="s">
        <v>2648</v>
      </c>
      <c r="G4036" t="str">
        <f>HYPERLINK(_xlfn.CONCAT("https://tablet.otzar.org/",CHAR(35),"/book/652005/p/-1/t/1/fs/0/start/0/end/0/c"),"שיר ושבחה הלל וזמרה")</f>
        <v>שיר ושבחה הלל וזמרה</v>
      </c>
      <c r="H4036" t="str">
        <f>_xlfn.CONCAT("https://tablet.otzar.org/",CHAR(35),"/book/652005/p/-1/t/1/fs/0/start/0/end/0/c")</f>
        <v>https://tablet.otzar.org/#/book/652005/p/-1/t/1/fs/0/start/0/end/0/c</v>
      </c>
    </row>
    <row r="4037" spans="1:8" x14ac:dyDescent="0.25">
      <c r="A4037">
        <v>641662</v>
      </c>
      <c r="B4037" t="s">
        <v>7747</v>
      </c>
      <c r="C4037" t="s">
        <v>7748</v>
      </c>
      <c r="D4037" t="s">
        <v>39</v>
      </c>
      <c r="E4037" t="s">
        <v>435</v>
      </c>
      <c r="G4037" t="str">
        <f>HYPERLINK(_xlfn.CONCAT("https://tablet.otzar.org/",CHAR(35),"/book/641662/p/-1/t/1/fs/0/start/0/end/0/c"),"שירי זמרה")</f>
        <v>שירי זמרה</v>
      </c>
      <c r="H4037" t="str">
        <f>_xlfn.CONCAT("https://tablet.otzar.org/",CHAR(35),"/book/641662/p/-1/t/1/fs/0/start/0/end/0/c")</f>
        <v>https://tablet.otzar.org/#/book/641662/p/-1/t/1/fs/0/start/0/end/0/c</v>
      </c>
    </row>
    <row r="4038" spans="1:8" x14ac:dyDescent="0.25">
      <c r="A4038">
        <v>647696</v>
      </c>
      <c r="B4038" t="s">
        <v>7749</v>
      </c>
      <c r="C4038" t="s">
        <v>4932</v>
      </c>
      <c r="D4038" t="s">
        <v>34</v>
      </c>
      <c r="E4038" t="s">
        <v>11</v>
      </c>
      <c r="G4038" t="str">
        <f>HYPERLINK(_xlfn.CONCAT("https://tablet.otzar.org/",CHAR(35),"/book/647696/p/-1/t/1/fs/0/start/0/end/0/c"),"שירת אליעזר")</f>
        <v>שירת אליעזר</v>
      </c>
      <c r="H4038" t="str">
        <f>_xlfn.CONCAT("https://tablet.otzar.org/",CHAR(35),"/book/647696/p/-1/t/1/fs/0/start/0/end/0/c")</f>
        <v>https://tablet.otzar.org/#/book/647696/p/-1/t/1/fs/0/start/0/end/0/c</v>
      </c>
    </row>
    <row r="4039" spans="1:8" x14ac:dyDescent="0.25">
      <c r="A4039">
        <v>652842</v>
      </c>
      <c r="B4039" t="s">
        <v>7750</v>
      </c>
      <c r="C4039" t="s">
        <v>7751</v>
      </c>
      <c r="D4039" t="s">
        <v>34</v>
      </c>
      <c r="E4039" t="s">
        <v>70</v>
      </c>
      <c r="G4039" t="str">
        <f>HYPERLINK(_xlfn.CONCAT("https://tablet.otzar.org/",CHAR(35),"/book/652842/p/-1/t/1/fs/0/start/0/end/0/c"),"שירת בנייך")</f>
        <v>שירת בנייך</v>
      </c>
      <c r="H4039" t="str">
        <f>_xlfn.CONCAT("https://tablet.otzar.org/",CHAR(35),"/book/652842/p/-1/t/1/fs/0/start/0/end/0/c")</f>
        <v>https://tablet.otzar.org/#/book/652842/p/-1/t/1/fs/0/start/0/end/0/c</v>
      </c>
    </row>
    <row r="4040" spans="1:8" x14ac:dyDescent="0.25">
      <c r="A4040">
        <v>650722</v>
      </c>
      <c r="B4040" t="s">
        <v>7752</v>
      </c>
      <c r="C4040" t="s">
        <v>7753</v>
      </c>
      <c r="E4040" t="s">
        <v>352</v>
      </c>
      <c r="G4040" t="str">
        <f>HYPERLINK(_xlfn.CONCAT("https://tablet.otzar.org/",CHAR(35),"/book/650722/p/-1/t/1/fs/0/start/0/end/0/c"),"שירת הים - פירות האילן")</f>
        <v>שירת הים - פירות האילן</v>
      </c>
      <c r="H4040" t="str">
        <f>_xlfn.CONCAT("https://tablet.otzar.org/",CHAR(35),"/book/650722/p/-1/t/1/fs/0/start/0/end/0/c")</f>
        <v>https://tablet.otzar.org/#/book/650722/p/-1/t/1/fs/0/start/0/end/0/c</v>
      </c>
    </row>
    <row r="4041" spans="1:8" x14ac:dyDescent="0.25">
      <c r="A4041">
        <v>649418</v>
      </c>
      <c r="B4041" t="s">
        <v>7754</v>
      </c>
      <c r="C4041" t="s">
        <v>7755</v>
      </c>
      <c r="D4041" t="s">
        <v>3574</v>
      </c>
      <c r="E4041" t="s">
        <v>84</v>
      </c>
      <c r="G4041" t="str">
        <f>HYPERLINK(_xlfn.CONCAT("https://tablet.otzar.org/",CHAR(35),"/exKotar/649418"),"שירת הים - 2 כרכים")</f>
        <v>שירת הים - 2 כרכים</v>
      </c>
      <c r="H4041" t="str">
        <f>_xlfn.CONCAT("https://tablet.otzar.org/",CHAR(35),"/exKotar/649418")</f>
        <v>https://tablet.otzar.org/#/exKotar/649418</v>
      </c>
    </row>
    <row r="4042" spans="1:8" x14ac:dyDescent="0.25">
      <c r="A4042">
        <v>651738</v>
      </c>
      <c r="B4042" t="s">
        <v>7756</v>
      </c>
      <c r="C4042" t="s">
        <v>7757</v>
      </c>
      <c r="D4042" t="s">
        <v>52</v>
      </c>
      <c r="E4042" t="s">
        <v>45</v>
      </c>
      <c r="G4042" t="str">
        <f>HYPERLINK(_xlfn.CONCAT("https://tablet.otzar.org/",CHAR(35),"/book/651738/p/-1/t/1/fs/0/start/0/end/0/c"),"שירת המועדים - פורים")</f>
        <v>שירת המועדים - פורים</v>
      </c>
      <c r="H4042" t="str">
        <f>_xlfn.CONCAT("https://tablet.otzar.org/",CHAR(35),"/book/651738/p/-1/t/1/fs/0/start/0/end/0/c")</f>
        <v>https://tablet.otzar.org/#/book/651738/p/-1/t/1/fs/0/start/0/end/0/c</v>
      </c>
    </row>
    <row r="4043" spans="1:8" x14ac:dyDescent="0.25">
      <c r="A4043">
        <v>649139</v>
      </c>
      <c r="B4043" t="s">
        <v>7758</v>
      </c>
      <c r="C4043" t="s">
        <v>7759</v>
      </c>
      <c r="D4043" t="s">
        <v>7760</v>
      </c>
      <c r="E4043" t="s">
        <v>710</v>
      </c>
      <c r="G4043" t="str">
        <f>HYPERLINK(_xlfn.CONCAT("https://tablet.otzar.org/",CHAR(35),"/book/649139/p/-1/t/1/fs/0/start/0/end/0/c"),"שירת הקדש בדרום מזרח אירופה")</f>
        <v>שירת הקדש בדרום מזרח אירופה</v>
      </c>
      <c r="H4043" t="str">
        <f>_xlfn.CONCAT("https://tablet.otzar.org/",CHAR(35),"/book/649139/p/-1/t/1/fs/0/start/0/end/0/c")</f>
        <v>https://tablet.otzar.org/#/book/649139/p/-1/t/1/fs/0/start/0/end/0/c</v>
      </c>
    </row>
    <row r="4044" spans="1:8" x14ac:dyDescent="0.25">
      <c r="A4044">
        <v>649231</v>
      </c>
      <c r="B4044" t="s">
        <v>7761</v>
      </c>
      <c r="C4044" t="s">
        <v>7757</v>
      </c>
      <c r="D4044" t="s">
        <v>34</v>
      </c>
      <c r="E4044" t="s">
        <v>11</v>
      </c>
      <c r="G4044" t="str">
        <f>HYPERLINK(_xlfn.CONCAT("https://tablet.otzar.org/",CHAR(35),"/book/649231/p/-1/t/1/fs/0/start/0/end/0/c"),"שירת השבת")</f>
        <v>שירת השבת</v>
      </c>
      <c r="H4044" t="str">
        <f>_xlfn.CONCAT("https://tablet.otzar.org/",CHAR(35),"/book/649231/p/-1/t/1/fs/0/start/0/end/0/c")</f>
        <v>https://tablet.otzar.org/#/book/649231/p/-1/t/1/fs/0/start/0/end/0/c</v>
      </c>
    </row>
    <row r="4045" spans="1:8" x14ac:dyDescent="0.25">
      <c r="A4045">
        <v>649403</v>
      </c>
      <c r="B4045" t="s">
        <v>7762</v>
      </c>
      <c r="C4045" t="s">
        <v>3658</v>
      </c>
      <c r="D4045" t="s">
        <v>340</v>
      </c>
      <c r="E4045" t="s">
        <v>405</v>
      </c>
      <c r="G4045" t="str">
        <f>HYPERLINK(_xlfn.CONCAT("https://tablet.otzar.org/",CHAR(35),"/book/649403/p/-1/t/1/fs/0/start/0/end/0/c"),"שירת התורה - בדיני ריבית")</f>
        <v>שירת התורה - בדיני ריבית</v>
      </c>
      <c r="H4045" t="str">
        <f>_xlfn.CONCAT("https://tablet.otzar.org/",CHAR(35),"/book/649403/p/-1/t/1/fs/0/start/0/end/0/c")</f>
        <v>https://tablet.otzar.org/#/book/649403/p/-1/t/1/fs/0/start/0/end/0/c</v>
      </c>
    </row>
    <row r="4046" spans="1:8" x14ac:dyDescent="0.25">
      <c r="A4046">
        <v>656056</v>
      </c>
      <c r="B4046" t="s">
        <v>7763</v>
      </c>
      <c r="C4046" t="s">
        <v>4209</v>
      </c>
      <c r="D4046" t="s">
        <v>193</v>
      </c>
      <c r="E4046" t="s">
        <v>29</v>
      </c>
      <c r="G4046" t="str">
        <f>HYPERLINK(_xlfn.CONCAT("https://tablet.otzar.org/",CHAR(35),"/book/656056/p/-1/t/1/fs/0/start/0/end/0/c"),"שירת חיים")</f>
        <v>שירת חיים</v>
      </c>
      <c r="H4046" t="str">
        <f>_xlfn.CONCAT("https://tablet.otzar.org/",CHAR(35),"/book/656056/p/-1/t/1/fs/0/start/0/end/0/c")</f>
        <v>https://tablet.otzar.org/#/book/656056/p/-1/t/1/fs/0/start/0/end/0/c</v>
      </c>
    </row>
    <row r="4047" spans="1:8" x14ac:dyDescent="0.25">
      <c r="A4047">
        <v>647694</v>
      </c>
      <c r="B4047" t="s">
        <v>7764</v>
      </c>
      <c r="C4047" t="s">
        <v>7765</v>
      </c>
      <c r="D4047" t="s">
        <v>10</v>
      </c>
      <c r="E4047" t="s">
        <v>574</v>
      </c>
      <c r="G4047" t="str">
        <f>HYPERLINK(_xlfn.CONCAT("https://tablet.otzar.org/",CHAR(35),"/book/647694/p/-1/t/1/fs/0/start/0/end/0/c"),"שירת יהודה - בראשית")</f>
        <v>שירת יהודה - בראשית</v>
      </c>
      <c r="H4047" t="str">
        <f>_xlfn.CONCAT("https://tablet.otzar.org/",CHAR(35),"/book/647694/p/-1/t/1/fs/0/start/0/end/0/c")</f>
        <v>https://tablet.otzar.org/#/book/647694/p/-1/t/1/fs/0/start/0/end/0/c</v>
      </c>
    </row>
    <row r="4048" spans="1:8" x14ac:dyDescent="0.25">
      <c r="A4048">
        <v>647946</v>
      </c>
      <c r="B4048" t="s">
        <v>7766</v>
      </c>
      <c r="C4048" t="s">
        <v>7767</v>
      </c>
      <c r="D4048" t="s">
        <v>340</v>
      </c>
      <c r="E4048" t="s">
        <v>19</v>
      </c>
      <c r="G4048" t="str">
        <f>HYPERLINK(_xlfn.CONCAT("https://tablet.otzar.org/",CHAR(35),"/book/647946/p/-1/t/1/fs/0/start/0/end/0/c"),"שירת משה")</f>
        <v>שירת משה</v>
      </c>
      <c r="H4048" t="str">
        <f>_xlfn.CONCAT("https://tablet.otzar.org/",CHAR(35),"/book/647946/p/-1/t/1/fs/0/start/0/end/0/c")</f>
        <v>https://tablet.otzar.org/#/book/647946/p/-1/t/1/fs/0/start/0/end/0/c</v>
      </c>
    </row>
    <row r="4049" spans="1:8" x14ac:dyDescent="0.25">
      <c r="A4049">
        <v>651572</v>
      </c>
      <c r="B4049" t="s">
        <v>7768</v>
      </c>
      <c r="C4049" t="s">
        <v>7769</v>
      </c>
      <c r="D4049" t="s">
        <v>340</v>
      </c>
      <c r="E4049" t="s">
        <v>11</v>
      </c>
      <c r="G4049" t="str">
        <f>HYPERLINK(_xlfn.CONCAT("https://tablet.otzar.org/",CHAR(35),"/book/651572/p/-1/t/1/fs/0/start/0/end/0/c"),"שירת משה - חולין")</f>
        <v>שירת משה - חולין</v>
      </c>
      <c r="H4049" t="str">
        <f>_xlfn.CONCAT("https://tablet.otzar.org/",CHAR(35),"/book/651572/p/-1/t/1/fs/0/start/0/end/0/c")</f>
        <v>https://tablet.otzar.org/#/book/651572/p/-1/t/1/fs/0/start/0/end/0/c</v>
      </c>
    </row>
    <row r="4050" spans="1:8" x14ac:dyDescent="0.25">
      <c r="A4050">
        <v>655194</v>
      </c>
      <c r="B4050" t="s">
        <v>7766</v>
      </c>
      <c r="C4050" t="s">
        <v>928</v>
      </c>
      <c r="D4050" t="s">
        <v>287</v>
      </c>
      <c r="E4050" t="s">
        <v>2536</v>
      </c>
      <c r="G4050" t="str">
        <f>HYPERLINK(_xlfn.CONCAT("https://tablet.otzar.org/",CHAR(35),"/book/655194/p/-1/t/1/fs/0/start/0/end/0/c"),"שירת משה")</f>
        <v>שירת משה</v>
      </c>
      <c r="H4050" t="str">
        <f>_xlfn.CONCAT("https://tablet.otzar.org/",CHAR(35),"/book/655194/p/-1/t/1/fs/0/start/0/end/0/c")</f>
        <v>https://tablet.otzar.org/#/book/655194/p/-1/t/1/fs/0/start/0/end/0/c</v>
      </c>
    </row>
    <row r="4051" spans="1:8" x14ac:dyDescent="0.25">
      <c r="A4051">
        <v>654879</v>
      </c>
      <c r="B4051" t="s">
        <v>7770</v>
      </c>
      <c r="C4051" t="s">
        <v>7771</v>
      </c>
      <c r="E4051" t="s">
        <v>84</v>
      </c>
      <c r="G4051" t="str">
        <f>HYPERLINK(_xlfn.CONCAT("https://tablet.otzar.org/",CHAR(35),"/exKotar/654879"),"שירת נתן - 14 כרכים")</f>
        <v>שירת נתן - 14 כרכים</v>
      </c>
      <c r="H4051" t="str">
        <f>_xlfn.CONCAT("https://tablet.otzar.org/",CHAR(35),"/exKotar/654879")</f>
        <v>https://tablet.otzar.org/#/exKotar/654879</v>
      </c>
    </row>
    <row r="4052" spans="1:8" x14ac:dyDescent="0.25">
      <c r="A4052">
        <v>656840</v>
      </c>
      <c r="B4052" t="s">
        <v>7772</v>
      </c>
      <c r="C4052" t="s">
        <v>7773</v>
      </c>
      <c r="D4052" t="s">
        <v>10</v>
      </c>
      <c r="E4052" t="s">
        <v>11</v>
      </c>
      <c r="G4052" t="str">
        <f>HYPERLINK(_xlfn.CONCAT("https://tablet.otzar.org/",CHAR(35),"/book/656840/p/-1/t/1/fs/0/start/0/end/0/c"),"שכירות בית בהלכה")</f>
        <v>שכירות בית בהלכה</v>
      </c>
      <c r="H4052" t="str">
        <f>_xlfn.CONCAT("https://tablet.otzar.org/",CHAR(35),"/book/656840/p/-1/t/1/fs/0/start/0/end/0/c")</f>
        <v>https://tablet.otzar.org/#/book/656840/p/-1/t/1/fs/0/start/0/end/0/c</v>
      </c>
    </row>
    <row r="4053" spans="1:8" x14ac:dyDescent="0.25">
      <c r="A4053">
        <v>648653</v>
      </c>
      <c r="B4053" t="s">
        <v>7774</v>
      </c>
      <c r="C4053" t="s">
        <v>7775</v>
      </c>
      <c r="D4053" t="s">
        <v>10</v>
      </c>
      <c r="E4053" t="s">
        <v>55</v>
      </c>
      <c r="G4053" t="str">
        <f>HYPERLINK(_xlfn.CONCAT("https://tablet.otzar.org/",CHAR(35),"/exKotar/648653"),"שלהבת - 120 כרכים")</f>
        <v>שלהבת - 120 כרכים</v>
      </c>
      <c r="H4053" t="str">
        <f>_xlfn.CONCAT("https://tablet.otzar.org/",CHAR(35),"/exKotar/648653")</f>
        <v>https://tablet.otzar.org/#/exKotar/648653</v>
      </c>
    </row>
    <row r="4054" spans="1:8" x14ac:dyDescent="0.25">
      <c r="A4054">
        <v>651918</v>
      </c>
      <c r="B4054" t="s">
        <v>7776</v>
      </c>
      <c r="C4054" t="s">
        <v>851</v>
      </c>
      <c r="D4054" t="s">
        <v>6460</v>
      </c>
      <c r="E4054" t="s">
        <v>7777</v>
      </c>
      <c r="G4054" t="str">
        <f>HYPERLINK(_xlfn.CONCAT("https://tablet.otzar.org/",CHAR(35),"/book/651918/p/-1/t/1/fs/0/start/0/end/0/c"),"שלוח הלשון")</f>
        <v>שלוח הלשון</v>
      </c>
      <c r="H4054" t="str">
        <f>_xlfn.CONCAT("https://tablet.otzar.org/",CHAR(35),"/book/651918/p/-1/t/1/fs/0/start/0/end/0/c")</f>
        <v>https://tablet.otzar.org/#/book/651918/p/-1/t/1/fs/0/start/0/end/0/c</v>
      </c>
    </row>
    <row r="4055" spans="1:8" x14ac:dyDescent="0.25">
      <c r="A4055">
        <v>647144</v>
      </c>
      <c r="B4055" t="s">
        <v>7778</v>
      </c>
      <c r="C4055" t="s">
        <v>7779</v>
      </c>
      <c r="D4055" t="s">
        <v>10</v>
      </c>
      <c r="E4055" t="s">
        <v>7780</v>
      </c>
      <c r="G4055" t="str">
        <f>HYPERLINK(_xlfn.CONCAT("https://tablet.otzar.org/",CHAR(35),"/exKotar/647144"),"שלוחות - 8 כרכים")</f>
        <v>שלוחות - 8 כרכים</v>
      </c>
      <c r="H4055" t="str">
        <f>_xlfn.CONCAT("https://tablet.otzar.org/",CHAR(35),"/exKotar/647144")</f>
        <v>https://tablet.otzar.org/#/exKotar/647144</v>
      </c>
    </row>
    <row r="4056" spans="1:8" x14ac:dyDescent="0.25">
      <c r="A4056">
        <v>650444</v>
      </c>
      <c r="B4056" t="s">
        <v>7781</v>
      </c>
      <c r="C4056" t="s">
        <v>1699</v>
      </c>
      <c r="D4056" t="s">
        <v>7782</v>
      </c>
      <c r="E4056" t="s">
        <v>7783</v>
      </c>
      <c r="G4056" t="str">
        <f>HYPERLINK(_xlfn.CONCAT("https://tablet.otzar.org/",CHAR(35),"/book/650444/p/-1/t/1/fs/0/start/0/end/0/c"),"שלום ירושלים")</f>
        <v>שלום ירושלים</v>
      </c>
      <c r="H4056" t="str">
        <f>_xlfn.CONCAT("https://tablet.otzar.org/",CHAR(35),"/book/650444/p/-1/t/1/fs/0/start/0/end/0/c")</f>
        <v>https://tablet.otzar.org/#/book/650444/p/-1/t/1/fs/0/start/0/end/0/c</v>
      </c>
    </row>
    <row r="4057" spans="1:8" x14ac:dyDescent="0.25">
      <c r="A4057">
        <v>649935</v>
      </c>
      <c r="B4057" t="s">
        <v>7784</v>
      </c>
      <c r="C4057" t="s">
        <v>2639</v>
      </c>
      <c r="D4057" t="s">
        <v>58</v>
      </c>
      <c r="E4057" t="s">
        <v>1962</v>
      </c>
      <c r="G4057" t="str">
        <f>HYPERLINK(_xlfn.CONCAT("https://tablet.otzar.org/",CHAR(35),"/book/649935/p/-1/t/1/fs/0/start/0/end/0/c"),"שלום שלום ואין שלום")</f>
        <v>שלום שלום ואין שלום</v>
      </c>
      <c r="H4057" t="str">
        <f>_xlfn.CONCAT("https://tablet.otzar.org/",CHAR(35),"/book/649935/p/-1/t/1/fs/0/start/0/end/0/c")</f>
        <v>https://tablet.otzar.org/#/book/649935/p/-1/t/1/fs/0/start/0/end/0/c</v>
      </c>
    </row>
    <row r="4058" spans="1:8" x14ac:dyDescent="0.25">
      <c r="A4058">
        <v>649271</v>
      </c>
      <c r="B4058" t="s">
        <v>7785</v>
      </c>
      <c r="C4058" t="s">
        <v>4988</v>
      </c>
      <c r="D4058" t="s">
        <v>3577</v>
      </c>
      <c r="E4058" t="s">
        <v>4989</v>
      </c>
      <c r="G4058" t="str">
        <f>HYPERLINK(_xlfn.CONCAT("https://tablet.otzar.org/",CHAR(35),"/book/649271/p/-1/t/1/fs/0/start/0/end/0/c"),"שלומים לריב ציון")</f>
        <v>שלומים לריב ציון</v>
      </c>
      <c r="H4058" t="str">
        <f>_xlfn.CONCAT("https://tablet.otzar.org/",CHAR(35),"/book/649271/p/-1/t/1/fs/0/start/0/end/0/c")</f>
        <v>https://tablet.otzar.org/#/book/649271/p/-1/t/1/fs/0/start/0/end/0/c</v>
      </c>
    </row>
    <row r="4059" spans="1:8" x14ac:dyDescent="0.25">
      <c r="A4059">
        <v>653428</v>
      </c>
      <c r="B4059" t="s">
        <v>7786</v>
      </c>
      <c r="C4059" t="s">
        <v>7787</v>
      </c>
      <c r="D4059" t="s">
        <v>10</v>
      </c>
      <c r="E4059" t="s">
        <v>246</v>
      </c>
      <c r="G4059" t="str">
        <f>HYPERLINK(_xlfn.CONCAT("https://tablet.otzar.org/",CHAR(35),"/book/653428/p/-1/t/1/fs/0/start/0/end/0/c"),"שלוש הרצאות על התרגום")</f>
        <v>שלוש הרצאות על התרגום</v>
      </c>
      <c r="H4059" t="str">
        <f>_xlfn.CONCAT("https://tablet.otzar.org/",CHAR(35),"/book/653428/p/-1/t/1/fs/0/start/0/end/0/c")</f>
        <v>https://tablet.otzar.org/#/book/653428/p/-1/t/1/fs/0/start/0/end/0/c</v>
      </c>
    </row>
    <row r="4060" spans="1:8" x14ac:dyDescent="0.25">
      <c r="A4060">
        <v>651744</v>
      </c>
      <c r="B4060" t="s">
        <v>7788</v>
      </c>
      <c r="C4060" t="s">
        <v>5951</v>
      </c>
      <c r="D4060" t="s">
        <v>796</v>
      </c>
      <c r="E4060" t="s">
        <v>574</v>
      </c>
      <c r="G4060" t="str">
        <f>HYPERLINK(_xlfn.CONCAT("https://tablet.otzar.org/",CHAR(35),"/exKotar/651744"),"שלושים יום קודם החג - 2 כרכים")</f>
        <v>שלושים יום קודם החג - 2 כרכים</v>
      </c>
      <c r="H4060" t="str">
        <f>_xlfn.CONCAT("https://tablet.otzar.org/",CHAR(35),"/exKotar/651744")</f>
        <v>https://tablet.otzar.org/#/exKotar/651744</v>
      </c>
    </row>
    <row r="4061" spans="1:8" x14ac:dyDescent="0.25">
      <c r="A4061">
        <v>647867</v>
      </c>
      <c r="B4061" t="s">
        <v>7789</v>
      </c>
      <c r="C4061" t="s">
        <v>614</v>
      </c>
      <c r="E4061" t="s">
        <v>11</v>
      </c>
      <c r="G4061" t="str">
        <f>HYPERLINK(_xlfn.CONCAT("https://tablet.otzar.org/",CHAR(35),"/book/647867/p/-1/t/1/fs/0/start/0/end/0/c"),"שלושים שנה לקונטרס 'בית רבינו שבבבל'")</f>
        <v>שלושים שנה לקונטרס 'בית רבינו שבבבל'</v>
      </c>
      <c r="H4061" t="str">
        <f>_xlfn.CONCAT("https://tablet.otzar.org/",CHAR(35),"/book/647867/p/-1/t/1/fs/0/start/0/end/0/c")</f>
        <v>https://tablet.otzar.org/#/book/647867/p/-1/t/1/fs/0/start/0/end/0/c</v>
      </c>
    </row>
    <row r="4062" spans="1:8" x14ac:dyDescent="0.25">
      <c r="A4062">
        <v>651817</v>
      </c>
      <c r="B4062" t="s">
        <v>7790</v>
      </c>
      <c r="C4062" t="s">
        <v>7528</v>
      </c>
      <c r="D4062" t="s">
        <v>10</v>
      </c>
      <c r="E4062" t="s">
        <v>11</v>
      </c>
      <c r="G4062" t="str">
        <f>HYPERLINK(_xlfn.CONCAT("https://tablet.otzar.org/",CHAR(35),"/book/651817/p/-1/t/1/fs/0/start/0/end/0/c"),"שלחן דרבנן - חולין, איסור והיתר")</f>
        <v>שלחן דרבנן - חולין, איסור והיתר</v>
      </c>
      <c r="H4062" t="str">
        <f>_xlfn.CONCAT("https://tablet.otzar.org/",CHAR(35),"/book/651817/p/-1/t/1/fs/0/start/0/end/0/c")</f>
        <v>https://tablet.otzar.org/#/book/651817/p/-1/t/1/fs/0/start/0/end/0/c</v>
      </c>
    </row>
    <row r="4063" spans="1:8" x14ac:dyDescent="0.25">
      <c r="A4063">
        <v>654203</v>
      </c>
      <c r="B4063" t="s">
        <v>7791</v>
      </c>
      <c r="C4063" t="s">
        <v>153</v>
      </c>
      <c r="D4063" t="s">
        <v>52</v>
      </c>
      <c r="E4063" t="s">
        <v>495</v>
      </c>
      <c r="G4063" t="str">
        <f>HYPERLINK(_xlfn.CONCAT("https://tablet.otzar.org/",CHAR(35),"/book/654203/p/-1/t/1/fs/0/start/0/end/0/c"),"שלחן הטהור - מאמר אמונה ופרנסה")</f>
        <v>שלחן הטהור - מאמר אמונה ופרנסה</v>
      </c>
      <c r="H4063" t="str">
        <f>_xlfn.CONCAT("https://tablet.otzar.org/",CHAR(35),"/book/654203/p/-1/t/1/fs/0/start/0/end/0/c")</f>
        <v>https://tablet.otzar.org/#/book/654203/p/-1/t/1/fs/0/start/0/end/0/c</v>
      </c>
    </row>
    <row r="4064" spans="1:8" x14ac:dyDescent="0.25">
      <c r="A4064">
        <v>653611</v>
      </c>
      <c r="B4064" t="s">
        <v>7792</v>
      </c>
      <c r="C4064" t="s">
        <v>7793</v>
      </c>
      <c r="D4064" t="s">
        <v>34</v>
      </c>
      <c r="E4064" t="s">
        <v>11</v>
      </c>
      <c r="G4064" t="str">
        <f>HYPERLINK(_xlfn.CONCAT("https://tablet.otzar.org/",CHAR(35),"/exKotar/653611"),"שלחן העזר - 2 כרכים")</f>
        <v>שלחן העזר - 2 כרכים</v>
      </c>
      <c r="H4064" t="str">
        <f>_xlfn.CONCAT("https://tablet.otzar.org/",CHAR(35),"/exKotar/653611")</f>
        <v>https://tablet.otzar.org/#/exKotar/653611</v>
      </c>
    </row>
    <row r="4065" spans="1:8" x14ac:dyDescent="0.25">
      <c r="A4065">
        <v>656109</v>
      </c>
      <c r="B4065" t="s">
        <v>7794</v>
      </c>
      <c r="C4065" t="s">
        <v>7795</v>
      </c>
      <c r="D4065" t="s">
        <v>193</v>
      </c>
      <c r="E4065" t="s">
        <v>84</v>
      </c>
      <c r="G4065" t="str">
        <f>HYPERLINK(_xlfn.CONCAT("https://tablet.otzar.org/",CHAR(35),"/book/656109/p/-1/t/1/fs/0/start/0/end/0/c"),"שלחן מבואר")</f>
        <v>שלחן מבואר</v>
      </c>
      <c r="H4065" t="str">
        <f>_xlfn.CONCAT("https://tablet.otzar.org/",CHAR(35),"/book/656109/p/-1/t/1/fs/0/start/0/end/0/c")</f>
        <v>https://tablet.otzar.org/#/book/656109/p/-1/t/1/fs/0/start/0/end/0/c</v>
      </c>
    </row>
    <row r="4066" spans="1:8" x14ac:dyDescent="0.25">
      <c r="A4066">
        <v>654820</v>
      </c>
      <c r="B4066" t="s">
        <v>7796</v>
      </c>
      <c r="C4066" t="s">
        <v>7797</v>
      </c>
      <c r="D4066" t="s">
        <v>10</v>
      </c>
      <c r="E4066" t="s">
        <v>35</v>
      </c>
      <c r="G4066" t="str">
        <f>HYPERLINK(_xlfn.CONCAT("https://tablet.otzar.org/",CHAR(35),"/book/654820/p/-1/t/1/fs/0/start/0/end/0/c"),"שלחן מלכים ביאור על עץ חיים - ב")</f>
        <v>שלחן מלכים ביאור על עץ חיים - ב</v>
      </c>
      <c r="H4066" t="str">
        <f>_xlfn.CONCAT("https://tablet.otzar.org/",CHAR(35),"/book/654820/p/-1/t/1/fs/0/start/0/end/0/c")</f>
        <v>https://tablet.otzar.org/#/book/654820/p/-1/t/1/fs/0/start/0/end/0/c</v>
      </c>
    </row>
    <row r="4067" spans="1:8" x14ac:dyDescent="0.25">
      <c r="A4067">
        <v>651640</v>
      </c>
      <c r="B4067" t="s">
        <v>7798</v>
      </c>
      <c r="C4067" t="s">
        <v>7799</v>
      </c>
      <c r="D4067" t="s">
        <v>347</v>
      </c>
      <c r="E4067" t="s">
        <v>35</v>
      </c>
      <c r="G4067" t="str">
        <f>HYPERLINK(_xlfn.CONCAT("https://tablet.otzar.org/",CHAR(35),"/exKotar/651640"),"שלחן מסודר - 2 כרכים")</f>
        <v>שלחן מסודר - 2 כרכים</v>
      </c>
      <c r="H4067" t="str">
        <f>_xlfn.CONCAT("https://tablet.otzar.org/",CHAR(35),"/exKotar/651640")</f>
        <v>https://tablet.otzar.org/#/exKotar/651640</v>
      </c>
    </row>
    <row r="4068" spans="1:8" x14ac:dyDescent="0.25">
      <c r="A4068">
        <v>650278</v>
      </c>
      <c r="B4068" t="s">
        <v>7800</v>
      </c>
      <c r="C4068" t="s">
        <v>4418</v>
      </c>
      <c r="D4068" t="s">
        <v>463</v>
      </c>
      <c r="E4068" t="s">
        <v>11</v>
      </c>
      <c r="G4068" t="str">
        <f>HYPERLINK(_xlfn.CONCAT("https://tablet.otzar.org/",CHAR(35),"/book/650278/p/-1/t/1/fs/0/start/0/end/0/c"),"שלחן ערוך - או""""ח קנה קנו")</f>
        <v>שלחן ערוך - או""ח קנה קנו</v>
      </c>
      <c r="H4068" t="str">
        <f>_xlfn.CONCAT("https://tablet.otzar.org/",CHAR(35),"/book/650278/p/-1/t/1/fs/0/start/0/end/0/c")</f>
        <v>https://tablet.otzar.org/#/book/650278/p/-1/t/1/fs/0/start/0/end/0/c</v>
      </c>
    </row>
    <row r="4069" spans="1:8" x14ac:dyDescent="0.25">
      <c r="A4069">
        <v>652793</v>
      </c>
      <c r="B4069" t="s">
        <v>7801</v>
      </c>
      <c r="C4069" t="s">
        <v>3950</v>
      </c>
      <c r="D4069" t="s">
        <v>7493</v>
      </c>
      <c r="E4069" t="s">
        <v>7802</v>
      </c>
      <c r="G4069" t="str">
        <f>HYPERLINK(_xlfn.CONCAT("https://tablet.otzar.org/",CHAR(35),"/book/652793/p/-1/t/1/fs/0/start/0/end/0/c"),"שלחן ערוך אבן שתיה")</f>
        <v>שלחן ערוך אבן שתיה</v>
      </c>
      <c r="H4069" t="str">
        <f>_xlfn.CONCAT("https://tablet.otzar.org/",CHAR(35),"/book/652793/p/-1/t/1/fs/0/start/0/end/0/c")</f>
        <v>https://tablet.otzar.org/#/book/652793/p/-1/t/1/fs/0/start/0/end/0/c</v>
      </c>
    </row>
    <row r="4070" spans="1:8" x14ac:dyDescent="0.25">
      <c r="A4070">
        <v>653419</v>
      </c>
      <c r="B4070" t="s">
        <v>7803</v>
      </c>
      <c r="C4070" t="s">
        <v>4418</v>
      </c>
      <c r="E4070" t="s">
        <v>11</v>
      </c>
      <c r="G4070" t="str">
        <f>HYPERLINK(_xlfn.CONCAT("https://tablet.otzar.org/",CHAR(35),"/book/653419/p/-1/t/1/fs/0/start/0/end/0/c"),"שלחן ערוך הרב סימנים קנה-קנו &lt;מהדורה מתוקנת ומבוארת עם הוספות מכתב יד&gt;")</f>
        <v>שלחן ערוך הרב סימנים קנה-קנו &lt;מהדורה מתוקנת ומבוארת עם הוספות מכתב יד&gt;</v>
      </c>
      <c r="H4070" t="str">
        <f>_xlfn.CONCAT("https://tablet.otzar.org/",CHAR(35),"/book/653419/p/-1/t/1/fs/0/start/0/end/0/c")</f>
        <v>https://tablet.otzar.org/#/book/653419/p/-1/t/1/fs/0/start/0/end/0/c</v>
      </c>
    </row>
    <row r="4071" spans="1:8" x14ac:dyDescent="0.25">
      <c r="A4071">
        <v>650251</v>
      </c>
      <c r="B4071" t="s">
        <v>7804</v>
      </c>
      <c r="C4071" t="s">
        <v>7805</v>
      </c>
      <c r="E4071" t="s">
        <v>11</v>
      </c>
      <c r="G4071" t="str">
        <f>HYPERLINK(_xlfn.CONCAT("https://tablet.otzar.org/",CHAR(35),"/book/650251/p/-1/t/1/fs/0/start/0/end/0/c"),"שלחן ערוך הרב עם ביאור דברי שלום - הלכות שבת ב")</f>
        <v>שלחן ערוך הרב עם ביאור דברי שלום - הלכות שבת ב</v>
      </c>
      <c r="H4071" t="str">
        <f>_xlfn.CONCAT("https://tablet.otzar.org/",CHAR(35),"/book/650251/p/-1/t/1/fs/0/start/0/end/0/c")</f>
        <v>https://tablet.otzar.org/#/book/650251/p/-1/t/1/fs/0/start/0/end/0/c</v>
      </c>
    </row>
    <row r="4072" spans="1:8" x14ac:dyDescent="0.25">
      <c r="A4072">
        <v>654242</v>
      </c>
      <c r="B4072" t="s">
        <v>7806</v>
      </c>
      <c r="C4072" t="s">
        <v>7807</v>
      </c>
      <c r="D4072" t="s">
        <v>10</v>
      </c>
      <c r="E4072" t="s">
        <v>11</v>
      </c>
      <c r="G4072" t="str">
        <f>HYPERLINK(_xlfn.CONCAT("https://tablet.otzar.org/",CHAR(35),"/exKotar/654242"),"שלחן ערוך השל""""ה - 2 כרכים")</f>
        <v>שלחן ערוך השל""ה - 2 כרכים</v>
      </c>
      <c r="H4072" t="str">
        <f>_xlfn.CONCAT("https://tablet.otzar.org/",CHAR(35),"/exKotar/654242")</f>
        <v>https://tablet.otzar.org/#/exKotar/654242</v>
      </c>
    </row>
    <row r="4073" spans="1:8" x14ac:dyDescent="0.25">
      <c r="A4073">
        <v>652546</v>
      </c>
      <c r="B4073" t="s">
        <v>7808</v>
      </c>
      <c r="C4073" t="s">
        <v>7809</v>
      </c>
      <c r="D4073" t="s">
        <v>10</v>
      </c>
      <c r="E4073" t="s">
        <v>213</v>
      </c>
      <c r="G4073" t="str">
        <f>HYPERLINK(_xlfn.CONCAT("https://tablet.otzar.org/",CHAR(35),"/book/652546/p/-1/t/1/fs/0/start/0/end/0/c"),"שלחן ערוך השלם &lt;מהדורת פריעדמאן&gt; - לג אה""""ע ד* (סדר השמות)")</f>
        <v>שלחן ערוך השלם &lt;מהדורת פריעדמאן&gt; - לג אה""ע ד* (סדר השמות)</v>
      </c>
      <c r="H4073" t="str">
        <f>_xlfn.CONCAT("https://tablet.otzar.org/",CHAR(35),"/book/652546/p/-1/t/1/fs/0/start/0/end/0/c")</f>
        <v>https://tablet.otzar.org/#/book/652546/p/-1/t/1/fs/0/start/0/end/0/c</v>
      </c>
    </row>
    <row r="4074" spans="1:8" x14ac:dyDescent="0.25">
      <c r="A4074">
        <v>636939</v>
      </c>
      <c r="B4074" t="s">
        <v>7810</v>
      </c>
      <c r="C4074" t="s">
        <v>7809</v>
      </c>
      <c r="D4074" t="s">
        <v>2519</v>
      </c>
      <c r="E4074" t="s">
        <v>2032</v>
      </c>
      <c r="G4074" t="str">
        <f>HYPERLINK(_xlfn.CONCAT("https://tablet.otzar.org/",CHAR(35),"/book/636939/p/-1/t/1/fs/0/start/0/end/0/c"),"שלחן ערוך מטור אורח חיים - ב")</f>
        <v>שלחן ערוך מטור אורח חיים - ב</v>
      </c>
      <c r="H4074" t="str">
        <f>_xlfn.CONCAT("https://tablet.otzar.org/",CHAR(35),"/book/636939/p/-1/t/1/fs/0/start/0/end/0/c")</f>
        <v>https://tablet.otzar.org/#/book/636939/p/-1/t/1/fs/0/start/0/end/0/c</v>
      </c>
    </row>
    <row r="4075" spans="1:8" x14ac:dyDescent="0.25">
      <c r="A4075">
        <v>651814</v>
      </c>
      <c r="B4075" t="s">
        <v>7811</v>
      </c>
      <c r="C4075" t="s">
        <v>7812</v>
      </c>
      <c r="D4075" t="s">
        <v>10</v>
      </c>
      <c r="E4075" t="s">
        <v>383</v>
      </c>
      <c r="G4075" t="str">
        <f>HYPERLINK(_xlfn.CONCAT("https://tablet.otzar.org/",CHAR(35),"/book/651814/p/-1/t/1/fs/0/start/0/end/0/c"),"שלחן ערוך עם תורת חכמי אר""""ץ")</f>
        <v>שלחן ערוך עם תורת חכמי אר""ץ</v>
      </c>
      <c r="H4075" t="str">
        <f>_xlfn.CONCAT("https://tablet.otzar.org/",CHAR(35),"/book/651814/p/-1/t/1/fs/0/start/0/end/0/c")</f>
        <v>https://tablet.otzar.org/#/book/651814/p/-1/t/1/fs/0/start/0/end/0/c</v>
      </c>
    </row>
    <row r="4076" spans="1:8" x14ac:dyDescent="0.25">
      <c r="A4076">
        <v>649575</v>
      </c>
      <c r="B4076" t="s">
        <v>7813</v>
      </c>
      <c r="C4076" t="s">
        <v>7809</v>
      </c>
      <c r="D4076" t="s">
        <v>2519</v>
      </c>
      <c r="E4076" t="s">
        <v>4525</v>
      </c>
      <c r="G4076" t="str">
        <f>HYPERLINK(_xlfn.CONCAT("https://tablet.otzar.org/",CHAR(35),"/book/649575/p/-1/t/1/fs/0/start/0/end/0/c"),"שלחן קטן")</f>
        <v>שלחן קטן</v>
      </c>
      <c r="H4076" t="str">
        <f>_xlfn.CONCAT("https://tablet.otzar.org/",CHAR(35),"/book/649575/p/-1/t/1/fs/0/start/0/end/0/c")</f>
        <v>https://tablet.otzar.org/#/book/649575/p/-1/t/1/fs/0/start/0/end/0/c</v>
      </c>
    </row>
    <row r="4077" spans="1:8" x14ac:dyDescent="0.25">
      <c r="A4077">
        <v>647791</v>
      </c>
      <c r="B4077" t="s">
        <v>7814</v>
      </c>
      <c r="C4077" t="s">
        <v>7815</v>
      </c>
      <c r="D4077" t="s">
        <v>328</v>
      </c>
      <c r="E4077" t="s">
        <v>70</v>
      </c>
      <c r="G4077" t="str">
        <f>HYPERLINK(_xlfn.CONCAT("https://tablet.otzar.org/",CHAR(35),"/book/647791/p/-1/t/1/fs/0/start/0/end/0/c"),"שלמי דעה - בשר בחלב")</f>
        <v>שלמי דעה - בשר בחלב</v>
      </c>
      <c r="H4077" t="str">
        <f>_xlfn.CONCAT("https://tablet.otzar.org/",CHAR(35),"/book/647791/p/-1/t/1/fs/0/start/0/end/0/c")</f>
        <v>https://tablet.otzar.org/#/book/647791/p/-1/t/1/fs/0/start/0/end/0/c</v>
      </c>
    </row>
    <row r="4078" spans="1:8" x14ac:dyDescent="0.25">
      <c r="A4078">
        <v>650936</v>
      </c>
      <c r="B4078" t="s">
        <v>7816</v>
      </c>
      <c r="C4078" t="s">
        <v>7817</v>
      </c>
      <c r="D4078" t="s">
        <v>10</v>
      </c>
      <c r="E4078" t="s">
        <v>77</v>
      </c>
      <c r="G4078" t="str">
        <f>HYPERLINK(_xlfn.CONCAT("https://tablet.otzar.org/",CHAR(35),"/exKotar/650936"),"שלמי חושן - 4 כרכים")</f>
        <v>שלמי חושן - 4 כרכים</v>
      </c>
      <c r="H4078" t="str">
        <f>_xlfn.CONCAT("https://tablet.otzar.org/",CHAR(35),"/exKotar/650936")</f>
        <v>https://tablet.otzar.org/#/exKotar/650936</v>
      </c>
    </row>
    <row r="4079" spans="1:8" x14ac:dyDescent="0.25">
      <c r="A4079">
        <v>649799</v>
      </c>
      <c r="B4079" t="s">
        <v>7818</v>
      </c>
      <c r="C4079" t="s">
        <v>7819</v>
      </c>
      <c r="E4079" t="s">
        <v>84</v>
      </c>
      <c r="G4079" t="str">
        <f>HYPERLINK(_xlfn.CONCAT("https://tablet.otzar.org/",CHAR(35),"/book/649799/p/-1/t/1/fs/0/start/0/end/0/c"),"שלמי חיים - שהיה חזרה הטמנה ומוקצה")</f>
        <v>שלמי חיים - שהיה חזרה הטמנה ומוקצה</v>
      </c>
      <c r="H4079" t="str">
        <f>_xlfn.CONCAT("https://tablet.otzar.org/",CHAR(35),"/book/649799/p/-1/t/1/fs/0/start/0/end/0/c")</f>
        <v>https://tablet.otzar.org/#/book/649799/p/-1/t/1/fs/0/start/0/end/0/c</v>
      </c>
    </row>
    <row r="4080" spans="1:8" x14ac:dyDescent="0.25">
      <c r="A4080">
        <v>647678</v>
      </c>
      <c r="B4080" t="s">
        <v>7820</v>
      </c>
      <c r="C4080" t="s">
        <v>7821</v>
      </c>
      <c r="E4080" t="s">
        <v>35</v>
      </c>
      <c r="G4080" t="str">
        <f>HYPERLINK(_xlfn.CONCAT("https://tablet.otzar.org/",CHAR(35),"/book/647678/p/-1/t/1/fs/0/start/0/end/0/c"),"שלמי טוהר")</f>
        <v>שלמי טוהר</v>
      </c>
      <c r="H4080" t="str">
        <f>_xlfn.CONCAT("https://tablet.otzar.org/",CHAR(35),"/book/647678/p/-1/t/1/fs/0/start/0/end/0/c")</f>
        <v>https://tablet.otzar.org/#/book/647678/p/-1/t/1/fs/0/start/0/end/0/c</v>
      </c>
    </row>
    <row r="4081" spans="1:8" x14ac:dyDescent="0.25">
      <c r="A4081">
        <v>651023</v>
      </c>
      <c r="B4081" t="s">
        <v>7822</v>
      </c>
      <c r="C4081" t="s">
        <v>1327</v>
      </c>
      <c r="D4081" t="s">
        <v>10</v>
      </c>
      <c r="E4081" t="s">
        <v>84</v>
      </c>
      <c r="G4081" t="str">
        <f>HYPERLINK(_xlfn.CONCAT("https://tablet.otzar.org/",CHAR(35),"/exKotar/651023"),"שלמי יהונתן - 2 כרכים")</f>
        <v>שלמי יהונתן - 2 כרכים</v>
      </c>
      <c r="H4081" t="str">
        <f>_xlfn.CONCAT("https://tablet.otzar.org/",CHAR(35),"/exKotar/651023")</f>
        <v>https://tablet.otzar.org/#/exKotar/651023</v>
      </c>
    </row>
    <row r="4082" spans="1:8" x14ac:dyDescent="0.25">
      <c r="A4082">
        <v>650920</v>
      </c>
      <c r="B4082" t="s">
        <v>7823</v>
      </c>
      <c r="C4082" t="s">
        <v>7824</v>
      </c>
      <c r="E4082" t="s">
        <v>817</v>
      </c>
      <c r="G4082" t="str">
        <f>HYPERLINK(_xlfn.CONCAT("https://tablet.otzar.org/",CHAR(35),"/book/650920/p/-1/t/1/fs/0/start/0/end/0/c"),"שלמי יוסף - ב")</f>
        <v>שלמי יוסף - ב</v>
      </c>
      <c r="H4082" t="str">
        <f>_xlfn.CONCAT("https://tablet.otzar.org/",CHAR(35),"/book/650920/p/-1/t/1/fs/0/start/0/end/0/c")</f>
        <v>https://tablet.otzar.org/#/book/650920/p/-1/t/1/fs/0/start/0/end/0/c</v>
      </c>
    </row>
    <row r="4083" spans="1:8" x14ac:dyDescent="0.25">
      <c r="A4083">
        <v>648501</v>
      </c>
      <c r="B4083" t="s">
        <v>7825</v>
      </c>
      <c r="C4083" t="s">
        <v>7826</v>
      </c>
      <c r="D4083" t="s">
        <v>52</v>
      </c>
      <c r="E4083" t="s">
        <v>184</v>
      </c>
      <c r="G4083" t="str">
        <f>HYPERLINK(_xlfn.CONCAT("https://tablet.otzar.org/",CHAR(35),"/book/648501/p/-1/t/1/fs/0/start/0/end/0/c"),"שלמי יוסף - שביעית")</f>
        <v>שלמי יוסף - שביעית</v>
      </c>
      <c r="H4083" t="str">
        <f>_xlfn.CONCAT("https://tablet.otzar.org/",CHAR(35),"/book/648501/p/-1/t/1/fs/0/start/0/end/0/c")</f>
        <v>https://tablet.otzar.org/#/book/648501/p/-1/t/1/fs/0/start/0/end/0/c</v>
      </c>
    </row>
    <row r="4084" spans="1:8" x14ac:dyDescent="0.25">
      <c r="A4084">
        <v>647656</v>
      </c>
      <c r="B4084" t="s">
        <v>7827</v>
      </c>
      <c r="C4084" t="s">
        <v>7828</v>
      </c>
      <c r="D4084" t="s">
        <v>10</v>
      </c>
      <c r="E4084" t="s">
        <v>7829</v>
      </c>
      <c r="G4084" t="str">
        <f>HYPERLINK(_xlfn.CONCAT("https://tablet.otzar.org/",CHAR(35),"/book/647656/p/-1/t/1/fs/0/start/0/end/0/c"),"שלמי כהן - פסחים")</f>
        <v>שלמי כהן - פסחים</v>
      </c>
      <c r="H4084" t="str">
        <f>_xlfn.CONCAT("https://tablet.otzar.org/",CHAR(35),"/book/647656/p/-1/t/1/fs/0/start/0/end/0/c")</f>
        <v>https://tablet.otzar.org/#/book/647656/p/-1/t/1/fs/0/start/0/end/0/c</v>
      </c>
    </row>
    <row r="4085" spans="1:8" x14ac:dyDescent="0.25">
      <c r="A4085">
        <v>650721</v>
      </c>
      <c r="B4085" t="s">
        <v>7830</v>
      </c>
      <c r="C4085" t="s">
        <v>7831</v>
      </c>
      <c r="D4085" t="s">
        <v>10</v>
      </c>
      <c r="E4085" t="s">
        <v>11</v>
      </c>
      <c r="G4085" t="str">
        <f>HYPERLINK(_xlfn.CONCAT("https://tablet.otzar.org/",CHAR(35),"/exKotar/650721"),"שלמי מנחם - 5 כרכים")</f>
        <v>שלמי מנחם - 5 כרכים</v>
      </c>
      <c r="H4085" t="str">
        <f>_xlfn.CONCAT("https://tablet.otzar.org/",CHAR(35),"/exKotar/650721")</f>
        <v>https://tablet.otzar.org/#/exKotar/650721</v>
      </c>
    </row>
    <row r="4086" spans="1:8" x14ac:dyDescent="0.25">
      <c r="A4086">
        <v>650368</v>
      </c>
      <c r="B4086" t="s">
        <v>7832</v>
      </c>
      <c r="C4086" t="s">
        <v>7833</v>
      </c>
      <c r="D4086" t="s">
        <v>277</v>
      </c>
      <c r="E4086" t="s">
        <v>11</v>
      </c>
      <c r="G4086" t="str">
        <f>HYPERLINK(_xlfn.CONCAT("https://tablet.otzar.org/",CHAR(35),"/book/650368/p/-1/t/1/fs/0/start/0/end/0/c"),"שלמי משה - הלכות סוכה")</f>
        <v>שלמי משה - הלכות סוכה</v>
      </c>
      <c r="H4086" t="str">
        <f>_xlfn.CONCAT("https://tablet.otzar.org/",CHAR(35),"/book/650368/p/-1/t/1/fs/0/start/0/end/0/c")</f>
        <v>https://tablet.otzar.org/#/book/650368/p/-1/t/1/fs/0/start/0/end/0/c</v>
      </c>
    </row>
    <row r="4087" spans="1:8" x14ac:dyDescent="0.25">
      <c r="A4087">
        <v>647758</v>
      </c>
      <c r="B4087" t="s">
        <v>7834</v>
      </c>
      <c r="C4087" t="s">
        <v>7815</v>
      </c>
      <c r="D4087" t="s">
        <v>328</v>
      </c>
      <c r="E4087" t="s">
        <v>507</v>
      </c>
      <c r="G4087" t="str">
        <f>HYPERLINK(_xlfn.CONCAT("https://tablet.otzar.org/",CHAR(35),"/book/647758/p/-1/t/1/fs/0/start/0/end/0/c"),"שלמי שבת")</f>
        <v>שלמי שבת</v>
      </c>
      <c r="H4087" t="str">
        <f>_xlfn.CONCAT("https://tablet.otzar.org/",CHAR(35),"/book/647758/p/-1/t/1/fs/0/start/0/end/0/c")</f>
        <v>https://tablet.otzar.org/#/book/647758/p/-1/t/1/fs/0/start/0/end/0/c</v>
      </c>
    </row>
    <row r="4088" spans="1:8" x14ac:dyDescent="0.25">
      <c r="A4088">
        <v>647763</v>
      </c>
      <c r="B4088" t="s">
        <v>7835</v>
      </c>
      <c r="C4088" t="s">
        <v>7836</v>
      </c>
      <c r="E4088" t="s">
        <v>117</v>
      </c>
      <c r="G4088" t="str">
        <f>HYPERLINK(_xlfn.CONCAT("https://tablet.otzar.org/",CHAR(35),"/book/647763/p/-1/t/1/fs/0/start/0/end/0/c"),"שלמי שמחה - קדשים")</f>
        <v>שלמי שמחה - קדשים</v>
      </c>
      <c r="H4088" t="str">
        <f>_xlfn.CONCAT("https://tablet.otzar.org/",CHAR(35),"/book/647763/p/-1/t/1/fs/0/start/0/end/0/c")</f>
        <v>https://tablet.otzar.org/#/book/647763/p/-1/t/1/fs/0/start/0/end/0/c</v>
      </c>
    </row>
    <row r="4089" spans="1:8" x14ac:dyDescent="0.25">
      <c r="A4089">
        <v>650597</v>
      </c>
      <c r="B4089" t="s">
        <v>7837</v>
      </c>
      <c r="C4089" t="s">
        <v>2382</v>
      </c>
      <c r="D4089" t="s">
        <v>573</v>
      </c>
      <c r="E4089" t="s">
        <v>11</v>
      </c>
      <c r="G4089" t="str">
        <f>HYPERLINK(_xlfn.CONCAT("https://tablet.otzar.org/",CHAR(35),"/book/650597/p/-1/t/1/fs/0/start/0/end/0/c"),"שלמי שמחה - יבמות, שמיטה")</f>
        <v>שלמי שמחה - יבמות, שמיטה</v>
      </c>
      <c r="H4089" t="str">
        <f>_xlfn.CONCAT("https://tablet.otzar.org/",CHAR(35),"/book/650597/p/-1/t/1/fs/0/start/0/end/0/c")</f>
        <v>https://tablet.otzar.org/#/book/650597/p/-1/t/1/fs/0/start/0/end/0/c</v>
      </c>
    </row>
    <row r="4090" spans="1:8" x14ac:dyDescent="0.25">
      <c r="A4090">
        <v>653616</v>
      </c>
      <c r="B4090" t="s">
        <v>7838</v>
      </c>
      <c r="C4090" t="s">
        <v>7839</v>
      </c>
      <c r="D4090" t="s">
        <v>10</v>
      </c>
      <c r="E4090" t="s">
        <v>77</v>
      </c>
      <c r="G4090" t="str">
        <f>HYPERLINK(_xlfn.CONCAT("https://tablet.otzar.org/",CHAR(35),"/exKotar/653616"),"שלמי שמחה - 4 כרכים")</f>
        <v>שלמי שמחה - 4 כרכים</v>
      </c>
      <c r="H4090" t="str">
        <f>_xlfn.CONCAT("https://tablet.otzar.org/",CHAR(35),"/exKotar/653616")</f>
        <v>https://tablet.otzar.org/#/exKotar/653616</v>
      </c>
    </row>
    <row r="4091" spans="1:8" x14ac:dyDescent="0.25">
      <c r="A4091">
        <v>650625</v>
      </c>
      <c r="B4091" t="s">
        <v>7840</v>
      </c>
      <c r="C4091" t="s">
        <v>7841</v>
      </c>
      <c r="D4091" t="s">
        <v>10</v>
      </c>
      <c r="E4091" t="s">
        <v>84</v>
      </c>
      <c r="G4091" t="str">
        <f>HYPERLINK(_xlfn.CONCAT("https://tablet.otzar.org/",CHAR(35),"/book/650625/p/-1/t/1/fs/0/start/0/end/0/c"),"שלמי תודה - כתובות")</f>
        <v>שלמי תודה - כתובות</v>
      </c>
      <c r="H4091" t="str">
        <f>_xlfn.CONCAT("https://tablet.otzar.org/",CHAR(35),"/book/650625/p/-1/t/1/fs/0/start/0/end/0/c")</f>
        <v>https://tablet.otzar.org/#/book/650625/p/-1/t/1/fs/0/start/0/end/0/c</v>
      </c>
    </row>
    <row r="4092" spans="1:8" x14ac:dyDescent="0.25">
      <c r="A4092">
        <v>656359</v>
      </c>
      <c r="B4092" t="s">
        <v>7842</v>
      </c>
      <c r="C4092" t="s">
        <v>7843</v>
      </c>
      <c r="D4092" t="s">
        <v>10</v>
      </c>
      <c r="E4092" t="s">
        <v>11</v>
      </c>
      <c r="G4092" t="str">
        <f>HYPERLINK(_xlfn.CONCAT("https://tablet.otzar.org/",CHAR(35),"/book/656359/p/-1/t/1/fs/0/start/0/end/0/c"),"שלמת אליהו - יו""""ד (קו-קח)")</f>
        <v>שלמת אליהו - יו""ד (קו-קח)</v>
      </c>
      <c r="H4092" t="str">
        <f>_xlfn.CONCAT("https://tablet.otzar.org/",CHAR(35),"/book/656359/p/-1/t/1/fs/0/start/0/end/0/c")</f>
        <v>https://tablet.otzar.org/#/book/656359/p/-1/t/1/fs/0/start/0/end/0/c</v>
      </c>
    </row>
    <row r="4093" spans="1:8" x14ac:dyDescent="0.25">
      <c r="A4093">
        <v>652663</v>
      </c>
      <c r="B4093" t="s">
        <v>7844</v>
      </c>
      <c r="C4093" t="s">
        <v>2330</v>
      </c>
      <c r="D4093" t="s">
        <v>10</v>
      </c>
      <c r="E4093" t="s">
        <v>35</v>
      </c>
      <c r="G4093" t="str">
        <f>HYPERLINK(_xlfn.CONCAT("https://tablet.otzar.org/",CHAR(35),"/book/652663/p/-1/t/1/fs/0/start/0/end/0/c"),"שלמת יעקב - ג")</f>
        <v>שלמת יעקב - ג</v>
      </c>
      <c r="H4093" t="str">
        <f>_xlfn.CONCAT("https://tablet.otzar.org/",CHAR(35),"/book/652663/p/-1/t/1/fs/0/start/0/end/0/c")</f>
        <v>https://tablet.otzar.org/#/book/652663/p/-1/t/1/fs/0/start/0/end/0/c</v>
      </c>
    </row>
    <row r="4094" spans="1:8" x14ac:dyDescent="0.25">
      <c r="A4094">
        <v>652825</v>
      </c>
      <c r="B4094" t="s">
        <v>7845</v>
      </c>
      <c r="C4094" t="s">
        <v>7846</v>
      </c>
      <c r="D4094" t="s">
        <v>10</v>
      </c>
      <c r="E4094" t="s">
        <v>769</v>
      </c>
      <c r="G4094" t="str">
        <f>HYPERLINK(_xlfn.CONCAT("https://tablet.otzar.org/",CHAR(35),"/book/652825/p/-1/t/1/fs/0/start/0/end/0/c"),"שלמת יעקב")</f>
        <v>שלמת יעקב</v>
      </c>
      <c r="H4094" t="str">
        <f>_xlfn.CONCAT("https://tablet.otzar.org/",CHAR(35),"/book/652825/p/-1/t/1/fs/0/start/0/end/0/c")</f>
        <v>https://tablet.otzar.org/#/book/652825/p/-1/t/1/fs/0/start/0/end/0/c</v>
      </c>
    </row>
    <row r="4095" spans="1:8" x14ac:dyDescent="0.25">
      <c r="A4095">
        <v>647485</v>
      </c>
      <c r="B4095" t="s">
        <v>7847</v>
      </c>
      <c r="C4095" t="s">
        <v>7848</v>
      </c>
      <c r="D4095" t="s">
        <v>10</v>
      </c>
      <c r="E4095" t="s">
        <v>914</v>
      </c>
      <c r="G4095" t="str">
        <f>HYPERLINK(_xlfn.CONCAT("https://tablet.otzar.org/",CHAR(35),"/exKotar/647485"),"שלשה אחים - 3 כרכים")</f>
        <v>שלשה אחים - 3 כרכים</v>
      </c>
      <c r="H4095" t="str">
        <f>_xlfn.CONCAT("https://tablet.otzar.org/",CHAR(35),"/exKotar/647485")</f>
        <v>https://tablet.otzar.org/#/exKotar/647485</v>
      </c>
    </row>
    <row r="4096" spans="1:8" x14ac:dyDescent="0.25">
      <c r="A4096">
        <v>652505</v>
      </c>
      <c r="B4096" t="s">
        <v>7849</v>
      </c>
      <c r="C4096" t="s">
        <v>2497</v>
      </c>
      <c r="E4096" t="s">
        <v>184</v>
      </c>
      <c r="G4096" t="str">
        <f>HYPERLINK(_xlfn.CONCAT("https://tablet.otzar.org/",CHAR(35),"/book/652505/p/-1/t/1/fs/0/start/0/end/0/c"),"שלשה חלקי כפרה &lt;מהדורה חדשה&gt;")</f>
        <v>שלשה חלקי כפרה &lt;מהדורה חדשה&gt;</v>
      </c>
      <c r="H4096" t="str">
        <f>_xlfn.CONCAT("https://tablet.otzar.org/",CHAR(35),"/book/652505/p/-1/t/1/fs/0/start/0/end/0/c")</f>
        <v>https://tablet.otzar.org/#/book/652505/p/-1/t/1/fs/0/start/0/end/0/c</v>
      </c>
    </row>
    <row r="4097" spans="1:8" x14ac:dyDescent="0.25">
      <c r="A4097">
        <v>650281</v>
      </c>
      <c r="B4097" t="s">
        <v>7850</v>
      </c>
      <c r="C4097" t="s">
        <v>7851</v>
      </c>
      <c r="D4097" t="s">
        <v>7852</v>
      </c>
      <c r="E4097" t="s">
        <v>11</v>
      </c>
      <c r="G4097" t="str">
        <f>HYPERLINK(_xlfn.CONCAT("https://tablet.otzar.org/",CHAR(35),"/book/650281/p/-1/t/1/fs/0/start/0/end/0/c"),"שלשה מאמרים נפתחים - לך לך")</f>
        <v>שלשה מאמרים נפתחים - לך לך</v>
      </c>
      <c r="H4097" t="str">
        <f>_xlfn.CONCAT("https://tablet.otzar.org/",CHAR(35),"/book/650281/p/-1/t/1/fs/0/start/0/end/0/c")</f>
        <v>https://tablet.otzar.org/#/book/650281/p/-1/t/1/fs/0/start/0/end/0/c</v>
      </c>
    </row>
    <row r="4098" spans="1:8" x14ac:dyDescent="0.25">
      <c r="A4098">
        <v>652635</v>
      </c>
      <c r="B4098" t="s">
        <v>7853</v>
      </c>
      <c r="C4098" t="s">
        <v>7854</v>
      </c>
      <c r="D4098" t="s">
        <v>7855</v>
      </c>
      <c r="E4098" t="s">
        <v>7856</v>
      </c>
      <c r="G4098" t="str">
        <f>HYPERLINK(_xlfn.CONCAT("https://tablet.otzar.org/",CHAR(35),"/book/652635/p/-1/t/1/fs/0/start/0/end/0/c"),"שלשה ספרים נפתחים")</f>
        <v>שלשה ספרים נפתחים</v>
      </c>
      <c r="H4098" t="str">
        <f>_xlfn.CONCAT("https://tablet.otzar.org/",CHAR(35),"/book/652635/p/-1/t/1/fs/0/start/0/end/0/c")</f>
        <v>https://tablet.otzar.org/#/book/652635/p/-1/t/1/fs/0/start/0/end/0/c</v>
      </c>
    </row>
    <row r="4099" spans="1:8" x14ac:dyDescent="0.25">
      <c r="A4099">
        <v>649757</v>
      </c>
      <c r="B4099" t="s">
        <v>7857</v>
      </c>
      <c r="C4099" t="s">
        <v>7858</v>
      </c>
      <c r="D4099" t="s">
        <v>10</v>
      </c>
      <c r="E4099" t="s">
        <v>1608</v>
      </c>
      <c r="G4099" t="str">
        <f>HYPERLINK(_xlfn.CONCAT("https://tablet.otzar.org/",CHAR(35),"/book/649757/p/-1/t/1/fs/0/start/0/end/0/c"),"שלשלת היחס לצאצאי רבי חיים יוסף גוטליב")</f>
        <v>שלשלת היחס לצאצאי רבי חיים יוסף גוטליב</v>
      </c>
      <c r="H4099" t="str">
        <f>_xlfn.CONCAT("https://tablet.otzar.org/",CHAR(35),"/book/649757/p/-1/t/1/fs/0/start/0/end/0/c")</f>
        <v>https://tablet.otzar.org/#/book/649757/p/-1/t/1/fs/0/start/0/end/0/c</v>
      </c>
    </row>
    <row r="4100" spans="1:8" x14ac:dyDescent="0.25">
      <c r="A4100">
        <v>652826</v>
      </c>
      <c r="B4100" t="s">
        <v>7859</v>
      </c>
      <c r="C4100" t="s">
        <v>7860</v>
      </c>
      <c r="D4100" t="s">
        <v>52</v>
      </c>
      <c r="E4100" t="s">
        <v>11</v>
      </c>
      <c r="G4100" t="str">
        <f>HYPERLINK(_xlfn.CONCAT("https://tablet.otzar.org/",CHAR(35),"/book/652826/p/-1/t/1/fs/0/start/0/end/0/c"),"שם אבי - תורת יצחק")</f>
        <v>שם אבי - תורת יצחק</v>
      </c>
      <c r="H4100" t="str">
        <f>_xlfn.CONCAT("https://tablet.otzar.org/",CHAR(35),"/book/652826/p/-1/t/1/fs/0/start/0/end/0/c")</f>
        <v>https://tablet.otzar.org/#/book/652826/p/-1/t/1/fs/0/start/0/end/0/c</v>
      </c>
    </row>
    <row r="4101" spans="1:8" x14ac:dyDescent="0.25">
      <c r="A4101">
        <v>654335</v>
      </c>
      <c r="B4101" t="s">
        <v>7861</v>
      </c>
      <c r="C4101" t="s">
        <v>7862</v>
      </c>
      <c r="E4101" t="s">
        <v>11</v>
      </c>
      <c r="G4101" t="str">
        <f>HYPERLINK(_xlfn.CONCAT("https://tablet.otzar.org/",CHAR(35),"/book/654335/p/-1/t/1/fs/0/start/0/end/0/c"),"שם הבדלח - על התורה")</f>
        <v>שם הבדלח - על התורה</v>
      </c>
      <c r="H4101" t="str">
        <f>_xlfn.CONCAT("https://tablet.otzar.org/",CHAR(35),"/book/654335/p/-1/t/1/fs/0/start/0/end/0/c")</f>
        <v>https://tablet.otzar.org/#/book/654335/p/-1/t/1/fs/0/start/0/end/0/c</v>
      </c>
    </row>
    <row r="4102" spans="1:8" x14ac:dyDescent="0.25">
      <c r="A4102">
        <v>656240</v>
      </c>
      <c r="B4102" t="s">
        <v>7863</v>
      </c>
      <c r="C4102" t="s">
        <v>7864</v>
      </c>
      <c r="E4102" t="s">
        <v>320</v>
      </c>
      <c r="G4102" t="str">
        <f>HYPERLINK(_xlfn.CONCAT("https://tablet.otzar.org/",CHAR(35),"/exKotar/656240"),"שם ושארית ישראל &lt;מהדורה חדשה&gt; - 2 כרכים")</f>
        <v>שם ושארית ישראל &lt;מהדורה חדשה&gt; - 2 כרכים</v>
      </c>
      <c r="H4102" t="str">
        <f>_xlfn.CONCAT("https://tablet.otzar.org/",CHAR(35),"/exKotar/656240")</f>
        <v>https://tablet.otzar.org/#/exKotar/656240</v>
      </c>
    </row>
    <row r="4103" spans="1:8" x14ac:dyDescent="0.25">
      <c r="A4103">
        <v>652580</v>
      </c>
      <c r="B4103" t="s">
        <v>7865</v>
      </c>
      <c r="C4103" t="s">
        <v>7866</v>
      </c>
      <c r="D4103" t="s">
        <v>2314</v>
      </c>
      <c r="E4103" t="s">
        <v>495</v>
      </c>
      <c r="G4103" t="str">
        <f>HYPERLINK(_xlfn.CONCAT("https://tablet.otzar.org/",CHAR(35),"/book/652580/p/-1/t/1/fs/0/start/0/end/0/c"),"שם טוב")</f>
        <v>שם טוב</v>
      </c>
      <c r="H4103" t="str">
        <f>_xlfn.CONCAT("https://tablet.otzar.org/",CHAR(35),"/book/652580/p/-1/t/1/fs/0/start/0/end/0/c")</f>
        <v>https://tablet.otzar.org/#/book/652580/p/-1/t/1/fs/0/start/0/end/0/c</v>
      </c>
    </row>
    <row r="4104" spans="1:8" x14ac:dyDescent="0.25">
      <c r="A4104">
        <v>654750</v>
      </c>
      <c r="B4104" t="s">
        <v>7867</v>
      </c>
      <c r="C4104" t="s">
        <v>7868</v>
      </c>
      <c r="D4104" t="s">
        <v>10</v>
      </c>
      <c r="E4104" t="s">
        <v>7869</v>
      </c>
      <c r="G4104" t="str">
        <f>HYPERLINK(_xlfn.CONCAT("https://tablet.otzar.org/",CHAR(35),"/exKotar/654750"),"שם יוסף &lt;מהדורה חדשה&gt; - 2 כרכים")</f>
        <v>שם יוסף &lt;מהדורה חדשה&gt; - 2 כרכים</v>
      </c>
      <c r="H4104" t="str">
        <f>_xlfn.CONCAT("https://tablet.otzar.org/",CHAR(35),"/exKotar/654750")</f>
        <v>https://tablet.otzar.org/#/exKotar/654750</v>
      </c>
    </row>
    <row r="4105" spans="1:8" x14ac:dyDescent="0.25">
      <c r="A4105">
        <v>656342</v>
      </c>
      <c r="B4105" t="s">
        <v>7870</v>
      </c>
      <c r="C4105" t="s">
        <v>7871</v>
      </c>
      <c r="E4105" t="s">
        <v>402</v>
      </c>
      <c r="G4105" t="str">
        <f>HYPERLINK(_xlfn.CONCAT("https://tablet.otzar.org/",CHAR(35),"/book/656342/p/-1/t/1/fs/0/start/0/end/0/c"),"שם משמואל &lt;מהדורה חדשה&gt;")</f>
        <v>שם משמואל &lt;מהדורה חדשה&gt;</v>
      </c>
      <c r="H4105" t="str">
        <f>_xlfn.CONCAT("https://tablet.otzar.org/",CHAR(35),"/book/656342/p/-1/t/1/fs/0/start/0/end/0/c")</f>
        <v>https://tablet.otzar.org/#/book/656342/p/-1/t/1/fs/0/start/0/end/0/c</v>
      </c>
    </row>
    <row r="4106" spans="1:8" x14ac:dyDescent="0.25">
      <c r="A4106">
        <v>653643</v>
      </c>
      <c r="B4106" t="s">
        <v>7872</v>
      </c>
      <c r="C4106" t="s">
        <v>7520</v>
      </c>
      <c r="D4106" t="s">
        <v>193</v>
      </c>
      <c r="E4106" t="s">
        <v>11</v>
      </c>
      <c r="G4106" t="str">
        <f>HYPERLINK(_xlfn.CONCAT("https://tablet.otzar.org/",CHAR(35),"/book/653643/p/-1/t/1/fs/0/start/0/end/0/c"),"שם משמעון - הלכות שבת")</f>
        <v>שם משמעון - הלכות שבת</v>
      </c>
      <c r="H4106" t="str">
        <f>_xlfn.CONCAT("https://tablet.otzar.org/",CHAR(35),"/book/653643/p/-1/t/1/fs/0/start/0/end/0/c")</f>
        <v>https://tablet.otzar.org/#/book/653643/p/-1/t/1/fs/0/start/0/end/0/c</v>
      </c>
    </row>
    <row r="4107" spans="1:8" x14ac:dyDescent="0.25">
      <c r="A4107">
        <v>648001</v>
      </c>
      <c r="B4107" t="s">
        <v>7873</v>
      </c>
      <c r="C4107" t="s">
        <v>7874</v>
      </c>
      <c r="D4107" t="s">
        <v>609</v>
      </c>
      <c r="E4107" t="s">
        <v>84</v>
      </c>
      <c r="G4107" t="str">
        <f>HYPERLINK(_xlfn.CONCAT("https://tablet.otzar.org/",CHAR(35),"/book/648001/p/-1/t/1/fs/0/start/0/end/0/c"),"שמועה טובה")</f>
        <v>שמועה טובה</v>
      </c>
      <c r="H4107" t="str">
        <f>_xlfn.CONCAT("https://tablet.otzar.org/",CHAR(35),"/book/648001/p/-1/t/1/fs/0/start/0/end/0/c")</f>
        <v>https://tablet.otzar.org/#/book/648001/p/-1/t/1/fs/0/start/0/end/0/c</v>
      </c>
    </row>
    <row r="4108" spans="1:8" x14ac:dyDescent="0.25">
      <c r="A4108">
        <v>640321</v>
      </c>
      <c r="B4108" t="s">
        <v>7875</v>
      </c>
      <c r="C4108" t="s">
        <v>1689</v>
      </c>
      <c r="E4108" t="s">
        <v>643</v>
      </c>
      <c r="G4108" t="str">
        <f>HYPERLINK(_xlfn.CONCAT("https://tablet.otzar.org/",CHAR(35),"/exKotar/640321"),"שמועסן מיט קינדער - 2 כרכים")</f>
        <v>שמועסן מיט קינדער - 2 כרכים</v>
      </c>
      <c r="H4108" t="str">
        <f>_xlfn.CONCAT("https://tablet.otzar.org/",CHAR(35),"/exKotar/640321")</f>
        <v>https://tablet.otzar.org/#/exKotar/640321</v>
      </c>
    </row>
    <row r="4109" spans="1:8" x14ac:dyDescent="0.25">
      <c r="A4109">
        <v>649168</v>
      </c>
      <c r="B4109" t="s">
        <v>7876</v>
      </c>
      <c r="C4109" t="s">
        <v>7877</v>
      </c>
      <c r="D4109" t="s">
        <v>52</v>
      </c>
      <c r="E4109" t="s">
        <v>11</v>
      </c>
      <c r="G4109" t="str">
        <f>HYPERLINK(_xlfn.CONCAT("https://tablet.otzar.org/",CHAR(35),"/book/649168/p/-1/t/1/fs/0/start/0/end/0/c"),"שמועת חיים - מילה וגרות")</f>
        <v>שמועת חיים - מילה וגרות</v>
      </c>
      <c r="H4109" t="str">
        <f>_xlfn.CONCAT("https://tablet.otzar.org/",CHAR(35),"/book/649168/p/-1/t/1/fs/0/start/0/end/0/c")</f>
        <v>https://tablet.otzar.org/#/book/649168/p/-1/t/1/fs/0/start/0/end/0/c</v>
      </c>
    </row>
    <row r="4110" spans="1:8" x14ac:dyDescent="0.25">
      <c r="A4110">
        <v>643880</v>
      </c>
      <c r="B4110" t="s">
        <v>7878</v>
      </c>
      <c r="C4110" t="s">
        <v>7879</v>
      </c>
      <c r="D4110" t="s">
        <v>10</v>
      </c>
      <c r="E4110" t="s">
        <v>45</v>
      </c>
      <c r="G4110" t="str">
        <f>HYPERLINK(_xlfn.CONCAT("https://tablet.otzar.org/",CHAR(35),"/book/643880/p/-1/t/1/fs/0/start/0/end/0/c"),"שמות 50.000 עולי תימן בעליה הגדולה")</f>
        <v>שמות 50.000 עולי תימן בעליה הגדולה</v>
      </c>
      <c r="H4110" t="str">
        <f>_xlfn.CONCAT("https://tablet.otzar.org/",CHAR(35),"/book/643880/p/-1/t/1/fs/0/start/0/end/0/c")</f>
        <v>https://tablet.otzar.org/#/book/643880/p/-1/t/1/fs/0/start/0/end/0/c</v>
      </c>
    </row>
    <row r="4111" spans="1:8" x14ac:dyDescent="0.25">
      <c r="A4111">
        <v>655795</v>
      </c>
      <c r="B4111" t="s">
        <v>7880</v>
      </c>
      <c r="C4111" t="s">
        <v>7881</v>
      </c>
      <c r="D4111" t="s">
        <v>10</v>
      </c>
      <c r="E4111" t="s">
        <v>320</v>
      </c>
      <c r="G4111" t="str">
        <f>HYPERLINK(_xlfn.CONCAT("https://tablet.otzar.org/",CHAR(35),"/exKotar/655795"),"שמחה לאיש - 4 כרכים")</f>
        <v>שמחה לאיש - 4 כרכים</v>
      </c>
      <c r="H4111" t="str">
        <f>_xlfn.CONCAT("https://tablet.otzar.org/",CHAR(35),"/exKotar/655795")</f>
        <v>https://tablet.otzar.org/#/exKotar/655795</v>
      </c>
    </row>
    <row r="4112" spans="1:8" x14ac:dyDescent="0.25">
      <c r="A4112">
        <v>650067</v>
      </c>
      <c r="B4112" t="s">
        <v>7882</v>
      </c>
      <c r="C4112" t="s">
        <v>3189</v>
      </c>
      <c r="D4112" t="s">
        <v>52</v>
      </c>
      <c r="E4112" t="s">
        <v>405</v>
      </c>
      <c r="G4112" t="str">
        <f>HYPERLINK(_xlfn.CONCAT("https://tablet.otzar.org/",CHAR(35),"/exKotar/650067"),"שמחה לנפש קול מנחם - 2 כרכים")</f>
        <v>שמחה לנפש קול מנחם - 2 כרכים</v>
      </c>
      <c r="H4112" t="str">
        <f>_xlfn.CONCAT("https://tablet.otzar.org/",CHAR(35),"/exKotar/650067")</f>
        <v>https://tablet.otzar.org/#/exKotar/650067</v>
      </c>
    </row>
    <row r="4113" spans="1:8" x14ac:dyDescent="0.25">
      <c r="A4113">
        <v>654437</v>
      </c>
      <c r="B4113" t="s">
        <v>7883</v>
      </c>
      <c r="C4113" t="s">
        <v>7884</v>
      </c>
      <c r="D4113" t="s">
        <v>52</v>
      </c>
      <c r="E4113" t="s">
        <v>35</v>
      </c>
      <c r="G4113" t="str">
        <f>HYPERLINK(_xlfn.CONCAT("https://tablet.otzar.org/",CHAR(35),"/book/654437/p/-1/t/1/fs/0/start/0/end/0/c"),"שמחת אבי")</f>
        <v>שמחת אבי</v>
      </c>
      <c r="H4113" t="str">
        <f>_xlfn.CONCAT("https://tablet.otzar.org/",CHAR(35),"/book/654437/p/-1/t/1/fs/0/start/0/end/0/c")</f>
        <v>https://tablet.otzar.org/#/book/654437/p/-1/t/1/fs/0/start/0/end/0/c</v>
      </c>
    </row>
    <row r="4114" spans="1:8" x14ac:dyDescent="0.25">
      <c r="A4114">
        <v>657521</v>
      </c>
      <c r="B4114" t="s">
        <v>7885</v>
      </c>
      <c r="C4114" t="s">
        <v>7886</v>
      </c>
      <c r="D4114" t="s">
        <v>10</v>
      </c>
      <c r="E4114" t="s">
        <v>11</v>
      </c>
      <c r="G4114" t="str">
        <f>HYPERLINK(_xlfn.CONCAT("https://tablet.otzar.org/",CHAR(35),"/book/657521/p/-1/t/1/fs/0/start/0/end/0/c"),"שמחת אשר - כתמים, וסתות")</f>
        <v>שמחת אשר - כתמים, וסתות</v>
      </c>
      <c r="H4114" t="str">
        <f>_xlfn.CONCAT("https://tablet.otzar.org/",CHAR(35),"/book/657521/p/-1/t/1/fs/0/start/0/end/0/c")</f>
        <v>https://tablet.otzar.org/#/book/657521/p/-1/t/1/fs/0/start/0/end/0/c</v>
      </c>
    </row>
    <row r="4115" spans="1:8" x14ac:dyDescent="0.25">
      <c r="A4115">
        <v>655581</v>
      </c>
      <c r="B4115" t="s">
        <v>7887</v>
      </c>
      <c r="C4115" t="s">
        <v>4597</v>
      </c>
      <c r="D4115" t="s">
        <v>10</v>
      </c>
      <c r="E4115" t="s">
        <v>11</v>
      </c>
      <c r="G4115" t="str">
        <f>HYPERLINK(_xlfn.CONCAT("https://tablet.otzar.org/",CHAR(35),"/book/655581/p/-1/t/1/fs/0/start/0/end/0/c"),"שמחת הרגל - מהדורה חדשה")</f>
        <v>שמחת הרגל - מהדורה חדשה</v>
      </c>
      <c r="H4115" t="str">
        <f>_xlfn.CONCAT("https://tablet.otzar.org/",CHAR(35),"/book/655581/p/-1/t/1/fs/0/start/0/end/0/c")</f>
        <v>https://tablet.otzar.org/#/book/655581/p/-1/t/1/fs/0/start/0/end/0/c</v>
      </c>
    </row>
    <row r="4116" spans="1:8" x14ac:dyDescent="0.25">
      <c r="A4116">
        <v>648511</v>
      </c>
      <c r="B4116" t="s">
        <v>7888</v>
      </c>
      <c r="C4116" t="s">
        <v>7889</v>
      </c>
      <c r="D4116" t="s">
        <v>10</v>
      </c>
      <c r="E4116" t="s">
        <v>35</v>
      </c>
      <c r="G4116" t="str">
        <f>HYPERLINK(_xlfn.CONCAT("https://tablet.otzar.org/",CHAR(35),"/book/648511/p/-1/t/1/fs/0/start/0/end/0/c"),"שמחת חיים - יום טוב, חול המועד")</f>
        <v>שמחת חיים - יום טוב, חול המועד</v>
      </c>
      <c r="H4116" t="str">
        <f>_xlfn.CONCAT("https://tablet.otzar.org/",CHAR(35),"/book/648511/p/-1/t/1/fs/0/start/0/end/0/c")</f>
        <v>https://tablet.otzar.org/#/book/648511/p/-1/t/1/fs/0/start/0/end/0/c</v>
      </c>
    </row>
    <row r="4117" spans="1:8" x14ac:dyDescent="0.25">
      <c r="A4117">
        <v>648479</v>
      </c>
      <c r="B4117" t="s">
        <v>7890</v>
      </c>
      <c r="C4117" t="s">
        <v>7891</v>
      </c>
      <c r="E4117" t="s">
        <v>191</v>
      </c>
      <c r="G4117" t="str">
        <f>HYPERLINK(_xlfn.CONCAT("https://tablet.otzar.org/",CHAR(35),"/exKotar/648479"),"שמחת יהודה - 3 כרכים")</f>
        <v>שמחת יהודה - 3 כרכים</v>
      </c>
      <c r="H4117" t="str">
        <f>_xlfn.CONCAT("https://tablet.otzar.org/",CHAR(35),"/exKotar/648479")</f>
        <v>https://tablet.otzar.org/#/exKotar/648479</v>
      </c>
    </row>
    <row r="4118" spans="1:8" x14ac:dyDescent="0.25">
      <c r="A4118">
        <v>647655</v>
      </c>
      <c r="B4118" t="s">
        <v>7892</v>
      </c>
      <c r="C4118" t="s">
        <v>7893</v>
      </c>
      <c r="D4118" t="s">
        <v>139</v>
      </c>
      <c r="E4118" t="s">
        <v>11</v>
      </c>
      <c r="G4118" t="str">
        <f>HYPERLINK(_xlfn.CONCAT("https://tablet.otzar.org/",CHAR(35),"/exKotar/647655"),"שמיטה כמצותה - 2 כרכים")</f>
        <v>שמיטה כמצותה - 2 כרכים</v>
      </c>
      <c r="H4118" t="str">
        <f>_xlfn.CONCAT("https://tablet.otzar.org/",CHAR(35),"/exKotar/647655")</f>
        <v>https://tablet.otzar.org/#/exKotar/647655</v>
      </c>
    </row>
    <row r="4119" spans="1:8" x14ac:dyDescent="0.25">
      <c r="A4119">
        <v>655200</v>
      </c>
      <c r="B4119" t="s">
        <v>7894</v>
      </c>
      <c r="C4119" t="s">
        <v>928</v>
      </c>
      <c r="D4119" t="s">
        <v>287</v>
      </c>
      <c r="E4119" t="s">
        <v>1240</v>
      </c>
      <c r="G4119" t="str">
        <f>HYPERLINK(_xlfn.CONCAT("https://tablet.otzar.org/",CHAR(35),"/book/655200/p/-1/t/1/fs/0/start/0/end/0/c"),"שמיטת הסופר")</f>
        <v>שמיטת הסופר</v>
      </c>
      <c r="H4119" t="str">
        <f>_xlfn.CONCAT("https://tablet.otzar.org/",CHAR(35),"/book/655200/p/-1/t/1/fs/0/start/0/end/0/c")</f>
        <v>https://tablet.otzar.org/#/book/655200/p/-1/t/1/fs/0/start/0/end/0/c</v>
      </c>
    </row>
    <row r="4120" spans="1:8" x14ac:dyDescent="0.25">
      <c r="A4120">
        <v>649036</v>
      </c>
      <c r="B4120" t="s">
        <v>7895</v>
      </c>
      <c r="C4120" t="s">
        <v>226</v>
      </c>
      <c r="D4120" t="s">
        <v>28</v>
      </c>
      <c r="E4120" t="s">
        <v>405</v>
      </c>
      <c r="G4120" t="str">
        <f>HYPERLINK(_xlfn.CONCAT("https://tablet.otzar.org/",CHAR(35),"/book/649036/p/-1/t/1/fs/0/start/0/end/0/c"),"שמירת הלשון &lt;ארחות חיים&gt;")</f>
        <v>שמירת הלשון &lt;ארחות חיים&gt;</v>
      </c>
      <c r="H4120" t="str">
        <f>_xlfn.CONCAT("https://tablet.otzar.org/",CHAR(35),"/book/649036/p/-1/t/1/fs/0/start/0/end/0/c")</f>
        <v>https://tablet.otzar.org/#/book/649036/p/-1/t/1/fs/0/start/0/end/0/c</v>
      </c>
    </row>
    <row r="4121" spans="1:8" x14ac:dyDescent="0.25">
      <c r="A4121">
        <v>651715</v>
      </c>
      <c r="B4121" t="s">
        <v>7896</v>
      </c>
      <c r="C4121" t="s">
        <v>7897</v>
      </c>
      <c r="E4121" t="s">
        <v>11</v>
      </c>
      <c r="G4121" t="str">
        <f>HYPERLINK(_xlfn.CONCAT("https://tablet.otzar.org/",CHAR(35),"/book/651715/p/-1/t/1/fs/0/start/0/end/0/c"),"שמירת המועד כהלכתו")</f>
        <v>שמירת המועד כהלכתו</v>
      </c>
      <c r="H4121" t="str">
        <f>_xlfn.CONCAT("https://tablet.otzar.org/",CHAR(35),"/book/651715/p/-1/t/1/fs/0/start/0/end/0/c")</f>
        <v>https://tablet.otzar.org/#/book/651715/p/-1/t/1/fs/0/start/0/end/0/c</v>
      </c>
    </row>
    <row r="4122" spans="1:8" x14ac:dyDescent="0.25">
      <c r="A4122">
        <v>655199</v>
      </c>
      <c r="B4122" t="s">
        <v>7898</v>
      </c>
      <c r="C4122" t="s">
        <v>928</v>
      </c>
      <c r="D4122" t="s">
        <v>287</v>
      </c>
      <c r="E4122" t="s">
        <v>45</v>
      </c>
      <c r="G4122" t="str">
        <f>HYPERLINK(_xlfn.CONCAT("https://tablet.otzar.org/",CHAR(35),"/book/655199/p/-1/t/1/fs/0/start/0/end/0/c"),"שמירת הסופר")</f>
        <v>שמירת הסופר</v>
      </c>
      <c r="H4122" t="str">
        <f>_xlfn.CONCAT("https://tablet.otzar.org/",CHAR(35),"/book/655199/p/-1/t/1/fs/0/start/0/end/0/c")</f>
        <v>https://tablet.otzar.org/#/book/655199/p/-1/t/1/fs/0/start/0/end/0/c</v>
      </c>
    </row>
    <row r="4123" spans="1:8" x14ac:dyDescent="0.25">
      <c r="A4123">
        <v>84773</v>
      </c>
      <c r="B4123" t="s">
        <v>7899</v>
      </c>
      <c r="C4123" t="s">
        <v>7900</v>
      </c>
      <c r="E4123" t="s">
        <v>670</v>
      </c>
      <c r="G4123" t="str">
        <f>HYPERLINK(_xlfn.CONCAT("https://tablet.otzar.org/",CHAR(35),"/book/84773/p/-1/t/1/fs/0/start/0/end/0/c"),"שמן הטוב")</f>
        <v>שמן הטוב</v>
      </c>
      <c r="H4123" t="str">
        <f>_xlfn.CONCAT("https://tablet.otzar.org/",CHAR(35),"/book/84773/p/-1/t/1/fs/0/start/0/end/0/c")</f>
        <v>https://tablet.otzar.org/#/book/84773/p/-1/t/1/fs/0/start/0/end/0/c</v>
      </c>
    </row>
    <row r="4124" spans="1:8" x14ac:dyDescent="0.25">
      <c r="A4124">
        <v>650579</v>
      </c>
      <c r="B4124" t="s">
        <v>7901</v>
      </c>
      <c r="C4124" t="s">
        <v>7902</v>
      </c>
      <c r="D4124" t="s">
        <v>7903</v>
      </c>
      <c r="E4124" t="s">
        <v>780</v>
      </c>
      <c r="G4124" t="str">
        <f>HYPERLINK(_xlfn.CONCAT("https://tablet.otzar.org/",CHAR(35),"/book/650579/p/-1/t/1/fs/0/start/0/end/0/c"),"שמן המשחה")</f>
        <v>שמן המשחה</v>
      </c>
      <c r="H4124" t="str">
        <f>_xlfn.CONCAT("https://tablet.otzar.org/",CHAR(35),"/book/650579/p/-1/t/1/fs/0/start/0/end/0/c")</f>
        <v>https://tablet.otzar.org/#/book/650579/p/-1/t/1/fs/0/start/0/end/0/c</v>
      </c>
    </row>
    <row r="4125" spans="1:8" x14ac:dyDescent="0.25">
      <c r="A4125">
        <v>651091</v>
      </c>
      <c r="B4125" t="s">
        <v>7904</v>
      </c>
      <c r="C4125" t="s">
        <v>2869</v>
      </c>
      <c r="D4125" t="s">
        <v>510</v>
      </c>
      <c r="E4125" t="s">
        <v>352</v>
      </c>
      <c r="G4125" t="str">
        <f>HYPERLINK(_xlfn.CONCAT("https://tablet.otzar.org/",CHAR(35),"/book/651091/p/-1/t/1/fs/0/start/0/end/0/c"),"שמן טוב")</f>
        <v>שמן טוב</v>
      </c>
      <c r="H4125" t="str">
        <f>_xlfn.CONCAT("https://tablet.otzar.org/",CHAR(35),"/book/651091/p/-1/t/1/fs/0/start/0/end/0/c")</f>
        <v>https://tablet.otzar.org/#/book/651091/p/-1/t/1/fs/0/start/0/end/0/c</v>
      </c>
    </row>
    <row r="4126" spans="1:8" x14ac:dyDescent="0.25">
      <c r="A4126">
        <v>655742</v>
      </c>
      <c r="B4126" t="s">
        <v>7905</v>
      </c>
      <c r="C4126" t="s">
        <v>7906</v>
      </c>
      <c r="E4126" t="s">
        <v>45</v>
      </c>
      <c r="G4126" t="str">
        <f>HYPERLINK(_xlfn.CONCAT("https://tablet.otzar.org/",CHAR(35),"/exKotar/655742"),"שמן ראש - 4 כרכים")</f>
        <v>שמן ראש - 4 כרכים</v>
      </c>
      <c r="H4126" t="str">
        <f>_xlfn.CONCAT("https://tablet.otzar.org/",CHAR(35),"/exKotar/655742")</f>
        <v>https://tablet.otzar.org/#/exKotar/655742</v>
      </c>
    </row>
    <row r="4127" spans="1:8" x14ac:dyDescent="0.25">
      <c r="A4127">
        <v>650941</v>
      </c>
      <c r="B4127" t="s">
        <v>7907</v>
      </c>
      <c r="C4127" t="s">
        <v>7908</v>
      </c>
      <c r="D4127" t="s">
        <v>287</v>
      </c>
      <c r="E4127" t="s">
        <v>405</v>
      </c>
      <c r="G4127" t="str">
        <f>HYPERLINK(_xlfn.CONCAT("https://tablet.otzar.org/",CHAR(35),"/book/650941/p/-1/t/1/fs/0/start/0/end/0/c"),"שמן ראש - בבא קמא, בבא בתרא")</f>
        <v>שמן ראש - בבא קמא, בבא בתרא</v>
      </c>
      <c r="H4127" t="str">
        <f>_xlfn.CONCAT("https://tablet.otzar.org/",CHAR(35),"/book/650941/p/-1/t/1/fs/0/start/0/end/0/c")</f>
        <v>https://tablet.otzar.org/#/book/650941/p/-1/t/1/fs/0/start/0/end/0/c</v>
      </c>
    </row>
    <row r="4128" spans="1:8" x14ac:dyDescent="0.25">
      <c r="A4128">
        <v>655751</v>
      </c>
      <c r="B4128" t="s">
        <v>7909</v>
      </c>
      <c r="C4128" t="s">
        <v>7906</v>
      </c>
      <c r="E4128" t="s">
        <v>184</v>
      </c>
      <c r="G4128" t="str">
        <f>HYPERLINK(_xlfn.CONCAT("https://tablet.otzar.org/",CHAR(35),"/exKotar/655751"),"שמן ראש &lt;הוצאה ישנה&gt; חלק חמישי - 7 כרכים")</f>
        <v>שמן ראש &lt;הוצאה ישנה&gt; חלק חמישי - 7 כרכים</v>
      </c>
      <c r="H4128" t="str">
        <f>_xlfn.CONCAT("https://tablet.otzar.org/",CHAR(35),"/exKotar/655751")</f>
        <v>https://tablet.otzar.org/#/exKotar/655751</v>
      </c>
    </row>
    <row r="4129" spans="1:8" x14ac:dyDescent="0.25">
      <c r="A4129">
        <v>653261</v>
      </c>
      <c r="B4129" t="s">
        <v>7910</v>
      </c>
      <c r="C4129" t="s">
        <v>7911</v>
      </c>
      <c r="D4129" t="s">
        <v>10</v>
      </c>
      <c r="E4129" t="s">
        <v>246</v>
      </c>
      <c r="G4129" t="str">
        <f>HYPERLINK(_xlfn.CONCAT("https://tablet.otzar.org/",CHAR(35),"/book/653261/p/-1/t/1/fs/0/start/0/end/0/c"),"שמע אבי")</f>
        <v>שמע אבי</v>
      </c>
      <c r="H4129" t="str">
        <f>_xlfn.CONCAT("https://tablet.otzar.org/",CHAR(35),"/book/653261/p/-1/t/1/fs/0/start/0/end/0/c")</f>
        <v>https://tablet.otzar.org/#/book/653261/p/-1/t/1/fs/0/start/0/end/0/c</v>
      </c>
    </row>
    <row r="4130" spans="1:8" x14ac:dyDescent="0.25">
      <c r="A4130">
        <v>655451</v>
      </c>
      <c r="B4130" t="s">
        <v>7912</v>
      </c>
      <c r="C4130" t="s">
        <v>5253</v>
      </c>
      <c r="D4130" t="s">
        <v>10</v>
      </c>
      <c r="E4130" t="s">
        <v>35</v>
      </c>
      <c r="G4130" t="str">
        <f>HYPERLINK(_xlfn.CONCAT("https://tablet.otzar.org/",CHAR(35),"/book/655451/p/-1/t/1/fs/0/start/0/end/0/c"),"שמע אפרים - בראשית")</f>
        <v>שמע אפרים - בראשית</v>
      </c>
      <c r="H4130" t="str">
        <f>_xlfn.CONCAT("https://tablet.otzar.org/",CHAR(35),"/book/655451/p/-1/t/1/fs/0/start/0/end/0/c")</f>
        <v>https://tablet.otzar.org/#/book/655451/p/-1/t/1/fs/0/start/0/end/0/c</v>
      </c>
    </row>
    <row r="4131" spans="1:8" x14ac:dyDescent="0.25">
      <c r="A4131">
        <v>651825</v>
      </c>
      <c r="B4131" t="s">
        <v>7913</v>
      </c>
      <c r="C4131" t="s">
        <v>7914</v>
      </c>
      <c r="D4131" t="s">
        <v>139</v>
      </c>
      <c r="E4131" t="s">
        <v>224</v>
      </c>
      <c r="G4131" t="str">
        <f>HYPERLINK(_xlfn.CONCAT("https://tablet.otzar.org/",CHAR(35),"/book/651825/p/-1/t/1/fs/0/start/0/end/0/c"),"שמע מרדכי")</f>
        <v>שמע מרדכי</v>
      </c>
      <c r="H4131" t="str">
        <f>_xlfn.CONCAT("https://tablet.otzar.org/",CHAR(35),"/book/651825/p/-1/t/1/fs/0/start/0/end/0/c")</f>
        <v>https://tablet.otzar.org/#/book/651825/p/-1/t/1/fs/0/start/0/end/0/c</v>
      </c>
    </row>
    <row r="4132" spans="1:8" x14ac:dyDescent="0.25">
      <c r="A4132">
        <v>653793</v>
      </c>
      <c r="B4132" t="s">
        <v>7915</v>
      </c>
      <c r="C4132" t="s">
        <v>7916</v>
      </c>
      <c r="D4132" t="s">
        <v>10</v>
      </c>
      <c r="E4132" t="s">
        <v>70</v>
      </c>
      <c r="G4132" t="str">
        <f>HYPERLINK(_xlfn.CONCAT("https://tablet.otzar.org/",CHAR(35),"/exKotar/653793"),"שמעתא עמיקתא - 2 כרכים")</f>
        <v>שמעתא עמיקתא - 2 כרכים</v>
      </c>
      <c r="H4132" t="str">
        <f>_xlfn.CONCAT("https://tablet.otzar.org/",CHAR(35),"/exKotar/653793")</f>
        <v>https://tablet.otzar.org/#/exKotar/653793</v>
      </c>
    </row>
    <row r="4133" spans="1:8" x14ac:dyDescent="0.25">
      <c r="A4133">
        <v>651955</v>
      </c>
      <c r="B4133" t="s">
        <v>7917</v>
      </c>
      <c r="C4133" t="s">
        <v>6689</v>
      </c>
      <c r="D4133" t="s">
        <v>139</v>
      </c>
      <c r="E4133" t="s">
        <v>11</v>
      </c>
      <c r="G4133" t="str">
        <f>HYPERLINK(_xlfn.CONCAT("https://tablet.otzar.org/",CHAR(35),"/book/651955/p/-1/t/1/fs/0/start/0/end/0/c"),"שנה לאסון מירון")</f>
        <v>שנה לאסון מירון</v>
      </c>
      <c r="H4133" t="str">
        <f>_xlfn.CONCAT("https://tablet.otzar.org/",CHAR(35),"/book/651955/p/-1/t/1/fs/0/start/0/end/0/c")</f>
        <v>https://tablet.otzar.org/#/book/651955/p/-1/t/1/fs/0/start/0/end/0/c</v>
      </c>
    </row>
    <row r="4134" spans="1:8" x14ac:dyDescent="0.25">
      <c r="A4134">
        <v>649866</v>
      </c>
      <c r="B4134" t="s">
        <v>7918</v>
      </c>
      <c r="C4134" t="s">
        <v>7919</v>
      </c>
      <c r="D4134" t="s">
        <v>10</v>
      </c>
      <c r="E4134" t="s">
        <v>45</v>
      </c>
      <c r="G4134" t="str">
        <f>HYPERLINK(_xlfn.CONCAT("https://tablet.otzar.org/",CHAR(35),"/book/649866/p/-1/t/1/fs/0/start/0/end/0/c"),"שנות דור ודור - ו")</f>
        <v>שנות דור ודור - ו</v>
      </c>
      <c r="H4134" t="str">
        <f>_xlfn.CONCAT("https://tablet.otzar.org/",CHAR(35),"/book/649866/p/-1/t/1/fs/0/start/0/end/0/c")</f>
        <v>https://tablet.otzar.org/#/book/649866/p/-1/t/1/fs/0/start/0/end/0/c</v>
      </c>
    </row>
    <row r="4135" spans="1:8" x14ac:dyDescent="0.25">
      <c r="A4135">
        <v>648554</v>
      </c>
      <c r="B4135" t="s">
        <v>7920</v>
      </c>
      <c r="C4135" t="s">
        <v>7921</v>
      </c>
      <c r="D4135" t="s">
        <v>7922</v>
      </c>
      <c r="E4135" t="s">
        <v>35</v>
      </c>
      <c r="G4135" t="str">
        <f>HYPERLINK(_xlfn.CONCAT("https://tablet.otzar.org/",CHAR(35),"/book/648554/p/-1/t/1/fs/0/start/0/end/0/c"),"שנות יהושע")</f>
        <v>שנות יהושע</v>
      </c>
      <c r="H4135" t="str">
        <f>_xlfn.CONCAT("https://tablet.otzar.org/",CHAR(35),"/book/648554/p/-1/t/1/fs/0/start/0/end/0/c")</f>
        <v>https://tablet.otzar.org/#/book/648554/p/-1/t/1/fs/0/start/0/end/0/c</v>
      </c>
    </row>
    <row r="4136" spans="1:8" x14ac:dyDescent="0.25">
      <c r="A4136">
        <v>655180</v>
      </c>
      <c r="B4136" t="s">
        <v>7923</v>
      </c>
      <c r="C4136" t="s">
        <v>4601</v>
      </c>
      <c r="D4136" t="s">
        <v>10</v>
      </c>
      <c r="E4136" t="s">
        <v>1240</v>
      </c>
      <c r="G4136" t="str">
        <f>HYPERLINK(_xlfn.CONCAT("https://tablet.otzar.org/",CHAR(35),"/book/655180/p/-1/t/1/fs/0/start/0/end/0/c"),"שני לוחות הברית - דרך חיים ותוכחות מוסר")</f>
        <v>שני לוחות הברית - דרך חיים ותוכחות מוסר</v>
      </c>
      <c r="H4136" t="str">
        <f>_xlfn.CONCAT("https://tablet.otzar.org/",CHAR(35),"/book/655180/p/-1/t/1/fs/0/start/0/end/0/c")</f>
        <v>https://tablet.otzar.org/#/book/655180/p/-1/t/1/fs/0/start/0/end/0/c</v>
      </c>
    </row>
    <row r="4137" spans="1:8" x14ac:dyDescent="0.25">
      <c r="A4137">
        <v>651580</v>
      </c>
      <c r="B4137" t="s">
        <v>7924</v>
      </c>
      <c r="C4137" t="s">
        <v>7925</v>
      </c>
      <c r="D4137" t="s">
        <v>52</v>
      </c>
      <c r="E4137" t="s">
        <v>11</v>
      </c>
      <c r="G4137" t="str">
        <f>HYPERLINK(_xlfn.CONCAT("https://tablet.otzar.org/",CHAR(35),"/book/651580/p/-1/t/1/fs/0/start/0/end/0/c"),"שעורי חולין - ע""""ז")</f>
        <v>שעורי חולין - ע""ז</v>
      </c>
      <c r="H4137" t="str">
        <f>_xlfn.CONCAT("https://tablet.otzar.org/",CHAR(35),"/book/651580/p/-1/t/1/fs/0/start/0/end/0/c")</f>
        <v>https://tablet.otzar.org/#/book/651580/p/-1/t/1/fs/0/start/0/end/0/c</v>
      </c>
    </row>
    <row r="4138" spans="1:8" x14ac:dyDescent="0.25">
      <c r="A4138">
        <v>648549</v>
      </c>
      <c r="B4138" t="s">
        <v>7926</v>
      </c>
      <c r="C4138" t="s">
        <v>7927</v>
      </c>
      <c r="D4138" t="s">
        <v>606</v>
      </c>
      <c r="E4138" t="s">
        <v>704</v>
      </c>
      <c r="G4138" t="str">
        <f>HYPERLINK(_xlfn.CONCAT("https://tablet.otzar.org/",CHAR(35),"/book/648549/p/-1/t/1/fs/0/start/0/end/0/c"),"שעורי מורינו ראש הישיבה - כתובות קידושין")</f>
        <v>שעורי מורינו ראש הישיבה - כתובות קידושין</v>
      </c>
      <c r="H4138" t="str">
        <f>_xlfn.CONCAT("https://tablet.otzar.org/",CHAR(35),"/book/648549/p/-1/t/1/fs/0/start/0/end/0/c")</f>
        <v>https://tablet.otzar.org/#/book/648549/p/-1/t/1/fs/0/start/0/end/0/c</v>
      </c>
    </row>
    <row r="4139" spans="1:8" x14ac:dyDescent="0.25">
      <c r="A4139">
        <v>648528</v>
      </c>
      <c r="B4139" t="s">
        <v>7928</v>
      </c>
      <c r="C4139" t="s">
        <v>7929</v>
      </c>
      <c r="D4139" t="s">
        <v>52</v>
      </c>
      <c r="E4139" t="s">
        <v>70</v>
      </c>
      <c r="G4139" t="str">
        <f>HYPERLINK(_xlfn.CONCAT("https://tablet.otzar.org/",CHAR(35),"/book/648528/p/-1/t/1/fs/0/start/0/end/0/c"),"שעורי מורנו הגר""""ש רוזובסקי - כתובות")</f>
        <v>שעורי מורנו הגר""ש רוזובסקי - כתובות</v>
      </c>
      <c r="H4139" t="str">
        <f>_xlfn.CONCAT("https://tablet.otzar.org/",CHAR(35),"/book/648528/p/-1/t/1/fs/0/start/0/end/0/c")</f>
        <v>https://tablet.otzar.org/#/book/648528/p/-1/t/1/fs/0/start/0/end/0/c</v>
      </c>
    </row>
    <row r="4140" spans="1:8" x14ac:dyDescent="0.25">
      <c r="A4140">
        <v>650724</v>
      </c>
      <c r="B4140" t="s">
        <v>7930</v>
      </c>
      <c r="C4140" t="s">
        <v>7696</v>
      </c>
      <c r="D4140" t="s">
        <v>832</v>
      </c>
      <c r="E4140" t="s">
        <v>35</v>
      </c>
      <c r="G4140" t="str">
        <f>HYPERLINK(_xlfn.CONCAT("https://tablet.otzar.org/",CHAR(35),"/book/650724/p/-1/t/1/fs/0/start/0/end/0/c"),"שעורי משה - ברכות-שבת")</f>
        <v>שעורי משה - ברכות-שבת</v>
      </c>
      <c r="H4140" t="str">
        <f>_xlfn.CONCAT("https://tablet.otzar.org/",CHAR(35),"/book/650724/p/-1/t/1/fs/0/start/0/end/0/c")</f>
        <v>https://tablet.otzar.org/#/book/650724/p/-1/t/1/fs/0/start/0/end/0/c</v>
      </c>
    </row>
    <row r="4141" spans="1:8" x14ac:dyDescent="0.25">
      <c r="A4141">
        <v>650723</v>
      </c>
      <c r="B4141" t="s">
        <v>7931</v>
      </c>
      <c r="C4141" t="s">
        <v>7925</v>
      </c>
      <c r="D4141" t="s">
        <v>52</v>
      </c>
      <c r="E4141" t="s">
        <v>11</v>
      </c>
      <c r="G4141" t="str">
        <f>HYPERLINK(_xlfn.CONCAT("https://tablet.otzar.org/",CHAR(35),"/book/650723/p/-1/t/1/fs/0/start/0/end/0/c"),"שעורי עז - חולין")</f>
        <v>שעורי עז - חולין</v>
      </c>
      <c r="H4141" t="str">
        <f>_xlfn.CONCAT("https://tablet.otzar.org/",CHAR(35),"/book/650723/p/-1/t/1/fs/0/start/0/end/0/c")</f>
        <v>https://tablet.otzar.org/#/book/650723/p/-1/t/1/fs/0/start/0/end/0/c</v>
      </c>
    </row>
    <row r="4142" spans="1:8" x14ac:dyDescent="0.25">
      <c r="A4142">
        <v>648239</v>
      </c>
      <c r="B4142" t="s">
        <v>7932</v>
      </c>
      <c r="C4142" t="s">
        <v>7933</v>
      </c>
      <c r="D4142" t="s">
        <v>7934</v>
      </c>
      <c r="E4142" t="s">
        <v>1881</v>
      </c>
      <c r="G4142" t="str">
        <f>HYPERLINK(_xlfn.CONCAT("https://tablet.otzar.org/",CHAR(35),"/exKotar/648239"),"שעורי רבותינו - 2 כרכים")</f>
        <v>שעורי רבותינו - 2 כרכים</v>
      </c>
      <c r="H4142" t="str">
        <f>_xlfn.CONCAT("https://tablet.otzar.org/",CHAR(35),"/exKotar/648239")</f>
        <v>https://tablet.otzar.org/#/exKotar/648239</v>
      </c>
    </row>
    <row r="4143" spans="1:8" x14ac:dyDescent="0.25">
      <c r="A4143">
        <v>650203</v>
      </c>
      <c r="B4143" t="s">
        <v>7935</v>
      </c>
      <c r="C4143" t="s">
        <v>7936</v>
      </c>
      <c r="D4143" t="s">
        <v>10</v>
      </c>
      <c r="E4143" t="s">
        <v>11</v>
      </c>
      <c r="G4143" t="str">
        <f>HYPERLINK(_xlfn.CONCAT("https://tablet.otzar.org/",CHAR(35),"/book/650203/p/-1/t/1/fs/0/start/0/end/0/c"),"שעורי רבנו משולם דוד הלוי מנחות &lt;מהדורת הרב שפיגל&gt; ג")</f>
        <v>שעורי רבנו משולם דוד הלוי מנחות &lt;מהדורת הרב שפיגל&gt; ג</v>
      </c>
      <c r="H4143" t="str">
        <f>_xlfn.CONCAT("https://tablet.otzar.org/",CHAR(35),"/book/650203/p/-1/t/1/fs/0/start/0/end/0/c")</f>
        <v>https://tablet.otzar.org/#/book/650203/p/-1/t/1/fs/0/start/0/end/0/c</v>
      </c>
    </row>
    <row r="4144" spans="1:8" x14ac:dyDescent="0.25">
      <c r="A4144">
        <v>656116</v>
      </c>
      <c r="B4144" t="s">
        <v>7937</v>
      </c>
      <c r="C4144" t="s">
        <v>2438</v>
      </c>
      <c r="D4144" t="s">
        <v>52</v>
      </c>
      <c r="E4144" t="s">
        <v>84</v>
      </c>
      <c r="G4144" t="str">
        <f>HYPERLINK(_xlfn.CONCAT("https://tablet.otzar.org/",CHAR(35),"/exKotar/656116"),"שעורים בהלכות שבת - 2 כרכים")</f>
        <v>שעורים בהלכות שבת - 2 כרכים</v>
      </c>
      <c r="H4144" t="str">
        <f>_xlfn.CONCAT("https://tablet.otzar.org/",CHAR(35),"/exKotar/656116")</f>
        <v>https://tablet.otzar.org/#/exKotar/656116</v>
      </c>
    </row>
    <row r="4145" spans="1:8" x14ac:dyDescent="0.25">
      <c r="A4145">
        <v>656067</v>
      </c>
      <c r="B4145" t="s">
        <v>7938</v>
      </c>
      <c r="C4145" t="s">
        <v>614</v>
      </c>
      <c r="D4145" t="s">
        <v>340</v>
      </c>
      <c r="E4145" t="s">
        <v>45</v>
      </c>
      <c r="G4145" t="str">
        <f>HYPERLINK(_xlfn.CONCAT("https://tablet.otzar.org/",CHAR(35),"/book/656067/p/-1/t/1/fs/0/start/0/end/0/c"),"שער בין החומתיים בדין ספק מוקפין")</f>
        <v>שער בין החומתיים בדין ספק מוקפין</v>
      </c>
      <c r="H4145" t="str">
        <f>_xlfn.CONCAT("https://tablet.otzar.org/",CHAR(35),"/book/656067/p/-1/t/1/fs/0/start/0/end/0/c")</f>
        <v>https://tablet.otzar.org/#/book/656067/p/-1/t/1/fs/0/start/0/end/0/c</v>
      </c>
    </row>
    <row r="4146" spans="1:8" x14ac:dyDescent="0.25">
      <c r="A4146">
        <v>654202</v>
      </c>
      <c r="B4146" t="s">
        <v>7939</v>
      </c>
      <c r="C4146" t="s">
        <v>7940</v>
      </c>
      <c r="D4146" t="s">
        <v>10</v>
      </c>
      <c r="E4146" t="s">
        <v>89</v>
      </c>
      <c r="G4146" t="str">
        <f>HYPERLINK(_xlfn.CONCAT("https://tablet.otzar.org/",CHAR(35),"/book/654202/p/-1/t/1/fs/0/start/0/end/0/c"),"שער הבטחון")</f>
        <v>שער הבטחון</v>
      </c>
      <c r="H4146" t="str">
        <f>_xlfn.CONCAT("https://tablet.otzar.org/",CHAR(35),"/book/654202/p/-1/t/1/fs/0/start/0/end/0/c")</f>
        <v>https://tablet.otzar.org/#/book/654202/p/-1/t/1/fs/0/start/0/end/0/c</v>
      </c>
    </row>
    <row r="4147" spans="1:8" x14ac:dyDescent="0.25">
      <c r="A4147">
        <v>652089</v>
      </c>
      <c r="B4147" t="s">
        <v>7941</v>
      </c>
      <c r="C4147" t="s">
        <v>2162</v>
      </c>
      <c r="D4147" t="s">
        <v>10</v>
      </c>
      <c r="E4147" t="s">
        <v>690</v>
      </c>
      <c r="G4147" t="str">
        <f>HYPERLINK(_xlfn.CONCAT("https://tablet.otzar.org/",CHAR(35),"/book/652089/p/-1/t/1/fs/0/start/0/end/0/c"),"שער זאת חנוכה")</f>
        <v>שער זאת חנוכה</v>
      </c>
      <c r="H4147" t="str">
        <f>_xlfn.CONCAT("https://tablet.otzar.org/",CHAR(35),"/book/652089/p/-1/t/1/fs/0/start/0/end/0/c")</f>
        <v>https://tablet.otzar.org/#/book/652089/p/-1/t/1/fs/0/start/0/end/0/c</v>
      </c>
    </row>
    <row r="4148" spans="1:8" x14ac:dyDescent="0.25">
      <c r="A4148">
        <v>656355</v>
      </c>
      <c r="B4148" t="s">
        <v>7942</v>
      </c>
      <c r="C4148" t="s">
        <v>7943</v>
      </c>
      <c r="D4148" t="s">
        <v>10</v>
      </c>
      <c r="E4148" t="s">
        <v>817</v>
      </c>
      <c r="G4148" t="str">
        <f>HYPERLINK(_xlfn.CONCAT("https://tablet.otzar.org/",CHAR(35),"/exKotar/656355"),"שער יששכר &lt;מהדורה חדשה&gt;  - 3 כרכים")</f>
        <v>שער יששכר &lt;מהדורה חדשה&gt;  - 3 כרכים</v>
      </c>
      <c r="H4148" t="str">
        <f>_xlfn.CONCAT("https://tablet.otzar.org/",CHAR(35),"/exKotar/656355")</f>
        <v>https://tablet.otzar.org/#/exKotar/656355</v>
      </c>
    </row>
    <row r="4149" spans="1:8" x14ac:dyDescent="0.25">
      <c r="A4149">
        <v>654760</v>
      </c>
      <c r="B4149" t="s">
        <v>7944</v>
      </c>
      <c r="C4149" t="s">
        <v>7945</v>
      </c>
      <c r="D4149" t="s">
        <v>10</v>
      </c>
      <c r="E4149" t="s">
        <v>11</v>
      </c>
      <c r="G4149" t="str">
        <f>HYPERLINK(_xlfn.CONCAT("https://tablet.otzar.org/",CHAR(35),"/book/654760/p/-1/t/1/fs/0/start/0/end/0/c"),"שערי אורה - מלאכת שבת")</f>
        <v>שערי אורה - מלאכת שבת</v>
      </c>
      <c r="H4149" t="str">
        <f>_xlfn.CONCAT("https://tablet.otzar.org/",CHAR(35),"/book/654760/p/-1/t/1/fs/0/start/0/end/0/c")</f>
        <v>https://tablet.otzar.org/#/book/654760/p/-1/t/1/fs/0/start/0/end/0/c</v>
      </c>
    </row>
    <row r="4150" spans="1:8" x14ac:dyDescent="0.25">
      <c r="A4150">
        <v>652650</v>
      </c>
      <c r="B4150" t="s">
        <v>7946</v>
      </c>
      <c r="C4150" t="s">
        <v>3561</v>
      </c>
      <c r="D4150" t="s">
        <v>7947</v>
      </c>
      <c r="E4150" t="s">
        <v>4006</v>
      </c>
      <c r="G4150" t="str">
        <f>HYPERLINK(_xlfn.CONCAT("https://tablet.otzar.org/",CHAR(35),"/book/652650/p/-1/t/1/fs/0/start/0/end/0/c"),"שערי אפרים &lt;פתחי שערים- שערי רחמים- שערי חיים&gt;")</f>
        <v>שערי אפרים &lt;פתחי שערים- שערי רחמים- שערי חיים&gt;</v>
      </c>
      <c r="H4150" t="str">
        <f>_xlfn.CONCAT("https://tablet.otzar.org/",CHAR(35),"/book/652650/p/-1/t/1/fs/0/start/0/end/0/c")</f>
        <v>https://tablet.otzar.org/#/book/652650/p/-1/t/1/fs/0/start/0/end/0/c</v>
      </c>
    </row>
    <row r="4151" spans="1:8" x14ac:dyDescent="0.25">
      <c r="A4151">
        <v>652781</v>
      </c>
      <c r="B4151" t="s">
        <v>7948</v>
      </c>
      <c r="C4151" t="s">
        <v>7949</v>
      </c>
      <c r="D4151" t="s">
        <v>10</v>
      </c>
      <c r="E4151" t="s">
        <v>11</v>
      </c>
      <c r="G4151" t="str">
        <f>HYPERLINK(_xlfn.CONCAT("https://tablet.otzar.org/",CHAR(35),"/book/652781/p/-1/t/1/fs/0/start/0/end/0/c"),"שערי אריה")</f>
        <v>שערי אריה</v>
      </c>
      <c r="H4151" t="str">
        <f>_xlfn.CONCAT("https://tablet.otzar.org/",CHAR(35),"/book/652781/p/-1/t/1/fs/0/start/0/end/0/c")</f>
        <v>https://tablet.otzar.org/#/book/652781/p/-1/t/1/fs/0/start/0/end/0/c</v>
      </c>
    </row>
    <row r="4152" spans="1:8" x14ac:dyDescent="0.25">
      <c r="A4152">
        <v>652321</v>
      </c>
      <c r="B4152" t="s">
        <v>7950</v>
      </c>
      <c r="C4152" t="s">
        <v>151</v>
      </c>
      <c r="D4152" t="s">
        <v>10</v>
      </c>
      <c r="E4152" t="s">
        <v>146</v>
      </c>
      <c r="G4152" t="str">
        <f>HYPERLINK(_xlfn.CONCAT("https://tablet.otzar.org/",CHAR(35),"/book/652321/p/-1/t/1/fs/0/start/0/end/0/c"),"שערי בר מצוה ומצות תפילין")</f>
        <v>שערי בר מצוה ומצות תפילין</v>
      </c>
      <c r="H4152" t="str">
        <f>_xlfn.CONCAT("https://tablet.otzar.org/",CHAR(35),"/book/652321/p/-1/t/1/fs/0/start/0/end/0/c")</f>
        <v>https://tablet.otzar.org/#/book/652321/p/-1/t/1/fs/0/start/0/end/0/c</v>
      </c>
    </row>
    <row r="4153" spans="1:8" x14ac:dyDescent="0.25">
      <c r="A4153">
        <v>655913</v>
      </c>
      <c r="B4153" t="s">
        <v>7951</v>
      </c>
      <c r="C4153" t="s">
        <v>1314</v>
      </c>
      <c r="D4153" t="s">
        <v>2111</v>
      </c>
      <c r="E4153" t="s">
        <v>29</v>
      </c>
      <c r="G4153" t="str">
        <f>HYPERLINK(_xlfn.CONCAT("https://tablet.otzar.org/",CHAR(35),"/book/655913/p/-1/t/1/fs/0/start/0/end/0/c"),"שערי ברכות")</f>
        <v>שערי ברכות</v>
      </c>
      <c r="H4153" t="str">
        <f>_xlfn.CONCAT("https://tablet.otzar.org/",CHAR(35),"/book/655913/p/-1/t/1/fs/0/start/0/end/0/c")</f>
        <v>https://tablet.otzar.org/#/book/655913/p/-1/t/1/fs/0/start/0/end/0/c</v>
      </c>
    </row>
    <row r="4154" spans="1:8" x14ac:dyDescent="0.25">
      <c r="A4154">
        <v>649984</v>
      </c>
      <c r="B4154" t="s">
        <v>7952</v>
      </c>
      <c r="C4154" t="s">
        <v>7953</v>
      </c>
      <c r="D4154" t="s">
        <v>52</v>
      </c>
      <c r="E4154" t="s">
        <v>11</v>
      </c>
      <c r="G4154" t="str">
        <f>HYPERLINK(_xlfn.CONCAT("https://tablet.otzar.org/",CHAR(35),"/exKotar/649984"),"שערי דבר - 2 כרכים")</f>
        <v>שערי דבר - 2 כרכים</v>
      </c>
      <c r="H4154" t="str">
        <f>_xlfn.CONCAT("https://tablet.otzar.org/",CHAR(35),"/exKotar/649984")</f>
        <v>https://tablet.otzar.org/#/exKotar/649984</v>
      </c>
    </row>
    <row r="4155" spans="1:8" x14ac:dyDescent="0.25">
      <c r="A4155">
        <v>648785</v>
      </c>
      <c r="B4155" t="s">
        <v>7954</v>
      </c>
      <c r="C4155" t="s">
        <v>7955</v>
      </c>
      <c r="D4155" t="s">
        <v>10</v>
      </c>
      <c r="E4155" t="s">
        <v>45</v>
      </c>
      <c r="G4155" t="str">
        <f>HYPERLINK(_xlfn.CONCAT("https://tablet.otzar.org/",CHAR(35),"/book/648785/p/-1/t/1/fs/0/start/0/end/0/c"),"שערי דוד")</f>
        <v>שערי דוד</v>
      </c>
      <c r="H4155" t="str">
        <f>_xlfn.CONCAT("https://tablet.otzar.org/",CHAR(35),"/book/648785/p/-1/t/1/fs/0/start/0/end/0/c")</f>
        <v>https://tablet.otzar.org/#/book/648785/p/-1/t/1/fs/0/start/0/end/0/c</v>
      </c>
    </row>
    <row r="4156" spans="1:8" x14ac:dyDescent="0.25">
      <c r="A4156">
        <v>654939</v>
      </c>
      <c r="B4156" t="s">
        <v>7956</v>
      </c>
      <c r="C4156" t="s">
        <v>7957</v>
      </c>
      <c r="D4156" t="s">
        <v>52</v>
      </c>
      <c r="E4156" t="s">
        <v>11</v>
      </c>
      <c r="G4156" t="str">
        <f>HYPERLINK(_xlfn.CONCAT("https://tablet.otzar.org/",CHAR(35),"/book/654939/p/-1/t/1/fs/0/start/0/end/0/c"),"שערי דורא &lt;מהדורת דבליצקי&gt; - א")</f>
        <v>שערי דורא &lt;מהדורת דבליצקי&gt; - א</v>
      </c>
      <c r="H4156" t="str">
        <f>_xlfn.CONCAT("https://tablet.otzar.org/",CHAR(35),"/book/654939/p/-1/t/1/fs/0/start/0/end/0/c")</f>
        <v>https://tablet.otzar.org/#/book/654939/p/-1/t/1/fs/0/start/0/end/0/c</v>
      </c>
    </row>
    <row r="4157" spans="1:8" x14ac:dyDescent="0.25">
      <c r="A4157">
        <v>654940</v>
      </c>
      <c r="B4157" t="s">
        <v>7958</v>
      </c>
      <c r="C4157" t="s">
        <v>7957</v>
      </c>
      <c r="D4157" t="s">
        <v>52</v>
      </c>
      <c r="E4157" t="s">
        <v>11</v>
      </c>
      <c r="G4157" t="str">
        <f>HYPERLINK(_xlfn.CONCAT("https://tablet.otzar.org/",CHAR(35),"/book/654940/p/-1/t/1/fs/0/start/0/end/0/c"),"שערי דורא &lt;מהדורת דבליצקי&gt; - ב")</f>
        <v>שערי דורא &lt;מהדורת דבליצקי&gt; - ב</v>
      </c>
      <c r="H4157" t="str">
        <f>_xlfn.CONCAT("https://tablet.otzar.org/",CHAR(35),"/book/654940/p/-1/t/1/fs/0/start/0/end/0/c")</f>
        <v>https://tablet.otzar.org/#/book/654940/p/-1/t/1/fs/0/start/0/end/0/c</v>
      </c>
    </row>
    <row r="4158" spans="1:8" x14ac:dyDescent="0.25">
      <c r="A4158">
        <v>649460</v>
      </c>
      <c r="B4158" t="s">
        <v>7959</v>
      </c>
      <c r="C4158" t="s">
        <v>7960</v>
      </c>
      <c r="D4158" t="s">
        <v>39</v>
      </c>
      <c r="E4158" t="s">
        <v>7961</v>
      </c>
      <c r="G4158" t="str">
        <f>HYPERLINK(_xlfn.CONCAT("https://tablet.otzar.org/",CHAR(35),"/book/649460/p/-1/t/1/fs/0/start/0/end/0/c"),"שערי דמעה &lt;דפוס ראשון&gt;")</f>
        <v>שערי דמעה &lt;דפוס ראשון&gt;</v>
      </c>
      <c r="H4158" t="str">
        <f>_xlfn.CONCAT("https://tablet.otzar.org/",CHAR(35),"/book/649460/p/-1/t/1/fs/0/start/0/end/0/c")</f>
        <v>https://tablet.otzar.org/#/book/649460/p/-1/t/1/fs/0/start/0/end/0/c</v>
      </c>
    </row>
    <row r="4159" spans="1:8" x14ac:dyDescent="0.25">
      <c r="A4159">
        <v>649461</v>
      </c>
      <c r="B4159" t="s">
        <v>7962</v>
      </c>
      <c r="C4159" t="s">
        <v>7960</v>
      </c>
      <c r="D4159" t="s">
        <v>58</v>
      </c>
      <c r="E4159" t="s">
        <v>802</v>
      </c>
      <c r="G4159" t="str">
        <f>HYPERLINK(_xlfn.CONCAT("https://tablet.otzar.org/",CHAR(35),"/book/649461/p/-1/t/1/fs/0/start/0/end/0/c"),"שערי דמעה")</f>
        <v>שערי דמעה</v>
      </c>
      <c r="H4159" t="str">
        <f>_xlfn.CONCAT("https://tablet.otzar.org/",CHAR(35),"/book/649461/p/-1/t/1/fs/0/start/0/end/0/c")</f>
        <v>https://tablet.otzar.org/#/book/649461/p/-1/t/1/fs/0/start/0/end/0/c</v>
      </c>
    </row>
    <row r="4160" spans="1:8" x14ac:dyDescent="0.25">
      <c r="A4160">
        <v>649861</v>
      </c>
      <c r="B4160" t="s">
        <v>7963</v>
      </c>
      <c r="C4160" t="s">
        <v>5687</v>
      </c>
      <c r="E4160" t="s">
        <v>117</v>
      </c>
      <c r="G4160" t="str">
        <f>HYPERLINK(_xlfn.CONCAT("https://tablet.otzar.org/",CHAR(35),"/book/649861/p/-1/t/1/fs/0/start/0/end/0/c"),"שערי דמעה - ב")</f>
        <v>שערי דמעה - ב</v>
      </c>
      <c r="H4160" t="str">
        <f>_xlfn.CONCAT("https://tablet.otzar.org/",CHAR(35),"/book/649861/p/-1/t/1/fs/0/start/0/end/0/c")</f>
        <v>https://tablet.otzar.org/#/book/649861/p/-1/t/1/fs/0/start/0/end/0/c</v>
      </c>
    </row>
    <row r="4161" spans="1:8" x14ac:dyDescent="0.25">
      <c r="A4161">
        <v>649542</v>
      </c>
      <c r="B4161" t="s">
        <v>7964</v>
      </c>
      <c r="C4161" t="s">
        <v>5772</v>
      </c>
      <c r="D4161" t="s">
        <v>39</v>
      </c>
      <c r="E4161" t="s">
        <v>2749</v>
      </c>
      <c r="G4161" t="str">
        <f>HYPERLINK(_xlfn.CONCAT("https://tablet.otzar.org/",CHAR(35),"/book/649542/p/-1/t/1/fs/0/start/0/end/0/c"),"שערי דמעה וישועה")</f>
        <v>שערי דמעה וישועה</v>
      </c>
      <c r="H4161" t="str">
        <f>_xlfn.CONCAT("https://tablet.otzar.org/",CHAR(35),"/book/649542/p/-1/t/1/fs/0/start/0/end/0/c")</f>
        <v>https://tablet.otzar.org/#/book/649542/p/-1/t/1/fs/0/start/0/end/0/c</v>
      </c>
    </row>
    <row r="4162" spans="1:8" x14ac:dyDescent="0.25">
      <c r="A4162">
        <v>652612</v>
      </c>
      <c r="B4162" t="s">
        <v>7965</v>
      </c>
      <c r="C4162" t="s">
        <v>7966</v>
      </c>
      <c r="D4162" t="s">
        <v>948</v>
      </c>
      <c r="E4162" t="s">
        <v>11</v>
      </c>
      <c r="G4162" t="str">
        <f>HYPERLINK(_xlfn.CONCAT("https://tablet.otzar.org/",CHAR(35),"/book/652612/p/-1/t/1/fs/0/start/0/end/0/c"),"שערי הלכה - תולעים ומאכלי גוים")</f>
        <v>שערי הלכה - תולעים ומאכלי גוים</v>
      </c>
      <c r="H4162" t="str">
        <f>_xlfn.CONCAT("https://tablet.otzar.org/",CHAR(35),"/book/652612/p/-1/t/1/fs/0/start/0/end/0/c")</f>
        <v>https://tablet.otzar.org/#/book/652612/p/-1/t/1/fs/0/start/0/end/0/c</v>
      </c>
    </row>
    <row r="4163" spans="1:8" x14ac:dyDescent="0.25">
      <c r="A4163">
        <v>655914</v>
      </c>
      <c r="B4163" t="s">
        <v>7967</v>
      </c>
      <c r="C4163" t="s">
        <v>1314</v>
      </c>
      <c r="D4163" t="s">
        <v>2111</v>
      </c>
      <c r="E4163" t="s">
        <v>29</v>
      </c>
      <c r="G4163" t="str">
        <f>HYPERLINK(_xlfn.CONCAT("https://tablet.otzar.org/",CHAR(35),"/book/655914/p/-1/t/1/fs/0/start/0/end/0/c"),"שערי המועדים")</f>
        <v>שערי המועדים</v>
      </c>
      <c r="H4163" t="str">
        <f>_xlfn.CONCAT("https://tablet.otzar.org/",CHAR(35),"/book/655914/p/-1/t/1/fs/0/start/0/end/0/c")</f>
        <v>https://tablet.otzar.org/#/book/655914/p/-1/t/1/fs/0/start/0/end/0/c</v>
      </c>
    </row>
    <row r="4164" spans="1:8" x14ac:dyDescent="0.25">
      <c r="A4164">
        <v>655970</v>
      </c>
      <c r="B4164" t="s">
        <v>7968</v>
      </c>
      <c r="C4164" t="s">
        <v>2203</v>
      </c>
      <c r="D4164" t="s">
        <v>193</v>
      </c>
      <c r="E4164" t="s">
        <v>29</v>
      </c>
      <c r="G4164" t="str">
        <f>HYPERLINK(_xlfn.CONCAT("https://tablet.otzar.org/",CHAR(35),"/exKotar/655970"),"שערי המצוות - 7 כרכים")</f>
        <v>שערי המצוות - 7 כרכים</v>
      </c>
      <c r="H4164" t="str">
        <f>_xlfn.CONCAT("https://tablet.otzar.org/",CHAR(35),"/exKotar/655970")</f>
        <v>https://tablet.otzar.org/#/exKotar/655970</v>
      </c>
    </row>
    <row r="4165" spans="1:8" x14ac:dyDescent="0.25">
      <c r="A4165">
        <v>656027</v>
      </c>
      <c r="B4165" t="s">
        <v>7969</v>
      </c>
      <c r="C4165" t="s">
        <v>1569</v>
      </c>
      <c r="D4165" t="s">
        <v>340</v>
      </c>
      <c r="E4165" t="s">
        <v>35</v>
      </c>
      <c r="G4165" t="str">
        <f>HYPERLINK(_xlfn.CONCAT("https://tablet.otzar.org/",CHAR(35),"/exKotar/656027"),"שערי חן - 3 כרכים")</f>
        <v>שערי חן - 3 כרכים</v>
      </c>
      <c r="H4165" t="str">
        <f>_xlfn.CONCAT("https://tablet.otzar.org/",CHAR(35),"/exKotar/656027")</f>
        <v>https://tablet.otzar.org/#/exKotar/656027</v>
      </c>
    </row>
    <row r="4166" spans="1:8" x14ac:dyDescent="0.25">
      <c r="A4166">
        <v>650942</v>
      </c>
      <c r="B4166" t="s">
        <v>7970</v>
      </c>
      <c r="C4166" t="s">
        <v>7971</v>
      </c>
      <c r="D4166" t="s">
        <v>10</v>
      </c>
      <c r="E4166" t="s">
        <v>11</v>
      </c>
      <c r="G4166" t="str">
        <f>HYPERLINK(_xlfn.CONCAT("https://tablet.otzar.org/",CHAR(35),"/book/650942/p/-1/t/1/fs/0/start/0/end/0/c"),"שערי טוביה - שער הסוגיות")</f>
        <v>שערי טוביה - שער הסוגיות</v>
      </c>
      <c r="H4166" t="str">
        <f>_xlfn.CONCAT("https://tablet.otzar.org/",CHAR(35),"/book/650942/p/-1/t/1/fs/0/start/0/end/0/c")</f>
        <v>https://tablet.otzar.org/#/book/650942/p/-1/t/1/fs/0/start/0/end/0/c</v>
      </c>
    </row>
    <row r="4167" spans="1:8" x14ac:dyDescent="0.25">
      <c r="A4167">
        <v>654517</v>
      </c>
      <c r="B4167" t="s">
        <v>7972</v>
      </c>
      <c r="C4167" t="s">
        <v>308</v>
      </c>
      <c r="E4167" t="s">
        <v>11</v>
      </c>
      <c r="G4167" t="str">
        <f>HYPERLINK(_xlfn.CONCAT("https://tablet.otzar.org/",CHAR(35),"/exKotar/654517"),"שערי יוסף - 2 כרכים")</f>
        <v>שערי יוסף - 2 כרכים</v>
      </c>
      <c r="H4167" t="str">
        <f>_xlfn.CONCAT("https://tablet.otzar.org/",CHAR(35),"/exKotar/654517")</f>
        <v>https://tablet.otzar.org/#/exKotar/654517</v>
      </c>
    </row>
    <row r="4168" spans="1:8" x14ac:dyDescent="0.25">
      <c r="A4168">
        <v>649543</v>
      </c>
      <c r="B4168" t="s">
        <v>7973</v>
      </c>
      <c r="C4168" t="s">
        <v>7974</v>
      </c>
      <c r="D4168" t="s">
        <v>2308</v>
      </c>
      <c r="E4168">
        <v>1866</v>
      </c>
      <c r="G4168" t="str">
        <f>HYPERLINK(_xlfn.CONCAT("https://tablet.otzar.org/",CHAR(35),"/book/649543/p/-1/t/1/fs/0/start/0/end/0/c"),"שערי ירושלים &lt;דפוס ראשון&gt;")</f>
        <v>שערי ירושלים &lt;דפוס ראשון&gt;</v>
      </c>
      <c r="H4168" t="str">
        <f>_xlfn.CONCAT("https://tablet.otzar.org/",CHAR(35),"/book/649543/p/-1/t/1/fs/0/start/0/end/0/c")</f>
        <v>https://tablet.otzar.org/#/book/649543/p/-1/t/1/fs/0/start/0/end/0/c</v>
      </c>
    </row>
    <row r="4169" spans="1:8" x14ac:dyDescent="0.25">
      <c r="A4169">
        <v>649559</v>
      </c>
      <c r="B4169" t="s">
        <v>7975</v>
      </c>
      <c r="C4169" t="s">
        <v>7974</v>
      </c>
      <c r="D4169" t="s">
        <v>166</v>
      </c>
      <c r="E4169" t="s">
        <v>977</v>
      </c>
      <c r="G4169" t="str">
        <f>HYPERLINK(_xlfn.CONCAT("https://tablet.otzar.org/",CHAR(35),"/book/649559/p/-1/t/1/fs/0/start/0/end/0/c"),"שערי ירושלים")</f>
        <v>שערי ירושלים</v>
      </c>
      <c r="H4169" t="str">
        <f>_xlfn.CONCAT("https://tablet.otzar.org/",CHAR(35),"/book/649559/p/-1/t/1/fs/0/start/0/end/0/c")</f>
        <v>https://tablet.otzar.org/#/book/649559/p/-1/t/1/fs/0/start/0/end/0/c</v>
      </c>
    </row>
    <row r="4170" spans="1:8" x14ac:dyDescent="0.25">
      <c r="A4170">
        <v>653330</v>
      </c>
      <c r="B4170" t="s">
        <v>7976</v>
      </c>
      <c r="C4170" t="s">
        <v>7977</v>
      </c>
      <c r="D4170" t="s">
        <v>7978</v>
      </c>
      <c r="E4170" t="s">
        <v>1775</v>
      </c>
      <c r="G4170" t="str">
        <f>HYPERLINK(_xlfn.CONCAT("https://tablet.otzar.org/",CHAR(35),"/book/653330/p/-1/t/1/fs/0/start/0/end/0/c"),"שערי ישועה כתבי סגולה מהבעש""""ט")</f>
        <v>שערי ישועה כתבי סגולה מהבעש""ט</v>
      </c>
      <c r="H4170" t="str">
        <f>_xlfn.CONCAT("https://tablet.otzar.org/",CHAR(35),"/book/653330/p/-1/t/1/fs/0/start/0/end/0/c")</f>
        <v>https://tablet.otzar.org/#/book/653330/p/-1/t/1/fs/0/start/0/end/0/c</v>
      </c>
    </row>
    <row r="4171" spans="1:8" x14ac:dyDescent="0.25">
      <c r="A4171">
        <v>654934</v>
      </c>
      <c r="B4171" t="s">
        <v>7979</v>
      </c>
      <c r="C4171" t="s">
        <v>7980</v>
      </c>
      <c r="D4171" t="s">
        <v>10</v>
      </c>
      <c r="E4171" t="s">
        <v>312</v>
      </c>
      <c r="G4171" t="str">
        <f>HYPERLINK(_xlfn.CONCAT("https://tablet.otzar.org/",CHAR(35),"/exKotar/654934"),"שערי ישר &lt;משפט השער&gt; - 2 כרכים")</f>
        <v>שערי ישר &lt;משפט השער&gt; - 2 כרכים</v>
      </c>
      <c r="H4171" t="str">
        <f>_xlfn.CONCAT("https://tablet.otzar.org/",CHAR(35),"/exKotar/654934")</f>
        <v>https://tablet.otzar.org/#/exKotar/654934</v>
      </c>
    </row>
    <row r="4172" spans="1:8" x14ac:dyDescent="0.25">
      <c r="A4172">
        <v>652944</v>
      </c>
      <c r="B4172" t="s">
        <v>7981</v>
      </c>
      <c r="C4172" t="s">
        <v>7982</v>
      </c>
      <c r="E4172" t="s">
        <v>405</v>
      </c>
      <c r="G4172" t="str">
        <f>HYPERLINK(_xlfn.CONCAT("https://tablet.otzar.org/",CHAR(35),"/book/652944/p/-1/t/1/fs/0/start/0/end/0/c"),"שערי כלולתנו")</f>
        <v>שערי כלולתנו</v>
      </c>
      <c r="H4172" t="str">
        <f>_xlfn.CONCAT("https://tablet.otzar.org/",CHAR(35),"/book/652944/p/-1/t/1/fs/0/start/0/end/0/c")</f>
        <v>https://tablet.otzar.org/#/book/652944/p/-1/t/1/fs/0/start/0/end/0/c</v>
      </c>
    </row>
    <row r="4173" spans="1:8" x14ac:dyDescent="0.25">
      <c r="A4173">
        <v>653641</v>
      </c>
      <c r="B4173" t="s">
        <v>7983</v>
      </c>
      <c r="C4173" t="s">
        <v>7984</v>
      </c>
      <c r="D4173" t="s">
        <v>52</v>
      </c>
      <c r="E4173" t="s">
        <v>11</v>
      </c>
      <c r="G4173" t="str">
        <f>HYPERLINK(_xlfn.CONCAT("https://tablet.otzar.org/",CHAR(35),"/book/653641/p/-1/t/1/fs/0/start/0/end/0/c"),"שערי מוקצה")</f>
        <v>שערי מוקצה</v>
      </c>
      <c r="H4173" t="str">
        <f>_xlfn.CONCAT("https://tablet.otzar.org/",CHAR(35),"/book/653641/p/-1/t/1/fs/0/start/0/end/0/c")</f>
        <v>https://tablet.otzar.org/#/book/653641/p/-1/t/1/fs/0/start/0/end/0/c</v>
      </c>
    </row>
    <row r="4174" spans="1:8" x14ac:dyDescent="0.25">
      <c r="A4174">
        <v>651052</v>
      </c>
      <c r="B4174" t="s">
        <v>7985</v>
      </c>
      <c r="C4174" t="s">
        <v>2357</v>
      </c>
      <c r="D4174" t="s">
        <v>731</v>
      </c>
      <c r="E4174" t="s">
        <v>70</v>
      </c>
      <c r="G4174" t="str">
        <f>HYPERLINK(_xlfn.CONCAT("https://tablet.otzar.org/",CHAR(35),"/exKotar/651052"),"שערי מוריה - 2 כרכים")</f>
        <v>שערי מוריה - 2 כרכים</v>
      </c>
      <c r="H4174" t="str">
        <f>_xlfn.CONCAT("https://tablet.otzar.org/",CHAR(35),"/exKotar/651052")</f>
        <v>https://tablet.otzar.org/#/exKotar/651052</v>
      </c>
    </row>
    <row r="4175" spans="1:8" x14ac:dyDescent="0.25">
      <c r="A4175">
        <v>650961</v>
      </c>
      <c r="B4175" t="s">
        <v>7986</v>
      </c>
      <c r="C4175" t="s">
        <v>7987</v>
      </c>
      <c r="D4175" t="s">
        <v>10</v>
      </c>
      <c r="E4175" t="s">
        <v>70</v>
      </c>
      <c r="G4175" t="str">
        <f>HYPERLINK(_xlfn.CONCAT("https://tablet.otzar.org/",CHAR(35),"/book/650961/p/-1/t/1/fs/0/start/0/end/0/c"),"שערי מזוזות")</f>
        <v>שערי מזוזות</v>
      </c>
      <c r="H4175" t="str">
        <f>_xlfn.CONCAT("https://tablet.otzar.org/",CHAR(35),"/book/650961/p/-1/t/1/fs/0/start/0/end/0/c")</f>
        <v>https://tablet.otzar.org/#/book/650961/p/-1/t/1/fs/0/start/0/end/0/c</v>
      </c>
    </row>
    <row r="4176" spans="1:8" x14ac:dyDescent="0.25">
      <c r="A4176">
        <v>646757</v>
      </c>
      <c r="B4176" t="s">
        <v>7988</v>
      </c>
      <c r="C4176" t="s">
        <v>7989</v>
      </c>
      <c r="D4176" t="s">
        <v>1453</v>
      </c>
      <c r="E4176" t="s">
        <v>224</v>
      </c>
      <c r="G4176" t="str">
        <f>HYPERLINK(_xlfn.CONCAT("https://tablet.otzar.org/",CHAR(35),"/book/646757/p/-1/t/1/fs/0/start/0/end/0/c"),"שערי צדק")</f>
        <v>שערי צדק</v>
      </c>
      <c r="H4176" t="str">
        <f>_xlfn.CONCAT("https://tablet.otzar.org/",CHAR(35),"/book/646757/p/-1/t/1/fs/0/start/0/end/0/c")</f>
        <v>https://tablet.otzar.org/#/book/646757/p/-1/t/1/fs/0/start/0/end/0/c</v>
      </c>
    </row>
    <row r="4177" spans="1:8" x14ac:dyDescent="0.25">
      <c r="A4177">
        <v>650450</v>
      </c>
      <c r="B4177" t="s">
        <v>7988</v>
      </c>
      <c r="C4177" t="s">
        <v>7990</v>
      </c>
      <c r="D4177" t="s">
        <v>39</v>
      </c>
      <c r="E4177" t="s">
        <v>2140</v>
      </c>
      <c r="G4177" t="str">
        <f>HYPERLINK(_xlfn.CONCAT("https://tablet.otzar.org/",CHAR(35),"/book/650450/p/-1/t/1/fs/0/start/0/end/0/c"),"שערי צדק")</f>
        <v>שערי צדק</v>
      </c>
      <c r="H4177" t="str">
        <f>_xlfn.CONCAT("https://tablet.otzar.org/",CHAR(35),"/book/650450/p/-1/t/1/fs/0/start/0/end/0/c")</f>
        <v>https://tablet.otzar.org/#/book/650450/p/-1/t/1/fs/0/start/0/end/0/c</v>
      </c>
    </row>
    <row r="4178" spans="1:8" x14ac:dyDescent="0.25">
      <c r="A4178">
        <v>654611</v>
      </c>
      <c r="B4178" t="s">
        <v>7991</v>
      </c>
      <c r="C4178" t="s">
        <v>7992</v>
      </c>
      <c r="D4178" t="s">
        <v>10</v>
      </c>
      <c r="E4178" t="s">
        <v>11</v>
      </c>
      <c r="G4178" t="str">
        <f>HYPERLINK(_xlfn.CONCAT("https://tablet.otzar.org/",CHAR(35),"/book/654611/p/-1/t/1/fs/0/start/0/end/0/c"),"שערי ציון - ד")</f>
        <v>שערי ציון - ד</v>
      </c>
      <c r="H4178" t="str">
        <f>_xlfn.CONCAT("https://tablet.otzar.org/",CHAR(35),"/book/654611/p/-1/t/1/fs/0/start/0/end/0/c")</f>
        <v>https://tablet.otzar.org/#/book/654611/p/-1/t/1/fs/0/start/0/end/0/c</v>
      </c>
    </row>
    <row r="4179" spans="1:8" x14ac:dyDescent="0.25">
      <c r="A4179">
        <v>651835</v>
      </c>
      <c r="B4179" t="s">
        <v>7993</v>
      </c>
      <c r="C4179" t="s">
        <v>7994</v>
      </c>
      <c r="D4179" t="s">
        <v>4203</v>
      </c>
      <c r="E4179" t="s">
        <v>73</v>
      </c>
      <c r="G4179" t="str">
        <f>HYPERLINK(_xlfn.CONCAT("https://tablet.otzar.org/",CHAR(35),"/book/651835/p/-1/t/1/fs/0/start/0/end/0/c"),"שערי ציון - א")</f>
        <v>שערי ציון - א</v>
      </c>
      <c r="H4179" t="str">
        <f>_xlfn.CONCAT("https://tablet.otzar.org/",CHAR(35),"/book/651835/p/-1/t/1/fs/0/start/0/end/0/c")</f>
        <v>https://tablet.otzar.org/#/book/651835/p/-1/t/1/fs/0/start/0/end/0/c</v>
      </c>
    </row>
    <row r="4180" spans="1:8" x14ac:dyDescent="0.25">
      <c r="A4180">
        <v>648151</v>
      </c>
      <c r="B4180" t="s">
        <v>7995</v>
      </c>
      <c r="C4180" t="s">
        <v>4656</v>
      </c>
      <c r="D4180" t="s">
        <v>3663</v>
      </c>
      <c r="E4180" t="s">
        <v>495</v>
      </c>
      <c r="G4180" t="str">
        <f>HYPERLINK(_xlfn.CONCAT("https://tablet.otzar.org/",CHAR(35),"/exKotar/648151"),"שערי שבת - 2 כרכים")</f>
        <v>שערי שבת - 2 כרכים</v>
      </c>
      <c r="H4180" t="str">
        <f>_xlfn.CONCAT("https://tablet.otzar.org/",CHAR(35),"/exKotar/648151")</f>
        <v>https://tablet.otzar.org/#/exKotar/648151</v>
      </c>
    </row>
    <row r="4181" spans="1:8" x14ac:dyDescent="0.25">
      <c r="A4181">
        <v>655915</v>
      </c>
      <c r="B4181" t="s">
        <v>7995</v>
      </c>
      <c r="C4181" t="s">
        <v>1314</v>
      </c>
      <c r="D4181" t="s">
        <v>2111</v>
      </c>
      <c r="E4181" t="s">
        <v>29</v>
      </c>
      <c r="G4181" t="str">
        <f>HYPERLINK(_xlfn.CONCAT("https://tablet.otzar.org/",CHAR(35),"/exKotar/655915"),"שערי שבת - 2 כרכים")</f>
        <v>שערי שבת - 2 כרכים</v>
      </c>
      <c r="H4181" t="str">
        <f>_xlfn.CONCAT("https://tablet.otzar.org/",CHAR(35),"/exKotar/655915")</f>
        <v>https://tablet.otzar.org/#/exKotar/655915</v>
      </c>
    </row>
    <row r="4182" spans="1:8" x14ac:dyDescent="0.25">
      <c r="A4182">
        <v>652819</v>
      </c>
      <c r="B4182" t="s">
        <v>7996</v>
      </c>
      <c r="C4182" t="s">
        <v>7997</v>
      </c>
      <c r="D4182" t="s">
        <v>10</v>
      </c>
      <c r="E4182" t="s">
        <v>1775</v>
      </c>
      <c r="G4182" t="str">
        <f>HYPERLINK(_xlfn.CONCAT("https://tablet.otzar.org/",CHAR(35),"/book/652819/p/-1/t/1/fs/0/start/0/end/0/c"),"שערי שלום")</f>
        <v>שערי שלום</v>
      </c>
      <c r="H4182" t="str">
        <f>_xlfn.CONCAT("https://tablet.otzar.org/",CHAR(35),"/book/652819/p/-1/t/1/fs/0/start/0/end/0/c")</f>
        <v>https://tablet.otzar.org/#/book/652819/p/-1/t/1/fs/0/start/0/end/0/c</v>
      </c>
    </row>
    <row r="4183" spans="1:8" x14ac:dyDescent="0.25">
      <c r="A4183">
        <v>652582</v>
      </c>
      <c r="B4183" t="s">
        <v>7998</v>
      </c>
      <c r="C4183" t="s">
        <v>7999</v>
      </c>
      <c r="D4183" t="s">
        <v>34</v>
      </c>
      <c r="E4183" t="s">
        <v>495</v>
      </c>
      <c r="G4183" t="str">
        <f>HYPERLINK(_xlfn.CONCAT("https://tablet.otzar.org/",CHAR(35),"/book/652582/p/-1/t/1/fs/0/start/0/end/0/c"),"שערי שמואל")</f>
        <v>שערי שמואל</v>
      </c>
      <c r="H4183" t="str">
        <f>_xlfn.CONCAT("https://tablet.otzar.org/",CHAR(35),"/book/652582/p/-1/t/1/fs/0/start/0/end/0/c")</f>
        <v>https://tablet.otzar.org/#/book/652582/p/-1/t/1/fs/0/start/0/end/0/c</v>
      </c>
    </row>
    <row r="4184" spans="1:8" x14ac:dyDescent="0.25">
      <c r="A4184">
        <v>643242</v>
      </c>
      <c r="B4184" t="s">
        <v>8000</v>
      </c>
      <c r="C4184" t="s">
        <v>8001</v>
      </c>
      <c r="D4184" t="s">
        <v>52</v>
      </c>
      <c r="E4184" t="s">
        <v>184</v>
      </c>
      <c r="G4184" t="str">
        <f>HYPERLINK(_xlfn.CONCAT("https://tablet.otzar.org/",CHAR(35),"/book/643242/p/-1/t/1/fs/0/start/0/end/0/c"),"שערי תורה - קידושין")</f>
        <v>שערי תורה - קידושין</v>
      </c>
      <c r="H4184" t="str">
        <f>_xlfn.CONCAT("https://tablet.otzar.org/",CHAR(35),"/book/643242/p/-1/t/1/fs/0/start/0/end/0/c")</f>
        <v>https://tablet.otzar.org/#/book/643242/p/-1/t/1/fs/0/start/0/end/0/c</v>
      </c>
    </row>
    <row r="4185" spans="1:8" x14ac:dyDescent="0.25">
      <c r="A4185">
        <v>651951</v>
      </c>
      <c r="B4185" t="s">
        <v>8002</v>
      </c>
      <c r="C4185" t="s">
        <v>8003</v>
      </c>
      <c r="D4185" t="s">
        <v>52</v>
      </c>
      <c r="E4185" t="s">
        <v>35</v>
      </c>
      <c r="G4185" t="str">
        <f>HYPERLINK(_xlfn.CONCAT("https://tablet.otzar.org/",CHAR(35),"/book/651951/p/-1/t/1/fs/0/start/0/end/0/c"),"שערי תפילה")</f>
        <v>שערי תפילה</v>
      </c>
      <c r="H4185" t="str">
        <f>_xlfn.CONCAT("https://tablet.otzar.org/",CHAR(35),"/book/651951/p/-1/t/1/fs/0/start/0/end/0/c")</f>
        <v>https://tablet.otzar.org/#/book/651951/p/-1/t/1/fs/0/start/0/end/0/c</v>
      </c>
    </row>
    <row r="4186" spans="1:8" x14ac:dyDescent="0.25">
      <c r="A4186">
        <v>648054</v>
      </c>
      <c r="B4186" t="s">
        <v>8004</v>
      </c>
      <c r="C4186" t="s">
        <v>8005</v>
      </c>
      <c r="D4186" t="s">
        <v>10</v>
      </c>
      <c r="E4186" t="s">
        <v>558</v>
      </c>
      <c r="G4186" t="str">
        <f>HYPERLINK(_xlfn.CONCAT("https://tablet.otzar.org/",CHAR(35),"/book/648054/p/-1/t/1/fs/0/start/0/end/0/c"),"שערי תשובה &lt;מאור השער&gt;")</f>
        <v>שערי תשובה &lt;מאור השער&gt;</v>
      </c>
      <c r="H4186" t="str">
        <f>_xlfn.CONCAT("https://tablet.otzar.org/",CHAR(35),"/book/648054/p/-1/t/1/fs/0/start/0/end/0/c")</f>
        <v>https://tablet.otzar.org/#/book/648054/p/-1/t/1/fs/0/start/0/end/0/c</v>
      </c>
    </row>
    <row r="4187" spans="1:8" x14ac:dyDescent="0.25">
      <c r="A4187">
        <v>650922</v>
      </c>
      <c r="B4187" t="s">
        <v>8006</v>
      </c>
      <c r="C4187" t="s">
        <v>160</v>
      </c>
      <c r="D4187" t="s">
        <v>52</v>
      </c>
      <c r="E4187" t="s">
        <v>2534</v>
      </c>
      <c r="G4187" t="str">
        <f>HYPERLINK(_xlfn.CONCAT("https://tablet.otzar.org/",CHAR(35),"/book/650922/p/-1/t/1/fs/0/start/0/end/0/c"),"שערי תשובה &lt;אור חדש&gt;")</f>
        <v>שערי תשובה &lt;אור חדש&gt;</v>
      </c>
      <c r="H4187" t="str">
        <f>_xlfn.CONCAT("https://tablet.otzar.org/",CHAR(35),"/book/650922/p/-1/t/1/fs/0/start/0/end/0/c")</f>
        <v>https://tablet.otzar.org/#/book/650922/p/-1/t/1/fs/0/start/0/end/0/c</v>
      </c>
    </row>
    <row r="4188" spans="1:8" x14ac:dyDescent="0.25">
      <c r="A4188">
        <v>651797</v>
      </c>
      <c r="B4188" t="s">
        <v>8007</v>
      </c>
      <c r="C4188" t="s">
        <v>8008</v>
      </c>
      <c r="D4188" t="s">
        <v>424</v>
      </c>
      <c r="E4188" t="s">
        <v>8009</v>
      </c>
      <c r="G4188" t="str">
        <f>HYPERLINK(_xlfn.CONCAT("https://tablet.otzar.org/",CHAR(35),"/exKotar/651797"),"שערים - 48 כרכים")</f>
        <v>שערים - 48 כרכים</v>
      </c>
      <c r="H4188" t="str">
        <f>_xlfn.CONCAT("https://tablet.otzar.org/",CHAR(35),"/exKotar/651797")</f>
        <v>https://tablet.otzar.org/#/exKotar/651797</v>
      </c>
    </row>
    <row r="4189" spans="1:8" x14ac:dyDescent="0.25">
      <c r="A4189">
        <v>648996</v>
      </c>
      <c r="B4189" t="s">
        <v>8010</v>
      </c>
      <c r="C4189" t="s">
        <v>8011</v>
      </c>
      <c r="D4189" t="s">
        <v>424</v>
      </c>
      <c r="E4189" t="s">
        <v>161</v>
      </c>
      <c r="G4189" t="str">
        <f>HYPERLINK(_xlfn.CONCAT("https://tablet.otzar.org/",CHAR(35),"/exKotar/648996"),"שערים - 5 כרכים")</f>
        <v>שערים - 5 כרכים</v>
      </c>
      <c r="H4189" t="str">
        <f>_xlfn.CONCAT("https://tablet.otzar.org/",CHAR(35),"/exKotar/648996")</f>
        <v>https://tablet.otzar.org/#/exKotar/648996</v>
      </c>
    </row>
    <row r="4190" spans="1:8" x14ac:dyDescent="0.25">
      <c r="A4190">
        <v>653526</v>
      </c>
      <c r="B4190" t="s">
        <v>8012</v>
      </c>
      <c r="C4190" t="s">
        <v>614</v>
      </c>
      <c r="D4190" t="s">
        <v>10</v>
      </c>
      <c r="E4190" t="s">
        <v>11</v>
      </c>
      <c r="G4190" t="str">
        <f>HYPERLINK(_xlfn.CONCAT("https://tablet.otzar.org/",CHAR(35),"/book/653526/p/-1/t/1/fs/0/start/0/end/0/c"),"שערים בהלכה - הלכות חלה")</f>
        <v>שערים בהלכה - הלכות חלה</v>
      </c>
      <c r="H4190" t="str">
        <f>_xlfn.CONCAT("https://tablet.otzar.org/",CHAR(35),"/book/653526/p/-1/t/1/fs/0/start/0/end/0/c")</f>
        <v>https://tablet.otzar.org/#/book/653526/p/-1/t/1/fs/0/start/0/end/0/c</v>
      </c>
    </row>
    <row r="4191" spans="1:8" x14ac:dyDescent="0.25">
      <c r="A4191">
        <v>653317</v>
      </c>
      <c r="B4191" t="s">
        <v>8013</v>
      </c>
      <c r="C4191" t="s">
        <v>8014</v>
      </c>
      <c r="E4191" t="s">
        <v>1288</v>
      </c>
      <c r="G4191" t="str">
        <f>HYPERLINK(_xlfn.CONCAT("https://tablet.otzar.org/",CHAR(35),"/book/653317/p/-1/t/1/fs/0/start/0/end/0/c"),"שערים בתלמוד")</f>
        <v>שערים בתלמוד</v>
      </c>
      <c r="H4191" t="str">
        <f>_xlfn.CONCAT("https://tablet.otzar.org/",CHAR(35),"/book/653317/p/-1/t/1/fs/0/start/0/end/0/c")</f>
        <v>https://tablet.otzar.org/#/book/653317/p/-1/t/1/fs/0/start/0/end/0/c</v>
      </c>
    </row>
    <row r="4192" spans="1:8" x14ac:dyDescent="0.25">
      <c r="A4192">
        <v>647874</v>
      </c>
      <c r="B4192" t="s">
        <v>8015</v>
      </c>
      <c r="C4192" t="s">
        <v>8016</v>
      </c>
      <c r="D4192" t="s">
        <v>88</v>
      </c>
      <c r="E4192" t="s">
        <v>11</v>
      </c>
      <c r="G4192" t="str">
        <f>HYPERLINK(_xlfn.CONCAT("https://tablet.otzar.org/",CHAR(35),"/exKotar/647874"),"שערים ונקודות - 2 כרכים")</f>
        <v>שערים ונקודות - 2 כרכים</v>
      </c>
      <c r="H4192" t="str">
        <f>_xlfn.CONCAT("https://tablet.otzar.org/",CHAR(35),"/exKotar/647874")</f>
        <v>https://tablet.otzar.org/#/exKotar/647874</v>
      </c>
    </row>
    <row r="4193" spans="1:8" x14ac:dyDescent="0.25">
      <c r="A4193">
        <v>653229</v>
      </c>
      <c r="B4193" t="s">
        <v>8017</v>
      </c>
      <c r="C4193" t="s">
        <v>8018</v>
      </c>
      <c r="D4193" t="s">
        <v>931</v>
      </c>
      <c r="E4193" t="s">
        <v>11</v>
      </c>
      <c r="G4193" t="str">
        <f>HYPERLINK(_xlfn.CONCAT("https://tablet.otzar.org/",CHAR(35),"/book/653229/p/-1/t/1/fs/0/start/0/end/0/c"),"שערים לסוכות")</f>
        <v>שערים לסוכות</v>
      </c>
      <c r="H4193" t="str">
        <f>_xlfn.CONCAT("https://tablet.otzar.org/",CHAR(35),"/book/653229/p/-1/t/1/fs/0/start/0/end/0/c")</f>
        <v>https://tablet.otzar.org/#/book/653229/p/-1/t/1/fs/0/start/0/end/0/c</v>
      </c>
    </row>
    <row r="4194" spans="1:8" x14ac:dyDescent="0.25">
      <c r="A4194">
        <v>648980</v>
      </c>
      <c r="B4194" t="s">
        <v>8019</v>
      </c>
      <c r="C4194" t="s">
        <v>8020</v>
      </c>
      <c r="D4194" t="s">
        <v>8021</v>
      </c>
      <c r="E4194" t="s">
        <v>416</v>
      </c>
      <c r="G4194" t="str">
        <f>HYPERLINK(_xlfn.CONCAT("https://tablet.otzar.org/",CHAR(35),"/exKotar/648980"),"שערים מצויינים בהלכה (על הקצש""""ע) - 4 כרכים")</f>
        <v>שערים מצויינים בהלכה (על הקצש""ע) - 4 כרכים</v>
      </c>
      <c r="H4194" t="str">
        <f>_xlfn.CONCAT("https://tablet.otzar.org/",CHAR(35),"/exKotar/648980")</f>
        <v>https://tablet.otzar.org/#/exKotar/648980</v>
      </c>
    </row>
    <row r="4195" spans="1:8" x14ac:dyDescent="0.25">
      <c r="A4195">
        <v>643231</v>
      </c>
      <c r="B4195" t="s">
        <v>8022</v>
      </c>
      <c r="C4195" t="s">
        <v>8023</v>
      </c>
      <c r="D4195" t="s">
        <v>347</v>
      </c>
      <c r="E4195" t="s">
        <v>704</v>
      </c>
      <c r="G4195" t="str">
        <f>HYPERLINK(_xlfn.CONCAT("https://tablet.otzar.org/",CHAR(35),"/book/643231/p/-1/t/1/fs/0/start/0/end/0/c"),"שעשועי לוי - ליקוטים")</f>
        <v>שעשועי לוי - ליקוטים</v>
      </c>
      <c r="H4195" t="str">
        <f>_xlfn.CONCAT("https://tablet.otzar.org/",CHAR(35),"/book/643231/p/-1/t/1/fs/0/start/0/end/0/c")</f>
        <v>https://tablet.otzar.org/#/book/643231/p/-1/t/1/fs/0/start/0/end/0/c</v>
      </c>
    </row>
    <row r="4196" spans="1:8" x14ac:dyDescent="0.25">
      <c r="A4196">
        <v>648918</v>
      </c>
      <c r="B4196" t="s">
        <v>8024</v>
      </c>
      <c r="C4196" t="s">
        <v>8025</v>
      </c>
      <c r="D4196" t="s">
        <v>10</v>
      </c>
      <c r="E4196" t="s">
        <v>200</v>
      </c>
      <c r="G4196" t="str">
        <f>HYPERLINK(_xlfn.CONCAT("https://tablet.otzar.org/",CHAR(35),"/book/648918/p/-1/t/1/fs/0/start/0/end/0/c"),"שעשועי שמואל")</f>
        <v>שעשועי שמואל</v>
      </c>
      <c r="H4196" t="str">
        <f>_xlfn.CONCAT("https://tablet.otzar.org/",CHAR(35),"/book/648918/p/-1/t/1/fs/0/start/0/end/0/c")</f>
        <v>https://tablet.otzar.org/#/book/648918/p/-1/t/1/fs/0/start/0/end/0/c</v>
      </c>
    </row>
    <row r="4197" spans="1:8" x14ac:dyDescent="0.25">
      <c r="A4197">
        <v>650098</v>
      </c>
      <c r="B4197" t="s">
        <v>8026</v>
      </c>
      <c r="C4197" t="s">
        <v>8027</v>
      </c>
      <c r="D4197" t="s">
        <v>347</v>
      </c>
      <c r="E4197" t="s">
        <v>11</v>
      </c>
      <c r="G4197" t="str">
        <f>HYPERLINK(_xlfn.CONCAT("https://tablet.otzar.org/",CHAR(35),"/book/650098/p/-1/t/1/fs/0/start/0/end/0/c"),"שעשועי תורה")</f>
        <v>שעשועי תורה</v>
      </c>
      <c r="H4197" t="str">
        <f>_xlfn.CONCAT("https://tablet.otzar.org/",CHAR(35),"/book/650098/p/-1/t/1/fs/0/start/0/end/0/c")</f>
        <v>https://tablet.otzar.org/#/book/650098/p/-1/t/1/fs/0/start/0/end/0/c</v>
      </c>
    </row>
    <row r="4198" spans="1:8" x14ac:dyDescent="0.25">
      <c r="A4198">
        <v>654385</v>
      </c>
      <c r="B4198" t="s">
        <v>8028</v>
      </c>
      <c r="C4198" t="s">
        <v>8029</v>
      </c>
      <c r="E4198" t="s">
        <v>35</v>
      </c>
      <c r="G4198" t="str">
        <f>HYPERLINK(_xlfn.CONCAT("https://tablet.otzar.org/",CHAR(35),"/exKotar/654385"),"שף ויתיב - 2 כרכים")</f>
        <v>שף ויתיב - 2 כרכים</v>
      </c>
      <c r="H4198" t="str">
        <f>_xlfn.CONCAT("https://tablet.otzar.org/",CHAR(35),"/exKotar/654385")</f>
        <v>https://tablet.otzar.org/#/exKotar/654385</v>
      </c>
    </row>
    <row r="4199" spans="1:8" x14ac:dyDescent="0.25">
      <c r="A4199">
        <v>655783</v>
      </c>
      <c r="B4199" t="s">
        <v>8030</v>
      </c>
      <c r="C4199" t="s">
        <v>8031</v>
      </c>
      <c r="D4199" t="s">
        <v>34</v>
      </c>
      <c r="E4199" t="s">
        <v>1240</v>
      </c>
      <c r="G4199" t="str">
        <f>HYPERLINK(_xlfn.CONCAT("https://tablet.otzar.org/",CHAR(35),"/exKotar/655783"),"שפה לנאמנים - 2 כרכים")</f>
        <v>שפה לנאמנים - 2 כרכים</v>
      </c>
      <c r="H4199" t="str">
        <f>_xlfn.CONCAT("https://tablet.otzar.org/",CHAR(35),"/exKotar/655783")</f>
        <v>https://tablet.otzar.org/#/exKotar/655783</v>
      </c>
    </row>
    <row r="4200" spans="1:8" x14ac:dyDescent="0.25">
      <c r="A4200">
        <v>654119</v>
      </c>
      <c r="B4200" t="s">
        <v>8032</v>
      </c>
      <c r="C4200" t="s">
        <v>3817</v>
      </c>
      <c r="D4200" t="s">
        <v>2314</v>
      </c>
      <c r="E4200" t="s">
        <v>357</v>
      </c>
      <c r="G4200" t="str">
        <f>HYPERLINK(_xlfn.CONCAT("https://tablet.otzar.org/",CHAR(35),"/exKotar/654119"),"שפע חיים - 4 כרכים")</f>
        <v>שפע חיים - 4 כרכים</v>
      </c>
      <c r="H4200" t="str">
        <f>_xlfn.CONCAT("https://tablet.otzar.org/",CHAR(35),"/exKotar/654119")</f>
        <v>https://tablet.otzar.org/#/exKotar/654119</v>
      </c>
    </row>
    <row r="4201" spans="1:8" x14ac:dyDescent="0.25">
      <c r="A4201">
        <v>647894</v>
      </c>
      <c r="B4201" t="s">
        <v>8033</v>
      </c>
      <c r="C4201" t="s">
        <v>8034</v>
      </c>
      <c r="D4201" t="s">
        <v>10</v>
      </c>
      <c r="E4201" t="s">
        <v>1919</v>
      </c>
      <c r="G4201" t="str">
        <f>HYPERLINK(_xlfn.CONCAT("https://tablet.otzar.org/",CHAR(35),"/book/647894/p/-1/t/1/fs/0/start/0/end/0/c"),"שפת אמת")</f>
        <v>שפת אמת</v>
      </c>
      <c r="H4201" t="str">
        <f>_xlfn.CONCAT("https://tablet.otzar.org/",CHAR(35),"/book/647894/p/-1/t/1/fs/0/start/0/end/0/c")</f>
        <v>https://tablet.otzar.org/#/book/647894/p/-1/t/1/fs/0/start/0/end/0/c</v>
      </c>
    </row>
    <row r="4202" spans="1:8" x14ac:dyDescent="0.25">
      <c r="A4202">
        <v>654070</v>
      </c>
      <c r="B4202" t="s">
        <v>8035</v>
      </c>
      <c r="C4202" t="s">
        <v>8036</v>
      </c>
      <c r="D4202" t="s">
        <v>88</v>
      </c>
      <c r="E4202" t="s">
        <v>11</v>
      </c>
      <c r="G4202" t="str">
        <f>HYPERLINK(_xlfn.CONCAT("https://tablet.otzar.org/",CHAR(35),"/book/654070/p/-1/t/1/fs/0/start/0/end/0/c"),"שפתותיו שושנים - בבא בתרא השותפין")</f>
        <v>שפתותיו שושנים - בבא בתרא השותפין</v>
      </c>
      <c r="H4202" t="str">
        <f>_xlfn.CONCAT("https://tablet.otzar.org/",CHAR(35),"/book/654070/p/-1/t/1/fs/0/start/0/end/0/c")</f>
        <v>https://tablet.otzar.org/#/book/654070/p/-1/t/1/fs/0/start/0/end/0/c</v>
      </c>
    </row>
    <row r="4203" spans="1:8" x14ac:dyDescent="0.25">
      <c r="A4203">
        <v>655058</v>
      </c>
      <c r="B4203" t="s">
        <v>8037</v>
      </c>
      <c r="C4203" t="s">
        <v>8038</v>
      </c>
      <c r="D4203" t="s">
        <v>52</v>
      </c>
      <c r="E4203" t="s">
        <v>1240</v>
      </c>
      <c r="G4203" t="str">
        <f>HYPERLINK(_xlfn.CONCAT("https://tablet.otzar.org/",CHAR(35),"/book/655058/p/-1/t/1/fs/0/start/0/end/0/c"),"שפתי חיים &lt;על התורה&gt; - ג ד ויקרא במדבר")</f>
        <v>שפתי חיים &lt;על התורה&gt; - ג ד ויקרא במדבר</v>
      </c>
      <c r="H4203" t="str">
        <f>_xlfn.CONCAT("https://tablet.otzar.org/",CHAR(35),"/book/655058/p/-1/t/1/fs/0/start/0/end/0/c")</f>
        <v>https://tablet.otzar.org/#/book/655058/p/-1/t/1/fs/0/start/0/end/0/c</v>
      </c>
    </row>
    <row r="4204" spans="1:8" x14ac:dyDescent="0.25">
      <c r="A4204">
        <v>649781</v>
      </c>
      <c r="B4204" t="s">
        <v>8039</v>
      </c>
      <c r="C4204" t="s">
        <v>8040</v>
      </c>
      <c r="D4204" t="s">
        <v>52</v>
      </c>
      <c r="E4204" t="s">
        <v>780</v>
      </c>
      <c r="G4204" t="str">
        <f>HYPERLINK(_xlfn.CONCAT("https://tablet.otzar.org/",CHAR(35),"/book/649781/p/-1/t/1/fs/0/start/0/end/0/c"),"שפתי יהודה")</f>
        <v>שפתי יהודה</v>
      </c>
      <c r="H4204" t="str">
        <f>_xlfn.CONCAT("https://tablet.otzar.org/",CHAR(35),"/book/649781/p/-1/t/1/fs/0/start/0/end/0/c")</f>
        <v>https://tablet.otzar.org/#/book/649781/p/-1/t/1/fs/0/start/0/end/0/c</v>
      </c>
    </row>
    <row r="4205" spans="1:8" x14ac:dyDescent="0.25">
      <c r="A4205">
        <v>653622</v>
      </c>
      <c r="B4205" t="s">
        <v>8039</v>
      </c>
      <c r="C4205" t="s">
        <v>8041</v>
      </c>
      <c r="D4205" t="s">
        <v>347</v>
      </c>
      <c r="E4205" t="s">
        <v>11</v>
      </c>
      <c r="G4205" t="str">
        <f>HYPERLINK(_xlfn.CONCAT("https://tablet.otzar.org/",CHAR(35),"/book/653622/p/-1/t/1/fs/0/start/0/end/0/c"),"שפתי יהודה")</f>
        <v>שפתי יהודה</v>
      </c>
      <c r="H4205" t="str">
        <f>_xlfn.CONCAT("https://tablet.otzar.org/",CHAR(35),"/book/653622/p/-1/t/1/fs/0/start/0/end/0/c")</f>
        <v>https://tablet.otzar.org/#/book/653622/p/-1/t/1/fs/0/start/0/end/0/c</v>
      </c>
    </row>
    <row r="4206" spans="1:8" x14ac:dyDescent="0.25">
      <c r="A4206">
        <v>649070</v>
      </c>
      <c r="B4206" t="s">
        <v>8042</v>
      </c>
      <c r="C4206" t="s">
        <v>5099</v>
      </c>
      <c r="D4206" t="s">
        <v>212</v>
      </c>
      <c r="E4206" t="s">
        <v>224</v>
      </c>
      <c r="G4206" t="str">
        <f>HYPERLINK(_xlfn.CONCAT("https://tablet.otzar.org/",CHAR(35),"/book/649070/p/-1/t/1/fs/0/start/0/end/0/c"),"שפתי יצחק - הגדה של פסח")</f>
        <v>שפתי יצחק - הגדה של פסח</v>
      </c>
      <c r="H4206" t="str">
        <f>_xlfn.CONCAT("https://tablet.otzar.org/",CHAR(35),"/book/649070/p/-1/t/1/fs/0/start/0/end/0/c")</f>
        <v>https://tablet.otzar.org/#/book/649070/p/-1/t/1/fs/0/start/0/end/0/c</v>
      </c>
    </row>
    <row r="4207" spans="1:8" x14ac:dyDescent="0.25">
      <c r="A4207">
        <v>655093</v>
      </c>
      <c r="B4207" t="s">
        <v>8043</v>
      </c>
      <c r="C4207" t="s">
        <v>8044</v>
      </c>
      <c r="D4207" t="s">
        <v>52</v>
      </c>
      <c r="E4207" t="s">
        <v>77</v>
      </c>
      <c r="G4207" t="str">
        <f>HYPERLINK(_xlfn.CONCAT("https://tablet.otzar.org/",CHAR(35),"/exKotar/655093"),"שפתי מהרש""""א - 3 כרכים")</f>
        <v>שפתי מהרש""א - 3 כרכים</v>
      </c>
      <c r="H4207" t="str">
        <f>_xlfn.CONCAT("https://tablet.otzar.org/",CHAR(35),"/exKotar/655093")</f>
        <v>https://tablet.otzar.org/#/exKotar/655093</v>
      </c>
    </row>
    <row r="4208" spans="1:8" x14ac:dyDescent="0.25">
      <c r="A4208">
        <v>654637</v>
      </c>
      <c r="B4208" t="s">
        <v>8045</v>
      </c>
      <c r="C4208" t="s">
        <v>8046</v>
      </c>
      <c r="D4208" t="s">
        <v>8047</v>
      </c>
      <c r="E4208" t="s">
        <v>676</v>
      </c>
      <c r="G4208" t="str">
        <f>HYPERLINK(_xlfn.CONCAT("https://tablet.otzar.org/",CHAR(35),"/book/654637/p/-1/t/1/fs/0/start/0/end/0/c"),"שפתי מלך - ב")</f>
        <v>שפתי מלך - ב</v>
      </c>
      <c r="H4208" t="str">
        <f>_xlfn.CONCAT("https://tablet.otzar.org/",CHAR(35),"/book/654637/p/-1/t/1/fs/0/start/0/end/0/c")</f>
        <v>https://tablet.otzar.org/#/book/654637/p/-1/t/1/fs/0/start/0/end/0/c</v>
      </c>
    </row>
    <row r="4209" spans="1:8" x14ac:dyDescent="0.25">
      <c r="A4209">
        <v>650951</v>
      </c>
      <c r="B4209" t="s">
        <v>8048</v>
      </c>
      <c r="C4209" t="s">
        <v>1902</v>
      </c>
      <c r="D4209" t="s">
        <v>10</v>
      </c>
      <c r="E4209" t="s">
        <v>574</v>
      </c>
      <c r="G4209" t="str">
        <f>HYPERLINK(_xlfn.CONCAT("https://tablet.otzar.org/",CHAR(35),"/exKotar/650951"),"שקדו חכמים - 3 כרכים")</f>
        <v>שקדו חכמים - 3 כרכים</v>
      </c>
      <c r="H4209" t="str">
        <f>_xlfn.CONCAT("https://tablet.otzar.org/",CHAR(35),"/exKotar/650951")</f>
        <v>https://tablet.otzar.org/#/exKotar/650951</v>
      </c>
    </row>
    <row r="4210" spans="1:8" x14ac:dyDescent="0.25">
      <c r="A4210">
        <v>647408</v>
      </c>
      <c r="B4210" t="s">
        <v>8049</v>
      </c>
      <c r="C4210" t="s">
        <v>8050</v>
      </c>
      <c r="D4210" t="s">
        <v>34</v>
      </c>
      <c r="E4210" t="s">
        <v>35</v>
      </c>
      <c r="G4210" t="str">
        <f>HYPERLINK(_xlfn.CONCAT("https://tablet.otzar.org/",CHAR(35),"/book/647408/p/-1/t/1/fs/0/start/0/end/0/c"),"שרי אלפים")</f>
        <v>שרי אלפים</v>
      </c>
      <c r="H4210" t="str">
        <f>_xlfn.CONCAT("https://tablet.otzar.org/",CHAR(35),"/book/647408/p/-1/t/1/fs/0/start/0/end/0/c")</f>
        <v>https://tablet.otzar.org/#/book/647408/p/-1/t/1/fs/0/start/0/end/0/c</v>
      </c>
    </row>
    <row r="4211" spans="1:8" x14ac:dyDescent="0.25">
      <c r="A4211">
        <v>648923</v>
      </c>
      <c r="B4211" t="s">
        <v>8051</v>
      </c>
      <c r="C4211" t="s">
        <v>1628</v>
      </c>
      <c r="D4211" t="s">
        <v>10</v>
      </c>
      <c r="E4211" t="s">
        <v>1077</v>
      </c>
      <c r="G4211" t="str">
        <f>HYPERLINK(_xlfn.CONCAT("https://tablet.otzar.org/",CHAR(35),"/book/648923/p/-1/t/1/fs/0/start/0/end/0/c"),"שרי התורה")</f>
        <v>שרי התורה</v>
      </c>
      <c r="H4211" t="str">
        <f>_xlfn.CONCAT("https://tablet.otzar.org/",CHAR(35),"/book/648923/p/-1/t/1/fs/0/start/0/end/0/c")</f>
        <v>https://tablet.otzar.org/#/book/648923/p/-1/t/1/fs/0/start/0/end/0/c</v>
      </c>
    </row>
    <row r="4212" spans="1:8" x14ac:dyDescent="0.25">
      <c r="A4212">
        <v>653634</v>
      </c>
      <c r="B4212" t="s">
        <v>8052</v>
      </c>
      <c r="C4212" t="s">
        <v>8053</v>
      </c>
      <c r="D4212" t="s">
        <v>52</v>
      </c>
      <c r="E4212" t="s">
        <v>117</v>
      </c>
      <c r="G4212" t="str">
        <f>HYPERLINK(_xlfn.CONCAT("https://tablet.otzar.org/",CHAR(35),"/book/653634/p/-1/t/1/fs/0/start/0/end/0/c"),"שריגי הגפן - גיטין פרק השולח")</f>
        <v>שריגי הגפן - גיטין פרק השולח</v>
      </c>
      <c r="H4212" t="str">
        <f>_xlfn.CONCAT("https://tablet.otzar.org/",CHAR(35),"/book/653634/p/-1/t/1/fs/0/start/0/end/0/c")</f>
        <v>https://tablet.otzar.org/#/book/653634/p/-1/t/1/fs/0/start/0/end/0/c</v>
      </c>
    </row>
    <row r="4213" spans="1:8" x14ac:dyDescent="0.25">
      <c r="A4213">
        <v>647779</v>
      </c>
      <c r="B4213" t="s">
        <v>8054</v>
      </c>
      <c r="C4213" t="s">
        <v>8055</v>
      </c>
      <c r="D4213" t="s">
        <v>10</v>
      </c>
      <c r="E4213" t="s">
        <v>84</v>
      </c>
      <c r="G4213" t="str">
        <f>HYPERLINK(_xlfn.CONCAT("https://tablet.otzar.org/",CHAR(35),"/book/647779/p/-1/t/1/fs/0/start/0/end/0/c"),"שרידים מספרות הגאונים בערבית היהודית קווים לדמותה ולמחקרה של סוגת 'ספרי הדרכה לרבנים'")</f>
        <v>שרידים מספרות הגאונים בערבית היהודית קווים לדמותה ולמחקרה של סוגת 'ספרי הדרכה לרבנים'</v>
      </c>
      <c r="H4213" t="str">
        <f>_xlfn.CONCAT("https://tablet.otzar.org/",CHAR(35),"/book/647779/p/-1/t/1/fs/0/start/0/end/0/c")</f>
        <v>https://tablet.otzar.org/#/book/647779/p/-1/t/1/fs/0/start/0/end/0/c</v>
      </c>
    </row>
    <row r="4214" spans="1:8" x14ac:dyDescent="0.25">
      <c r="A4214">
        <v>652799</v>
      </c>
      <c r="B4214" t="s">
        <v>8056</v>
      </c>
      <c r="C4214" t="s">
        <v>8057</v>
      </c>
      <c r="D4214" t="s">
        <v>5224</v>
      </c>
      <c r="E4214">
        <v>1799</v>
      </c>
      <c r="G4214" t="str">
        <f>HYPERLINK(_xlfn.CONCAT("https://tablet.otzar.org/",CHAR(35),"/book/652799/p/-1/t/1/fs/0/start/0/end/0/c"),"שריון קשקשים")</f>
        <v>שריון קשקשים</v>
      </c>
      <c r="H4214" t="str">
        <f>_xlfn.CONCAT("https://tablet.otzar.org/",CHAR(35),"/book/652799/p/-1/t/1/fs/0/start/0/end/0/c")</f>
        <v>https://tablet.otzar.org/#/book/652799/p/-1/t/1/fs/0/start/0/end/0/c</v>
      </c>
    </row>
    <row r="4215" spans="1:8" x14ac:dyDescent="0.25">
      <c r="A4215">
        <v>650367</v>
      </c>
      <c r="B4215" t="s">
        <v>8058</v>
      </c>
      <c r="C4215" t="s">
        <v>8059</v>
      </c>
      <c r="D4215" t="s">
        <v>832</v>
      </c>
      <c r="E4215" t="s">
        <v>11</v>
      </c>
      <c r="G4215" t="str">
        <f>HYPERLINK(_xlfn.CONCAT("https://tablet.otzar.org/",CHAR(35),"/book/650367/p/-1/t/1/fs/0/start/0/end/0/c"),"שרשי הים")</f>
        <v>שרשי הים</v>
      </c>
      <c r="H4215" t="str">
        <f>_xlfn.CONCAT("https://tablet.otzar.org/",CHAR(35),"/book/650367/p/-1/t/1/fs/0/start/0/end/0/c")</f>
        <v>https://tablet.otzar.org/#/book/650367/p/-1/t/1/fs/0/start/0/end/0/c</v>
      </c>
    </row>
    <row r="4216" spans="1:8" x14ac:dyDescent="0.25">
      <c r="A4216">
        <v>651025</v>
      </c>
      <c r="B4216" t="s">
        <v>8060</v>
      </c>
      <c r="C4216" t="s">
        <v>3786</v>
      </c>
      <c r="D4216" t="s">
        <v>28</v>
      </c>
      <c r="E4216" t="s">
        <v>11</v>
      </c>
      <c r="G4216" t="str">
        <f>HYPERLINK(_xlfn.CONCAT("https://tablet.otzar.org/",CHAR(35),"/book/651025/p/-1/t/1/fs/0/start/0/end/0/c"),"שרשי קדש - בפרדס החינוך")</f>
        <v>שרשי קדש - בפרדס החינוך</v>
      </c>
      <c r="H4216" t="str">
        <f>_xlfn.CONCAT("https://tablet.otzar.org/",CHAR(35),"/book/651025/p/-1/t/1/fs/0/start/0/end/0/c")</f>
        <v>https://tablet.otzar.org/#/book/651025/p/-1/t/1/fs/0/start/0/end/0/c</v>
      </c>
    </row>
    <row r="4217" spans="1:8" x14ac:dyDescent="0.25">
      <c r="A4217">
        <v>647608</v>
      </c>
      <c r="B4217" t="s">
        <v>8061</v>
      </c>
      <c r="C4217" t="s">
        <v>8062</v>
      </c>
      <c r="E4217" t="s">
        <v>161</v>
      </c>
      <c r="G4217" t="str">
        <f>HYPERLINK(_xlfn.CONCAT("https://tablet.otzar.org/",CHAR(35),"/book/647608/p/-1/t/1/fs/0/start/0/end/0/c"),"שרשים - 23")</f>
        <v>שרשים - 23</v>
      </c>
      <c r="H4217" t="str">
        <f>_xlfn.CONCAT("https://tablet.otzar.org/",CHAR(35),"/book/647608/p/-1/t/1/fs/0/start/0/end/0/c")</f>
        <v>https://tablet.otzar.org/#/book/647608/p/-1/t/1/fs/0/start/0/end/0/c</v>
      </c>
    </row>
    <row r="4218" spans="1:8" x14ac:dyDescent="0.25">
      <c r="A4218">
        <v>650210</v>
      </c>
      <c r="B4218" t="s">
        <v>8063</v>
      </c>
      <c r="C4218" t="s">
        <v>8064</v>
      </c>
      <c r="D4218" t="s">
        <v>10</v>
      </c>
      <c r="E4218" t="s">
        <v>62</v>
      </c>
      <c r="G4218" t="str">
        <f>HYPERLINK(_xlfn.CONCAT("https://tablet.otzar.org/",CHAR(35),"/book/650210/p/-1/t/1/fs/0/start/0/end/0/c"),"שרתי במדינות - כיצד מברכין")</f>
        <v>שרתי במדינות - כיצד מברכין</v>
      </c>
      <c r="H4218" t="str">
        <f>_xlfn.CONCAT("https://tablet.otzar.org/",CHAR(35),"/book/650210/p/-1/t/1/fs/0/start/0/end/0/c")</f>
        <v>https://tablet.otzar.org/#/book/650210/p/-1/t/1/fs/0/start/0/end/0/c</v>
      </c>
    </row>
    <row r="4219" spans="1:8" x14ac:dyDescent="0.25">
      <c r="A4219">
        <v>649996</v>
      </c>
      <c r="B4219" t="s">
        <v>8065</v>
      </c>
      <c r="C4219" t="s">
        <v>209</v>
      </c>
      <c r="D4219" t="s">
        <v>52</v>
      </c>
      <c r="E4219" t="s">
        <v>35</v>
      </c>
      <c r="G4219" t="str">
        <f>HYPERLINK(_xlfn.CONCAT("https://tablet.otzar.org/",CHAR(35),"/book/649996/p/-1/t/1/fs/0/start/0/end/0/c"),"שש מאות זהב")</f>
        <v>שש מאות זהב</v>
      </c>
      <c r="H4219" t="str">
        <f>_xlfn.CONCAT("https://tablet.otzar.org/",CHAR(35),"/book/649996/p/-1/t/1/fs/0/start/0/end/0/c")</f>
        <v>https://tablet.otzar.org/#/book/649996/p/-1/t/1/fs/0/start/0/end/0/c</v>
      </c>
    </row>
    <row r="4220" spans="1:8" x14ac:dyDescent="0.25">
      <c r="A4220">
        <v>650366</v>
      </c>
      <c r="B4220" t="s">
        <v>8066</v>
      </c>
      <c r="C4220" t="s">
        <v>2869</v>
      </c>
      <c r="E4220" t="s">
        <v>763</v>
      </c>
      <c r="G4220" t="str">
        <f>HYPERLINK(_xlfn.CONCAT("https://tablet.otzar.org/",CHAR(35),"/book/650366/p/-1/t/1/fs/0/start/0/end/0/c"),"ששון ויקר")</f>
        <v>ששון ויקר</v>
      </c>
      <c r="H4220" t="str">
        <f>_xlfn.CONCAT("https://tablet.otzar.org/",CHAR(35),"/book/650366/p/-1/t/1/fs/0/start/0/end/0/c")</f>
        <v>https://tablet.otzar.org/#/book/650366/p/-1/t/1/fs/0/start/0/end/0/c</v>
      </c>
    </row>
    <row r="4221" spans="1:8" x14ac:dyDescent="0.25">
      <c r="A4221">
        <v>652854</v>
      </c>
      <c r="B4221" t="s">
        <v>8067</v>
      </c>
      <c r="C4221" t="s">
        <v>1408</v>
      </c>
      <c r="D4221" t="s">
        <v>1321</v>
      </c>
      <c r="E4221" t="s">
        <v>70</v>
      </c>
      <c r="G4221" t="str">
        <f>HYPERLINK(_xlfn.CONCAT("https://tablet.otzar.org/",CHAR(35),"/book/652854/p/-1/t/1/fs/0/start/0/end/0/c"),"שתי אחיות")</f>
        <v>שתי אחיות</v>
      </c>
      <c r="H4221" t="str">
        <f>_xlfn.CONCAT("https://tablet.otzar.org/",CHAR(35),"/book/652854/p/-1/t/1/fs/0/start/0/end/0/c")</f>
        <v>https://tablet.otzar.org/#/book/652854/p/-1/t/1/fs/0/start/0/end/0/c</v>
      </c>
    </row>
    <row r="4222" spans="1:8" x14ac:dyDescent="0.25">
      <c r="A4222">
        <v>654023</v>
      </c>
      <c r="B4222" t="s">
        <v>8068</v>
      </c>
      <c r="C4222" t="s">
        <v>1748</v>
      </c>
      <c r="D4222" t="s">
        <v>34</v>
      </c>
      <c r="E4222" t="s">
        <v>11</v>
      </c>
      <c r="G4222" t="str">
        <f>HYPERLINK(_xlfn.CONCAT("https://tablet.otzar.org/",CHAR(35),"/book/654023/p/-1/t/1/fs/0/start/0/end/0/c"),"שתי הלחם")</f>
        <v>שתי הלחם</v>
      </c>
      <c r="H4222" t="str">
        <f>_xlfn.CONCAT("https://tablet.otzar.org/",CHAR(35),"/book/654023/p/-1/t/1/fs/0/start/0/end/0/c")</f>
        <v>https://tablet.otzar.org/#/book/654023/p/-1/t/1/fs/0/start/0/end/0/c</v>
      </c>
    </row>
    <row r="4223" spans="1:8" x14ac:dyDescent="0.25">
      <c r="A4223">
        <v>649143</v>
      </c>
      <c r="B4223" t="s">
        <v>8069</v>
      </c>
      <c r="C4223" t="s">
        <v>8070</v>
      </c>
      <c r="D4223" t="s">
        <v>10</v>
      </c>
      <c r="E4223" t="s">
        <v>161</v>
      </c>
      <c r="G4223" t="str">
        <f>HYPERLINK(_xlfn.CONCAT("https://tablet.otzar.org/",CHAR(35),"/book/649143/p/-1/t/1/fs/0/start/0/end/0/c"),"שתי מגילות ונתיבים לתהלים - שלוש מגילות עם תרגום יב""""ע ותפסיר רס""""ג (כת""""י)")</f>
        <v>שתי מגילות ונתיבים לתהלים - שלוש מגילות עם תרגום יב""ע ותפסיר רס""ג (כת""י)</v>
      </c>
      <c r="H4223" t="str">
        <f>_xlfn.CONCAT("https://tablet.otzar.org/",CHAR(35),"/book/649143/p/-1/t/1/fs/0/start/0/end/0/c")</f>
        <v>https://tablet.otzar.org/#/book/649143/p/-1/t/1/fs/0/start/0/end/0/c</v>
      </c>
    </row>
    <row r="4224" spans="1:8" x14ac:dyDescent="0.25">
      <c r="A4224">
        <v>652949</v>
      </c>
      <c r="B4224" t="s">
        <v>8071</v>
      </c>
      <c r="C4224" t="s">
        <v>2207</v>
      </c>
      <c r="D4224" t="s">
        <v>10</v>
      </c>
      <c r="E4224" t="s">
        <v>70</v>
      </c>
      <c r="G4224" t="str">
        <f>HYPERLINK(_xlfn.CONCAT("https://tablet.otzar.org/",CHAR(35),"/book/652949/p/-1/t/1/fs/0/start/0/end/0/c"),"שתי שיחות")</f>
        <v>שתי שיחות</v>
      </c>
      <c r="H4224" t="str">
        <f>_xlfn.CONCAT("https://tablet.otzar.org/",CHAR(35),"/book/652949/p/-1/t/1/fs/0/start/0/end/0/c")</f>
        <v>https://tablet.otzar.org/#/book/652949/p/-1/t/1/fs/0/start/0/end/0/c</v>
      </c>
    </row>
    <row r="4225" spans="1:8" x14ac:dyDescent="0.25">
      <c r="A4225">
        <v>653740</v>
      </c>
      <c r="B4225" t="s">
        <v>8072</v>
      </c>
      <c r="C4225" t="s">
        <v>8073</v>
      </c>
      <c r="D4225" t="s">
        <v>573</v>
      </c>
      <c r="E4225" t="s">
        <v>35</v>
      </c>
      <c r="G4225" t="str">
        <f>HYPERLINK(_xlfn.CONCAT("https://tablet.otzar.org/",CHAR(35),"/exKotar/653740"),"שתילי זתים השלם &lt;זית רענן - סביב לשלחנך&gt; - 2 כרכים")</f>
        <v>שתילי זתים השלם &lt;זית רענן - סביב לשלחנך&gt; - 2 כרכים</v>
      </c>
      <c r="H4225" t="str">
        <f>_xlfn.CONCAT("https://tablet.otzar.org/",CHAR(35),"/exKotar/653740")</f>
        <v>https://tablet.otzar.org/#/exKotar/653740</v>
      </c>
    </row>
    <row r="4226" spans="1:8" x14ac:dyDescent="0.25">
      <c r="A4226">
        <v>647840</v>
      </c>
      <c r="B4226" t="s">
        <v>8074</v>
      </c>
      <c r="C4226" t="s">
        <v>4184</v>
      </c>
      <c r="D4226" t="s">
        <v>10</v>
      </c>
      <c r="E4226" t="s">
        <v>11</v>
      </c>
      <c r="G4226" t="str">
        <f>HYPERLINK(_xlfn.CONCAT("https://tablet.otzar.org/",CHAR(35),"/book/647840/p/-1/t/1/fs/0/start/0/end/0/c"),"תבואות הארץ &lt;מהדורה חדשה&gt;")</f>
        <v>תבואות הארץ &lt;מהדורה חדשה&gt;</v>
      </c>
      <c r="H4226" t="str">
        <f>_xlfn.CONCAT("https://tablet.otzar.org/",CHAR(35),"/book/647840/p/-1/t/1/fs/0/start/0/end/0/c")</f>
        <v>https://tablet.otzar.org/#/book/647840/p/-1/t/1/fs/0/start/0/end/0/c</v>
      </c>
    </row>
    <row r="4227" spans="1:8" x14ac:dyDescent="0.25">
      <c r="A4227">
        <v>649910</v>
      </c>
      <c r="B4227" t="s">
        <v>8075</v>
      </c>
      <c r="C4227" t="s">
        <v>5636</v>
      </c>
      <c r="D4227" t="s">
        <v>510</v>
      </c>
      <c r="E4227" t="s">
        <v>495</v>
      </c>
      <c r="G4227" t="str">
        <f>HYPERLINK(_xlfn.CONCAT("https://tablet.otzar.org/",CHAR(35),"/book/649910/p/-1/t/1/fs/0/start/0/end/0/c"),"תבואות שור - תורה ומועדים")</f>
        <v>תבואות שור - תורה ומועדים</v>
      </c>
      <c r="H4227" t="str">
        <f>_xlfn.CONCAT("https://tablet.otzar.org/",CHAR(35),"/book/649910/p/-1/t/1/fs/0/start/0/end/0/c")</f>
        <v>https://tablet.otzar.org/#/book/649910/p/-1/t/1/fs/0/start/0/end/0/c</v>
      </c>
    </row>
    <row r="4228" spans="1:8" x14ac:dyDescent="0.25">
      <c r="A4228">
        <v>651581</v>
      </c>
      <c r="B4228" t="s">
        <v>8076</v>
      </c>
      <c r="C4228" t="s">
        <v>8077</v>
      </c>
      <c r="D4228" t="s">
        <v>28</v>
      </c>
      <c r="E4228" t="s">
        <v>35</v>
      </c>
      <c r="G4228" t="str">
        <f>HYPERLINK(_xlfn.CONCAT("https://tablet.otzar.org/",CHAR(35),"/book/651581/p/-1/t/1/fs/0/start/0/end/0/c"),"תבואת יצחק")</f>
        <v>תבואת יצחק</v>
      </c>
      <c r="H4228" t="str">
        <f>_xlfn.CONCAT("https://tablet.otzar.org/",CHAR(35),"/book/651581/p/-1/t/1/fs/0/start/0/end/0/c")</f>
        <v>https://tablet.otzar.org/#/book/651581/p/-1/t/1/fs/0/start/0/end/0/c</v>
      </c>
    </row>
    <row r="4229" spans="1:8" x14ac:dyDescent="0.25">
      <c r="A4229">
        <v>650593</v>
      </c>
      <c r="B4229" t="s">
        <v>8078</v>
      </c>
      <c r="C4229" t="s">
        <v>8079</v>
      </c>
      <c r="D4229" t="s">
        <v>340</v>
      </c>
      <c r="E4229" t="s">
        <v>146</v>
      </c>
      <c r="G4229" t="str">
        <f>HYPERLINK(_xlfn.CONCAT("https://tablet.otzar.org/",CHAR(35),"/book/650593/p/-1/t/1/fs/0/start/0/end/0/c"),"תבואת ישראל - תרומות, ערלה")</f>
        <v>תבואת ישראל - תרומות, ערלה</v>
      </c>
      <c r="H4229" t="str">
        <f>_xlfn.CONCAT("https://tablet.otzar.org/",CHAR(35),"/book/650593/p/-1/t/1/fs/0/start/0/end/0/c")</f>
        <v>https://tablet.otzar.org/#/book/650593/p/-1/t/1/fs/0/start/0/end/0/c</v>
      </c>
    </row>
    <row r="4230" spans="1:8" x14ac:dyDescent="0.25">
      <c r="A4230">
        <v>654571</v>
      </c>
      <c r="B4230" t="s">
        <v>8080</v>
      </c>
      <c r="C4230" t="s">
        <v>8081</v>
      </c>
      <c r="D4230" t="s">
        <v>328</v>
      </c>
      <c r="E4230" t="s">
        <v>11</v>
      </c>
      <c r="G4230" t="str">
        <f>HYPERLINK(_xlfn.CONCAT("https://tablet.otzar.org/",CHAR(35),"/book/654571/p/-1/t/1/fs/0/start/0/end/0/c"),"תבונות כפיו - תהלים ג")</f>
        <v>תבונות כפיו - תהלים ג</v>
      </c>
      <c r="H4230" t="str">
        <f>_xlfn.CONCAT("https://tablet.otzar.org/",CHAR(35),"/book/654571/p/-1/t/1/fs/0/start/0/end/0/c")</f>
        <v>https://tablet.otzar.org/#/book/654571/p/-1/t/1/fs/0/start/0/end/0/c</v>
      </c>
    </row>
    <row r="4231" spans="1:8" x14ac:dyDescent="0.25">
      <c r="A4231">
        <v>647277</v>
      </c>
      <c r="B4231" t="s">
        <v>8082</v>
      </c>
      <c r="C4231" t="s">
        <v>8083</v>
      </c>
      <c r="D4231" t="s">
        <v>432</v>
      </c>
      <c r="E4231" t="s">
        <v>405</v>
      </c>
      <c r="G4231" t="str">
        <f>HYPERLINK(_xlfn.CONCAT("https://tablet.otzar.org/",CHAR(35),"/book/647277/p/-1/t/1/fs/0/start/0/end/0/c"),"תבענה שפתי תהלה")</f>
        <v>תבענה שפתי תהלה</v>
      </c>
      <c r="H4231" t="str">
        <f>_xlfn.CONCAT("https://tablet.otzar.org/",CHAR(35),"/book/647277/p/-1/t/1/fs/0/start/0/end/0/c")</f>
        <v>https://tablet.otzar.org/#/book/647277/p/-1/t/1/fs/0/start/0/end/0/c</v>
      </c>
    </row>
    <row r="4232" spans="1:8" x14ac:dyDescent="0.25">
      <c r="A4232">
        <v>653420</v>
      </c>
      <c r="B4232" t="s">
        <v>8084</v>
      </c>
      <c r="C4232" t="s">
        <v>1030</v>
      </c>
      <c r="D4232" t="s">
        <v>948</v>
      </c>
      <c r="E4232" t="s">
        <v>19</v>
      </c>
      <c r="G4232" t="str">
        <f>HYPERLINK(_xlfn.CONCAT("https://tablet.otzar.org/",CHAR(35),"/book/653420/p/-1/t/1/fs/0/start/0/end/0/c"),"תדפיס מתוך ספר באור פני מלך חיים")</f>
        <v>תדפיס מתוך ספר באור פני מלך חיים</v>
      </c>
      <c r="H4232" t="str">
        <f>_xlfn.CONCAT("https://tablet.otzar.org/",CHAR(35),"/book/653420/p/-1/t/1/fs/0/start/0/end/0/c")</f>
        <v>https://tablet.otzar.org/#/book/653420/p/-1/t/1/fs/0/start/0/end/0/c</v>
      </c>
    </row>
    <row r="4233" spans="1:8" x14ac:dyDescent="0.25">
      <c r="A4233">
        <v>650365</v>
      </c>
      <c r="B4233" t="s">
        <v>8085</v>
      </c>
      <c r="C4233" t="s">
        <v>8086</v>
      </c>
      <c r="D4233" t="s">
        <v>731</v>
      </c>
      <c r="E4233" t="s">
        <v>11</v>
      </c>
      <c r="G4233" t="str">
        <f>HYPERLINK(_xlfn.CONCAT("https://tablet.otzar.org/",CHAR(35),"/book/650365/p/-1/t/1/fs/0/start/0/end/0/c"),"תהילים &lt;פלגי מים&gt;")</f>
        <v>תהילים &lt;פלגי מים&gt;</v>
      </c>
      <c r="H4233" t="str">
        <f>_xlfn.CONCAT("https://tablet.otzar.org/",CHAR(35),"/book/650365/p/-1/t/1/fs/0/start/0/end/0/c")</f>
        <v>https://tablet.otzar.org/#/book/650365/p/-1/t/1/fs/0/start/0/end/0/c</v>
      </c>
    </row>
    <row r="4234" spans="1:8" x14ac:dyDescent="0.25">
      <c r="A4234">
        <v>651845</v>
      </c>
      <c r="B4234" t="s">
        <v>8087</v>
      </c>
      <c r="C4234" t="s">
        <v>8088</v>
      </c>
      <c r="D4234" t="s">
        <v>76</v>
      </c>
      <c r="E4234" t="s">
        <v>11</v>
      </c>
      <c r="G4234" t="str">
        <f>HYPERLINK(_xlfn.CONCAT("https://tablet.otzar.org/",CHAR(35),"/book/651845/p/-1/t/1/fs/0/start/0/end/0/c"),"תהלה לדוד &lt;ציונים והערות&gt; - שיג-שכד")</f>
        <v>תהלה לדוד &lt;ציונים והערות&gt; - שיג-שכד</v>
      </c>
      <c r="H4234" t="str">
        <f>_xlfn.CONCAT("https://tablet.otzar.org/",CHAR(35),"/book/651845/p/-1/t/1/fs/0/start/0/end/0/c")</f>
        <v>https://tablet.otzar.org/#/book/651845/p/-1/t/1/fs/0/start/0/end/0/c</v>
      </c>
    </row>
    <row r="4235" spans="1:8" x14ac:dyDescent="0.25">
      <c r="A4235">
        <v>652449</v>
      </c>
      <c r="B4235" t="s">
        <v>8089</v>
      </c>
      <c r="C4235" t="s">
        <v>6707</v>
      </c>
      <c r="D4235" t="s">
        <v>3130</v>
      </c>
      <c r="E4235" t="s">
        <v>11</v>
      </c>
      <c r="G4235" t="str">
        <f>HYPERLINK(_xlfn.CONCAT("https://tablet.otzar.org/",CHAR(35),"/exKotar/652449"),"תהלה לדוד - 2 כרכים")</f>
        <v>תהלה לדוד - 2 כרכים</v>
      </c>
      <c r="H4235" t="str">
        <f>_xlfn.CONCAT("https://tablet.otzar.org/",CHAR(35),"/exKotar/652449")</f>
        <v>https://tablet.otzar.org/#/exKotar/652449</v>
      </c>
    </row>
    <row r="4236" spans="1:8" x14ac:dyDescent="0.25">
      <c r="A4236">
        <v>643129</v>
      </c>
      <c r="B4236" t="s">
        <v>8090</v>
      </c>
      <c r="C4236" t="s">
        <v>8091</v>
      </c>
      <c r="D4236" t="s">
        <v>10</v>
      </c>
      <c r="E4236" t="s">
        <v>1187</v>
      </c>
      <c r="G4236" t="str">
        <f>HYPERLINK(_xlfn.CONCAT("https://tablet.otzar.org/",CHAR(35),"/book/643129/p/-1/t/1/fs/0/start/0/end/0/c"),"תהלות לאומרם ע""""י כותל המערבי המשוחררת")</f>
        <v>תהלות לאומרם ע""י כותל המערבי המשוחררת</v>
      </c>
      <c r="H4236" t="str">
        <f>_xlfn.CONCAT("https://tablet.otzar.org/",CHAR(35),"/book/643129/p/-1/t/1/fs/0/start/0/end/0/c")</f>
        <v>https://tablet.otzar.org/#/book/643129/p/-1/t/1/fs/0/start/0/end/0/c</v>
      </c>
    </row>
    <row r="4237" spans="1:8" x14ac:dyDescent="0.25">
      <c r="A4237">
        <v>648552</v>
      </c>
      <c r="B4237" t="s">
        <v>8092</v>
      </c>
      <c r="C4237" t="s">
        <v>3182</v>
      </c>
      <c r="D4237" t="s">
        <v>52</v>
      </c>
      <c r="E4237" t="s">
        <v>70</v>
      </c>
      <c r="G4237" t="str">
        <f>HYPERLINK(_xlfn.CONCAT("https://tablet.otzar.org/",CHAR(35),"/book/648552/p/-1/t/1/fs/0/start/0/end/0/c"),"תהלים &lt;ילקוט קדושת לוי&gt;")</f>
        <v>תהלים &lt;ילקוט קדושת לוי&gt;</v>
      </c>
      <c r="H4237" t="str">
        <f>_xlfn.CONCAT("https://tablet.otzar.org/",CHAR(35),"/book/648552/p/-1/t/1/fs/0/start/0/end/0/c")</f>
        <v>https://tablet.otzar.org/#/book/648552/p/-1/t/1/fs/0/start/0/end/0/c</v>
      </c>
    </row>
    <row r="4238" spans="1:8" x14ac:dyDescent="0.25">
      <c r="A4238">
        <v>653627</v>
      </c>
      <c r="B4238" t="s">
        <v>8093</v>
      </c>
      <c r="C4238" t="s">
        <v>8094</v>
      </c>
      <c r="D4238" t="s">
        <v>10</v>
      </c>
      <c r="E4238" t="s">
        <v>11</v>
      </c>
      <c r="G4238" t="str">
        <f>HYPERLINK(_xlfn.CONCAT("https://tablet.otzar.org/",CHAR(35),"/book/653627/p/-1/t/1/fs/0/start/0/end/0/c"),"תהלים &lt;שלמי אהבה&gt;")</f>
        <v>תהלים &lt;שלמי אהבה&gt;</v>
      </c>
      <c r="H4238" t="str">
        <f>_xlfn.CONCAT("https://tablet.otzar.org/",CHAR(35),"/book/653627/p/-1/t/1/fs/0/start/0/end/0/c")</f>
        <v>https://tablet.otzar.org/#/book/653627/p/-1/t/1/fs/0/start/0/end/0/c</v>
      </c>
    </row>
    <row r="4239" spans="1:8" x14ac:dyDescent="0.25">
      <c r="A4239">
        <v>654391</v>
      </c>
      <c r="B4239" t="s">
        <v>8095</v>
      </c>
      <c r="C4239" t="s">
        <v>8096</v>
      </c>
      <c r="D4239" t="s">
        <v>731</v>
      </c>
      <c r="E4239" t="s">
        <v>11</v>
      </c>
      <c r="G4239" t="str">
        <f>HYPERLINK(_xlfn.CONCAT("https://tablet.otzar.org/",CHAR(35),"/book/654391/p/-1/t/1/fs/0/start/0/end/0/c"),"תהלים &lt;פלגי מים&gt;")</f>
        <v>תהלים &lt;פלגי מים&gt;</v>
      </c>
      <c r="H4239" t="str">
        <f>_xlfn.CONCAT("https://tablet.otzar.org/",CHAR(35),"/book/654391/p/-1/t/1/fs/0/start/0/end/0/c")</f>
        <v>https://tablet.otzar.org/#/book/654391/p/-1/t/1/fs/0/start/0/end/0/c</v>
      </c>
    </row>
    <row r="4240" spans="1:8" x14ac:dyDescent="0.25">
      <c r="A4240">
        <v>656236</v>
      </c>
      <c r="B4240" t="s">
        <v>8097</v>
      </c>
      <c r="C4240" t="s">
        <v>8098</v>
      </c>
      <c r="D4240" t="s">
        <v>52</v>
      </c>
      <c r="E4240" t="s">
        <v>8099</v>
      </c>
      <c r="G4240" t="str">
        <f>HYPERLINK(_xlfn.CONCAT("https://tablet.otzar.org/",CHAR(35),"/book/656236/p/-1/t/1/fs/0/start/0/end/0/c"),"תהלים עם דברי העם &lt;מהדורה חדשה&gt;")</f>
        <v>תהלים עם דברי העם &lt;מהדורה חדשה&gt;</v>
      </c>
      <c r="H4240" t="str">
        <f>_xlfn.CONCAT("https://tablet.otzar.org/",CHAR(35),"/book/656236/p/-1/t/1/fs/0/start/0/end/0/c")</f>
        <v>https://tablet.otzar.org/#/book/656236/p/-1/t/1/fs/0/start/0/end/0/c</v>
      </c>
    </row>
    <row r="4241" spans="1:8" x14ac:dyDescent="0.25">
      <c r="A4241">
        <v>648278</v>
      </c>
      <c r="B4241" t="s">
        <v>8100</v>
      </c>
      <c r="C4241" t="s">
        <v>8101</v>
      </c>
      <c r="E4241">
        <v>1879</v>
      </c>
      <c r="G4241" t="str">
        <f>HYPERLINK(_xlfn.CONCAT("https://tablet.otzar.org/",CHAR(35),"/exKotar/648278"),"תהלים עם תרי""""ג מצות - 2 כרכים")</f>
        <v>תהלים עם תרי""ג מצות - 2 כרכים</v>
      </c>
      <c r="H4241" t="str">
        <f>_xlfn.CONCAT("https://tablet.otzar.org/",CHAR(35),"/exKotar/648278")</f>
        <v>https://tablet.otzar.org/#/exKotar/648278</v>
      </c>
    </row>
    <row r="4242" spans="1:8" x14ac:dyDescent="0.25">
      <c r="A4242">
        <v>647454</v>
      </c>
      <c r="B4242" t="s">
        <v>8102</v>
      </c>
      <c r="C4242" t="s">
        <v>2571</v>
      </c>
      <c r="D4242" t="s">
        <v>10</v>
      </c>
      <c r="E4242" t="s">
        <v>383</v>
      </c>
      <c r="G4242" t="str">
        <f>HYPERLINK(_xlfn.CONCAT("https://tablet.otzar.org/",CHAR(35),"/book/647454/p/-1/t/1/fs/0/start/0/end/0/c"),"תודיעיני אורח חיים - הלכות תשובה")</f>
        <v>תודיעיני אורח חיים - הלכות תשובה</v>
      </c>
      <c r="H4242" t="str">
        <f>_xlfn.CONCAT("https://tablet.otzar.org/",CHAR(35),"/book/647454/p/-1/t/1/fs/0/start/0/end/0/c")</f>
        <v>https://tablet.otzar.org/#/book/647454/p/-1/t/1/fs/0/start/0/end/0/c</v>
      </c>
    </row>
    <row r="4243" spans="1:8" x14ac:dyDescent="0.25">
      <c r="A4243">
        <v>650440</v>
      </c>
      <c r="B4243" t="s">
        <v>8103</v>
      </c>
      <c r="C4243" t="s">
        <v>8104</v>
      </c>
      <c r="D4243" t="s">
        <v>8105</v>
      </c>
      <c r="E4243" t="s">
        <v>8106</v>
      </c>
      <c r="G4243" t="str">
        <f>HYPERLINK(_xlfn.CONCAT("https://tablet.otzar.org/",CHAR(35),"/book/650440/p/-1/t/1/fs/0/start/0/end/0/c"),"תוכחת מגולה")</f>
        <v>תוכחת מגולה</v>
      </c>
      <c r="H4243" t="str">
        <f>_xlfn.CONCAT("https://tablet.otzar.org/",CHAR(35),"/book/650440/p/-1/t/1/fs/0/start/0/end/0/c")</f>
        <v>https://tablet.otzar.org/#/book/650440/p/-1/t/1/fs/0/start/0/end/0/c</v>
      </c>
    </row>
    <row r="4244" spans="1:8" x14ac:dyDescent="0.25">
      <c r="A4244">
        <v>653701</v>
      </c>
      <c r="B4244" t="s">
        <v>8107</v>
      </c>
      <c r="C4244" t="s">
        <v>614</v>
      </c>
      <c r="E4244" t="s">
        <v>11</v>
      </c>
      <c r="G4244" t="str">
        <f>HYPERLINK(_xlfn.CONCAT("https://tablet.otzar.org/",CHAR(35),"/book/653701/p/-1/t/1/fs/0/start/0/end/0/c"),"תוכן קצר ליקוטי תורה ותורה אור")</f>
        <v>תוכן קצר ליקוטי תורה ותורה אור</v>
      </c>
      <c r="H4244" t="str">
        <f>_xlfn.CONCAT("https://tablet.otzar.org/",CHAR(35),"/book/653701/p/-1/t/1/fs/0/start/0/end/0/c")</f>
        <v>https://tablet.otzar.org/#/book/653701/p/-1/t/1/fs/0/start/0/end/0/c</v>
      </c>
    </row>
    <row r="4245" spans="1:8" x14ac:dyDescent="0.25">
      <c r="A4245">
        <v>641126</v>
      </c>
      <c r="B4245" t="s">
        <v>8108</v>
      </c>
      <c r="C4245" t="s">
        <v>8109</v>
      </c>
      <c r="E4245" t="s">
        <v>1280</v>
      </c>
      <c r="G4245" t="str">
        <f>HYPERLINK(_xlfn.CONCAT("https://tablet.otzar.org/",CHAR(35),"/book/641126/p/-1/t/1/fs/0/start/0/end/0/c"),"תולדות אברהם יוסף")</f>
        <v>תולדות אברהם יוסף</v>
      </c>
      <c r="H4245" t="str">
        <f>_xlfn.CONCAT("https://tablet.otzar.org/",CHAR(35),"/book/641126/p/-1/t/1/fs/0/start/0/end/0/c")</f>
        <v>https://tablet.otzar.org/#/book/641126/p/-1/t/1/fs/0/start/0/end/0/c</v>
      </c>
    </row>
    <row r="4246" spans="1:8" x14ac:dyDescent="0.25">
      <c r="A4246">
        <v>655879</v>
      </c>
      <c r="B4246" t="s">
        <v>8110</v>
      </c>
      <c r="C4246" t="s">
        <v>8111</v>
      </c>
      <c r="D4246" t="s">
        <v>139</v>
      </c>
      <c r="E4246" t="s">
        <v>312</v>
      </c>
      <c r="G4246" t="str">
        <f>HYPERLINK(_xlfn.CONCAT("https://tablet.otzar.org/",CHAR(35),"/book/655879/p/-1/t/1/fs/0/start/0/end/0/c"),"תולדות אהרן &lt;מהדורה חדשה&gt;")</f>
        <v>תולדות אהרן &lt;מהדורה חדשה&gt;</v>
      </c>
      <c r="H4246" t="str">
        <f>_xlfn.CONCAT("https://tablet.otzar.org/",CHAR(35),"/book/655879/p/-1/t/1/fs/0/start/0/end/0/c")</f>
        <v>https://tablet.otzar.org/#/book/655879/p/-1/t/1/fs/0/start/0/end/0/c</v>
      </c>
    </row>
    <row r="4247" spans="1:8" x14ac:dyDescent="0.25">
      <c r="A4247">
        <v>653307</v>
      </c>
      <c r="B4247" t="s">
        <v>8112</v>
      </c>
      <c r="C4247" t="s">
        <v>8113</v>
      </c>
      <c r="E4247" t="s">
        <v>4751</v>
      </c>
      <c r="G4247" t="str">
        <f>HYPERLINK(_xlfn.CONCAT("https://tablet.otzar.org/",CHAR(35),"/book/653307/p/-1/t/1/fs/0/start/0/end/0/c"),"תולדות ברית כהונת עולם")</f>
        <v>תולדות ברית כהונת עולם</v>
      </c>
      <c r="H4247" t="str">
        <f>_xlfn.CONCAT("https://tablet.otzar.org/",CHAR(35),"/book/653307/p/-1/t/1/fs/0/start/0/end/0/c")</f>
        <v>https://tablet.otzar.org/#/book/653307/p/-1/t/1/fs/0/start/0/end/0/c</v>
      </c>
    </row>
    <row r="4248" spans="1:8" x14ac:dyDescent="0.25">
      <c r="A4248">
        <v>649768</v>
      </c>
      <c r="B4248" t="s">
        <v>8114</v>
      </c>
      <c r="C4248" t="s">
        <v>8115</v>
      </c>
      <c r="D4248" t="s">
        <v>28</v>
      </c>
      <c r="E4248" t="s">
        <v>84</v>
      </c>
      <c r="G4248" t="str">
        <f>HYPERLINK(_xlfn.CONCAT("https://tablet.otzar.org/",CHAR(35),"/book/649768/p/-1/t/1/fs/0/start/0/end/0/c"),"תולדות האדם")</f>
        <v>תולדות האדם</v>
      </c>
      <c r="H4248" t="str">
        <f>_xlfn.CONCAT("https://tablet.otzar.org/",CHAR(35),"/book/649768/p/-1/t/1/fs/0/start/0/end/0/c")</f>
        <v>https://tablet.otzar.org/#/book/649768/p/-1/t/1/fs/0/start/0/end/0/c</v>
      </c>
    </row>
    <row r="4249" spans="1:8" x14ac:dyDescent="0.25">
      <c r="A4249">
        <v>652601</v>
      </c>
      <c r="B4249" t="s">
        <v>8116</v>
      </c>
      <c r="C4249" t="s">
        <v>8117</v>
      </c>
      <c r="E4249" t="s">
        <v>646</v>
      </c>
      <c r="G4249" t="str">
        <f>HYPERLINK(_xlfn.CONCAT("https://tablet.otzar.org/",CHAR(35),"/book/652601/p/-1/t/1/fs/0/start/0/end/0/c"),"תולדות האתרוג בארץ ישראל")</f>
        <v>תולדות האתרוג בארץ ישראל</v>
      </c>
      <c r="H4249" t="str">
        <f>_xlfn.CONCAT("https://tablet.otzar.org/",CHAR(35),"/book/652601/p/-1/t/1/fs/0/start/0/end/0/c")</f>
        <v>https://tablet.otzar.org/#/book/652601/p/-1/t/1/fs/0/start/0/end/0/c</v>
      </c>
    </row>
    <row r="4250" spans="1:8" x14ac:dyDescent="0.25">
      <c r="A4250">
        <v>647150</v>
      </c>
      <c r="B4250" t="s">
        <v>8118</v>
      </c>
      <c r="C4250" t="s">
        <v>8119</v>
      </c>
      <c r="D4250" t="s">
        <v>10</v>
      </c>
      <c r="E4250" t="s">
        <v>257</v>
      </c>
      <c r="G4250" t="str">
        <f>HYPERLINK(_xlfn.CONCAT("https://tablet.otzar.org/",CHAR(35),"/book/647150/p/-1/t/1/fs/0/start/0/end/0/c"),"תולדות ההשטתחות")</f>
        <v>תולדות ההשטתחות</v>
      </c>
      <c r="H4250" t="str">
        <f>_xlfn.CONCAT("https://tablet.otzar.org/",CHAR(35),"/book/647150/p/-1/t/1/fs/0/start/0/end/0/c")</f>
        <v>https://tablet.otzar.org/#/book/647150/p/-1/t/1/fs/0/start/0/end/0/c</v>
      </c>
    </row>
    <row r="4251" spans="1:8" x14ac:dyDescent="0.25">
      <c r="A4251">
        <v>650154</v>
      </c>
      <c r="B4251" t="s">
        <v>8120</v>
      </c>
      <c r="C4251" t="s">
        <v>7252</v>
      </c>
      <c r="D4251" t="s">
        <v>273</v>
      </c>
      <c r="E4251" t="s">
        <v>25</v>
      </c>
      <c r="G4251" t="str">
        <f>HYPERLINK(_xlfn.CONCAT("https://tablet.otzar.org/",CHAR(35),"/book/650154/p/-1/t/1/fs/0/start/0/end/0/c"),"תולדות היהודים בטראנסילבניה בימי הבינים המאוחרים")</f>
        <v>תולדות היהודים בטראנסילבניה בימי הבינים המאוחרים</v>
      </c>
      <c r="H4251" t="str">
        <f>_xlfn.CONCAT("https://tablet.otzar.org/",CHAR(35),"/book/650154/p/-1/t/1/fs/0/start/0/end/0/c")</f>
        <v>https://tablet.otzar.org/#/book/650154/p/-1/t/1/fs/0/start/0/end/0/c</v>
      </c>
    </row>
    <row r="4252" spans="1:8" x14ac:dyDescent="0.25">
      <c r="A4252">
        <v>649353</v>
      </c>
      <c r="B4252" t="s">
        <v>8121</v>
      </c>
      <c r="C4252" t="s">
        <v>8122</v>
      </c>
      <c r="D4252" t="s">
        <v>58</v>
      </c>
      <c r="E4252" t="s">
        <v>3327</v>
      </c>
      <c r="G4252" t="str">
        <f>HYPERLINK(_xlfn.CONCAT("https://tablet.otzar.org/",CHAR(35),"/book/649353/p/-1/t/1/fs/0/start/0/end/0/c"),"תולדות התפתחות הדקדוק העברי")</f>
        <v>תולדות התפתחות הדקדוק העברי</v>
      </c>
      <c r="H4252" t="str">
        <f>_xlfn.CONCAT("https://tablet.otzar.org/",CHAR(35),"/book/649353/p/-1/t/1/fs/0/start/0/end/0/c")</f>
        <v>https://tablet.otzar.org/#/book/649353/p/-1/t/1/fs/0/start/0/end/0/c</v>
      </c>
    </row>
    <row r="4253" spans="1:8" x14ac:dyDescent="0.25">
      <c r="A4253">
        <v>651026</v>
      </c>
      <c r="B4253" t="s">
        <v>8123</v>
      </c>
      <c r="C4253" t="s">
        <v>8124</v>
      </c>
      <c r="D4253" t="s">
        <v>34</v>
      </c>
      <c r="E4253" t="s">
        <v>70</v>
      </c>
      <c r="G4253" t="str">
        <f>HYPERLINK(_xlfn.CONCAT("https://tablet.otzar.org/",CHAR(35),"/book/651026/p/-1/t/1/fs/0/start/0/end/0/c"),"תולדות חב""""ד במרוקו")</f>
        <v>תולדות חב""ד במרוקו</v>
      </c>
      <c r="H4253" t="str">
        <f>_xlfn.CONCAT("https://tablet.otzar.org/",CHAR(35),"/book/651026/p/-1/t/1/fs/0/start/0/end/0/c")</f>
        <v>https://tablet.otzar.org/#/book/651026/p/-1/t/1/fs/0/start/0/end/0/c</v>
      </c>
    </row>
    <row r="4254" spans="1:8" x14ac:dyDescent="0.25">
      <c r="A4254">
        <v>649141</v>
      </c>
      <c r="B4254" t="s">
        <v>8125</v>
      </c>
      <c r="C4254" t="s">
        <v>8126</v>
      </c>
      <c r="D4254" t="s">
        <v>3260</v>
      </c>
      <c r="E4254" t="s">
        <v>891</v>
      </c>
      <c r="G4254" t="str">
        <f>HYPERLINK(_xlfn.CONCAT("https://tablet.otzar.org/",CHAR(35),"/book/649141/p/-1/t/1/fs/0/start/0/end/0/c"),"תולדות חן")</f>
        <v>תולדות חן</v>
      </c>
      <c r="H4254" t="str">
        <f>_xlfn.CONCAT("https://tablet.otzar.org/",CHAR(35),"/book/649141/p/-1/t/1/fs/0/start/0/end/0/c")</f>
        <v>https://tablet.otzar.org/#/book/649141/p/-1/t/1/fs/0/start/0/end/0/c</v>
      </c>
    </row>
    <row r="4255" spans="1:8" x14ac:dyDescent="0.25">
      <c r="A4255">
        <v>650576</v>
      </c>
      <c r="B4255" t="s">
        <v>8127</v>
      </c>
      <c r="C4255" t="s">
        <v>8128</v>
      </c>
      <c r="D4255" t="s">
        <v>10</v>
      </c>
      <c r="E4255" t="s">
        <v>89</v>
      </c>
      <c r="G4255" t="str">
        <f>HYPERLINK(_xlfn.CONCAT("https://tablet.otzar.org/",CHAR(35),"/exKotar/650576"),"תולדות יעקב יוסף &lt;מהדורת נגאל&gt;  - 2 כרכים")</f>
        <v>תולדות יעקב יוסף &lt;מהדורת נגאל&gt;  - 2 כרכים</v>
      </c>
      <c r="H4255" t="str">
        <f>_xlfn.CONCAT("https://tablet.otzar.org/",CHAR(35),"/exKotar/650576")</f>
        <v>https://tablet.otzar.org/#/exKotar/650576</v>
      </c>
    </row>
    <row r="4256" spans="1:8" x14ac:dyDescent="0.25">
      <c r="A4256">
        <v>651027</v>
      </c>
      <c r="B4256" t="s">
        <v>8129</v>
      </c>
      <c r="C4256" t="s">
        <v>8130</v>
      </c>
      <c r="D4256" t="s">
        <v>10</v>
      </c>
      <c r="E4256" t="s">
        <v>11</v>
      </c>
      <c r="G4256" t="str">
        <f>HYPERLINK(_xlfn.CONCAT("https://tablet.otzar.org/",CHAR(35),"/book/651027/p/-1/t/1/fs/0/start/0/end/0/c"),"תולדות יצחק")</f>
        <v>תולדות יצחק</v>
      </c>
      <c r="H4256" t="str">
        <f>_xlfn.CONCAT("https://tablet.otzar.org/",CHAR(35),"/book/651027/p/-1/t/1/fs/0/start/0/end/0/c")</f>
        <v>https://tablet.otzar.org/#/book/651027/p/-1/t/1/fs/0/start/0/end/0/c</v>
      </c>
    </row>
    <row r="4257" spans="1:8" x14ac:dyDescent="0.25">
      <c r="A4257">
        <v>654365</v>
      </c>
      <c r="B4257" t="s">
        <v>8129</v>
      </c>
      <c r="C4257" t="s">
        <v>8131</v>
      </c>
      <c r="D4257" t="s">
        <v>8132</v>
      </c>
      <c r="E4257" t="s">
        <v>574</v>
      </c>
      <c r="G4257" t="str">
        <f>HYPERLINK(_xlfn.CONCAT("https://tablet.otzar.org/",CHAR(35),"/book/654365/p/-1/t/1/fs/0/start/0/end/0/c"),"תולדות יצחק")</f>
        <v>תולדות יצחק</v>
      </c>
      <c r="H4257" t="str">
        <f>_xlfn.CONCAT("https://tablet.otzar.org/",CHAR(35),"/book/654365/p/-1/t/1/fs/0/start/0/end/0/c")</f>
        <v>https://tablet.otzar.org/#/book/654365/p/-1/t/1/fs/0/start/0/end/0/c</v>
      </c>
    </row>
    <row r="4258" spans="1:8" x14ac:dyDescent="0.25">
      <c r="A4258">
        <v>653263</v>
      </c>
      <c r="B4258" t="s">
        <v>8133</v>
      </c>
      <c r="C4258" t="s">
        <v>8134</v>
      </c>
      <c r="D4258" t="s">
        <v>10</v>
      </c>
      <c r="E4258" t="s">
        <v>383</v>
      </c>
      <c r="G4258" t="str">
        <f>HYPERLINK(_xlfn.CONCAT("https://tablet.otzar.org/",CHAR(35),"/book/653263/p/-1/t/1/fs/0/start/0/end/0/c"),"תולדות כף החיים")</f>
        <v>תולדות כף החיים</v>
      </c>
      <c r="H4258" t="str">
        <f>_xlfn.CONCAT("https://tablet.otzar.org/",CHAR(35),"/book/653263/p/-1/t/1/fs/0/start/0/end/0/c")</f>
        <v>https://tablet.otzar.org/#/book/653263/p/-1/t/1/fs/0/start/0/end/0/c</v>
      </c>
    </row>
    <row r="4259" spans="1:8" x14ac:dyDescent="0.25">
      <c r="A4259">
        <v>654063</v>
      </c>
      <c r="B4259" t="s">
        <v>8135</v>
      </c>
      <c r="C4259" t="s">
        <v>8136</v>
      </c>
      <c r="D4259" t="s">
        <v>52</v>
      </c>
      <c r="E4259" t="s">
        <v>11</v>
      </c>
      <c r="G4259" t="str">
        <f>HYPERLINK(_xlfn.CONCAT("https://tablet.otzar.org/",CHAR(35),"/book/654063/p/-1/t/1/fs/0/start/0/end/0/c"),"תולדות רבינו בעל ארץ צבי")</f>
        <v>תולדות רבינו בעל ארץ צבי</v>
      </c>
      <c r="H4259" t="str">
        <f>_xlfn.CONCAT("https://tablet.otzar.org/",CHAR(35),"/book/654063/p/-1/t/1/fs/0/start/0/end/0/c")</f>
        <v>https://tablet.otzar.org/#/book/654063/p/-1/t/1/fs/0/start/0/end/0/c</v>
      </c>
    </row>
    <row r="4260" spans="1:8" x14ac:dyDescent="0.25">
      <c r="A4260">
        <v>20403</v>
      </c>
      <c r="B4260" t="s">
        <v>8137</v>
      </c>
      <c r="C4260" t="s">
        <v>8138</v>
      </c>
      <c r="D4260" t="s">
        <v>3860</v>
      </c>
      <c r="E4260" t="s">
        <v>4185</v>
      </c>
      <c r="G4260" t="str">
        <f>HYPERLINK(_xlfn.CONCAT("https://tablet.otzar.org/",CHAR(35),"/book/20403/p/-1/t/1/fs/0/start/0/end/0/c"),"תולדות רש""""י")</f>
        <v>תולדות רש""י</v>
      </c>
      <c r="H4260" t="str">
        <f>_xlfn.CONCAT("https://tablet.otzar.org/",CHAR(35),"/book/20403/p/-1/t/1/fs/0/start/0/end/0/c")</f>
        <v>https://tablet.otzar.org/#/book/20403/p/-1/t/1/fs/0/start/0/end/0/c</v>
      </c>
    </row>
    <row r="4261" spans="1:8" x14ac:dyDescent="0.25">
      <c r="A4261">
        <v>655473</v>
      </c>
      <c r="B4261" t="s">
        <v>8139</v>
      </c>
      <c r="C4261" t="s">
        <v>8140</v>
      </c>
      <c r="D4261" t="s">
        <v>319</v>
      </c>
      <c r="E4261" t="s">
        <v>29</v>
      </c>
      <c r="G4261" t="str">
        <f>HYPERLINK(_xlfn.CONCAT("https://tablet.otzar.org/",CHAR(35),"/book/655473/p/-1/t/1/fs/0/start/0/end/0/c"),"תולדות שמואל")</f>
        <v>תולדות שמואל</v>
      </c>
      <c r="H4261" t="str">
        <f>_xlfn.CONCAT("https://tablet.otzar.org/",CHAR(35),"/book/655473/p/-1/t/1/fs/0/start/0/end/0/c")</f>
        <v>https://tablet.otzar.org/#/book/655473/p/-1/t/1/fs/0/start/0/end/0/c</v>
      </c>
    </row>
    <row r="4262" spans="1:8" x14ac:dyDescent="0.25">
      <c r="A4262">
        <v>652785</v>
      </c>
      <c r="B4262" t="s">
        <v>8141</v>
      </c>
      <c r="C4262" t="s">
        <v>8142</v>
      </c>
      <c r="D4262" t="s">
        <v>10</v>
      </c>
      <c r="E4262" t="s">
        <v>117</v>
      </c>
      <c r="G4262" t="str">
        <f>HYPERLINK(_xlfn.CONCAT("https://tablet.otzar.org/",CHAR(35),"/book/652785/p/-1/t/1/fs/0/start/0/end/0/c"),"תולדות שמשון &lt;מהדורה חדשה&gt;")</f>
        <v>תולדות שמשון &lt;מהדורה חדשה&gt;</v>
      </c>
      <c r="H4262" t="str">
        <f>_xlfn.CONCAT("https://tablet.otzar.org/",CHAR(35),"/book/652785/p/-1/t/1/fs/0/start/0/end/0/c")</f>
        <v>https://tablet.otzar.org/#/book/652785/p/-1/t/1/fs/0/start/0/end/0/c</v>
      </c>
    </row>
    <row r="4263" spans="1:8" x14ac:dyDescent="0.25">
      <c r="A4263">
        <v>649065</v>
      </c>
      <c r="B4263" t="s">
        <v>8143</v>
      </c>
      <c r="C4263" t="s">
        <v>2127</v>
      </c>
      <c r="D4263" t="s">
        <v>10</v>
      </c>
      <c r="E4263" t="s">
        <v>11</v>
      </c>
      <c r="G4263" t="str">
        <f>HYPERLINK(_xlfn.CONCAT("https://tablet.otzar.org/",CHAR(35),"/book/649065/p/-1/t/1/fs/0/start/0/end/0/c"),"תולעת יעקב &lt;פותח שערים&gt;")</f>
        <v>תולעת יעקב &lt;פותח שערים&gt;</v>
      </c>
      <c r="H4263" t="str">
        <f>_xlfn.CONCAT("https://tablet.otzar.org/",CHAR(35),"/book/649065/p/-1/t/1/fs/0/start/0/end/0/c")</f>
        <v>https://tablet.otzar.org/#/book/649065/p/-1/t/1/fs/0/start/0/end/0/c</v>
      </c>
    </row>
    <row r="4264" spans="1:8" x14ac:dyDescent="0.25">
      <c r="A4264">
        <v>648787</v>
      </c>
      <c r="B4264" t="s">
        <v>8144</v>
      </c>
      <c r="C4264" t="s">
        <v>2127</v>
      </c>
      <c r="D4264" t="s">
        <v>10</v>
      </c>
      <c r="E4264" t="s">
        <v>11</v>
      </c>
      <c r="G4264" t="str">
        <f>HYPERLINK(_xlfn.CONCAT("https://tablet.otzar.org/",CHAR(35),"/book/648787/p/-1/t/1/fs/0/start/0/end/0/c"),"תולעת יעקב")</f>
        <v>תולעת יעקב</v>
      </c>
      <c r="H4264" t="str">
        <f>_xlfn.CONCAT("https://tablet.otzar.org/",CHAR(35),"/book/648787/p/-1/t/1/fs/0/start/0/end/0/c")</f>
        <v>https://tablet.otzar.org/#/book/648787/p/-1/t/1/fs/0/start/0/end/0/c</v>
      </c>
    </row>
    <row r="4265" spans="1:8" x14ac:dyDescent="0.25">
      <c r="A4265">
        <v>651899</v>
      </c>
      <c r="B4265" t="s">
        <v>8145</v>
      </c>
      <c r="C4265" t="s">
        <v>8146</v>
      </c>
      <c r="D4265" t="s">
        <v>8147</v>
      </c>
      <c r="E4265" t="s">
        <v>8148</v>
      </c>
      <c r="G4265" t="str">
        <f>HYPERLINK(_xlfn.CONCAT("https://tablet.otzar.org/",CHAR(35),"/book/651899/p/-1/t/1/fs/0/start/0/end/0/c"),"תומך כבוד")</f>
        <v>תומך כבוד</v>
      </c>
      <c r="H4265" t="str">
        <f>_xlfn.CONCAT("https://tablet.otzar.org/",CHAR(35),"/book/651899/p/-1/t/1/fs/0/start/0/end/0/c")</f>
        <v>https://tablet.otzar.org/#/book/651899/p/-1/t/1/fs/0/start/0/end/0/c</v>
      </c>
    </row>
    <row r="4266" spans="1:8" x14ac:dyDescent="0.25">
      <c r="A4266">
        <v>652634</v>
      </c>
      <c r="B4266" t="s">
        <v>8149</v>
      </c>
      <c r="C4266" t="s">
        <v>6298</v>
      </c>
      <c r="D4266" t="s">
        <v>8150</v>
      </c>
      <c r="E4266" t="s">
        <v>1700</v>
      </c>
      <c r="G4266" t="str">
        <f>HYPERLINK(_xlfn.CONCAT("https://tablet.otzar.org/",CHAR(35),"/book/652634/p/-1/t/1/fs/0/start/0/end/0/c"),"תומר דבורה &lt;עם גאון ישראל&gt;")</f>
        <v>תומר דבורה &lt;עם גאון ישראל&gt;</v>
      </c>
      <c r="H4266" t="str">
        <f>_xlfn.CONCAT("https://tablet.otzar.org/",CHAR(35),"/book/652634/p/-1/t/1/fs/0/start/0/end/0/c")</f>
        <v>https://tablet.otzar.org/#/book/652634/p/-1/t/1/fs/0/start/0/end/0/c</v>
      </c>
    </row>
    <row r="4267" spans="1:8" x14ac:dyDescent="0.25">
      <c r="A4267">
        <v>647220</v>
      </c>
      <c r="B4267" t="s">
        <v>8151</v>
      </c>
      <c r="C4267" t="s">
        <v>8152</v>
      </c>
      <c r="D4267" t="s">
        <v>10</v>
      </c>
      <c r="E4267" t="s">
        <v>84</v>
      </c>
      <c r="G4267" t="str">
        <f>HYPERLINK(_xlfn.CONCAT("https://tablet.otzar.org/",CHAR(35),"/book/647220/p/-1/t/1/fs/0/start/0/end/0/c"),"תומר דבורה מבואר ומפורש")</f>
        <v>תומר דבורה מבואר ומפורש</v>
      </c>
      <c r="H4267" t="str">
        <f>_xlfn.CONCAT("https://tablet.otzar.org/",CHAR(35),"/book/647220/p/-1/t/1/fs/0/start/0/end/0/c")</f>
        <v>https://tablet.otzar.org/#/book/647220/p/-1/t/1/fs/0/start/0/end/0/c</v>
      </c>
    </row>
    <row r="4268" spans="1:8" x14ac:dyDescent="0.25">
      <c r="A4268">
        <v>654500</v>
      </c>
      <c r="B4268" t="s">
        <v>8153</v>
      </c>
      <c r="C4268" t="s">
        <v>8154</v>
      </c>
      <c r="D4268" t="s">
        <v>34</v>
      </c>
      <c r="E4268" t="s">
        <v>11</v>
      </c>
      <c r="G4268" t="str">
        <f>HYPERLINK(_xlfn.CONCAT("https://tablet.otzar.org/",CHAR(35),"/book/654500/p/-1/t/1/fs/0/start/0/end/0/c"),"תוספות כתובה")</f>
        <v>תוספות כתובה</v>
      </c>
      <c r="H4268" t="str">
        <f>_xlfn.CONCAT("https://tablet.otzar.org/",CHAR(35),"/book/654500/p/-1/t/1/fs/0/start/0/end/0/c")</f>
        <v>https://tablet.otzar.org/#/book/654500/p/-1/t/1/fs/0/start/0/end/0/c</v>
      </c>
    </row>
    <row r="4269" spans="1:8" x14ac:dyDescent="0.25">
      <c r="A4269">
        <v>647244</v>
      </c>
      <c r="B4269" t="s">
        <v>8155</v>
      </c>
      <c r="C4269" t="s">
        <v>8156</v>
      </c>
      <c r="D4269" t="s">
        <v>340</v>
      </c>
      <c r="E4269" t="s">
        <v>11</v>
      </c>
      <c r="G4269" t="str">
        <f>HYPERLINK(_xlfn.CONCAT("https://tablet.otzar.org/",CHAR(35),"/exKotar/647244"),"תוספת אורה - 2 כרכים")</f>
        <v>תוספת אורה - 2 כרכים</v>
      </c>
      <c r="H4269" t="str">
        <f>_xlfn.CONCAT("https://tablet.otzar.org/",CHAR(35),"/exKotar/647244")</f>
        <v>https://tablet.otzar.org/#/exKotar/647244</v>
      </c>
    </row>
    <row r="4270" spans="1:8" x14ac:dyDescent="0.25">
      <c r="A4270">
        <v>650076</v>
      </c>
      <c r="B4270" t="s">
        <v>8157</v>
      </c>
      <c r="C4270" t="s">
        <v>8158</v>
      </c>
      <c r="D4270" t="s">
        <v>340</v>
      </c>
      <c r="E4270" t="s">
        <v>11</v>
      </c>
      <c r="G4270" t="str">
        <f>HYPERLINK(_xlfn.CONCAT("https://tablet.otzar.org/",CHAR(35),"/book/650076/p/-1/t/1/fs/0/start/0/end/0/c"),"תוספת כתובה")</f>
        <v>תוספת כתובה</v>
      </c>
      <c r="H4270" t="str">
        <f>_xlfn.CONCAT("https://tablet.otzar.org/",CHAR(35),"/book/650076/p/-1/t/1/fs/0/start/0/end/0/c")</f>
        <v>https://tablet.otzar.org/#/book/650076/p/-1/t/1/fs/0/start/0/end/0/c</v>
      </c>
    </row>
    <row r="4271" spans="1:8" x14ac:dyDescent="0.25">
      <c r="A4271">
        <v>639478</v>
      </c>
      <c r="B4271" t="s">
        <v>8159</v>
      </c>
      <c r="C4271" t="s">
        <v>3576</v>
      </c>
      <c r="D4271" t="s">
        <v>4320</v>
      </c>
      <c r="E4271" t="s">
        <v>4984</v>
      </c>
      <c r="G4271" t="str">
        <f>HYPERLINK(_xlfn.CONCAT("https://tablet.otzar.org/",CHAR(35),"/book/639478/p/-1/t/1/fs/0/start/0/end/0/c"),"תוצאות החטיטות והחקירות")</f>
        <v>תוצאות החטיטות והחקירות</v>
      </c>
      <c r="H4271" t="str">
        <f>_xlfn.CONCAT("https://tablet.otzar.org/",CHAR(35),"/book/639478/p/-1/t/1/fs/0/start/0/end/0/c")</f>
        <v>https://tablet.otzar.org/#/book/639478/p/-1/t/1/fs/0/start/0/end/0/c</v>
      </c>
    </row>
    <row r="4272" spans="1:8" x14ac:dyDescent="0.25">
      <c r="A4272">
        <v>625767</v>
      </c>
      <c r="B4272" t="s">
        <v>8160</v>
      </c>
      <c r="C4272" t="s">
        <v>8161</v>
      </c>
      <c r="E4272" t="s">
        <v>6177</v>
      </c>
      <c r="G4272" t="str">
        <f>HYPERLINK(_xlfn.CONCAT("https://tablet.otzar.org/",CHAR(35),"/book/625767/p/-1/t/1/fs/0/start/0/end/0/c"),"תוצאות חיים &lt;מהדורה חדשה&gt;")</f>
        <v>תוצאות חיים &lt;מהדורה חדשה&gt;</v>
      </c>
      <c r="H4272" t="str">
        <f>_xlfn.CONCAT("https://tablet.otzar.org/",CHAR(35),"/book/625767/p/-1/t/1/fs/0/start/0/end/0/c")</f>
        <v>https://tablet.otzar.org/#/book/625767/p/-1/t/1/fs/0/start/0/end/0/c</v>
      </c>
    </row>
    <row r="4273" spans="1:8" x14ac:dyDescent="0.25">
      <c r="A4273">
        <v>647511</v>
      </c>
      <c r="B4273" t="s">
        <v>8162</v>
      </c>
      <c r="C4273" t="s">
        <v>8163</v>
      </c>
      <c r="D4273" t="s">
        <v>10</v>
      </c>
      <c r="E4273" t="s">
        <v>2612</v>
      </c>
      <c r="G4273" t="str">
        <f>HYPERLINK(_xlfn.CONCAT("https://tablet.otzar.org/",CHAR(35),"/book/647511/p/-1/t/1/fs/0/start/0/end/0/c"),"תורה אור - פסחים")</f>
        <v>תורה אור - פסחים</v>
      </c>
      <c r="H4273" t="str">
        <f>_xlfn.CONCAT("https://tablet.otzar.org/",CHAR(35),"/book/647511/p/-1/t/1/fs/0/start/0/end/0/c")</f>
        <v>https://tablet.otzar.org/#/book/647511/p/-1/t/1/fs/0/start/0/end/0/c</v>
      </c>
    </row>
    <row r="4274" spans="1:8" x14ac:dyDescent="0.25">
      <c r="A4274">
        <v>10587</v>
      </c>
      <c r="B4274" t="s">
        <v>8164</v>
      </c>
      <c r="C4274" t="s">
        <v>8165</v>
      </c>
      <c r="D4274" t="s">
        <v>10</v>
      </c>
      <c r="E4274" t="s">
        <v>1608</v>
      </c>
      <c r="G4274" t="str">
        <f>HYPERLINK(_xlfn.CONCAT("https://tablet.otzar.org/",CHAR(35),"/book/10587/p/-1/t/1/fs/0/start/0/end/0/c"),"תורה ומדע")</f>
        <v>תורה ומדע</v>
      </c>
      <c r="H4274" t="str">
        <f>_xlfn.CONCAT("https://tablet.otzar.org/",CHAR(35),"/book/10587/p/-1/t/1/fs/0/start/0/end/0/c")</f>
        <v>https://tablet.otzar.org/#/book/10587/p/-1/t/1/fs/0/start/0/end/0/c</v>
      </c>
    </row>
    <row r="4275" spans="1:8" x14ac:dyDescent="0.25">
      <c r="A4275">
        <v>647499</v>
      </c>
      <c r="B4275" t="s">
        <v>8166</v>
      </c>
      <c r="C4275" t="s">
        <v>382</v>
      </c>
      <c r="D4275" t="s">
        <v>1453</v>
      </c>
      <c r="E4275" t="s">
        <v>257</v>
      </c>
      <c r="G4275" t="str">
        <f>HYPERLINK(_xlfn.CONCAT("https://tablet.otzar.org/",CHAR(35),"/exKotar/647499"),"תורה ומדע - 14 כרכים")</f>
        <v>תורה ומדע - 14 כרכים</v>
      </c>
      <c r="H4275" t="str">
        <f>_xlfn.CONCAT("https://tablet.otzar.org/",CHAR(35),"/exKotar/647499")</f>
        <v>https://tablet.otzar.org/#/exKotar/647499</v>
      </c>
    </row>
    <row r="4276" spans="1:8" x14ac:dyDescent="0.25">
      <c r="A4276">
        <v>655821</v>
      </c>
      <c r="B4276" t="s">
        <v>8167</v>
      </c>
      <c r="C4276" t="s">
        <v>8168</v>
      </c>
      <c r="D4276" t="s">
        <v>10</v>
      </c>
      <c r="E4276" t="s">
        <v>676</v>
      </c>
      <c r="G4276" t="str">
        <f>HYPERLINK(_xlfn.CONCAT("https://tablet.otzar.org/",CHAR(35),"/book/655821/p/-1/t/1/fs/0/start/0/end/0/c"),"תורה ומורשה")</f>
        <v>תורה ומורשה</v>
      </c>
      <c r="H4276" t="str">
        <f>_xlfn.CONCAT("https://tablet.otzar.org/",CHAR(35),"/book/655821/p/-1/t/1/fs/0/start/0/end/0/c")</f>
        <v>https://tablet.otzar.org/#/book/655821/p/-1/t/1/fs/0/start/0/end/0/c</v>
      </c>
    </row>
    <row r="4277" spans="1:8" x14ac:dyDescent="0.25">
      <c r="A4277">
        <v>651948</v>
      </c>
      <c r="B4277" t="s">
        <v>8169</v>
      </c>
      <c r="C4277" t="s">
        <v>314</v>
      </c>
      <c r="E4277" t="s">
        <v>84</v>
      </c>
      <c r="G4277" t="str">
        <f>HYPERLINK(_xlfn.CONCAT("https://tablet.otzar.org/",CHAR(35),"/book/651948/p/-1/t/1/fs/0/start/0/end/0/c"),"תורה מן השמים")</f>
        <v>תורה מן השמים</v>
      </c>
      <c r="H4277" t="str">
        <f>_xlfn.CONCAT("https://tablet.otzar.org/",CHAR(35),"/book/651948/p/-1/t/1/fs/0/start/0/end/0/c")</f>
        <v>https://tablet.otzar.org/#/book/651948/p/-1/t/1/fs/0/start/0/end/0/c</v>
      </c>
    </row>
    <row r="4278" spans="1:8" x14ac:dyDescent="0.25">
      <c r="A4278">
        <v>649369</v>
      </c>
      <c r="B4278" t="s">
        <v>8170</v>
      </c>
      <c r="C4278" t="s">
        <v>617</v>
      </c>
      <c r="D4278" t="s">
        <v>10</v>
      </c>
      <c r="E4278" t="s">
        <v>126</v>
      </c>
      <c r="G4278" t="str">
        <f>HYPERLINK(_xlfn.CONCAT("https://tablet.otzar.org/",CHAR(35),"/book/649369/p/-1/t/1/fs/0/start/0/end/0/c"),"תורה מציון")</f>
        <v>תורה מציון</v>
      </c>
      <c r="H4278" t="str">
        <f>_xlfn.CONCAT("https://tablet.otzar.org/",CHAR(35),"/book/649369/p/-1/t/1/fs/0/start/0/end/0/c")</f>
        <v>https://tablet.otzar.org/#/book/649369/p/-1/t/1/fs/0/start/0/end/0/c</v>
      </c>
    </row>
    <row r="4279" spans="1:8" x14ac:dyDescent="0.25">
      <c r="A4279">
        <v>638686</v>
      </c>
      <c r="B4279" t="s">
        <v>8171</v>
      </c>
      <c r="C4279" t="s">
        <v>8172</v>
      </c>
      <c r="E4279" t="s">
        <v>1187</v>
      </c>
      <c r="G4279" t="str">
        <f>HYPERLINK(_xlfn.CONCAT("https://tablet.otzar.org/",CHAR(35),"/book/638686/p/-1/t/1/fs/0/start/0/end/0/c"),"תורן - 12")</f>
        <v>תורן - 12</v>
      </c>
      <c r="H4279" t="str">
        <f>_xlfn.CONCAT("https://tablet.otzar.org/",CHAR(35),"/book/638686/p/-1/t/1/fs/0/start/0/end/0/c")</f>
        <v>https://tablet.otzar.org/#/book/638686/p/-1/t/1/fs/0/start/0/end/0/c</v>
      </c>
    </row>
    <row r="4280" spans="1:8" x14ac:dyDescent="0.25">
      <c r="A4280">
        <v>656068</v>
      </c>
      <c r="B4280" t="s">
        <v>8173</v>
      </c>
      <c r="C4280" t="s">
        <v>8174</v>
      </c>
      <c r="D4280" t="s">
        <v>139</v>
      </c>
      <c r="E4280" t="s">
        <v>35</v>
      </c>
      <c r="G4280" t="str">
        <f>HYPERLINK(_xlfn.CONCAT("https://tablet.otzar.org/",CHAR(35),"/book/656068/p/-1/t/1/fs/0/start/0/end/0/c"),"תורת אהבת שלום")</f>
        <v>תורת אהבת שלום</v>
      </c>
      <c r="H4280" t="str">
        <f>_xlfn.CONCAT("https://tablet.otzar.org/",CHAR(35),"/book/656068/p/-1/t/1/fs/0/start/0/end/0/c")</f>
        <v>https://tablet.otzar.org/#/book/656068/p/-1/t/1/fs/0/start/0/end/0/c</v>
      </c>
    </row>
    <row r="4281" spans="1:8" x14ac:dyDescent="0.25">
      <c r="A4281">
        <v>653520</v>
      </c>
      <c r="B4281" t="s">
        <v>8175</v>
      </c>
      <c r="C4281" t="s">
        <v>8176</v>
      </c>
      <c r="D4281" t="s">
        <v>52</v>
      </c>
      <c r="E4281" t="s">
        <v>11</v>
      </c>
      <c r="G4281" t="str">
        <f>HYPERLINK(_xlfn.CONCAT("https://tablet.otzar.org/",CHAR(35),"/book/653520/p/-1/t/1/fs/0/start/0/end/0/c"),"תורת אלימלך")</f>
        <v>תורת אלימלך</v>
      </c>
      <c r="H4281" t="str">
        <f>_xlfn.CONCAT("https://tablet.otzar.org/",CHAR(35),"/book/653520/p/-1/t/1/fs/0/start/0/end/0/c")</f>
        <v>https://tablet.otzar.org/#/book/653520/p/-1/t/1/fs/0/start/0/end/0/c</v>
      </c>
    </row>
    <row r="4282" spans="1:8" x14ac:dyDescent="0.25">
      <c r="A4282">
        <v>647380</v>
      </c>
      <c r="B4282" t="s">
        <v>8177</v>
      </c>
      <c r="C4282" t="s">
        <v>1252</v>
      </c>
      <c r="D4282" t="s">
        <v>58</v>
      </c>
      <c r="E4282" t="s">
        <v>5554</v>
      </c>
      <c r="G4282" t="str">
        <f>HYPERLINK(_xlfn.CONCAT("https://tablet.otzar.org/",CHAR(35),"/book/647380/p/-1/t/1/fs/0/start/0/end/0/c"),"תורת בית הוראה")</f>
        <v>תורת בית הוראה</v>
      </c>
      <c r="H4282" t="str">
        <f>_xlfn.CONCAT("https://tablet.otzar.org/",CHAR(35),"/book/647380/p/-1/t/1/fs/0/start/0/end/0/c")</f>
        <v>https://tablet.otzar.org/#/book/647380/p/-1/t/1/fs/0/start/0/end/0/c</v>
      </c>
    </row>
    <row r="4283" spans="1:8" x14ac:dyDescent="0.25">
      <c r="A4283">
        <v>654352</v>
      </c>
      <c r="B4283" t="s">
        <v>8178</v>
      </c>
      <c r="C4283" t="s">
        <v>8179</v>
      </c>
      <c r="D4283" t="s">
        <v>1650</v>
      </c>
      <c r="E4283" t="s">
        <v>84</v>
      </c>
      <c r="G4283" t="str">
        <f>HYPERLINK(_xlfn.CONCAT("https://tablet.otzar.org/",CHAR(35),"/exKotar/654352"),"תורת דוד - 2 כרכים")</f>
        <v>תורת דוד - 2 כרכים</v>
      </c>
      <c r="H4283" t="str">
        <f>_xlfn.CONCAT("https://tablet.otzar.org/",CHAR(35),"/exKotar/654352")</f>
        <v>https://tablet.otzar.org/#/exKotar/654352</v>
      </c>
    </row>
    <row r="4284" spans="1:8" x14ac:dyDescent="0.25">
      <c r="A4284">
        <v>652094</v>
      </c>
      <c r="B4284" t="s">
        <v>8180</v>
      </c>
      <c r="C4284" t="s">
        <v>8181</v>
      </c>
      <c r="D4284" t="s">
        <v>52</v>
      </c>
      <c r="E4284" t="s">
        <v>690</v>
      </c>
      <c r="G4284" t="str">
        <f>HYPERLINK(_xlfn.CONCAT("https://tablet.otzar.org/",CHAR(35),"/book/652094/p/-1/t/1/fs/0/start/0/end/0/c"),"תורת האבידה")</f>
        <v>תורת האבידה</v>
      </c>
      <c r="H4284" t="str">
        <f>_xlfn.CONCAT("https://tablet.otzar.org/",CHAR(35),"/book/652094/p/-1/t/1/fs/0/start/0/end/0/c")</f>
        <v>https://tablet.otzar.org/#/book/652094/p/-1/t/1/fs/0/start/0/end/0/c</v>
      </c>
    </row>
    <row r="4285" spans="1:8" x14ac:dyDescent="0.25">
      <c r="A4285">
        <v>650547</v>
      </c>
      <c r="B4285" t="s">
        <v>8182</v>
      </c>
      <c r="C4285" t="s">
        <v>8183</v>
      </c>
      <c r="D4285" t="s">
        <v>10</v>
      </c>
      <c r="E4285" t="s">
        <v>11</v>
      </c>
      <c r="G4285" t="str">
        <f>HYPERLINK(_xlfn.CONCAT("https://tablet.otzar.org/",CHAR(35),"/book/650547/p/-1/t/1/fs/0/start/0/end/0/c"),"תורת האגרת - כתיבת מגילת אסתר")</f>
        <v>תורת האגרת - כתיבת מגילת אסתר</v>
      </c>
      <c r="H4285" t="str">
        <f>_xlfn.CONCAT("https://tablet.otzar.org/",CHAR(35),"/book/650547/p/-1/t/1/fs/0/start/0/end/0/c")</f>
        <v>https://tablet.otzar.org/#/book/650547/p/-1/t/1/fs/0/start/0/end/0/c</v>
      </c>
    </row>
    <row r="4286" spans="1:8" x14ac:dyDescent="0.25">
      <c r="A4286">
        <v>653531</v>
      </c>
      <c r="B4286" t="s">
        <v>8184</v>
      </c>
      <c r="C4286" t="s">
        <v>8185</v>
      </c>
      <c r="D4286" t="s">
        <v>10</v>
      </c>
      <c r="E4286" t="s">
        <v>11</v>
      </c>
      <c r="G4286" t="str">
        <f>HYPERLINK(_xlfn.CONCAT("https://tablet.otzar.org/",CHAR(35),"/book/653531/p/-1/t/1/fs/0/start/0/end/0/c"),"תורת הארץ")</f>
        <v>תורת הארץ</v>
      </c>
      <c r="H4286" t="str">
        <f>_xlfn.CONCAT("https://tablet.otzar.org/",CHAR(35),"/book/653531/p/-1/t/1/fs/0/start/0/end/0/c")</f>
        <v>https://tablet.otzar.org/#/book/653531/p/-1/t/1/fs/0/start/0/end/0/c</v>
      </c>
    </row>
    <row r="4287" spans="1:8" x14ac:dyDescent="0.25">
      <c r="A4287">
        <v>655834</v>
      </c>
      <c r="B4287" t="s">
        <v>8186</v>
      </c>
      <c r="C4287" t="s">
        <v>8187</v>
      </c>
      <c r="D4287" t="s">
        <v>10</v>
      </c>
      <c r="E4287" t="s">
        <v>35</v>
      </c>
      <c r="G4287" t="str">
        <f>HYPERLINK(_xlfn.CONCAT("https://tablet.otzar.org/",CHAR(35),"/exKotar/655834"),"תורת הבית &lt;מראה הבית - עמודי הבית&gt; - 4 כרכים")</f>
        <v>תורת הבית &lt;מראה הבית - עמודי הבית&gt; - 4 כרכים</v>
      </c>
      <c r="H4287" t="str">
        <f>_xlfn.CONCAT("https://tablet.otzar.org/",CHAR(35),"/exKotar/655834")</f>
        <v>https://tablet.otzar.org/#/exKotar/655834</v>
      </c>
    </row>
    <row r="4288" spans="1:8" x14ac:dyDescent="0.25">
      <c r="A4288">
        <v>653540</v>
      </c>
      <c r="B4288" t="s">
        <v>8188</v>
      </c>
      <c r="C4288" t="s">
        <v>8189</v>
      </c>
      <c r="D4288" t="s">
        <v>10</v>
      </c>
      <c r="E4288" t="s">
        <v>89</v>
      </c>
      <c r="G4288" t="str">
        <f>HYPERLINK(_xlfn.CONCAT("https://tablet.otzar.org/",CHAR(35),"/book/653540/p/-1/t/1/fs/0/start/0/end/0/c"),"תורת הברכה")</f>
        <v>תורת הברכה</v>
      </c>
      <c r="H4288" t="str">
        <f>_xlfn.CONCAT("https://tablet.otzar.org/",CHAR(35),"/book/653540/p/-1/t/1/fs/0/start/0/end/0/c")</f>
        <v>https://tablet.otzar.org/#/book/653540/p/-1/t/1/fs/0/start/0/end/0/c</v>
      </c>
    </row>
    <row r="4289" spans="1:8" x14ac:dyDescent="0.25">
      <c r="A4289">
        <v>654454</v>
      </c>
      <c r="B4289" t="s">
        <v>8190</v>
      </c>
      <c r="C4289" t="s">
        <v>2253</v>
      </c>
      <c r="D4289" t="s">
        <v>52</v>
      </c>
      <c r="E4289" t="s">
        <v>11</v>
      </c>
      <c r="G4289" t="str">
        <f>HYPERLINK(_xlfn.CONCAT("https://tablet.otzar.org/",CHAR(35),"/book/654454/p/-1/t/1/fs/0/start/0/end/0/c"),"תורת הגלגולים")</f>
        <v>תורת הגלגולים</v>
      </c>
      <c r="H4289" t="str">
        <f>_xlfn.CONCAT("https://tablet.otzar.org/",CHAR(35),"/book/654454/p/-1/t/1/fs/0/start/0/end/0/c")</f>
        <v>https://tablet.otzar.org/#/book/654454/p/-1/t/1/fs/0/start/0/end/0/c</v>
      </c>
    </row>
    <row r="4290" spans="1:8" x14ac:dyDescent="0.25">
      <c r="A4290">
        <v>647737</v>
      </c>
      <c r="B4290" t="s">
        <v>8191</v>
      </c>
      <c r="C4290" t="s">
        <v>8192</v>
      </c>
      <c r="D4290" t="s">
        <v>52</v>
      </c>
      <c r="E4290" t="s">
        <v>337</v>
      </c>
      <c r="G4290" t="str">
        <f>HYPERLINK(_xlfn.CONCAT("https://tablet.otzar.org/",CHAR(35),"/exKotar/647737"),"תורת החסידים הראשונים - 2 כרכים")</f>
        <v>תורת החסידים הראשונים - 2 כרכים</v>
      </c>
      <c r="H4290" t="str">
        <f>_xlfn.CONCAT("https://tablet.otzar.org/",CHAR(35),"/exKotar/647737")</f>
        <v>https://tablet.otzar.org/#/exKotar/647737</v>
      </c>
    </row>
    <row r="4291" spans="1:8" x14ac:dyDescent="0.25">
      <c r="A4291">
        <v>651028</v>
      </c>
      <c r="B4291" t="s">
        <v>8193</v>
      </c>
      <c r="C4291" t="s">
        <v>8194</v>
      </c>
      <c r="D4291" t="s">
        <v>10</v>
      </c>
      <c r="E4291" t="s">
        <v>35</v>
      </c>
      <c r="G4291" t="str">
        <f>HYPERLINK(_xlfn.CONCAT("https://tablet.otzar.org/",CHAR(35),"/book/651028/p/-1/t/1/fs/0/start/0/end/0/c"),"תורת הישיבה")</f>
        <v>תורת הישיבה</v>
      </c>
      <c r="H4291" t="str">
        <f>_xlfn.CONCAT("https://tablet.otzar.org/",CHAR(35),"/book/651028/p/-1/t/1/fs/0/start/0/end/0/c")</f>
        <v>https://tablet.otzar.org/#/book/651028/p/-1/t/1/fs/0/start/0/end/0/c</v>
      </c>
    </row>
    <row r="4292" spans="1:8" x14ac:dyDescent="0.25">
      <c r="A4292">
        <v>649200</v>
      </c>
      <c r="B4292" t="s">
        <v>8195</v>
      </c>
      <c r="C4292" t="s">
        <v>346</v>
      </c>
      <c r="D4292" t="s">
        <v>347</v>
      </c>
      <c r="E4292" t="s">
        <v>84</v>
      </c>
      <c r="G4292" t="str">
        <f>HYPERLINK(_xlfn.CONCAT("https://tablet.otzar.org/",CHAR(35),"/book/649200/p/-1/t/1/fs/0/start/0/end/0/c"),"תורת הכבוד")</f>
        <v>תורת הכבוד</v>
      </c>
      <c r="H4292" t="str">
        <f>_xlfn.CONCAT("https://tablet.otzar.org/",CHAR(35),"/book/649200/p/-1/t/1/fs/0/start/0/end/0/c")</f>
        <v>https://tablet.otzar.org/#/book/649200/p/-1/t/1/fs/0/start/0/end/0/c</v>
      </c>
    </row>
    <row r="4293" spans="1:8" x14ac:dyDescent="0.25">
      <c r="A4293">
        <v>647266</v>
      </c>
      <c r="B4293" t="s">
        <v>8196</v>
      </c>
      <c r="C4293" t="s">
        <v>1670</v>
      </c>
      <c r="D4293" t="s">
        <v>10</v>
      </c>
      <c r="E4293" t="s">
        <v>495</v>
      </c>
      <c r="G4293" t="str">
        <f>HYPERLINK(_xlfn.CONCAT("https://tablet.otzar.org/",CHAR(35),"/book/647266/p/-1/t/1/fs/0/start/0/end/0/c"),"תורת הלוי - כתובות")</f>
        <v>תורת הלוי - כתובות</v>
      </c>
      <c r="H4293" t="str">
        <f>_xlfn.CONCAT("https://tablet.otzar.org/",CHAR(35),"/book/647266/p/-1/t/1/fs/0/start/0/end/0/c")</f>
        <v>https://tablet.otzar.org/#/book/647266/p/-1/t/1/fs/0/start/0/end/0/c</v>
      </c>
    </row>
    <row r="4294" spans="1:8" x14ac:dyDescent="0.25">
      <c r="A4294">
        <v>656128</v>
      </c>
      <c r="B4294" t="s">
        <v>8197</v>
      </c>
      <c r="C4294" t="s">
        <v>614</v>
      </c>
      <c r="D4294" t="s">
        <v>10</v>
      </c>
      <c r="E4294" t="s">
        <v>399</v>
      </c>
      <c r="G4294" t="str">
        <f>HYPERLINK(_xlfn.CONCAT("https://tablet.otzar.org/",CHAR(35),"/book/656128/p/-1/t/1/fs/0/start/0/end/0/c"),"תורת המלאכות")</f>
        <v>תורת המלאכות</v>
      </c>
      <c r="H4294" t="str">
        <f>_xlfn.CONCAT("https://tablet.otzar.org/",CHAR(35),"/book/656128/p/-1/t/1/fs/0/start/0/end/0/c")</f>
        <v>https://tablet.otzar.org/#/book/656128/p/-1/t/1/fs/0/start/0/end/0/c</v>
      </c>
    </row>
    <row r="4295" spans="1:8" x14ac:dyDescent="0.25">
      <c r="A4295">
        <v>655471</v>
      </c>
      <c r="B4295" t="s">
        <v>8198</v>
      </c>
      <c r="C4295" t="s">
        <v>8199</v>
      </c>
      <c r="D4295" t="s">
        <v>8200</v>
      </c>
      <c r="E4295" t="s">
        <v>1336</v>
      </c>
      <c r="G4295" t="str">
        <f>HYPERLINK(_xlfn.CONCAT("https://tablet.otzar.org/",CHAR(35),"/exKotar/655471"),"תורת המלך - 2 כרכים")</f>
        <v>תורת המלך - 2 כרכים</v>
      </c>
      <c r="H4295" t="str">
        <f>_xlfn.CONCAT("https://tablet.otzar.org/",CHAR(35),"/exKotar/655471")</f>
        <v>https://tablet.otzar.org/#/exKotar/655471</v>
      </c>
    </row>
    <row r="4296" spans="1:8" x14ac:dyDescent="0.25">
      <c r="A4296">
        <v>654840</v>
      </c>
      <c r="B4296" t="s">
        <v>8201</v>
      </c>
      <c r="C4296" t="s">
        <v>8202</v>
      </c>
      <c r="D4296" t="s">
        <v>10</v>
      </c>
      <c r="E4296" t="s">
        <v>11</v>
      </c>
      <c r="G4296" t="str">
        <f>HYPERLINK(_xlfn.CONCAT("https://tablet.otzar.org/",CHAR(35),"/book/654840/p/-1/t/1/fs/0/start/0/end/0/c"),"תורת המשבי""""ר")</f>
        <v>תורת המשבי""ר</v>
      </c>
      <c r="H4296" t="str">
        <f>_xlfn.CONCAT("https://tablet.otzar.org/",CHAR(35),"/book/654840/p/-1/t/1/fs/0/start/0/end/0/c")</f>
        <v>https://tablet.otzar.org/#/book/654840/p/-1/t/1/fs/0/start/0/end/0/c</v>
      </c>
    </row>
    <row r="4297" spans="1:8" x14ac:dyDescent="0.25">
      <c r="A4297">
        <v>652665</v>
      </c>
      <c r="B4297" t="s">
        <v>8203</v>
      </c>
      <c r="C4297" t="s">
        <v>2971</v>
      </c>
      <c r="D4297" t="s">
        <v>424</v>
      </c>
      <c r="E4297">
        <v>1981</v>
      </c>
      <c r="G4297" t="str">
        <f>HYPERLINK(_xlfn.CONCAT("https://tablet.otzar.org/",CHAR(35),"/book/652665/p/-1/t/1/fs/0/start/0/end/0/c"),"תורת הנאום והדרשה")</f>
        <v>תורת הנאום והדרשה</v>
      </c>
      <c r="H4297" t="str">
        <f>_xlfn.CONCAT("https://tablet.otzar.org/",CHAR(35),"/book/652665/p/-1/t/1/fs/0/start/0/end/0/c")</f>
        <v>https://tablet.otzar.org/#/book/652665/p/-1/t/1/fs/0/start/0/end/0/c</v>
      </c>
    </row>
    <row r="4298" spans="1:8" x14ac:dyDescent="0.25">
      <c r="A4298">
        <v>654457</v>
      </c>
      <c r="B4298" t="s">
        <v>8204</v>
      </c>
      <c r="C4298" t="s">
        <v>2253</v>
      </c>
      <c r="D4298" t="s">
        <v>52</v>
      </c>
      <c r="E4298" t="s">
        <v>11</v>
      </c>
      <c r="G4298" t="str">
        <f>HYPERLINK(_xlfn.CONCAT("https://tablet.otzar.org/",CHAR(35),"/book/654457/p/-1/t/1/fs/0/start/0/end/0/c"),"תורת הנשמות")</f>
        <v>תורת הנשמות</v>
      </c>
      <c r="H4298" t="str">
        <f>_xlfn.CONCAT("https://tablet.otzar.org/",CHAR(35),"/book/654457/p/-1/t/1/fs/0/start/0/end/0/c")</f>
        <v>https://tablet.otzar.org/#/book/654457/p/-1/t/1/fs/0/start/0/end/0/c</v>
      </c>
    </row>
    <row r="4299" spans="1:8" x14ac:dyDescent="0.25">
      <c r="A4299">
        <v>654458</v>
      </c>
      <c r="B4299" t="s">
        <v>8205</v>
      </c>
      <c r="C4299" t="s">
        <v>2253</v>
      </c>
      <c r="D4299" t="s">
        <v>52</v>
      </c>
      <c r="E4299" t="s">
        <v>11</v>
      </c>
      <c r="G4299" t="str">
        <f>HYPERLINK(_xlfn.CONCAT("https://tablet.otzar.org/",CHAR(35),"/book/654458/p/-1/t/1/fs/0/start/0/end/0/c"),"תורת הספירות")</f>
        <v>תורת הספירות</v>
      </c>
      <c r="H4299" t="str">
        <f>_xlfn.CONCAT("https://tablet.otzar.org/",CHAR(35),"/book/654458/p/-1/t/1/fs/0/start/0/end/0/c")</f>
        <v>https://tablet.otzar.org/#/book/654458/p/-1/t/1/fs/0/start/0/end/0/c</v>
      </c>
    </row>
    <row r="4300" spans="1:8" x14ac:dyDescent="0.25">
      <c r="A4300">
        <v>655003</v>
      </c>
      <c r="B4300" t="s">
        <v>8206</v>
      </c>
      <c r="C4300" t="s">
        <v>409</v>
      </c>
      <c r="D4300" t="s">
        <v>52</v>
      </c>
      <c r="E4300" t="s">
        <v>35</v>
      </c>
      <c r="G4300" t="str">
        <f>HYPERLINK(_xlfn.CONCAT("https://tablet.otzar.org/",CHAR(35),"/book/655003/p/-1/t/1/fs/0/start/0/end/0/c"),"תורת העבודה - מכתבים והדרכות")</f>
        <v>תורת העבודה - מכתבים והדרכות</v>
      </c>
      <c r="H4300" t="str">
        <f>_xlfn.CONCAT("https://tablet.otzar.org/",CHAR(35),"/book/655003/p/-1/t/1/fs/0/start/0/end/0/c")</f>
        <v>https://tablet.otzar.org/#/book/655003/p/-1/t/1/fs/0/start/0/end/0/c</v>
      </c>
    </row>
    <row r="4301" spans="1:8" x14ac:dyDescent="0.25">
      <c r="A4301">
        <v>655000</v>
      </c>
      <c r="B4301" t="s">
        <v>8207</v>
      </c>
      <c r="C4301" t="s">
        <v>409</v>
      </c>
      <c r="D4301" t="s">
        <v>52</v>
      </c>
      <c r="E4301" t="s">
        <v>45</v>
      </c>
      <c r="G4301" t="str">
        <f>HYPERLINK(_xlfn.CONCAT("https://tablet.otzar.org/",CHAR(35),"/exKotar/655000"),"תורת העבודה והתשובה - 4 כרכים")</f>
        <v>תורת העבודה והתשובה - 4 כרכים</v>
      </c>
      <c r="H4301" t="str">
        <f>_xlfn.CONCAT("https://tablet.otzar.org/",CHAR(35),"/exKotar/655000")</f>
        <v>https://tablet.otzar.org/#/exKotar/655000</v>
      </c>
    </row>
    <row r="4302" spans="1:8" x14ac:dyDescent="0.25">
      <c r="A4302">
        <v>648973</v>
      </c>
      <c r="B4302" t="s">
        <v>8208</v>
      </c>
      <c r="C4302" t="s">
        <v>1116</v>
      </c>
      <c r="D4302" t="s">
        <v>10</v>
      </c>
      <c r="E4302" t="s">
        <v>763</v>
      </c>
      <c r="G4302" t="str">
        <f>HYPERLINK(_xlfn.CONCAT("https://tablet.otzar.org/",CHAR(35),"/book/648973/p/-1/t/1/fs/0/start/0/end/0/c"),"תורת העמק - יד")</f>
        <v>תורת העמק - יד</v>
      </c>
      <c r="H4302" t="str">
        <f>_xlfn.CONCAT("https://tablet.otzar.org/",CHAR(35),"/book/648973/p/-1/t/1/fs/0/start/0/end/0/c")</f>
        <v>https://tablet.otzar.org/#/book/648973/p/-1/t/1/fs/0/start/0/end/0/c</v>
      </c>
    </row>
    <row r="4303" spans="1:8" x14ac:dyDescent="0.25">
      <c r="A4303">
        <v>654449</v>
      </c>
      <c r="B4303" t="s">
        <v>8209</v>
      </c>
      <c r="C4303" t="s">
        <v>2253</v>
      </c>
      <c r="D4303" t="s">
        <v>52</v>
      </c>
      <c r="E4303" t="s">
        <v>11</v>
      </c>
      <c r="G4303" t="str">
        <f>HYPERLINK(_xlfn.CONCAT("https://tablet.otzar.org/",CHAR(35),"/book/654449/p/-1/t/1/fs/0/start/0/end/0/c"),"תורת הצדקה - הלכות צדקה ומעשר כספים")</f>
        <v>תורת הצדקה - הלכות צדקה ומעשר כספים</v>
      </c>
      <c r="H4303" t="str">
        <f>_xlfn.CONCAT("https://tablet.otzar.org/",CHAR(35),"/book/654449/p/-1/t/1/fs/0/start/0/end/0/c")</f>
        <v>https://tablet.otzar.org/#/book/654449/p/-1/t/1/fs/0/start/0/end/0/c</v>
      </c>
    </row>
    <row r="4304" spans="1:8" x14ac:dyDescent="0.25">
      <c r="A4304">
        <v>654682</v>
      </c>
      <c r="B4304" t="s">
        <v>8210</v>
      </c>
      <c r="C4304" t="s">
        <v>3717</v>
      </c>
      <c r="D4304" t="s">
        <v>10</v>
      </c>
      <c r="E4304" t="s">
        <v>2536</v>
      </c>
      <c r="G4304" t="str">
        <f>HYPERLINK(_xlfn.CONCAT("https://tablet.otzar.org/",CHAR(35),"/book/654682/p/-1/t/1/fs/0/start/0/end/0/c"),"תורת הקנה")</f>
        <v>תורת הקנה</v>
      </c>
      <c r="H4304" t="str">
        <f>_xlfn.CONCAT("https://tablet.otzar.org/",CHAR(35),"/book/654682/p/-1/t/1/fs/0/start/0/end/0/c")</f>
        <v>https://tablet.otzar.org/#/book/654682/p/-1/t/1/fs/0/start/0/end/0/c</v>
      </c>
    </row>
    <row r="4305" spans="1:8" x14ac:dyDescent="0.25">
      <c r="A4305">
        <v>653260</v>
      </c>
      <c r="B4305" t="s">
        <v>8211</v>
      </c>
      <c r="C4305" t="s">
        <v>7314</v>
      </c>
      <c r="E4305" t="s">
        <v>117</v>
      </c>
      <c r="G4305" t="str">
        <f>HYPERLINK(_xlfn.CONCAT("https://tablet.otzar.org/",CHAR(35),"/book/653260/p/-1/t/1/fs/0/start/0/end/0/c"),"תורת השבת")</f>
        <v>תורת השבת</v>
      </c>
      <c r="H4305" t="str">
        <f>_xlfn.CONCAT("https://tablet.otzar.org/",CHAR(35),"/book/653260/p/-1/t/1/fs/0/start/0/end/0/c")</f>
        <v>https://tablet.otzar.org/#/book/653260/p/-1/t/1/fs/0/start/0/end/0/c</v>
      </c>
    </row>
    <row r="4306" spans="1:8" x14ac:dyDescent="0.25">
      <c r="A4306">
        <v>653541</v>
      </c>
      <c r="B4306" t="s">
        <v>8212</v>
      </c>
      <c r="C4306" t="s">
        <v>8189</v>
      </c>
      <c r="D4306" t="s">
        <v>10</v>
      </c>
      <c r="E4306" t="s">
        <v>89</v>
      </c>
      <c r="G4306" t="str">
        <f>HYPERLINK(_xlfn.CONCAT("https://tablet.otzar.org/",CHAR(35),"/book/653541/p/-1/t/1/fs/0/start/0/end/0/c"),"תורת השלחן")</f>
        <v>תורת השלחן</v>
      </c>
      <c r="H4306" t="str">
        <f>_xlfn.CONCAT("https://tablet.otzar.org/",CHAR(35),"/book/653541/p/-1/t/1/fs/0/start/0/end/0/c")</f>
        <v>https://tablet.otzar.org/#/book/653541/p/-1/t/1/fs/0/start/0/end/0/c</v>
      </c>
    </row>
    <row r="4307" spans="1:8" x14ac:dyDescent="0.25">
      <c r="A4307">
        <v>654450</v>
      </c>
      <c r="B4307" t="s">
        <v>8213</v>
      </c>
      <c r="C4307" t="s">
        <v>2253</v>
      </c>
      <c r="D4307" t="s">
        <v>52</v>
      </c>
      <c r="E4307" t="s">
        <v>11</v>
      </c>
      <c r="G4307" t="str">
        <f>HYPERLINK(_xlfn.CONCAT("https://tablet.otzar.org/",CHAR(35),"/book/654450/p/-1/t/1/fs/0/start/0/end/0/c"),"תורת השמחות - ברית מילה, פדיון הבן, תספורת, בר מצוה, נישואין, חנוכת הבית")</f>
        <v>תורת השמחות - ברית מילה, פדיון הבן, תספורת, בר מצוה, נישואין, חנוכת הבית</v>
      </c>
      <c r="H4307" t="str">
        <f>_xlfn.CONCAT("https://tablet.otzar.org/",CHAR(35),"/book/654450/p/-1/t/1/fs/0/start/0/end/0/c")</f>
        <v>https://tablet.otzar.org/#/book/654450/p/-1/t/1/fs/0/start/0/end/0/c</v>
      </c>
    </row>
    <row r="4308" spans="1:8" x14ac:dyDescent="0.25">
      <c r="A4308">
        <v>654452</v>
      </c>
      <c r="B4308" t="s">
        <v>8214</v>
      </c>
      <c r="C4308" t="s">
        <v>2253</v>
      </c>
      <c r="D4308" t="s">
        <v>52</v>
      </c>
      <c r="E4308" t="s">
        <v>11</v>
      </c>
      <c r="G4308" t="str">
        <f>HYPERLINK(_xlfn.CONCAT("https://tablet.otzar.org/",CHAR(35),"/book/654452/p/-1/t/1/fs/0/start/0/end/0/c"),"תורת התפלה")</f>
        <v>תורת התפלה</v>
      </c>
      <c r="H4308" t="str">
        <f>_xlfn.CONCAT("https://tablet.otzar.org/",CHAR(35),"/book/654452/p/-1/t/1/fs/0/start/0/end/0/c")</f>
        <v>https://tablet.otzar.org/#/book/654452/p/-1/t/1/fs/0/start/0/end/0/c</v>
      </c>
    </row>
    <row r="4309" spans="1:8" x14ac:dyDescent="0.25">
      <c r="A4309">
        <v>649071</v>
      </c>
      <c r="B4309" t="s">
        <v>8215</v>
      </c>
      <c r="C4309" t="s">
        <v>614</v>
      </c>
      <c r="D4309" t="s">
        <v>34</v>
      </c>
      <c r="E4309" t="s">
        <v>70</v>
      </c>
      <c r="G4309" t="str">
        <f>HYPERLINK(_xlfn.CONCAT("https://tablet.otzar.org/",CHAR(35),"/exKotar/649071"),"תורת זאב - 9 כרכים")</f>
        <v>תורת זאב - 9 כרכים</v>
      </c>
      <c r="H4309" t="str">
        <f>_xlfn.CONCAT("https://tablet.otzar.org/",CHAR(35),"/exKotar/649071")</f>
        <v>https://tablet.otzar.org/#/exKotar/649071</v>
      </c>
    </row>
    <row r="4310" spans="1:8" x14ac:dyDescent="0.25">
      <c r="A4310">
        <v>643230</v>
      </c>
      <c r="B4310" t="s">
        <v>8216</v>
      </c>
      <c r="C4310" t="s">
        <v>8217</v>
      </c>
      <c r="D4310" t="s">
        <v>52</v>
      </c>
      <c r="E4310" t="s">
        <v>352</v>
      </c>
      <c r="G4310" t="str">
        <f>HYPERLINK(_xlfn.CONCAT("https://tablet.otzar.org/",CHAR(35),"/book/643230/p/-1/t/1/fs/0/start/0/end/0/c"),"תורת חיים")</f>
        <v>תורת חיים</v>
      </c>
      <c r="H4310" t="str">
        <f>_xlfn.CONCAT("https://tablet.otzar.org/",CHAR(35),"/book/643230/p/-1/t/1/fs/0/start/0/end/0/c")</f>
        <v>https://tablet.otzar.org/#/book/643230/p/-1/t/1/fs/0/start/0/end/0/c</v>
      </c>
    </row>
    <row r="4311" spans="1:8" x14ac:dyDescent="0.25">
      <c r="A4311">
        <v>656867</v>
      </c>
      <c r="B4311" t="s">
        <v>8218</v>
      </c>
      <c r="C4311" t="s">
        <v>8219</v>
      </c>
      <c r="D4311" t="s">
        <v>10</v>
      </c>
      <c r="E4311" t="s">
        <v>35</v>
      </c>
      <c r="G4311" t="str">
        <f>HYPERLINK(_xlfn.CONCAT("https://tablet.otzar.org/",CHAR(35),"/book/656867/p/-1/t/1/fs/0/start/0/end/0/c"),"תורת חסד &lt;מכון ירושלים&gt; - ג")</f>
        <v>תורת חסד &lt;מכון ירושלים&gt; - ג</v>
      </c>
      <c r="H4311" t="str">
        <f>_xlfn.CONCAT("https://tablet.otzar.org/",CHAR(35),"/book/656867/p/-1/t/1/fs/0/start/0/end/0/c")</f>
        <v>https://tablet.otzar.org/#/book/656867/p/-1/t/1/fs/0/start/0/end/0/c</v>
      </c>
    </row>
    <row r="4312" spans="1:8" x14ac:dyDescent="0.25">
      <c r="A4312">
        <v>648915</v>
      </c>
      <c r="B4312" t="s">
        <v>8220</v>
      </c>
      <c r="C4312" t="s">
        <v>8221</v>
      </c>
      <c r="D4312" t="s">
        <v>10</v>
      </c>
      <c r="E4312" t="s">
        <v>11</v>
      </c>
      <c r="G4312" t="str">
        <f>HYPERLINK(_xlfn.CONCAT("https://tablet.otzar.org/",CHAR(35),"/book/648915/p/-1/t/1/fs/0/start/0/end/0/c"),"תורת יהונתן")</f>
        <v>תורת יהונתן</v>
      </c>
      <c r="H4312" t="str">
        <f>_xlfn.CONCAT("https://tablet.otzar.org/",CHAR(35),"/book/648915/p/-1/t/1/fs/0/start/0/end/0/c")</f>
        <v>https://tablet.otzar.org/#/book/648915/p/-1/t/1/fs/0/start/0/end/0/c</v>
      </c>
    </row>
    <row r="4313" spans="1:8" x14ac:dyDescent="0.25">
      <c r="A4313">
        <v>654766</v>
      </c>
      <c r="B4313" t="s">
        <v>8222</v>
      </c>
      <c r="C4313" t="s">
        <v>8223</v>
      </c>
      <c r="D4313" t="s">
        <v>328</v>
      </c>
      <c r="E4313" t="s">
        <v>35</v>
      </c>
      <c r="G4313" t="str">
        <f>HYPERLINK(_xlfn.CONCAT("https://tablet.otzar.org/",CHAR(35),"/book/654766/p/-1/t/1/fs/0/start/0/end/0/c"),"תורת יוסף")</f>
        <v>תורת יוסף</v>
      </c>
      <c r="H4313" t="str">
        <f>_xlfn.CONCAT("https://tablet.otzar.org/",CHAR(35),"/book/654766/p/-1/t/1/fs/0/start/0/end/0/c")</f>
        <v>https://tablet.otzar.org/#/book/654766/p/-1/t/1/fs/0/start/0/end/0/c</v>
      </c>
    </row>
    <row r="4314" spans="1:8" x14ac:dyDescent="0.25">
      <c r="A4314">
        <v>648004</v>
      </c>
      <c r="B4314" t="s">
        <v>8224</v>
      </c>
      <c r="C4314" t="s">
        <v>8225</v>
      </c>
      <c r="D4314" t="s">
        <v>8226</v>
      </c>
      <c r="E4314" t="s">
        <v>1483</v>
      </c>
      <c r="G4314" t="str">
        <f>HYPERLINK(_xlfn.CONCAT("https://tablet.otzar.org/",CHAR(35),"/book/648004/p/-1/t/1/fs/0/start/0/end/0/c"),"תורת יעקב - א")</f>
        <v>תורת יעקב - א</v>
      </c>
      <c r="H4314" t="str">
        <f>_xlfn.CONCAT("https://tablet.otzar.org/",CHAR(35),"/book/648004/p/-1/t/1/fs/0/start/0/end/0/c")</f>
        <v>https://tablet.otzar.org/#/book/648004/p/-1/t/1/fs/0/start/0/end/0/c</v>
      </c>
    </row>
    <row r="4315" spans="1:8" x14ac:dyDescent="0.25">
      <c r="A4315">
        <v>657675</v>
      </c>
      <c r="B4315" t="s">
        <v>8227</v>
      </c>
      <c r="C4315" t="s">
        <v>8228</v>
      </c>
      <c r="D4315" t="s">
        <v>10</v>
      </c>
      <c r="E4315" t="s">
        <v>35</v>
      </c>
      <c r="G4315" t="str">
        <f>HYPERLINK(_xlfn.CONCAT("https://tablet.otzar.org/",CHAR(35),"/book/657675/p/-1/t/1/fs/0/start/0/end/0/c"),"תורת כהנים &lt;מהדורת אופק&gt; - ז")</f>
        <v>תורת כהנים &lt;מהדורת אופק&gt; - ז</v>
      </c>
      <c r="H4315" t="str">
        <f>_xlfn.CONCAT("https://tablet.otzar.org/",CHAR(35),"/book/657675/p/-1/t/1/fs/0/start/0/end/0/c")</f>
        <v>https://tablet.otzar.org/#/book/657675/p/-1/t/1/fs/0/start/0/end/0/c</v>
      </c>
    </row>
    <row r="4316" spans="1:8" x14ac:dyDescent="0.25">
      <c r="A4316">
        <v>651340</v>
      </c>
      <c r="B4316" t="s">
        <v>8229</v>
      </c>
      <c r="C4316" t="s">
        <v>8230</v>
      </c>
      <c r="D4316" t="s">
        <v>52</v>
      </c>
      <c r="E4316" t="s">
        <v>11</v>
      </c>
      <c r="G4316" t="str">
        <f>HYPERLINK(_xlfn.CONCAT("https://tablet.otzar.org/",CHAR(35),"/book/651340/p/-1/t/1/fs/0/start/0/end/0/c"),"תורת כתובות")</f>
        <v>תורת כתובות</v>
      </c>
      <c r="H4316" t="str">
        <f>_xlfn.CONCAT("https://tablet.otzar.org/",CHAR(35),"/book/651340/p/-1/t/1/fs/0/start/0/end/0/c")</f>
        <v>https://tablet.otzar.org/#/book/651340/p/-1/t/1/fs/0/start/0/end/0/c</v>
      </c>
    </row>
    <row r="4317" spans="1:8" x14ac:dyDescent="0.25">
      <c r="A4317">
        <v>655453</v>
      </c>
      <c r="B4317" t="s">
        <v>8231</v>
      </c>
      <c r="C4317" t="s">
        <v>8232</v>
      </c>
      <c r="D4317" t="s">
        <v>10</v>
      </c>
      <c r="E4317" t="s">
        <v>320</v>
      </c>
      <c r="G4317" t="str">
        <f>HYPERLINK(_xlfn.CONCAT("https://tablet.otzar.org/",CHAR(35),"/book/655453/p/-1/t/1/fs/0/start/0/end/0/c"),"תורת מהרי""""ם - ה דברים")</f>
        <v>תורת מהרי""ם - ה דברים</v>
      </c>
      <c r="H4317" t="str">
        <f>_xlfn.CONCAT("https://tablet.otzar.org/",CHAR(35),"/book/655453/p/-1/t/1/fs/0/start/0/end/0/c")</f>
        <v>https://tablet.otzar.org/#/book/655453/p/-1/t/1/fs/0/start/0/end/0/c</v>
      </c>
    </row>
    <row r="4318" spans="1:8" x14ac:dyDescent="0.25">
      <c r="A4318">
        <v>652356</v>
      </c>
      <c r="B4318" t="s">
        <v>8233</v>
      </c>
      <c r="C4318" t="s">
        <v>151</v>
      </c>
      <c r="E4318" t="s">
        <v>117</v>
      </c>
      <c r="G4318" t="str">
        <f>HYPERLINK(_xlfn.CONCAT("https://tablet.otzar.org/",CHAR(35),"/exKotar/652356"),"תורת מנחם - 12 כרכים")</f>
        <v>תורת מנחם - 12 כרכים</v>
      </c>
      <c r="H4318" t="str">
        <f>_xlfn.CONCAT("https://tablet.otzar.org/",CHAR(35),"/exKotar/652356")</f>
        <v>https://tablet.otzar.org/#/exKotar/652356</v>
      </c>
    </row>
    <row r="4319" spans="1:8" x14ac:dyDescent="0.25">
      <c r="A4319">
        <v>651998</v>
      </c>
      <c r="B4319" t="s">
        <v>8234</v>
      </c>
      <c r="C4319" t="s">
        <v>8235</v>
      </c>
      <c r="D4319" t="s">
        <v>10</v>
      </c>
      <c r="E4319" t="s">
        <v>213</v>
      </c>
      <c r="G4319" t="str">
        <f>HYPERLINK(_xlfn.CONCAT("https://tablet.otzar.org/",CHAR(35),"/exKotar/651998"),"תורת מראכש - 2 כרכים")</f>
        <v>תורת מראכש - 2 כרכים</v>
      </c>
      <c r="H4319" t="str">
        <f>_xlfn.CONCAT("https://tablet.otzar.org/",CHAR(35),"/exKotar/651998")</f>
        <v>https://tablet.otzar.org/#/exKotar/651998</v>
      </c>
    </row>
    <row r="4320" spans="1:8" x14ac:dyDescent="0.25">
      <c r="A4320">
        <v>652821</v>
      </c>
      <c r="B4320" t="s">
        <v>8236</v>
      </c>
      <c r="C4320" t="s">
        <v>8165</v>
      </c>
      <c r="D4320" t="s">
        <v>2293</v>
      </c>
      <c r="E4320" t="s">
        <v>1715</v>
      </c>
      <c r="G4320" t="str">
        <f>HYPERLINK(_xlfn.CONCAT("https://tablet.otzar.org/",CHAR(35),"/book/652821/p/-1/t/1/fs/0/start/0/end/0/c"),"תורת משה")</f>
        <v>תורת משה</v>
      </c>
      <c r="H4320" t="str">
        <f>_xlfn.CONCAT("https://tablet.otzar.org/",CHAR(35),"/book/652821/p/-1/t/1/fs/0/start/0/end/0/c")</f>
        <v>https://tablet.otzar.org/#/book/652821/p/-1/t/1/fs/0/start/0/end/0/c</v>
      </c>
    </row>
    <row r="4321" spans="1:8" x14ac:dyDescent="0.25">
      <c r="A4321">
        <v>654355</v>
      </c>
      <c r="B4321" t="s">
        <v>8236</v>
      </c>
      <c r="C4321" t="s">
        <v>8237</v>
      </c>
      <c r="D4321" t="s">
        <v>88</v>
      </c>
      <c r="E4321" t="s">
        <v>11</v>
      </c>
      <c r="G4321" t="str">
        <f>HYPERLINK(_xlfn.CONCAT("https://tablet.otzar.org/",CHAR(35),"/book/654355/p/-1/t/1/fs/0/start/0/end/0/c"),"תורת משה")</f>
        <v>תורת משה</v>
      </c>
      <c r="H4321" t="str">
        <f>_xlfn.CONCAT("https://tablet.otzar.org/",CHAR(35),"/book/654355/p/-1/t/1/fs/0/start/0/end/0/c")</f>
        <v>https://tablet.otzar.org/#/book/654355/p/-1/t/1/fs/0/start/0/end/0/c</v>
      </c>
    </row>
    <row r="4322" spans="1:8" x14ac:dyDescent="0.25">
      <c r="A4322">
        <v>651341</v>
      </c>
      <c r="B4322" t="s">
        <v>8238</v>
      </c>
      <c r="C4322" t="s">
        <v>8230</v>
      </c>
      <c r="D4322" t="s">
        <v>606</v>
      </c>
      <c r="E4322" t="s">
        <v>11</v>
      </c>
      <c r="G4322" t="str">
        <f>HYPERLINK(_xlfn.CONCAT("https://tablet.otzar.org/",CHAR(35),"/book/651341/p/-1/t/1/fs/0/start/0/end/0/c"),"תורת נדה")</f>
        <v>תורת נדה</v>
      </c>
      <c r="H4322" t="str">
        <f>_xlfn.CONCAT("https://tablet.otzar.org/",CHAR(35),"/book/651341/p/-1/t/1/fs/0/start/0/end/0/c")</f>
        <v>https://tablet.otzar.org/#/book/651341/p/-1/t/1/fs/0/start/0/end/0/c</v>
      </c>
    </row>
    <row r="4323" spans="1:8" x14ac:dyDescent="0.25">
      <c r="A4323">
        <v>642841</v>
      </c>
      <c r="B4323" t="s">
        <v>8239</v>
      </c>
      <c r="C4323" t="s">
        <v>8240</v>
      </c>
      <c r="D4323" t="s">
        <v>10</v>
      </c>
      <c r="E4323" t="s">
        <v>117</v>
      </c>
      <c r="G4323" t="str">
        <f>HYPERLINK(_xlfn.CONCAT("https://tablet.otzar.org/",CHAR(35),"/book/642841/p/-1/t/1/fs/0/start/0/end/0/c"),"תורת נתנאל - כלים")</f>
        <v>תורת נתנאל - כלים</v>
      </c>
      <c r="H4323" t="str">
        <f>_xlfn.CONCAT("https://tablet.otzar.org/",CHAR(35),"/book/642841/p/-1/t/1/fs/0/start/0/end/0/c")</f>
        <v>https://tablet.otzar.org/#/book/642841/p/-1/t/1/fs/0/start/0/end/0/c</v>
      </c>
    </row>
    <row r="4324" spans="1:8" x14ac:dyDescent="0.25">
      <c r="A4324">
        <v>654451</v>
      </c>
      <c r="B4324" t="s">
        <v>8241</v>
      </c>
      <c r="C4324" t="s">
        <v>2253</v>
      </c>
      <c r="D4324" t="s">
        <v>52</v>
      </c>
      <c r="E4324" t="s">
        <v>11</v>
      </c>
      <c r="G4324" t="str">
        <f>HYPERLINK(_xlfn.CONCAT("https://tablet.otzar.org/",CHAR(35),"/book/654451/p/-1/t/1/fs/0/start/0/end/0/c"),"תורת עונג השבת")</f>
        <v>תורת עונג השבת</v>
      </c>
      <c r="H4324" t="str">
        <f>_xlfn.CONCAT("https://tablet.otzar.org/",CHAR(35),"/book/654451/p/-1/t/1/fs/0/start/0/end/0/c")</f>
        <v>https://tablet.otzar.org/#/book/654451/p/-1/t/1/fs/0/start/0/end/0/c</v>
      </c>
    </row>
    <row r="4325" spans="1:8" x14ac:dyDescent="0.25">
      <c r="A4325">
        <v>648523</v>
      </c>
      <c r="B4325" t="s">
        <v>8242</v>
      </c>
      <c r="C4325" t="s">
        <v>8243</v>
      </c>
      <c r="D4325" t="s">
        <v>510</v>
      </c>
      <c r="E4325" t="s">
        <v>106</v>
      </c>
      <c r="G4325" t="str">
        <f>HYPERLINK(_xlfn.CONCAT("https://tablet.otzar.org/",CHAR(35),"/book/648523/p/-1/t/1/fs/0/start/0/end/0/c"),"תורת פסח")</f>
        <v>תורת פסח</v>
      </c>
      <c r="H4325" t="str">
        <f>_xlfn.CONCAT("https://tablet.otzar.org/",CHAR(35),"/book/648523/p/-1/t/1/fs/0/start/0/end/0/c")</f>
        <v>https://tablet.otzar.org/#/book/648523/p/-1/t/1/fs/0/start/0/end/0/c</v>
      </c>
    </row>
    <row r="4326" spans="1:8" x14ac:dyDescent="0.25">
      <c r="A4326">
        <v>654768</v>
      </c>
      <c r="B4326" t="s">
        <v>8244</v>
      </c>
      <c r="C4326" t="s">
        <v>8245</v>
      </c>
      <c r="E4326" t="s">
        <v>1336</v>
      </c>
      <c r="G4326" t="str">
        <f>HYPERLINK(_xlfn.CONCAT("https://tablet.otzar.org/",CHAR(35),"/exKotar/654768"),"תורת רבי יהונתן - 2 כרכים")</f>
        <v>תורת רבי יהונתן - 2 כרכים</v>
      </c>
      <c r="H4326" t="str">
        <f>_xlfn.CONCAT("https://tablet.otzar.org/",CHAR(35),"/exKotar/654768")</f>
        <v>https://tablet.otzar.org/#/exKotar/654768</v>
      </c>
    </row>
    <row r="4327" spans="1:8" x14ac:dyDescent="0.25">
      <c r="A4327">
        <v>648197</v>
      </c>
      <c r="B4327" t="s">
        <v>8246</v>
      </c>
      <c r="C4327" t="s">
        <v>7030</v>
      </c>
      <c r="D4327" t="s">
        <v>10</v>
      </c>
      <c r="E4327" t="s">
        <v>205</v>
      </c>
      <c r="G4327" t="str">
        <f>HYPERLINK(_xlfn.CONCAT("https://tablet.otzar.org/",CHAR(35),"/book/648197/p/-1/t/1/fs/0/start/0/end/0/c"),"תורת רפאל - תשפ""""א")</f>
        <v>תורת רפאל - תשפ""א</v>
      </c>
      <c r="H4327" t="str">
        <f>_xlfn.CONCAT("https://tablet.otzar.org/",CHAR(35),"/book/648197/p/-1/t/1/fs/0/start/0/end/0/c")</f>
        <v>https://tablet.otzar.org/#/book/648197/p/-1/t/1/fs/0/start/0/end/0/c</v>
      </c>
    </row>
    <row r="4328" spans="1:8" x14ac:dyDescent="0.25">
      <c r="A4328">
        <v>649874</v>
      </c>
      <c r="B4328" t="s">
        <v>8247</v>
      </c>
      <c r="C4328" t="s">
        <v>8248</v>
      </c>
      <c r="D4328" t="s">
        <v>52</v>
      </c>
      <c r="E4328" t="s">
        <v>11</v>
      </c>
      <c r="G4328" t="str">
        <f>HYPERLINK(_xlfn.CONCAT("https://tablet.otzar.org/",CHAR(35),"/book/649874/p/-1/t/1/fs/0/start/0/end/0/c"),"תורת שביעית")</f>
        <v>תורת שביעית</v>
      </c>
      <c r="H4328" t="str">
        <f>_xlfn.CONCAT("https://tablet.otzar.org/",CHAR(35),"/book/649874/p/-1/t/1/fs/0/start/0/end/0/c")</f>
        <v>https://tablet.otzar.org/#/book/649874/p/-1/t/1/fs/0/start/0/end/0/c</v>
      </c>
    </row>
    <row r="4329" spans="1:8" x14ac:dyDescent="0.25">
      <c r="A4329">
        <v>654002</v>
      </c>
      <c r="B4329" t="s">
        <v>8249</v>
      </c>
      <c r="C4329" t="s">
        <v>614</v>
      </c>
      <c r="D4329" t="s">
        <v>34</v>
      </c>
      <c r="E4329" t="s">
        <v>11</v>
      </c>
      <c r="G4329" t="str">
        <f>HYPERLINK(_xlfn.CONCAT("https://tablet.otzar.org/",CHAR(35),"/book/654002/p/-1/t/1/fs/0/start/0/end/0/c"),"תורת שלמה - בראשית")</f>
        <v>תורת שלמה - בראשית</v>
      </c>
      <c r="H4329" t="str">
        <f>_xlfn.CONCAT("https://tablet.otzar.org/",CHAR(35),"/book/654002/p/-1/t/1/fs/0/start/0/end/0/c")</f>
        <v>https://tablet.otzar.org/#/book/654002/p/-1/t/1/fs/0/start/0/end/0/c</v>
      </c>
    </row>
    <row r="4330" spans="1:8" x14ac:dyDescent="0.25">
      <c r="A4330">
        <v>650607</v>
      </c>
      <c r="B4330" t="s">
        <v>8250</v>
      </c>
      <c r="C4330" t="s">
        <v>8251</v>
      </c>
      <c r="D4330" t="s">
        <v>34</v>
      </c>
      <c r="E4330" t="s">
        <v>11</v>
      </c>
      <c r="G4330" t="str">
        <f>HYPERLINK(_xlfn.CONCAT("https://tablet.otzar.org/",CHAR(35),"/exKotar/650607"),"תורת שמואל - 3 כרכים")</f>
        <v>תורת שמואל - 3 כרכים</v>
      </c>
      <c r="H4330" t="str">
        <f>_xlfn.CONCAT("https://tablet.otzar.org/",CHAR(35),"/exKotar/650607")</f>
        <v>https://tablet.otzar.org/#/exKotar/650607</v>
      </c>
    </row>
    <row r="4331" spans="1:8" x14ac:dyDescent="0.25">
      <c r="A4331">
        <v>647515</v>
      </c>
      <c r="B4331" t="s">
        <v>8252</v>
      </c>
      <c r="C4331" t="s">
        <v>8253</v>
      </c>
      <c r="D4331" t="s">
        <v>8254</v>
      </c>
      <c r="E4331">
        <v>1979</v>
      </c>
      <c r="G4331" t="str">
        <f>HYPERLINK(_xlfn.CONCAT("https://tablet.otzar.org/",CHAR(35),"/exKotar/647515"),"תורת תיקוני עירובין - 3 כרכים")</f>
        <v>תורת תיקוני עירובין - 3 כרכים</v>
      </c>
      <c r="H4331" t="str">
        <f>_xlfn.CONCAT("https://tablet.otzar.org/",CHAR(35),"/exKotar/647515")</f>
        <v>https://tablet.otzar.org/#/exKotar/647515</v>
      </c>
    </row>
    <row r="4332" spans="1:8" x14ac:dyDescent="0.25">
      <c r="A4332">
        <v>648854</v>
      </c>
      <c r="B4332" t="s">
        <v>8255</v>
      </c>
      <c r="C4332" t="s">
        <v>4980</v>
      </c>
      <c r="D4332" t="s">
        <v>340</v>
      </c>
      <c r="E4332" t="s">
        <v>70</v>
      </c>
      <c r="G4332" t="str">
        <f>HYPERLINK(_xlfn.CONCAT("https://tablet.otzar.org/",CHAR(35),"/book/648854/p/-1/t/1/fs/0/start/0/end/0/c"),"תורתו ואומנותו")</f>
        <v>תורתו ואומנותו</v>
      </c>
      <c r="H4332" t="str">
        <f>_xlfn.CONCAT("https://tablet.otzar.org/",CHAR(35),"/book/648854/p/-1/t/1/fs/0/start/0/end/0/c")</f>
        <v>https://tablet.otzar.org/#/book/648854/p/-1/t/1/fs/0/start/0/end/0/c</v>
      </c>
    </row>
    <row r="4333" spans="1:8" x14ac:dyDescent="0.25">
      <c r="A4333">
        <v>647987</v>
      </c>
      <c r="B4333" t="s">
        <v>8256</v>
      </c>
      <c r="C4333" t="s">
        <v>8257</v>
      </c>
      <c r="D4333" t="s">
        <v>34</v>
      </c>
      <c r="E4333" t="s">
        <v>84</v>
      </c>
      <c r="G4333" t="str">
        <f>HYPERLINK(_xlfn.CONCAT("https://tablet.otzar.org/",CHAR(35),"/book/647987/p/-1/t/1/fs/0/start/0/end/0/c"),"תורתך בתוך מעי - ברורי הלכה לבעלי סטומה")</f>
        <v>תורתך בתוך מעי - ברורי הלכה לבעלי סטומה</v>
      </c>
      <c r="H4333" t="str">
        <f>_xlfn.CONCAT("https://tablet.otzar.org/",CHAR(35),"/book/647987/p/-1/t/1/fs/0/start/0/end/0/c")</f>
        <v>https://tablet.otzar.org/#/book/647987/p/-1/t/1/fs/0/start/0/end/0/c</v>
      </c>
    </row>
    <row r="4334" spans="1:8" x14ac:dyDescent="0.25">
      <c r="A4334">
        <v>650322</v>
      </c>
      <c r="B4334" t="s">
        <v>8258</v>
      </c>
      <c r="C4334" t="s">
        <v>8259</v>
      </c>
      <c r="D4334" t="s">
        <v>10</v>
      </c>
      <c r="E4334" t="s">
        <v>45</v>
      </c>
      <c r="G4334" t="str">
        <f>HYPERLINK(_xlfn.CONCAT("https://tablet.otzar.org/",CHAR(35),"/book/650322/p/-1/t/1/fs/0/start/0/end/0/c"),"תורתך שעשועי")</f>
        <v>תורתך שעשועי</v>
      </c>
      <c r="H4334" t="str">
        <f>_xlfn.CONCAT("https://tablet.otzar.org/",CHAR(35),"/book/650322/p/-1/t/1/fs/0/start/0/end/0/c")</f>
        <v>https://tablet.otzar.org/#/book/650322/p/-1/t/1/fs/0/start/0/end/0/c</v>
      </c>
    </row>
    <row r="4335" spans="1:8" x14ac:dyDescent="0.25">
      <c r="A4335">
        <v>650953</v>
      </c>
      <c r="B4335" t="s">
        <v>8258</v>
      </c>
      <c r="C4335" t="s">
        <v>8260</v>
      </c>
      <c r="D4335" t="s">
        <v>340</v>
      </c>
      <c r="E4335" t="s">
        <v>405</v>
      </c>
      <c r="G4335" t="str">
        <f>HYPERLINK(_xlfn.CONCAT("https://tablet.otzar.org/",CHAR(35),"/book/650953/p/-1/t/1/fs/0/start/0/end/0/c"),"תורתך שעשועי")</f>
        <v>תורתך שעשועי</v>
      </c>
      <c r="H4335" t="str">
        <f>_xlfn.CONCAT("https://tablet.otzar.org/",CHAR(35),"/book/650953/p/-1/t/1/fs/0/start/0/end/0/c")</f>
        <v>https://tablet.otzar.org/#/book/650953/p/-1/t/1/fs/0/start/0/end/0/c</v>
      </c>
    </row>
    <row r="4336" spans="1:8" x14ac:dyDescent="0.25">
      <c r="A4336">
        <v>638073</v>
      </c>
      <c r="B4336" t="s">
        <v>8261</v>
      </c>
      <c r="C4336" t="s">
        <v>8262</v>
      </c>
      <c r="D4336" t="s">
        <v>52</v>
      </c>
      <c r="E4336" t="s">
        <v>35</v>
      </c>
      <c r="G4336" t="str">
        <f>HYPERLINK(_xlfn.CONCAT("https://tablet.otzar.org/",CHAR(35),"/book/638073/p/-1/t/1/fs/0/start/0/end/0/c"),"תורתך שעשועי - חנוכה")</f>
        <v>תורתך שעשועי - חנוכה</v>
      </c>
      <c r="H4336" t="str">
        <f>_xlfn.CONCAT("https://tablet.otzar.org/",CHAR(35),"/book/638073/p/-1/t/1/fs/0/start/0/end/0/c")</f>
        <v>https://tablet.otzar.org/#/book/638073/p/-1/t/1/fs/0/start/0/end/0/c</v>
      </c>
    </row>
    <row r="4337" spans="1:8" x14ac:dyDescent="0.25">
      <c r="A4337">
        <v>655069</v>
      </c>
      <c r="B4337" t="s">
        <v>8263</v>
      </c>
      <c r="C4337" t="s">
        <v>8264</v>
      </c>
      <c r="D4337" t="s">
        <v>34</v>
      </c>
      <c r="E4337" t="s">
        <v>402</v>
      </c>
      <c r="G4337" t="str">
        <f>HYPERLINK(_xlfn.CONCAT("https://tablet.otzar.org/",CHAR(35),"/book/655069/p/-1/t/1/fs/0/start/0/end/0/c"),"תורתך שעשעי")</f>
        <v>תורתך שעשעי</v>
      </c>
      <c r="H4337" t="str">
        <f>_xlfn.CONCAT("https://tablet.otzar.org/",CHAR(35),"/book/655069/p/-1/t/1/fs/0/start/0/end/0/c")</f>
        <v>https://tablet.otzar.org/#/book/655069/p/-1/t/1/fs/0/start/0/end/0/c</v>
      </c>
    </row>
    <row r="4338" spans="1:8" x14ac:dyDescent="0.25">
      <c r="A4338">
        <v>649928</v>
      </c>
      <c r="B4338" t="s">
        <v>8265</v>
      </c>
      <c r="C4338" t="s">
        <v>8266</v>
      </c>
      <c r="E4338" t="s">
        <v>8267</v>
      </c>
      <c r="G4338" t="str">
        <f>HYPERLINK(_xlfn.CONCAT("https://tablet.otzar.org/",CHAR(35),"/book/649928/p/-1/t/1/fs/0/start/0/end/0/c"),"תחנה ארץ ישראל")</f>
        <v>תחנה ארץ ישראל</v>
      </c>
      <c r="H4338" t="str">
        <f>_xlfn.CONCAT("https://tablet.otzar.org/",CHAR(35),"/book/649928/p/-1/t/1/fs/0/start/0/end/0/c")</f>
        <v>https://tablet.otzar.org/#/book/649928/p/-1/t/1/fs/0/start/0/end/0/c</v>
      </c>
    </row>
    <row r="4339" spans="1:8" x14ac:dyDescent="0.25">
      <c r="A4339">
        <v>653427</v>
      </c>
      <c r="B4339" t="s">
        <v>8268</v>
      </c>
      <c r="C4339" t="s">
        <v>8269</v>
      </c>
      <c r="D4339" t="s">
        <v>52</v>
      </c>
      <c r="E4339" t="s">
        <v>246</v>
      </c>
      <c r="G4339" t="str">
        <f>HYPERLINK(_xlfn.CONCAT("https://tablet.otzar.org/",CHAR(35),"/book/653427/p/-1/t/1/fs/0/start/0/end/0/c"),"תיקון היסוד")</f>
        <v>תיקון היסוד</v>
      </c>
      <c r="H4339" t="str">
        <f>_xlfn.CONCAT("https://tablet.otzar.org/",CHAR(35),"/book/653427/p/-1/t/1/fs/0/start/0/end/0/c")</f>
        <v>https://tablet.otzar.org/#/book/653427/p/-1/t/1/fs/0/start/0/end/0/c</v>
      </c>
    </row>
    <row r="4340" spans="1:8" x14ac:dyDescent="0.25">
      <c r="A4340">
        <v>648792</v>
      </c>
      <c r="B4340" t="s">
        <v>8270</v>
      </c>
      <c r="C4340" t="s">
        <v>2178</v>
      </c>
      <c r="D4340" t="s">
        <v>52</v>
      </c>
      <c r="E4340" t="s">
        <v>45</v>
      </c>
      <c r="G4340" t="str">
        <f>HYPERLINK(_xlfn.CONCAT("https://tablet.otzar.org/",CHAR(35),"/book/648792/p/-1/t/1/fs/0/start/0/end/0/c"),"תיקון העיר בני ברק לשיטת הבית יוסף")</f>
        <v>תיקון העיר בני ברק לשיטת הבית יוסף</v>
      </c>
      <c r="H4340" t="str">
        <f>_xlfn.CONCAT("https://tablet.otzar.org/",CHAR(35),"/book/648792/p/-1/t/1/fs/0/start/0/end/0/c")</f>
        <v>https://tablet.otzar.org/#/book/648792/p/-1/t/1/fs/0/start/0/end/0/c</v>
      </c>
    </row>
    <row r="4341" spans="1:8" x14ac:dyDescent="0.25">
      <c r="A4341">
        <v>653600</v>
      </c>
      <c r="B4341" t="s">
        <v>8271</v>
      </c>
      <c r="C4341" t="s">
        <v>7147</v>
      </c>
      <c r="D4341" t="s">
        <v>52</v>
      </c>
      <c r="E4341" t="s">
        <v>35</v>
      </c>
      <c r="G4341" t="str">
        <f>HYPERLINK(_xlfn.CONCAT("https://tablet.otzar.org/",CHAR(35),"/book/653600/p/-1/t/1/fs/0/start/0/end/0/c"),"תיקון חצות - תנאים טובים - דיני תפילת הדרך")</f>
        <v>תיקון חצות - תנאים טובים - דיני תפילת הדרך</v>
      </c>
      <c r="H4341" t="str">
        <f>_xlfn.CONCAT("https://tablet.otzar.org/",CHAR(35),"/book/653600/p/-1/t/1/fs/0/start/0/end/0/c")</f>
        <v>https://tablet.otzar.org/#/book/653600/p/-1/t/1/fs/0/start/0/end/0/c</v>
      </c>
    </row>
    <row r="4342" spans="1:8" x14ac:dyDescent="0.25">
      <c r="A4342">
        <v>654407</v>
      </c>
      <c r="B4342" t="s">
        <v>8272</v>
      </c>
      <c r="C4342" t="s">
        <v>614</v>
      </c>
      <c r="D4342" t="s">
        <v>10</v>
      </c>
      <c r="E4342" t="s">
        <v>11</v>
      </c>
      <c r="G4342" t="str">
        <f>HYPERLINK(_xlfn.CONCAT("https://tablet.otzar.org/",CHAR(35),"/book/654407/p/-1/t/1/fs/0/start/0/end/0/c"),"תיקון חצות המבואר")</f>
        <v>תיקון חצות המבואר</v>
      </c>
      <c r="H4342" t="str">
        <f>_xlfn.CONCAT("https://tablet.otzar.org/",CHAR(35),"/book/654407/p/-1/t/1/fs/0/start/0/end/0/c")</f>
        <v>https://tablet.otzar.org/#/book/654407/p/-1/t/1/fs/0/start/0/end/0/c</v>
      </c>
    </row>
    <row r="4343" spans="1:8" x14ac:dyDescent="0.25">
      <c r="A4343">
        <v>650463</v>
      </c>
      <c r="B4343" t="s">
        <v>8273</v>
      </c>
      <c r="C4343" t="s">
        <v>8274</v>
      </c>
      <c r="D4343" t="s">
        <v>8275</v>
      </c>
      <c r="E4343" t="s">
        <v>6477</v>
      </c>
      <c r="G4343" t="str">
        <f>HYPERLINK(_xlfn.CONCAT("https://tablet.otzar.org/",CHAR(35),"/book/650463/p/-1/t/1/fs/0/start/0/end/0/c"),"תיקון שובבים")</f>
        <v>תיקון שובבים</v>
      </c>
      <c r="H4343" t="str">
        <f>_xlfn.CONCAT("https://tablet.otzar.org/",CHAR(35),"/book/650463/p/-1/t/1/fs/0/start/0/end/0/c")</f>
        <v>https://tablet.otzar.org/#/book/650463/p/-1/t/1/fs/0/start/0/end/0/c</v>
      </c>
    </row>
    <row r="4344" spans="1:8" x14ac:dyDescent="0.25">
      <c r="A4344">
        <v>650502</v>
      </c>
      <c r="B4344" t="s">
        <v>8273</v>
      </c>
      <c r="C4344" t="s">
        <v>8276</v>
      </c>
      <c r="D4344" t="s">
        <v>8275</v>
      </c>
      <c r="E4344" t="s">
        <v>8277</v>
      </c>
      <c r="G4344" t="str">
        <f>HYPERLINK(_xlfn.CONCAT("https://tablet.otzar.org/",CHAR(35),"/book/650502/p/-1/t/1/fs/0/start/0/end/0/c"),"תיקון שובבים")</f>
        <v>תיקון שובבים</v>
      </c>
      <c r="H4344" t="str">
        <f>_xlfn.CONCAT("https://tablet.otzar.org/",CHAR(35),"/book/650502/p/-1/t/1/fs/0/start/0/end/0/c")</f>
        <v>https://tablet.otzar.org/#/book/650502/p/-1/t/1/fs/0/start/0/end/0/c</v>
      </c>
    </row>
    <row r="4345" spans="1:8" x14ac:dyDescent="0.25">
      <c r="A4345">
        <v>650505</v>
      </c>
      <c r="B4345" t="s">
        <v>8273</v>
      </c>
      <c r="C4345" t="s">
        <v>8278</v>
      </c>
      <c r="D4345" t="s">
        <v>8279</v>
      </c>
      <c r="E4345" t="s">
        <v>3306</v>
      </c>
      <c r="G4345" t="str">
        <f>HYPERLINK(_xlfn.CONCAT("https://tablet.otzar.org/",CHAR(35),"/book/650505/p/-1/t/1/fs/0/start/0/end/0/c"),"תיקון שובבים")</f>
        <v>תיקון שובבים</v>
      </c>
      <c r="H4345" t="str">
        <f>_xlfn.CONCAT("https://tablet.otzar.org/",CHAR(35),"/book/650505/p/-1/t/1/fs/0/start/0/end/0/c")</f>
        <v>https://tablet.otzar.org/#/book/650505/p/-1/t/1/fs/0/start/0/end/0/c</v>
      </c>
    </row>
    <row r="4346" spans="1:8" x14ac:dyDescent="0.25">
      <c r="A4346">
        <v>650504</v>
      </c>
      <c r="B4346" t="s">
        <v>8273</v>
      </c>
      <c r="C4346" t="s">
        <v>8280</v>
      </c>
      <c r="D4346" t="s">
        <v>8275</v>
      </c>
      <c r="E4346" t="s">
        <v>8281</v>
      </c>
      <c r="G4346" t="str">
        <f>HYPERLINK(_xlfn.CONCAT("https://tablet.otzar.org/",CHAR(35),"/book/650504/p/-1/t/1/fs/0/start/0/end/0/c"),"תיקון שובבים")</f>
        <v>תיקון שובבים</v>
      </c>
      <c r="H4346" t="str">
        <f>_xlfn.CONCAT("https://tablet.otzar.org/",CHAR(35),"/book/650504/p/-1/t/1/fs/0/start/0/end/0/c")</f>
        <v>https://tablet.otzar.org/#/book/650504/p/-1/t/1/fs/0/start/0/end/0/c</v>
      </c>
    </row>
    <row r="4347" spans="1:8" x14ac:dyDescent="0.25">
      <c r="A4347">
        <v>655061</v>
      </c>
      <c r="B4347" t="s">
        <v>8282</v>
      </c>
      <c r="C4347" t="s">
        <v>6822</v>
      </c>
      <c r="D4347" t="s">
        <v>34</v>
      </c>
      <c r="E4347" t="s">
        <v>11</v>
      </c>
      <c r="G4347" t="str">
        <f>HYPERLINK(_xlfn.CONCAT("https://tablet.otzar.org/",CHAR(35),"/book/655061/p/-1/t/1/fs/0/start/0/end/0/c"),"תיקונים גדולים")</f>
        <v>תיקונים גדולים</v>
      </c>
      <c r="H4347" t="str">
        <f>_xlfn.CONCAT("https://tablet.otzar.org/",CHAR(35),"/book/655061/p/-1/t/1/fs/0/start/0/end/0/c")</f>
        <v>https://tablet.otzar.org/#/book/655061/p/-1/t/1/fs/0/start/0/end/0/c</v>
      </c>
    </row>
    <row r="4348" spans="1:8" x14ac:dyDescent="0.25">
      <c r="A4348">
        <v>655846</v>
      </c>
      <c r="B4348" t="s">
        <v>8283</v>
      </c>
      <c r="C4348" t="s">
        <v>3593</v>
      </c>
      <c r="D4348" t="s">
        <v>34</v>
      </c>
      <c r="E4348" t="s">
        <v>29</v>
      </c>
      <c r="G4348" t="str">
        <f>HYPERLINK(_xlfn.CONCAT("https://tablet.otzar.org/",CHAR(35),"/exKotar/655846"),"תכא דמלכא - 5 כרכים")</f>
        <v>תכא דמלכא - 5 כרכים</v>
      </c>
      <c r="H4348" t="str">
        <f>_xlfn.CONCAT("https://tablet.otzar.org/",CHAR(35),"/exKotar/655846")</f>
        <v>https://tablet.otzar.org/#/exKotar/655846</v>
      </c>
    </row>
    <row r="4349" spans="1:8" x14ac:dyDescent="0.25">
      <c r="A4349">
        <v>652090</v>
      </c>
      <c r="B4349" t="s">
        <v>8284</v>
      </c>
      <c r="C4349" t="s">
        <v>2162</v>
      </c>
      <c r="D4349" t="s">
        <v>10</v>
      </c>
      <c r="E4349" t="s">
        <v>35</v>
      </c>
      <c r="G4349" t="str">
        <f>HYPERLINK(_xlfn.CONCAT("https://tablet.otzar.org/",CHAR(35),"/book/652090/p/-1/t/1/fs/0/start/0/end/0/c"),"תכון תפלתי")</f>
        <v>תכון תפלתי</v>
      </c>
      <c r="H4349" t="str">
        <f>_xlfn.CONCAT("https://tablet.otzar.org/",CHAR(35),"/book/652090/p/-1/t/1/fs/0/start/0/end/0/c")</f>
        <v>https://tablet.otzar.org/#/book/652090/p/-1/t/1/fs/0/start/0/end/0/c</v>
      </c>
    </row>
    <row r="4350" spans="1:8" x14ac:dyDescent="0.25">
      <c r="A4350">
        <v>650061</v>
      </c>
      <c r="B4350" t="s">
        <v>8285</v>
      </c>
      <c r="C4350" t="s">
        <v>712</v>
      </c>
      <c r="E4350" t="s">
        <v>507</v>
      </c>
      <c r="G4350" t="str">
        <f>HYPERLINK(_xlfn.CONCAT("https://tablet.otzar.org/",CHAR(35),"/book/650061/p/-1/t/1/fs/0/start/0/end/0/c"),"תכלית החיים")</f>
        <v>תכלית החיים</v>
      </c>
      <c r="H4350" t="str">
        <f>_xlfn.CONCAT("https://tablet.otzar.org/",CHAR(35),"/book/650061/p/-1/t/1/fs/0/start/0/end/0/c")</f>
        <v>https://tablet.otzar.org/#/book/650061/p/-1/t/1/fs/0/start/0/end/0/c</v>
      </c>
    </row>
    <row r="4351" spans="1:8" x14ac:dyDescent="0.25">
      <c r="A4351">
        <v>637196</v>
      </c>
      <c r="B4351" t="s">
        <v>8286</v>
      </c>
      <c r="C4351" t="s">
        <v>8287</v>
      </c>
      <c r="E4351" t="s">
        <v>8288</v>
      </c>
      <c r="G4351" t="str">
        <f>HYPERLINK(_xlfn.CONCAT("https://tablet.otzar.org/",CHAR(35),"/exKotar/637196"),"תלמוד בבלי &lt;ווין הרביעי&gt;  - 4 כרכים")</f>
        <v>תלמוד בבלי &lt;ווין הרביעי&gt;  - 4 כרכים</v>
      </c>
      <c r="H4351" t="str">
        <f>_xlfn.CONCAT("https://tablet.otzar.org/",CHAR(35),"/exKotar/637196")</f>
        <v>https://tablet.otzar.org/#/exKotar/637196</v>
      </c>
    </row>
    <row r="4352" spans="1:8" x14ac:dyDescent="0.25">
      <c r="A4352">
        <v>651853</v>
      </c>
      <c r="B4352" t="s">
        <v>8289</v>
      </c>
      <c r="C4352" t="s">
        <v>8290</v>
      </c>
      <c r="D4352" t="s">
        <v>10</v>
      </c>
      <c r="E4352" t="s">
        <v>1937</v>
      </c>
      <c r="G4352" t="str">
        <f>HYPERLINK(_xlfn.CONCAT("https://tablet.otzar.org/",CHAR(35),"/exKotar/651853"),"תלמוד בבלי מפוסק - 20 כרכים")</f>
        <v>תלמוד בבלי מפוסק - 20 כרכים</v>
      </c>
      <c r="H4352" t="str">
        <f>_xlfn.CONCAT("https://tablet.otzar.org/",CHAR(35),"/exKotar/651853")</f>
        <v>https://tablet.otzar.org/#/exKotar/651853</v>
      </c>
    </row>
    <row r="4353" spans="1:8" x14ac:dyDescent="0.25">
      <c r="A4353">
        <v>651932</v>
      </c>
      <c r="B4353" t="s">
        <v>8291</v>
      </c>
      <c r="C4353" t="s">
        <v>8292</v>
      </c>
      <c r="D4353" t="s">
        <v>921</v>
      </c>
      <c r="E4353">
        <v>1907</v>
      </c>
      <c r="G4353" t="str">
        <f>HYPERLINK(_xlfn.CONCAT("https://tablet.otzar.org/",CHAR(35),"/book/651932/p/-1/t/1/fs/0/start/0/end/0/c"),"תלמוד ינקאי")</f>
        <v>תלמוד ינקאי</v>
      </c>
      <c r="H4353" t="str">
        <f>_xlfn.CONCAT("https://tablet.otzar.org/",CHAR(35),"/book/651932/p/-1/t/1/fs/0/start/0/end/0/c")</f>
        <v>https://tablet.otzar.org/#/book/651932/p/-1/t/1/fs/0/start/0/end/0/c</v>
      </c>
    </row>
    <row r="4354" spans="1:8" x14ac:dyDescent="0.25">
      <c r="A4354">
        <v>649091</v>
      </c>
      <c r="B4354" t="s">
        <v>8293</v>
      </c>
      <c r="C4354" t="s">
        <v>8294</v>
      </c>
      <c r="D4354" t="s">
        <v>88</v>
      </c>
      <c r="E4354" t="s">
        <v>405</v>
      </c>
      <c r="G4354" t="str">
        <f>HYPERLINK(_xlfn.CONCAT("https://tablet.otzar.org/",CHAR(35),"/book/649091/p/-1/t/1/fs/0/start/0/end/0/c"),"תלמוד ירושלמי &lt;השלם&gt; שביעית - ב")</f>
        <v>תלמוד ירושלמי &lt;השלם&gt; שביעית - ב</v>
      </c>
      <c r="H4354" t="str">
        <f>_xlfn.CONCAT("https://tablet.otzar.org/",CHAR(35),"/book/649091/p/-1/t/1/fs/0/start/0/end/0/c")</f>
        <v>https://tablet.otzar.org/#/book/649091/p/-1/t/1/fs/0/start/0/end/0/c</v>
      </c>
    </row>
    <row r="4355" spans="1:8" x14ac:dyDescent="0.25">
      <c r="A4355">
        <v>657146</v>
      </c>
      <c r="B4355" t="s">
        <v>8295</v>
      </c>
      <c r="C4355" t="s">
        <v>8296</v>
      </c>
      <c r="D4355" t="s">
        <v>88</v>
      </c>
      <c r="E4355" t="s">
        <v>11</v>
      </c>
      <c r="G4355" t="str">
        <f>HYPERLINK(_xlfn.CONCAT("https://tablet.otzar.org/",CHAR(35),"/exKotar/657146"),"תלמוד ירושלמי ע""""פ ארץ הצבי - 2 כרכים")</f>
        <v>תלמוד ירושלמי ע""פ ארץ הצבי - 2 כרכים</v>
      </c>
      <c r="H4355" t="str">
        <f>_xlfn.CONCAT("https://tablet.otzar.org/",CHAR(35),"/exKotar/657146")</f>
        <v>https://tablet.otzar.org/#/exKotar/657146</v>
      </c>
    </row>
    <row r="4356" spans="1:8" x14ac:dyDescent="0.25">
      <c r="A4356">
        <v>652898</v>
      </c>
      <c r="B4356" t="s">
        <v>8297</v>
      </c>
      <c r="C4356" t="s">
        <v>8298</v>
      </c>
      <c r="D4356" t="s">
        <v>573</v>
      </c>
      <c r="E4356" t="s">
        <v>1937</v>
      </c>
      <c r="G4356" t="str">
        <f>HYPERLINK(_xlfn.CONCAT("https://tablet.otzar.org/",CHAR(35),"/book/652898/p/-1/t/1/fs/0/start/0/end/0/c"),"תלמוד מפורש - פרק  המפקיד")</f>
        <v>תלמוד מפורש - פרק  המפקיד</v>
      </c>
      <c r="H4356" t="str">
        <f>_xlfn.CONCAT("https://tablet.otzar.org/",CHAR(35),"/book/652898/p/-1/t/1/fs/0/start/0/end/0/c")</f>
        <v>https://tablet.otzar.org/#/book/652898/p/-1/t/1/fs/0/start/0/end/0/c</v>
      </c>
    </row>
    <row r="4357" spans="1:8" x14ac:dyDescent="0.25">
      <c r="A4357">
        <v>650421</v>
      </c>
      <c r="B4357" t="s">
        <v>8299</v>
      </c>
      <c r="C4357" t="s">
        <v>8300</v>
      </c>
      <c r="E4357" t="s">
        <v>35</v>
      </c>
      <c r="G4357" t="str">
        <f>HYPERLINK(_xlfn.CONCAT("https://tablet.otzar.org/",CHAR(35),"/exKotar/650421"),"תלמודו בידו - 12 כרכים")</f>
        <v>תלמודו בידו - 12 כרכים</v>
      </c>
      <c r="H4357" t="str">
        <f>_xlfn.CONCAT("https://tablet.otzar.org/",CHAR(35),"/exKotar/650421")</f>
        <v>https://tablet.otzar.org/#/exKotar/650421</v>
      </c>
    </row>
    <row r="4358" spans="1:8" x14ac:dyDescent="0.25">
      <c r="A4358">
        <v>650960</v>
      </c>
      <c r="B4358" t="s">
        <v>8301</v>
      </c>
      <c r="C4358" t="s">
        <v>8302</v>
      </c>
      <c r="D4358" t="s">
        <v>10</v>
      </c>
      <c r="E4358" t="s">
        <v>117</v>
      </c>
      <c r="G4358" t="str">
        <f>HYPERLINK(_xlfn.CONCAT("https://tablet.otzar.org/",CHAR(35),"/book/650960/p/-1/t/1/fs/0/start/0/end/0/c"),"תלמידיו של אברהם אבינו")</f>
        <v>תלמידיו של אברהם אבינו</v>
      </c>
      <c r="H4358" t="str">
        <f>_xlfn.CONCAT("https://tablet.otzar.org/",CHAR(35),"/book/650960/p/-1/t/1/fs/0/start/0/end/0/c")</f>
        <v>https://tablet.otzar.org/#/book/650960/p/-1/t/1/fs/0/start/0/end/0/c</v>
      </c>
    </row>
    <row r="4359" spans="1:8" x14ac:dyDescent="0.25">
      <c r="A4359">
        <v>649887</v>
      </c>
      <c r="B4359" t="s">
        <v>8303</v>
      </c>
      <c r="C4359" t="s">
        <v>8304</v>
      </c>
      <c r="E4359" t="s">
        <v>11</v>
      </c>
      <c r="G4359" t="str">
        <f>HYPERLINK(_xlfn.CONCAT("https://tablet.otzar.org/",CHAR(35),"/book/649887/p/-1/t/1/fs/0/start/0/end/0/c"),"תמורת איל - מכות")</f>
        <v>תמורת איל - מכות</v>
      </c>
      <c r="H4359" t="str">
        <f>_xlfn.CONCAT("https://tablet.otzar.org/",CHAR(35),"/book/649887/p/-1/t/1/fs/0/start/0/end/0/c")</f>
        <v>https://tablet.otzar.org/#/book/649887/p/-1/t/1/fs/0/start/0/end/0/c</v>
      </c>
    </row>
    <row r="4360" spans="1:8" x14ac:dyDescent="0.25">
      <c r="A4360">
        <v>650004</v>
      </c>
      <c r="B4360" t="s">
        <v>8305</v>
      </c>
      <c r="C4360" t="s">
        <v>209</v>
      </c>
      <c r="D4360" t="s">
        <v>52</v>
      </c>
      <c r="E4360" t="s">
        <v>35</v>
      </c>
      <c r="G4360" t="str">
        <f>HYPERLINK(_xlfn.CONCAT("https://tablet.otzar.org/",CHAR(35),"/book/650004/p/-1/t/1/fs/0/start/0/end/0/c"),"תמצא חכמה")</f>
        <v>תמצא חכמה</v>
      </c>
      <c r="H4360" t="str">
        <f>_xlfn.CONCAT("https://tablet.otzar.org/",CHAR(35),"/book/650004/p/-1/t/1/fs/0/start/0/end/0/c")</f>
        <v>https://tablet.otzar.org/#/book/650004/p/-1/t/1/fs/0/start/0/end/0/c</v>
      </c>
    </row>
    <row r="4361" spans="1:8" x14ac:dyDescent="0.25">
      <c r="A4361">
        <v>656812</v>
      </c>
      <c r="B4361" t="s">
        <v>8306</v>
      </c>
      <c r="C4361" t="s">
        <v>8307</v>
      </c>
      <c r="D4361" t="s">
        <v>1195</v>
      </c>
      <c r="E4361" t="s">
        <v>1476</v>
      </c>
      <c r="G4361" t="str">
        <f>HYPERLINK(_xlfn.CONCAT("https://tablet.otzar.org/",CHAR(35),"/exKotar/656812"),"תמצית מסקנות הדף - 11 כרכים")</f>
        <v>תמצית מסקנות הדף - 11 כרכים</v>
      </c>
      <c r="H4361" t="str">
        <f>_xlfn.CONCAT("https://tablet.otzar.org/",CHAR(35),"/exKotar/656812")</f>
        <v>https://tablet.otzar.org/#/exKotar/656812</v>
      </c>
    </row>
    <row r="4362" spans="1:8" x14ac:dyDescent="0.25">
      <c r="A4362">
        <v>652510</v>
      </c>
      <c r="B4362" t="s">
        <v>8308</v>
      </c>
      <c r="C4362" t="s">
        <v>8309</v>
      </c>
      <c r="D4362" t="s">
        <v>28</v>
      </c>
      <c r="E4362" t="s">
        <v>84</v>
      </c>
      <c r="G4362" t="str">
        <f>HYPERLINK(_xlfn.CONCAT("https://tablet.otzar.org/",CHAR(35),"/exKotar/652510"),"תנובות שדה - 22 כרכים")</f>
        <v>תנובות שדה - 22 כרכים</v>
      </c>
      <c r="H4362" t="str">
        <f>_xlfn.CONCAT("https://tablet.otzar.org/",CHAR(35),"/exKotar/652510")</f>
        <v>https://tablet.otzar.org/#/exKotar/652510</v>
      </c>
    </row>
    <row r="4363" spans="1:8" x14ac:dyDescent="0.25">
      <c r="A4363">
        <v>648341</v>
      </c>
      <c r="B4363" t="s">
        <v>8310</v>
      </c>
      <c r="C4363" t="s">
        <v>8311</v>
      </c>
      <c r="D4363" t="s">
        <v>8312</v>
      </c>
      <c r="E4363" t="s">
        <v>2191</v>
      </c>
      <c r="G4363" t="str">
        <f>HYPERLINK(_xlfn.CONCAT("https://tablet.otzar.org/",CHAR(35),"/book/648341/p/-1/t/1/fs/0/start/0/end/0/c"),"תנובת יהודה")</f>
        <v>תנובת יהודה</v>
      </c>
      <c r="H4363" t="str">
        <f>_xlfn.CONCAT("https://tablet.otzar.org/",CHAR(35),"/book/648341/p/-1/t/1/fs/0/start/0/end/0/c")</f>
        <v>https://tablet.otzar.org/#/book/648341/p/-1/t/1/fs/0/start/0/end/0/c</v>
      </c>
    </row>
    <row r="4364" spans="1:8" x14ac:dyDescent="0.25">
      <c r="A4364">
        <v>652806</v>
      </c>
      <c r="B4364" t="s">
        <v>8313</v>
      </c>
      <c r="C4364" t="s">
        <v>851</v>
      </c>
      <c r="D4364" t="s">
        <v>129</v>
      </c>
      <c r="E4364" t="s">
        <v>2473</v>
      </c>
      <c r="G4364" t="str">
        <f>HYPERLINK(_xlfn.CONCAT("https://tablet.otzar.org/",CHAR(35),"/book/652806/p/-1/t/1/fs/0/start/0/end/0/c"),"תנועה ואידיאה")</f>
        <v>תנועה ואידיאה</v>
      </c>
      <c r="H4364" t="str">
        <f>_xlfn.CONCAT("https://tablet.otzar.org/",CHAR(35),"/book/652806/p/-1/t/1/fs/0/start/0/end/0/c")</f>
        <v>https://tablet.otzar.org/#/book/652806/p/-1/t/1/fs/0/start/0/end/0/c</v>
      </c>
    </row>
    <row r="4365" spans="1:8" x14ac:dyDescent="0.25">
      <c r="A4365">
        <v>647990</v>
      </c>
      <c r="B4365" t="s">
        <v>8314</v>
      </c>
      <c r="C4365" t="s">
        <v>8315</v>
      </c>
      <c r="D4365" t="s">
        <v>34</v>
      </c>
      <c r="E4365" t="s">
        <v>117</v>
      </c>
      <c r="G4365" t="str">
        <f>HYPERLINK(_xlfn.CONCAT("https://tablet.otzar.org/",CHAR(35),"/book/647990/p/-1/t/1/fs/0/start/0/end/0/c"),"תנופת אהרן - חמדת משה")</f>
        <v>תנופת אהרן - חמדת משה</v>
      </c>
      <c r="H4365" t="str">
        <f>_xlfn.CONCAT("https://tablet.otzar.org/",CHAR(35),"/book/647990/p/-1/t/1/fs/0/start/0/end/0/c")</f>
        <v>https://tablet.otzar.org/#/book/647990/p/-1/t/1/fs/0/start/0/end/0/c</v>
      </c>
    </row>
    <row r="4366" spans="1:8" x14ac:dyDescent="0.25">
      <c r="A4366">
        <v>649263</v>
      </c>
      <c r="B4366" t="s">
        <v>8316</v>
      </c>
      <c r="C4366" t="s">
        <v>8317</v>
      </c>
      <c r="E4366" t="s">
        <v>4046</v>
      </c>
      <c r="G4366" t="str">
        <f>HYPERLINK(_xlfn.CONCAT("https://tablet.otzar.org/",CHAR(35),"/book/649263/p/-1/t/1/fs/0/start/0/end/0/c"),"תערוכה לתולדות משפחת אלישר")</f>
        <v>תערוכה לתולדות משפחת אלישר</v>
      </c>
      <c r="H4366" t="str">
        <f>_xlfn.CONCAT("https://tablet.otzar.org/",CHAR(35),"/book/649263/p/-1/t/1/fs/0/start/0/end/0/c")</f>
        <v>https://tablet.otzar.org/#/book/649263/p/-1/t/1/fs/0/start/0/end/0/c</v>
      </c>
    </row>
    <row r="4367" spans="1:8" x14ac:dyDescent="0.25">
      <c r="A4367">
        <v>653807</v>
      </c>
      <c r="B4367" t="s">
        <v>8318</v>
      </c>
      <c r="C4367" t="s">
        <v>8317</v>
      </c>
      <c r="D4367" t="s">
        <v>424</v>
      </c>
      <c r="E4367" t="s">
        <v>643</v>
      </c>
      <c r="G4367" t="str">
        <f>HYPERLINK(_xlfn.CONCAT("https://tablet.otzar.org/",CHAR(35),"/book/653807/p/-1/t/1/fs/0/start/0/end/0/c"),"תערוכת החסידות")</f>
        <v>תערוכת החסידות</v>
      </c>
      <c r="H4367" t="str">
        <f>_xlfn.CONCAT("https://tablet.otzar.org/",CHAR(35),"/book/653807/p/-1/t/1/fs/0/start/0/end/0/c")</f>
        <v>https://tablet.otzar.org/#/book/653807/p/-1/t/1/fs/0/start/0/end/0/c</v>
      </c>
    </row>
    <row r="4368" spans="1:8" x14ac:dyDescent="0.25">
      <c r="A4368">
        <v>640369</v>
      </c>
      <c r="B4368" t="s">
        <v>8319</v>
      </c>
      <c r="C4368" t="s">
        <v>8320</v>
      </c>
      <c r="D4368" t="s">
        <v>3577</v>
      </c>
      <c r="E4368" t="s">
        <v>8321</v>
      </c>
      <c r="G4368" t="str">
        <f>HYPERLINK(_xlfn.CONCAT("https://tablet.otzar.org/",CHAR(35),"/book/640369/p/-1/t/1/fs/0/start/0/end/0/c"),"תפארת בחורים")</f>
        <v>תפארת בחורים</v>
      </c>
      <c r="H4368" t="str">
        <f>_xlfn.CONCAT("https://tablet.otzar.org/",CHAR(35),"/book/640369/p/-1/t/1/fs/0/start/0/end/0/c")</f>
        <v>https://tablet.otzar.org/#/book/640369/p/-1/t/1/fs/0/start/0/end/0/c</v>
      </c>
    </row>
    <row r="4369" spans="1:8" x14ac:dyDescent="0.25">
      <c r="A4369">
        <v>649199</v>
      </c>
      <c r="B4369" t="s">
        <v>8322</v>
      </c>
      <c r="C4369" t="s">
        <v>1194</v>
      </c>
      <c r="D4369" t="s">
        <v>1195</v>
      </c>
      <c r="E4369" t="s">
        <v>11</v>
      </c>
      <c r="G4369" t="str">
        <f>HYPERLINK(_xlfn.CONCAT("https://tablet.otzar.org/",CHAR(35),"/book/649199/p/-1/t/1/fs/0/start/0/end/0/c"),"תפארת בנים")</f>
        <v>תפארת בנים</v>
      </c>
      <c r="H4369" t="str">
        <f>_xlfn.CONCAT("https://tablet.otzar.org/",CHAR(35),"/book/649199/p/-1/t/1/fs/0/start/0/end/0/c")</f>
        <v>https://tablet.otzar.org/#/book/649199/p/-1/t/1/fs/0/start/0/end/0/c</v>
      </c>
    </row>
    <row r="4370" spans="1:8" x14ac:dyDescent="0.25">
      <c r="A4370">
        <v>649853</v>
      </c>
      <c r="B4370" t="s">
        <v>8323</v>
      </c>
      <c r="C4370" t="s">
        <v>8324</v>
      </c>
      <c r="D4370" t="s">
        <v>609</v>
      </c>
      <c r="E4370" t="s">
        <v>89</v>
      </c>
      <c r="G4370" t="str">
        <f>HYPERLINK(_xlfn.CONCAT("https://tablet.otzar.org/",CHAR(35),"/book/649853/p/-1/t/1/fs/0/start/0/end/0/c"),"תפארת הבית")</f>
        <v>תפארת הבית</v>
      </c>
      <c r="H4370" t="str">
        <f>_xlfn.CONCAT("https://tablet.otzar.org/",CHAR(35),"/book/649853/p/-1/t/1/fs/0/start/0/end/0/c")</f>
        <v>https://tablet.otzar.org/#/book/649853/p/-1/t/1/fs/0/start/0/end/0/c</v>
      </c>
    </row>
    <row r="4371" spans="1:8" x14ac:dyDescent="0.25">
      <c r="A4371">
        <v>650321</v>
      </c>
      <c r="B4371" t="s">
        <v>8325</v>
      </c>
      <c r="C4371" t="s">
        <v>8326</v>
      </c>
      <c r="D4371" t="s">
        <v>8327</v>
      </c>
      <c r="E4371" t="s">
        <v>35</v>
      </c>
      <c r="G4371" t="str">
        <f>HYPERLINK(_xlfn.CONCAT("https://tablet.otzar.org/",CHAR(35),"/exKotar/650321"),"תפארת ההלכה - 2 כרכים")</f>
        <v>תפארת ההלכה - 2 כרכים</v>
      </c>
      <c r="H4371" t="str">
        <f>_xlfn.CONCAT("https://tablet.otzar.org/",CHAR(35),"/exKotar/650321")</f>
        <v>https://tablet.otzar.org/#/exKotar/650321</v>
      </c>
    </row>
    <row r="4372" spans="1:8" x14ac:dyDescent="0.25">
      <c r="A4372">
        <v>652916</v>
      </c>
      <c r="B4372" t="s">
        <v>8328</v>
      </c>
      <c r="C4372" t="s">
        <v>5115</v>
      </c>
      <c r="D4372" t="s">
        <v>10</v>
      </c>
      <c r="E4372" t="s">
        <v>45</v>
      </c>
      <c r="G4372" t="str">
        <f>HYPERLINK(_xlfn.CONCAT("https://tablet.otzar.org/",CHAR(35),"/book/652916/p/-1/t/1/fs/0/start/0/end/0/c"),"תפארת השבת")</f>
        <v>תפארת השבת</v>
      </c>
      <c r="H4372" t="str">
        <f>_xlfn.CONCAT("https://tablet.otzar.org/",CHAR(35),"/book/652916/p/-1/t/1/fs/0/start/0/end/0/c")</f>
        <v>https://tablet.otzar.org/#/book/652916/p/-1/t/1/fs/0/start/0/end/0/c</v>
      </c>
    </row>
    <row r="4373" spans="1:8" x14ac:dyDescent="0.25">
      <c r="A4373">
        <v>650162</v>
      </c>
      <c r="B4373" t="s">
        <v>8328</v>
      </c>
      <c r="C4373" t="s">
        <v>8329</v>
      </c>
      <c r="D4373" t="s">
        <v>606</v>
      </c>
      <c r="E4373" t="s">
        <v>1608</v>
      </c>
      <c r="G4373" t="str">
        <f>HYPERLINK(_xlfn.CONCAT("https://tablet.otzar.org/",CHAR(35),"/book/650162/p/-1/t/1/fs/0/start/0/end/0/c"),"תפארת השבת")</f>
        <v>תפארת השבת</v>
      </c>
      <c r="H4373" t="str">
        <f>_xlfn.CONCAT("https://tablet.otzar.org/",CHAR(35),"/book/650162/p/-1/t/1/fs/0/start/0/end/0/c")</f>
        <v>https://tablet.otzar.org/#/book/650162/p/-1/t/1/fs/0/start/0/end/0/c</v>
      </c>
    </row>
    <row r="4374" spans="1:8" x14ac:dyDescent="0.25">
      <c r="A4374">
        <v>643162</v>
      </c>
      <c r="B4374" t="s">
        <v>8330</v>
      </c>
      <c r="C4374" t="s">
        <v>1352</v>
      </c>
      <c r="D4374" t="s">
        <v>34</v>
      </c>
      <c r="E4374" t="s">
        <v>1101</v>
      </c>
      <c r="G4374" t="str">
        <f>HYPERLINK(_xlfn.CONCAT("https://tablet.otzar.org/",CHAR(35),"/exKotar/643162"),"תפארת ישראל - 2 כרכים")</f>
        <v>תפארת ישראל - 2 כרכים</v>
      </c>
      <c r="H4374" t="str">
        <f>_xlfn.CONCAT("https://tablet.otzar.org/",CHAR(35),"/exKotar/643162")</f>
        <v>https://tablet.otzar.org/#/exKotar/643162</v>
      </c>
    </row>
    <row r="4375" spans="1:8" x14ac:dyDescent="0.25">
      <c r="A4375">
        <v>653729</v>
      </c>
      <c r="B4375" t="s">
        <v>8331</v>
      </c>
      <c r="C4375" t="s">
        <v>1151</v>
      </c>
      <c r="E4375" t="s">
        <v>11</v>
      </c>
      <c r="G4375" t="str">
        <f>HYPERLINK(_xlfn.CONCAT("https://tablet.otzar.org/",CHAR(35),"/book/653729/p/-1/t/1/fs/0/start/0/end/0/c"),"תפארת ציון - תקפו כהן")</f>
        <v>תפארת ציון - תקפו כהן</v>
      </c>
      <c r="H4375" t="str">
        <f>_xlfn.CONCAT("https://tablet.otzar.org/",CHAR(35),"/book/653729/p/-1/t/1/fs/0/start/0/end/0/c")</f>
        <v>https://tablet.otzar.org/#/book/653729/p/-1/t/1/fs/0/start/0/end/0/c</v>
      </c>
    </row>
    <row r="4376" spans="1:8" x14ac:dyDescent="0.25">
      <c r="A4376">
        <v>649061</v>
      </c>
      <c r="B4376" t="s">
        <v>8332</v>
      </c>
      <c r="C4376" t="s">
        <v>8333</v>
      </c>
      <c r="D4376" t="s">
        <v>10</v>
      </c>
      <c r="E4376" t="s">
        <v>11</v>
      </c>
      <c r="G4376" t="str">
        <f>HYPERLINK(_xlfn.CONCAT("https://tablet.otzar.org/",CHAR(35),"/book/649061/p/-1/t/1/fs/0/start/0/end/0/c"),"תפארת רפאל - א")</f>
        <v>תפארת רפאל - א</v>
      </c>
      <c r="H4376" t="str">
        <f>_xlfn.CONCAT("https://tablet.otzar.org/",CHAR(35),"/book/649061/p/-1/t/1/fs/0/start/0/end/0/c")</f>
        <v>https://tablet.otzar.org/#/book/649061/p/-1/t/1/fs/0/start/0/end/0/c</v>
      </c>
    </row>
    <row r="4377" spans="1:8" x14ac:dyDescent="0.25">
      <c r="A4377">
        <v>647271</v>
      </c>
      <c r="B4377" t="s">
        <v>8334</v>
      </c>
      <c r="C4377" t="s">
        <v>1628</v>
      </c>
      <c r="D4377" t="s">
        <v>424</v>
      </c>
      <c r="E4377" t="s">
        <v>200</v>
      </c>
      <c r="G4377" t="str">
        <f>HYPERLINK(_xlfn.CONCAT("https://tablet.otzar.org/",CHAR(35),"/exKotar/647271"),"תפארת שבמלכות &lt;מהדורה מחודשת&gt;  - 2 כרכים")</f>
        <v>תפארת שבמלכות &lt;מהדורה מחודשת&gt;  - 2 כרכים</v>
      </c>
      <c r="H4377" t="str">
        <f>_xlfn.CONCAT("https://tablet.otzar.org/",CHAR(35),"/exKotar/647271")</f>
        <v>https://tablet.otzar.org/#/exKotar/647271</v>
      </c>
    </row>
    <row r="4378" spans="1:8" x14ac:dyDescent="0.25">
      <c r="A4378">
        <v>650478</v>
      </c>
      <c r="B4378" t="s">
        <v>8335</v>
      </c>
      <c r="C4378" t="s">
        <v>4959</v>
      </c>
      <c r="D4378" t="s">
        <v>287</v>
      </c>
      <c r="E4378" t="s">
        <v>11</v>
      </c>
      <c r="G4378" t="str">
        <f>HYPERLINK(_xlfn.CONCAT("https://tablet.otzar.org/",CHAR(35),"/exKotar/650478"),"תפארת שלמה &lt;יודעי בינה&gt; מועדים, חנוכה - 3 כרכים")</f>
        <v>תפארת שלמה &lt;יודעי בינה&gt; מועדים, חנוכה - 3 כרכים</v>
      </c>
      <c r="H4378" t="str">
        <f>_xlfn.CONCAT("https://tablet.otzar.org/",CHAR(35),"/exKotar/650478")</f>
        <v>https://tablet.otzar.org/#/exKotar/650478</v>
      </c>
    </row>
    <row r="4379" spans="1:8" x14ac:dyDescent="0.25">
      <c r="A4379">
        <v>649855</v>
      </c>
      <c r="B4379" t="s">
        <v>8336</v>
      </c>
      <c r="C4379" t="s">
        <v>8337</v>
      </c>
      <c r="D4379" t="s">
        <v>2314</v>
      </c>
      <c r="E4379" t="s">
        <v>1460</v>
      </c>
      <c r="G4379" t="str">
        <f>HYPERLINK(_xlfn.CONCAT("https://tablet.otzar.org/",CHAR(35),"/book/649855/p/-1/t/1/fs/0/start/0/end/0/c"),"תפארת שמעון - ימים נוראים")</f>
        <v>תפארת שמעון - ימים נוראים</v>
      </c>
      <c r="H4379" t="str">
        <f>_xlfn.CONCAT("https://tablet.otzar.org/",CHAR(35),"/book/649855/p/-1/t/1/fs/0/start/0/end/0/c")</f>
        <v>https://tablet.otzar.org/#/book/649855/p/-1/t/1/fs/0/start/0/end/0/c</v>
      </c>
    </row>
    <row r="4380" spans="1:8" x14ac:dyDescent="0.25">
      <c r="A4380">
        <v>653723</v>
      </c>
      <c r="B4380" t="s">
        <v>8338</v>
      </c>
      <c r="C4380" t="s">
        <v>8339</v>
      </c>
      <c r="E4380" t="s">
        <v>11</v>
      </c>
      <c r="G4380" t="str">
        <f>HYPERLINK(_xlfn.CONCAT("https://tablet.otzar.org/",CHAR(35),"/book/653723/p/-1/t/1/fs/0/start/0/end/0/c"),"תפילה")</f>
        <v>תפילה</v>
      </c>
      <c r="H4380" t="str">
        <f>_xlfn.CONCAT("https://tablet.otzar.org/",CHAR(35),"/book/653723/p/-1/t/1/fs/0/start/0/end/0/c")</f>
        <v>https://tablet.otzar.org/#/book/653723/p/-1/t/1/fs/0/start/0/end/0/c</v>
      </c>
    </row>
    <row r="4381" spans="1:8" x14ac:dyDescent="0.25">
      <c r="A4381">
        <v>651986</v>
      </c>
      <c r="B4381" t="s">
        <v>8340</v>
      </c>
      <c r="C4381" t="s">
        <v>6425</v>
      </c>
      <c r="D4381" t="s">
        <v>386</v>
      </c>
      <c r="E4381" t="s">
        <v>405</v>
      </c>
      <c r="G4381" t="str">
        <f>HYPERLINK(_xlfn.CONCAT("https://tablet.otzar.org/",CHAR(35),"/book/651986/p/-1/t/1/fs/0/start/0/end/0/c"),"תפילין")</f>
        <v>תפילין</v>
      </c>
      <c r="H4381" t="str">
        <f>_xlfn.CONCAT("https://tablet.otzar.org/",CHAR(35),"/book/651986/p/-1/t/1/fs/0/start/0/end/0/c")</f>
        <v>https://tablet.otzar.org/#/book/651986/p/-1/t/1/fs/0/start/0/end/0/c</v>
      </c>
    </row>
    <row r="4382" spans="1:8" x14ac:dyDescent="0.25">
      <c r="A4382">
        <v>655207</v>
      </c>
      <c r="B4382" t="s">
        <v>8341</v>
      </c>
      <c r="C4382" t="s">
        <v>928</v>
      </c>
      <c r="D4382" t="s">
        <v>287</v>
      </c>
      <c r="E4382" t="s">
        <v>320</v>
      </c>
      <c r="G4382" t="str">
        <f>HYPERLINK(_xlfn.CONCAT("https://tablet.otzar.org/",CHAR(35),"/exKotar/655207"),"תפילת הסופר - 2 כרכים")</f>
        <v>תפילת הסופר - 2 כרכים</v>
      </c>
      <c r="H4382" t="str">
        <f>_xlfn.CONCAT("https://tablet.otzar.org/",CHAR(35),"/exKotar/655207")</f>
        <v>https://tablet.otzar.org/#/exKotar/655207</v>
      </c>
    </row>
    <row r="4383" spans="1:8" x14ac:dyDescent="0.25">
      <c r="A4383">
        <v>650320</v>
      </c>
      <c r="B4383" t="s">
        <v>8342</v>
      </c>
      <c r="C4383" t="s">
        <v>421</v>
      </c>
      <c r="D4383" t="s">
        <v>340</v>
      </c>
      <c r="E4383" t="s">
        <v>11</v>
      </c>
      <c r="G4383" t="str">
        <f>HYPERLINK(_xlfn.CONCAT("https://tablet.otzar.org/",CHAR(35),"/book/650320/p/-1/t/1/fs/0/start/0/end/0/c"),"תפילת הצדיקים")</f>
        <v>תפילת הצדיקים</v>
      </c>
      <c r="H4383" t="str">
        <f>_xlfn.CONCAT("https://tablet.otzar.org/",CHAR(35),"/book/650320/p/-1/t/1/fs/0/start/0/end/0/c")</f>
        <v>https://tablet.otzar.org/#/book/650320/p/-1/t/1/fs/0/start/0/end/0/c</v>
      </c>
    </row>
    <row r="4384" spans="1:8" x14ac:dyDescent="0.25">
      <c r="A4384">
        <v>648873</v>
      </c>
      <c r="B4384" t="s">
        <v>8343</v>
      </c>
      <c r="C4384" t="s">
        <v>2104</v>
      </c>
      <c r="D4384" t="s">
        <v>52</v>
      </c>
      <c r="E4384" t="s">
        <v>62</v>
      </c>
      <c r="G4384" t="str">
        <f>HYPERLINK(_xlfn.CONCAT("https://tablet.otzar.org/",CHAR(35),"/book/648873/p/-1/t/1/fs/0/start/0/end/0/c"),"תפילת נחם במשנת הדבר יהושע")</f>
        <v>תפילת נחם במשנת הדבר יהושע</v>
      </c>
      <c r="H4384" t="str">
        <f>_xlfn.CONCAT("https://tablet.otzar.org/",CHAR(35),"/book/648873/p/-1/t/1/fs/0/start/0/end/0/c")</f>
        <v>https://tablet.otzar.org/#/book/648873/p/-1/t/1/fs/0/start/0/end/0/c</v>
      </c>
    </row>
    <row r="4385" spans="1:8" x14ac:dyDescent="0.25">
      <c r="A4385">
        <v>651778</v>
      </c>
      <c r="B4385" t="s">
        <v>8344</v>
      </c>
      <c r="C4385" t="s">
        <v>2290</v>
      </c>
      <c r="D4385" t="s">
        <v>10</v>
      </c>
      <c r="E4385" t="s">
        <v>11</v>
      </c>
      <c r="G4385" t="str">
        <f>HYPERLINK(_xlfn.CONCAT("https://tablet.otzar.org/",CHAR(35),"/book/651778/p/-1/t/1/fs/0/start/0/end/0/c"),"תפיסת כהן - ב""""מ, שבועות")</f>
        <v>תפיסת כהן - ב""מ, שבועות</v>
      </c>
      <c r="H4385" t="str">
        <f>_xlfn.CONCAT("https://tablet.otzar.org/",CHAR(35),"/book/651778/p/-1/t/1/fs/0/start/0/end/0/c")</f>
        <v>https://tablet.otzar.org/#/book/651778/p/-1/t/1/fs/0/start/0/end/0/c</v>
      </c>
    </row>
    <row r="4386" spans="1:8" x14ac:dyDescent="0.25">
      <c r="A4386">
        <v>649931</v>
      </c>
      <c r="B4386" t="s">
        <v>8345</v>
      </c>
      <c r="C4386" t="s">
        <v>8338</v>
      </c>
      <c r="D4386" t="s">
        <v>10</v>
      </c>
      <c r="E4386" t="s">
        <v>2523</v>
      </c>
      <c r="G4386" t="str">
        <f>HYPERLINK(_xlfn.CONCAT("https://tablet.otzar.org/",CHAR(35),"/book/649931/p/-1/t/1/fs/0/start/0/end/0/c"),"תפלה אצל כותל המערבי")</f>
        <v>תפלה אצל כותל המערבי</v>
      </c>
      <c r="H4386" t="str">
        <f>_xlfn.CONCAT("https://tablet.otzar.org/",CHAR(35),"/book/649931/p/-1/t/1/fs/0/start/0/end/0/c")</f>
        <v>https://tablet.otzar.org/#/book/649931/p/-1/t/1/fs/0/start/0/end/0/c</v>
      </c>
    </row>
    <row r="4387" spans="1:8" x14ac:dyDescent="0.25">
      <c r="A4387">
        <v>651981</v>
      </c>
      <c r="B4387" t="s">
        <v>8346</v>
      </c>
      <c r="C4387" t="s">
        <v>8347</v>
      </c>
      <c r="D4387" t="s">
        <v>52</v>
      </c>
      <c r="E4387" t="s">
        <v>45</v>
      </c>
      <c r="G4387" t="str">
        <f>HYPERLINK(_xlfn.CONCAT("https://tablet.otzar.org/",CHAR(35),"/book/651981/p/-1/t/1/fs/0/start/0/end/0/c"),"תפלת אבי")</f>
        <v>תפלת אבי</v>
      </c>
      <c r="H4387" t="str">
        <f>_xlfn.CONCAT("https://tablet.otzar.org/",CHAR(35),"/book/651981/p/-1/t/1/fs/0/start/0/end/0/c")</f>
        <v>https://tablet.otzar.org/#/book/651981/p/-1/t/1/fs/0/start/0/end/0/c</v>
      </c>
    </row>
    <row r="4388" spans="1:8" x14ac:dyDescent="0.25">
      <c r="A4388">
        <v>650487</v>
      </c>
      <c r="B4388" t="s">
        <v>8348</v>
      </c>
      <c r="C4388" t="s">
        <v>8349</v>
      </c>
      <c r="D4388" t="s">
        <v>8350</v>
      </c>
      <c r="E4388" t="s">
        <v>8351</v>
      </c>
      <c r="G4388" t="str">
        <f>HYPERLINK(_xlfn.CONCAT("https://tablet.otzar.org/",CHAR(35),"/book/650487/p/-1/t/1/fs/0/start/0/end/0/c"),"תקון חצות &lt;אשר הנהיג לומר בין המצרים אחר חצות היום החכם... משה זכות&gt;")</f>
        <v>תקון חצות &lt;אשר הנהיג לומר בין המצרים אחר חצות היום החכם... משה זכות&gt;</v>
      </c>
      <c r="H4388" t="str">
        <f>_xlfn.CONCAT("https://tablet.otzar.org/",CHAR(35),"/book/650487/p/-1/t/1/fs/0/start/0/end/0/c")</f>
        <v>https://tablet.otzar.org/#/book/650487/p/-1/t/1/fs/0/start/0/end/0/c</v>
      </c>
    </row>
    <row r="4389" spans="1:8" x14ac:dyDescent="0.25">
      <c r="A4389">
        <v>650501</v>
      </c>
      <c r="B4389" t="s">
        <v>8352</v>
      </c>
      <c r="C4389" t="s">
        <v>8353</v>
      </c>
      <c r="D4389" t="s">
        <v>5643</v>
      </c>
      <c r="E4389" t="s">
        <v>577</v>
      </c>
      <c r="G4389" t="str">
        <f>HYPERLINK(_xlfn.CONCAT("https://tablet.otzar.org/",CHAR(35),"/book/650501/p/-1/t/1/fs/0/start/0/end/0/c"),"תקון חצות")</f>
        <v>תקון חצות</v>
      </c>
      <c r="H4389" t="str">
        <f>_xlfn.CONCAT("https://tablet.otzar.org/",CHAR(35),"/book/650501/p/-1/t/1/fs/0/start/0/end/0/c")</f>
        <v>https://tablet.otzar.org/#/book/650501/p/-1/t/1/fs/0/start/0/end/0/c</v>
      </c>
    </row>
    <row r="4390" spans="1:8" x14ac:dyDescent="0.25">
      <c r="A4390">
        <v>652805</v>
      </c>
      <c r="B4390" t="s">
        <v>8352</v>
      </c>
      <c r="C4390" t="s">
        <v>851</v>
      </c>
      <c r="D4390" t="s">
        <v>129</v>
      </c>
      <c r="E4390" t="s">
        <v>914</v>
      </c>
      <c r="G4390" t="str">
        <f>HYPERLINK(_xlfn.CONCAT("https://tablet.otzar.org/",CHAR(35),"/book/652805/p/-1/t/1/fs/0/start/0/end/0/c"),"תקון חצות")</f>
        <v>תקון חצות</v>
      </c>
      <c r="H4390" t="str">
        <f>_xlfn.CONCAT("https://tablet.otzar.org/",CHAR(35),"/book/652805/p/-1/t/1/fs/0/start/0/end/0/c")</f>
        <v>https://tablet.otzar.org/#/book/652805/p/-1/t/1/fs/0/start/0/end/0/c</v>
      </c>
    </row>
    <row r="4391" spans="1:8" x14ac:dyDescent="0.25">
      <c r="A4391">
        <v>650500</v>
      </c>
      <c r="B4391" t="s">
        <v>8354</v>
      </c>
      <c r="C4391" t="s">
        <v>8355</v>
      </c>
      <c r="D4391" t="s">
        <v>8356</v>
      </c>
      <c r="E4391" t="s">
        <v>2523</v>
      </c>
      <c r="G4391" t="str">
        <f>HYPERLINK(_xlfn.CONCAT("https://tablet.otzar.org/",CHAR(35),"/book/650500/p/-1/t/1/fs/0/start/0/end/0/c"),"תקון חצות השלם")</f>
        <v>תקון חצות השלם</v>
      </c>
      <c r="H4391" t="str">
        <f>_xlfn.CONCAT("https://tablet.otzar.org/",CHAR(35),"/book/650500/p/-1/t/1/fs/0/start/0/end/0/c")</f>
        <v>https://tablet.otzar.org/#/book/650500/p/-1/t/1/fs/0/start/0/end/0/c</v>
      </c>
    </row>
    <row r="4392" spans="1:8" x14ac:dyDescent="0.25">
      <c r="A4392">
        <v>650461</v>
      </c>
      <c r="B4392" t="s">
        <v>8357</v>
      </c>
      <c r="C4392" t="s">
        <v>8358</v>
      </c>
      <c r="D4392" t="s">
        <v>8359</v>
      </c>
      <c r="E4392" t="s">
        <v>8360</v>
      </c>
      <c r="G4392" t="str">
        <f>HYPERLINK(_xlfn.CONCAT("https://tablet.otzar.org/",CHAR(35),"/book/650461/p/-1/t/1/fs/0/start/0/end/0/c"),"תקון לליל ל""""ג לעומר")</f>
        <v>תקון לליל ל""ג לעומר</v>
      </c>
      <c r="H4392" t="str">
        <f>_xlfn.CONCAT("https://tablet.otzar.org/",CHAR(35),"/book/650461/p/-1/t/1/fs/0/start/0/end/0/c")</f>
        <v>https://tablet.otzar.org/#/book/650461/p/-1/t/1/fs/0/start/0/end/0/c</v>
      </c>
    </row>
    <row r="4393" spans="1:8" x14ac:dyDescent="0.25">
      <c r="A4393">
        <v>650513</v>
      </c>
      <c r="B4393" t="s">
        <v>8357</v>
      </c>
      <c r="C4393" t="s">
        <v>8361</v>
      </c>
      <c r="D4393" t="s">
        <v>8362</v>
      </c>
      <c r="E4393" t="s">
        <v>81</v>
      </c>
      <c r="G4393" t="str">
        <f>HYPERLINK(_xlfn.CONCAT("https://tablet.otzar.org/",CHAR(35),"/book/650513/p/-1/t/1/fs/0/start/0/end/0/c"),"תקון לליל ל""""ג לעומר")</f>
        <v>תקון לליל ל""ג לעומר</v>
      </c>
      <c r="H4393" t="str">
        <f>_xlfn.CONCAT("https://tablet.otzar.org/",CHAR(35),"/book/650513/p/-1/t/1/fs/0/start/0/end/0/c")</f>
        <v>https://tablet.otzar.org/#/book/650513/p/-1/t/1/fs/0/start/0/end/0/c</v>
      </c>
    </row>
    <row r="4394" spans="1:8" x14ac:dyDescent="0.25">
      <c r="A4394">
        <v>653198</v>
      </c>
      <c r="B4394" t="s">
        <v>8363</v>
      </c>
      <c r="C4394" t="s">
        <v>6047</v>
      </c>
      <c r="D4394" t="s">
        <v>58</v>
      </c>
      <c r="E4394" t="s">
        <v>636</v>
      </c>
      <c r="G4394" t="str">
        <f>HYPERLINK(_xlfn.CONCAT("https://tablet.otzar.org/",CHAR(35),"/book/653198/p/-1/t/1/fs/0/start/0/end/0/c"),"תקון שבועות על הנהר")</f>
        <v>תקון שבועות על הנהר</v>
      </c>
      <c r="H4394" t="str">
        <f>_xlfn.CONCAT("https://tablet.otzar.org/",CHAR(35),"/book/653198/p/-1/t/1/fs/0/start/0/end/0/c")</f>
        <v>https://tablet.otzar.org/#/book/653198/p/-1/t/1/fs/0/start/0/end/0/c</v>
      </c>
    </row>
    <row r="4395" spans="1:8" x14ac:dyDescent="0.25">
      <c r="A4395">
        <v>650459</v>
      </c>
      <c r="B4395" t="s">
        <v>8364</v>
      </c>
      <c r="C4395" t="s">
        <v>8365</v>
      </c>
      <c r="D4395" t="s">
        <v>8366</v>
      </c>
      <c r="E4395" t="s">
        <v>8367</v>
      </c>
      <c r="G4395" t="str">
        <f>HYPERLINK(_xlfn.CONCAT("https://tablet.otzar.org/",CHAR(35),"/book/650459/p/-1/t/1/fs/0/start/0/end/0/c"),"תקון שובבי""""ם")</f>
        <v>תקון שובבי""ם</v>
      </c>
      <c r="H4395" t="str">
        <f>_xlfn.CONCAT("https://tablet.otzar.org/",CHAR(35),"/book/650459/p/-1/t/1/fs/0/start/0/end/0/c")</f>
        <v>https://tablet.otzar.org/#/book/650459/p/-1/t/1/fs/0/start/0/end/0/c</v>
      </c>
    </row>
    <row r="4396" spans="1:8" x14ac:dyDescent="0.25">
      <c r="A4396">
        <v>650456</v>
      </c>
      <c r="B4396" t="s">
        <v>8368</v>
      </c>
      <c r="C4396" t="s">
        <v>8369</v>
      </c>
      <c r="D4396" t="s">
        <v>8275</v>
      </c>
      <c r="E4396" t="s">
        <v>8370</v>
      </c>
      <c r="G4396" t="str">
        <f>HYPERLINK(_xlfn.CONCAT("https://tablet.otzar.org/",CHAR(35),"/book/650456/p/-1/t/1/fs/0/start/0/end/0/c"),"תקון שובבים")</f>
        <v>תקון שובבים</v>
      </c>
      <c r="H4396" t="str">
        <f>_xlfn.CONCAT("https://tablet.otzar.org/",CHAR(35),"/book/650456/p/-1/t/1/fs/0/start/0/end/0/c")</f>
        <v>https://tablet.otzar.org/#/book/650456/p/-1/t/1/fs/0/start/0/end/0/c</v>
      </c>
    </row>
    <row r="4397" spans="1:8" x14ac:dyDescent="0.25">
      <c r="A4397">
        <v>649571</v>
      </c>
      <c r="B4397" t="s">
        <v>8371</v>
      </c>
      <c r="C4397" t="s">
        <v>8372</v>
      </c>
      <c r="D4397" t="s">
        <v>8373</v>
      </c>
      <c r="E4397">
        <v>1773</v>
      </c>
      <c r="G4397" t="str">
        <f>HYPERLINK(_xlfn.CONCAT("https://tablet.otzar.org/",CHAR(35),"/book/649571/p/-1/t/1/fs/0/start/0/end/0/c"),"תקוני שטרות")</f>
        <v>תקוני שטרות</v>
      </c>
      <c r="H4397" t="str">
        <f>_xlfn.CONCAT("https://tablet.otzar.org/",CHAR(35),"/book/649571/p/-1/t/1/fs/0/start/0/end/0/c")</f>
        <v>https://tablet.otzar.org/#/book/649571/p/-1/t/1/fs/0/start/0/end/0/c</v>
      </c>
    </row>
    <row r="4398" spans="1:8" x14ac:dyDescent="0.25">
      <c r="A4398">
        <v>647585</v>
      </c>
      <c r="B4398" t="s">
        <v>8374</v>
      </c>
      <c r="C4398" t="s">
        <v>8375</v>
      </c>
      <c r="D4398" t="s">
        <v>58</v>
      </c>
      <c r="E4398" t="s">
        <v>1715</v>
      </c>
      <c r="G4398" t="str">
        <f>HYPERLINK(_xlfn.CONCAT("https://tablet.otzar.org/",CHAR(35),"/book/647585/p/-1/t/1/fs/0/start/0/end/0/c"),"תקופת החמה וברכתה")</f>
        <v>תקופת החמה וברכתה</v>
      </c>
      <c r="H4398" t="str">
        <f>_xlfn.CONCAT("https://tablet.otzar.org/",CHAR(35),"/book/647585/p/-1/t/1/fs/0/start/0/end/0/c")</f>
        <v>https://tablet.otzar.org/#/book/647585/p/-1/t/1/fs/0/start/0/end/0/c</v>
      </c>
    </row>
    <row r="4399" spans="1:8" x14ac:dyDescent="0.25">
      <c r="A4399">
        <v>647902</v>
      </c>
      <c r="B4399" t="s">
        <v>8376</v>
      </c>
      <c r="C4399" t="s">
        <v>8377</v>
      </c>
      <c r="D4399" t="s">
        <v>58</v>
      </c>
      <c r="E4399" t="s">
        <v>1919</v>
      </c>
      <c r="G4399" t="str">
        <f>HYPERLINK(_xlfn.CONCAT("https://tablet.otzar.org/",CHAR(35),"/book/647902/p/-1/t/1/fs/0/start/0/end/0/c"),"תקות ציון")</f>
        <v>תקות ציון</v>
      </c>
      <c r="H4399" t="str">
        <f>_xlfn.CONCAT("https://tablet.otzar.org/",CHAR(35),"/book/647902/p/-1/t/1/fs/0/start/0/end/0/c")</f>
        <v>https://tablet.otzar.org/#/book/647902/p/-1/t/1/fs/0/start/0/end/0/c</v>
      </c>
    </row>
    <row r="4400" spans="1:8" x14ac:dyDescent="0.25">
      <c r="A4400">
        <v>652646</v>
      </c>
      <c r="B4400" t="s">
        <v>8378</v>
      </c>
      <c r="C4400" t="s">
        <v>8379</v>
      </c>
      <c r="D4400" t="s">
        <v>424</v>
      </c>
      <c r="E4400" t="s">
        <v>2057</v>
      </c>
      <c r="G4400" t="str">
        <f>HYPERLINK(_xlfn.CONCAT("https://tablet.otzar.org/",CHAR(35),"/book/652646/p/-1/t/1/fs/0/start/0/end/0/c"),"תקנות החברה לגמילת חסדים אחיעזר")</f>
        <v>תקנות החברה לגמילת חסדים אחיעזר</v>
      </c>
      <c r="H4400" t="str">
        <f>_xlfn.CONCAT("https://tablet.otzar.org/",CHAR(35),"/book/652646/p/-1/t/1/fs/0/start/0/end/0/c")</f>
        <v>https://tablet.otzar.org/#/book/652646/p/-1/t/1/fs/0/start/0/end/0/c</v>
      </c>
    </row>
    <row r="4401" spans="1:8" x14ac:dyDescent="0.25">
      <c r="A4401">
        <v>649274</v>
      </c>
      <c r="B4401" t="s">
        <v>8380</v>
      </c>
      <c r="C4401" t="s">
        <v>8381</v>
      </c>
      <c r="D4401" t="s">
        <v>58</v>
      </c>
      <c r="E4401" t="s">
        <v>2523</v>
      </c>
      <c r="G4401" t="str">
        <f>HYPERLINK(_xlfn.CONCAT("https://tablet.otzar.org/",CHAR(35),"/book/649274/p/-1/t/1/fs/0/start/0/end/0/c"),"תקנות ופעולות")</f>
        <v>תקנות ופעולות</v>
      </c>
      <c r="H4401" t="str">
        <f>_xlfn.CONCAT("https://tablet.otzar.org/",CHAR(35),"/book/649274/p/-1/t/1/fs/0/start/0/end/0/c")</f>
        <v>https://tablet.otzar.org/#/book/649274/p/-1/t/1/fs/0/start/0/end/0/c</v>
      </c>
    </row>
    <row r="4402" spans="1:8" x14ac:dyDescent="0.25">
      <c r="A4402">
        <v>649247</v>
      </c>
      <c r="B4402" t="s">
        <v>8382</v>
      </c>
      <c r="C4402" t="s">
        <v>8383</v>
      </c>
      <c r="D4402" t="s">
        <v>681</v>
      </c>
      <c r="E4402" t="s">
        <v>4984</v>
      </c>
      <c r="G4402" t="str">
        <f>HYPERLINK(_xlfn.CONCAT("https://tablet.otzar.org/",CHAR(35),"/book/649247/p/-1/t/1/fs/0/start/0/end/0/c"),"תקנות כולל עס' אונגארן")</f>
        <v>תקנות כולל עס' אונגארן</v>
      </c>
      <c r="H4402" t="str">
        <f>_xlfn.CONCAT("https://tablet.otzar.org/",CHAR(35),"/book/649247/p/-1/t/1/fs/0/start/0/end/0/c")</f>
        <v>https://tablet.otzar.org/#/book/649247/p/-1/t/1/fs/0/start/0/end/0/c</v>
      </c>
    </row>
    <row r="4403" spans="1:8" x14ac:dyDescent="0.25">
      <c r="A4403">
        <v>650497</v>
      </c>
      <c r="B4403" t="s">
        <v>8384</v>
      </c>
      <c r="C4403" t="s">
        <v>4413</v>
      </c>
      <c r="D4403" t="s">
        <v>10</v>
      </c>
      <c r="E4403" t="s">
        <v>8385</v>
      </c>
      <c r="G4403" t="str">
        <f>HYPERLINK(_xlfn.CONCAT("https://tablet.otzar.org/",CHAR(35),"/book/650497/p/-1/t/1/fs/0/start/0/end/0/c"),"תקנת השבים")</f>
        <v>תקנת השבים</v>
      </c>
      <c r="H4403" t="str">
        <f>_xlfn.CONCAT("https://tablet.otzar.org/",CHAR(35),"/book/650497/p/-1/t/1/fs/0/start/0/end/0/c")</f>
        <v>https://tablet.otzar.org/#/book/650497/p/-1/t/1/fs/0/start/0/end/0/c</v>
      </c>
    </row>
    <row r="4404" spans="1:8" x14ac:dyDescent="0.25">
      <c r="A4404">
        <v>653322</v>
      </c>
      <c r="B4404" t="s">
        <v>8386</v>
      </c>
      <c r="C4404" t="s">
        <v>8387</v>
      </c>
      <c r="D4404" t="s">
        <v>8388</v>
      </c>
      <c r="E4404" t="s">
        <v>8389</v>
      </c>
      <c r="G4404" t="str">
        <f>HYPERLINK(_xlfn.CONCAT("https://tablet.otzar.org/",CHAR(35),"/book/653322/p/-1/t/1/fs/0/start/0/end/0/c"),"תקפו של יוסף")</f>
        <v>תקפו של יוסף</v>
      </c>
      <c r="H4404" t="str">
        <f>_xlfn.CONCAT("https://tablet.otzar.org/",CHAR(35),"/book/653322/p/-1/t/1/fs/0/start/0/end/0/c")</f>
        <v>https://tablet.otzar.org/#/book/653322/p/-1/t/1/fs/0/start/0/end/0/c</v>
      </c>
    </row>
    <row r="4405" spans="1:8" x14ac:dyDescent="0.25">
      <c r="A4405">
        <v>647382</v>
      </c>
      <c r="B4405" t="s">
        <v>8390</v>
      </c>
      <c r="C4405" t="s">
        <v>1279</v>
      </c>
      <c r="D4405" t="s">
        <v>10</v>
      </c>
      <c r="E4405" t="s">
        <v>130</v>
      </c>
      <c r="G4405" t="str">
        <f>HYPERLINK(_xlfn.CONCAT("https://tablet.otzar.org/",CHAR(35),"/book/647382/p/-1/t/1/fs/0/start/0/end/0/c"),"תרגום איכה")</f>
        <v>תרגום איכה</v>
      </c>
      <c r="H4405" t="str">
        <f>_xlfn.CONCAT("https://tablet.otzar.org/",CHAR(35),"/book/647382/p/-1/t/1/fs/0/start/0/end/0/c")</f>
        <v>https://tablet.otzar.org/#/book/647382/p/-1/t/1/fs/0/start/0/end/0/c</v>
      </c>
    </row>
    <row r="4406" spans="1:8" x14ac:dyDescent="0.25">
      <c r="A4406">
        <v>652741</v>
      </c>
      <c r="B4406" t="s">
        <v>8391</v>
      </c>
      <c r="C4406" t="s">
        <v>8392</v>
      </c>
      <c r="D4406" t="s">
        <v>347</v>
      </c>
      <c r="E4406" t="s">
        <v>3423</v>
      </c>
      <c r="G4406" t="str">
        <f>HYPERLINK(_xlfn.CONCAT("https://tablet.otzar.org/",CHAR(35),"/exKotar/652741"),"תרגום יונתן על התורה &lt;נער יונתן&gt;  - 2 כרכים")</f>
        <v>תרגום יונתן על התורה &lt;נער יונתן&gt;  - 2 כרכים</v>
      </c>
      <c r="H4406" t="str">
        <f>_xlfn.CONCAT("https://tablet.otzar.org/",CHAR(35),"/exKotar/652741")</f>
        <v>https://tablet.otzar.org/#/exKotar/652741</v>
      </c>
    </row>
    <row r="4407" spans="1:8" x14ac:dyDescent="0.25">
      <c r="A4407">
        <v>651436</v>
      </c>
      <c r="B4407" t="s">
        <v>8393</v>
      </c>
      <c r="C4407" t="s">
        <v>4287</v>
      </c>
      <c r="D4407" t="s">
        <v>10</v>
      </c>
      <c r="E4407" t="s">
        <v>5893</v>
      </c>
      <c r="G4407" t="str">
        <f>HYPERLINK(_xlfn.CONCAT("https://tablet.otzar.org/",CHAR(35),"/book/651436/p/-1/t/1/fs/0/start/0/end/0/c"),"תרגום מגילת אסתר לאידיש")</f>
        <v>תרגום מגילת אסתר לאידיש</v>
      </c>
      <c r="H4407" t="str">
        <f>_xlfn.CONCAT("https://tablet.otzar.org/",CHAR(35),"/book/651436/p/-1/t/1/fs/0/start/0/end/0/c")</f>
        <v>https://tablet.otzar.org/#/book/651436/p/-1/t/1/fs/0/start/0/end/0/c</v>
      </c>
    </row>
    <row r="4408" spans="1:8" x14ac:dyDescent="0.25">
      <c r="A4408">
        <v>649463</v>
      </c>
      <c r="B4408" t="s">
        <v>8394</v>
      </c>
      <c r="C4408" t="s">
        <v>8395</v>
      </c>
      <c r="D4408" t="s">
        <v>8396</v>
      </c>
      <c r="E4408" t="s">
        <v>2515</v>
      </c>
      <c r="G4408" t="str">
        <f>HYPERLINK(_xlfn.CONCAT("https://tablet.otzar.org/",CHAR(35),"/book/649463/p/-1/t/1/fs/0/start/0/end/0/c"),"תרגום עשרת הדברות")</f>
        <v>תרגום עשרת הדברות</v>
      </c>
      <c r="H4408" t="str">
        <f>_xlfn.CONCAT("https://tablet.otzar.org/",CHAR(35),"/book/649463/p/-1/t/1/fs/0/start/0/end/0/c")</f>
        <v>https://tablet.otzar.org/#/book/649463/p/-1/t/1/fs/0/start/0/end/0/c</v>
      </c>
    </row>
    <row r="4409" spans="1:8" x14ac:dyDescent="0.25">
      <c r="A4409">
        <v>647376</v>
      </c>
      <c r="B4409" t="s">
        <v>8397</v>
      </c>
      <c r="C4409" t="s">
        <v>2806</v>
      </c>
      <c r="D4409" t="s">
        <v>8398</v>
      </c>
      <c r="E4409" t="s">
        <v>70</v>
      </c>
      <c r="G4409" t="str">
        <f>HYPERLINK(_xlfn.CONCAT("https://tablet.otzar.org/",CHAR(35),"/book/647376/p/-1/t/1/fs/0/start/0/end/0/c"),"תרגומים עברים מספרות אנגלית - יהודית")</f>
        <v>תרגומים עברים מספרות אנגלית - יהודית</v>
      </c>
      <c r="H4409" t="str">
        <f>_xlfn.CONCAT("https://tablet.otzar.org/",CHAR(35),"/book/647376/p/-1/t/1/fs/0/start/0/end/0/c")</f>
        <v>https://tablet.otzar.org/#/book/647376/p/-1/t/1/fs/0/start/0/end/0/c</v>
      </c>
    </row>
    <row r="4410" spans="1:8" x14ac:dyDescent="0.25">
      <c r="A4410">
        <v>649787</v>
      </c>
      <c r="B4410" t="s">
        <v>8399</v>
      </c>
      <c r="C4410" t="s">
        <v>8400</v>
      </c>
      <c r="D4410" t="s">
        <v>34</v>
      </c>
      <c r="E4410" t="s">
        <v>70</v>
      </c>
      <c r="G4410" t="str">
        <f>HYPERLINK(_xlfn.CONCAT("https://tablet.otzar.org/",CHAR(35),"/book/649787/p/-1/t/1/fs/0/start/0/end/0/c"),"תרומות ומעשרות - בענין עישור מוצרים שבהשגחה מעולה")</f>
        <v>תרומות ומעשרות - בענין עישור מוצרים שבהשגחה מעולה</v>
      </c>
      <c r="H4410" t="str">
        <f>_xlfn.CONCAT("https://tablet.otzar.org/",CHAR(35),"/book/649787/p/-1/t/1/fs/0/start/0/end/0/c")</f>
        <v>https://tablet.otzar.org/#/book/649787/p/-1/t/1/fs/0/start/0/end/0/c</v>
      </c>
    </row>
    <row r="4411" spans="1:8" x14ac:dyDescent="0.25">
      <c r="A4411">
        <v>651441</v>
      </c>
      <c r="B4411" t="s">
        <v>8401</v>
      </c>
      <c r="C4411" t="s">
        <v>8402</v>
      </c>
      <c r="D4411" t="s">
        <v>10</v>
      </c>
      <c r="E4411" t="s">
        <v>405</v>
      </c>
      <c r="G4411" t="str">
        <f>HYPERLINK(_xlfn.CONCAT("https://tablet.otzar.org/",CHAR(35),"/book/651441/p/-1/t/1/fs/0/start/0/end/0/c"),"תרון נפשי - מגילת קהלת")</f>
        <v>תרון נפשי - מגילת קהלת</v>
      </c>
      <c r="H4411" t="str">
        <f>_xlfn.CONCAT("https://tablet.otzar.org/",CHAR(35),"/book/651441/p/-1/t/1/fs/0/start/0/end/0/c")</f>
        <v>https://tablet.otzar.org/#/book/651441/p/-1/t/1/fs/0/start/0/end/0/c</v>
      </c>
    </row>
    <row r="4412" spans="1:8" x14ac:dyDescent="0.25">
      <c r="A4412">
        <v>652843</v>
      </c>
      <c r="B4412" t="s">
        <v>8403</v>
      </c>
      <c r="C4412" t="s">
        <v>8404</v>
      </c>
      <c r="D4412" t="s">
        <v>34</v>
      </c>
      <c r="E4412" t="s">
        <v>126</v>
      </c>
      <c r="G4412" t="str">
        <f>HYPERLINK(_xlfn.CONCAT("https://tablet.otzar.org/",CHAR(35),"/book/652843/p/-1/t/1/fs/0/start/0/end/0/c"),"תרועת מלך, לפני ה' תטהרו - ראש השנה, יום הכיפורים")</f>
        <v>תרועת מלך, לפני ה' תטהרו - ראש השנה, יום הכיפורים</v>
      </c>
      <c r="H4412" t="str">
        <f>_xlfn.CONCAT("https://tablet.otzar.org/",CHAR(35),"/book/652843/p/-1/t/1/fs/0/start/0/end/0/c")</f>
        <v>https://tablet.otzar.org/#/book/652843/p/-1/t/1/fs/0/start/0/end/0/c</v>
      </c>
    </row>
    <row r="4413" spans="1:8" x14ac:dyDescent="0.25">
      <c r="A4413">
        <v>649574</v>
      </c>
      <c r="B4413" t="s">
        <v>8405</v>
      </c>
      <c r="C4413" t="s">
        <v>8245</v>
      </c>
      <c r="D4413" t="s">
        <v>5224</v>
      </c>
      <c r="E4413" t="s">
        <v>8406</v>
      </c>
      <c r="G4413" t="str">
        <f>HYPERLINK(_xlfn.CONCAT("https://tablet.otzar.org/",CHAR(35),"/book/649574/p/-1/t/1/fs/0/start/0/end/0/c"),"תריג מצות")</f>
        <v>תריג מצות</v>
      </c>
      <c r="H4413" t="str">
        <f>_xlfn.CONCAT("https://tablet.otzar.org/",CHAR(35),"/book/649574/p/-1/t/1/fs/0/start/0/end/0/c")</f>
        <v>https://tablet.otzar.org/#/book/649574/p/-1/t/1/fs/0/start/0/end/0/c</v>
      </c>
    </row>
    <row r="4414" spans="1:8" x14ac:dyDescent="0.25">
      <c r="A4414">
        <v>654673</v>
      </c>
      <c r="B4414" t="s">
        <v>8407</v>
      </c>
      <c r="C4414" t="s">
        <v>8408</v>
      </c>
      <c r="D4414" t="s">
        <v>10</v>
      </c>
      <c r="E4414" t="s">
        <v>657</v>
      </c>
      <c r="G4414" t="str">
        <f>HYPERLINK(_xlfn.CONCAT("https://tablet.otzar.org/",CHAR(35),"/book/654673/p/-1/t/1/fs/0/start/0/end/0/c"),"תרשיש שהם וישפה")</f>
        <v>תרשיש שהם וישפה</v>
      </c>
      <c r="H4414" t="str">
        <f>_xlfn.CONCAT("https://tablet.otzar.org/",CHAR(35),"/book/654673/p/-1/t/1/fs/0/start/0/end/0/c")</f>
        <v>https://tablet.otzar.org/#/book/654673/p/-1/t/1/fs/0/start/0/end/0/c</v>
      </c>
    </row>
    <row r="4415" spans="1:8" x14ac:dyDescent="0.25">
      <c r="A4415">
        <v>648290</v>
      </c>
      <c r="B4415" t="s">
        <v>8409</v>
      </c>
      <c r="C4415" t="s">
        <v>8410</v>
      </c>
      <c r="D4415" t="s">
        <v>287</v>
      </c>
      <c r="E4415" t="s">
        <v>2368</v>
      </c>
      <c r="G4415" t="str">
        <f>HYPERLINK(_xlfn.CONCAT("https://tablet.otzar.org/",CHAR(35),"/book/648290/p/-1/t/1/fs/0/start/0/end/0/c"),"תשובה מאהבה")</f>
        <v>תשובה מאהבה</v>
      </c>
      <c r="H4415" t="str">
        <f>_xlfn.CONCAT("https://tablet.otzar.org/",CHAR(35),"/book/648290/p/-1/t/1/fs/0/start/0/end/0/c")</f>
        <v>https://tablet.otzar.org/#/book/648290/p/-1/t/1/fs/0/start/0/end/0/c</v>
      </c>
    </row>
    <row r="4416" spans="1:8" x14ac:dyDescent="0.25">
      <c r="A4416">
        <v>652791</v>
      </c>
      <c r="B4416" t="s">
        <v>8411</v>
      </c>
      <c r="C4416" t="s">
        <v>8412</v>
      </c>
      <c r="D4416" t="s">
        <v>921</v>
      </c>
      <c r="E4416" t="s">
        <v>2121</v>
      </c>
      <c r="G4416" t="str">
        <f>HYPERLINK(_xlfn.CONCAT("https://tablet.otzar.org/",CHAR(35),"/book/652791/p/-1/t/1/fs/0/start/0/end/0/c"),"תשובה שניה")</f>
        <v>תשובה שניה</v>
      </c>
      <c r="H4416" t="str">
        <f>_xlfn.CONCAT("https://tablet.otzar.org/",CHAR(35),"/book/652791/p/-1/t/1/fs/0/start/0/end/0/c")</f>
        <v>https://tablet.otzar.org/#/book/652791/p/-1/t/1/fs/0/start/0/end/0/c</v>
      </c>
    </row>
    <row r="4417" spans="1:8" x14ac:dyDescent="0.25">
      <c r="A4417">
        <v>654786</v>
      </c>
      <c r="B4417" t="s">
        <v>8413</v>
      </c>
      <c r="C4417" t="s">
        <v>1149</v>
      </c>
      <c r="D4417" t="s">
        <v>10</v>
      </c>
      <c r="E4417" t="s">
        <v>357</v>
      </c>
      <c r="G4417" t="str">
        <f>HYPERLINK(_xlfn.CONCAT("https://tablet.otzar.org/",CHAR(35),"/book/654786/p/-1/t/1/fs/0/start/0/end/0/c"),"תשובות והנהגות - ז")</f>
        <v>תשובות והנהגות - ז</v>
      </c>
      <c r="H4417" t="str">
        <f>_xlfn.CONCAT("https://tablet.otzar.org/",CHAR(35),"/book/654786/p/-1/t/1/fs/0/start/0/end/0/c")</f>
        <v>https://tablet.otzar.org/#/book/654786/p/-1/t/1/fs/0/start/0/end/0/c</v>
      </c>
    </row>
    <row r="4418" spans="1:8" x14ac:dyDescent="0.25">
      <c r="A4418">
        <v>652458</v>
      </c>
      <c r="B4418" t="s">
        <v>8414</v>
      </c>
      <c r="C4418" t="s">
        <v>8415</v>
      </c>
      <c r="D4418" t="s">
        <v>52</v>
      </c>
      <c r="E4418" t="s">
        <v>11</v>
      </c>
      <c r="G4418" t="str">
        <f>HYPERLINK(_xlfn.CONCAT("https://tablet.otzar.org/",CHAR(35),"/book/652458/p/-1/t/1/fs/0/start/0/end/0/c"),"תשובות ישראל - ו")</f>
        <v>תשובות ישראל - ו</v>
      </c>
      <c r="H4418" t="str">
        <f>_xlfn.CONCAT("https://tablet.otzar.org/",CHAR(35),"/book/652458/p/-1/t/1/fs/0/start/0/end/0/c")</f>
        <v>https://tablet.otzar.org/#/book/652458/p/-1/t/1/fs/0/start/0/end/0/c</v>
      </c>
    </row>
    <row r="4419" spans="1:8" x14ac:dyDescent="0.25">
      <c r="A4419">
        <v>656207</v>
      </c>
      <c r="B4419" t="s">
        <v>8416</v>
      </c>
      <c r="C4419" t="s">
        <v>8417</v>
      </c>
      <c r="D4419" t="s">
        <v>52</v>
      </c>
      <c r="E4419" t="s">
        <v>45</v>
      </c>
      <c r="G4419" t="str">
        <f>HYPERLINK(_xlfn.CONCAT("https://tablet.otzar.org/",CHAR(35),"/book/656207/p/-1/t/1/fs/0/start/0/end/0/c"),"תשובת המטולטלת")</f>
        <v>תשובת המטולטלת</v>
      </c>
      <c r="H4419" t="str">
        <f>_xlfn.CONCAT("https://tablet.otzar.org/",CHAR(35),"/book/656207/p/-1/t/1/fs/0/start/0/end/0/c")</f>
        <v>https://tablet.otzar.org/#/book/656207/p/-1/t/1/fs/0/start/0/end/0/c</v>
      </c>
    </row>
    <row r="4420" spans="1:8" x14ac:dyDescent="0.25">
      <c r="A4420">
        <v>653504</v>
      </c>
      <c r="B4420" t="s">
        <v>8418</v>
      </c>
      <c r="C4420" t="s">
        <v>7147</v>
      </c>
      <c r="D4420" t="s">
        <v>52</v>
      </c>
      <c r="E4420" t="s">
        <v>77</v>
      </c>
      <c r="G4420" t="str">
        <f>HYPERLINK(_xlfn.CONCAT("https://tablet.otzar.org/",CHAR(35),"/book/653504/p/-1/t/1/fs/0/start/0/end/0/c"),"תשובת השנה - קונטרס המעלות")</f>
        <v>תשובת השנה - קונטרס המעלות</v>
      </c>
      <c r="H4420" t="str">
        <f>_xlfn.CONCAT("https://tablet.otzar.org/",CHAR(35),"/book/653504/p/-1/t/1/fs/0/start/0/end/0/c")</f>
        <v>https://tablet.otzar.org/#/book/653504/p/-1/t/1/fs/0/start/0/end/0/c</v>
      </c>
    </row>
    <row r="4421" spans="1:8" x14ac:dyDescent="0.25">
      <c r="A4421">
        <v>647858</v>
      </c>
      <c r="B4421" t="s">
        <v>8419</v>
      </c>
      <c r="C4421" t="s">
        <v>8420</v>
      </c>
      <c r="D4421" t="s">
        <v>510</v>
      </c>
      <c r="E4421" t="s">
        <v>84</v>
      </c>
      <c r="G4421" t="str">
        <f>HYPERLINK(_xlfn.CONCAT("https://tablet.otzar.org/",CHAR(35),"/book/647858/p/-1/t/1/fs/0/start/0/end/0/c"),"תשורה - תשע""""ט (מלול) תולדות הרב מנחם מענדל")</f>
        <v>תשורה - תשע""ט (מלול) תולדות הרב מנחם מענדל</v>
      </c>
      <c r="H4421" t="str">
        <f>_xlfn.CONCAT("https://tablet.otzar.org/",CHAR(35),"/book/647858/p/-1/t/1/fs/0/start/0/end/0/c")</f>
        <v>https://tablet.otzar.org/#/book/647858/p/-1/t/1/fs/0/start/0/end/0/c</v>
      </c>
    </row>
    <row r="4422" spans="1:8" x14ac:dyDescent="0.25">
      <c r="A4422">
        <v>652394</v>
      </c>
      <c r="B4422" t="s">
        <v>8421</v>
      </c>
      <c r="C4422" t="s">
        <v>4071</v>
      </c>
      <c r="D4422" t="s">
        <v>386</v>
      </c>
      <c r="E4422" t="s">
        <v>1082</v>
      </c>
      <c r="G4422" t="str">
        <f>HYPERLINK(_xlfn.CONCAT("https://tablet.otzar.org/",CHAR(35),"/exKotar/652394"),"תשורה - 47 כרכים")</f>
        <v>תשורה - 47 כרכים</v>
      </c>
      <c r="H4422" t="str">
        <f>_xlfn.CONCAT("https://tablet.otzar.org/",CHAR(35),"/exKotar/652394")</f>
        <v>https://tablet.otzar.org/#/exKotar/652394</v>
      </c>
    </row>
    <row r="4423" spans="1:8" x14ac:dyDescent="0.25">
      <c r="A4423">
        <v>650943</v>
      </c>
      <c r="B4423" t="s">
        <v>8422</v>
      </c>
      <c r="C4423" t="s">
        <v>8423</v>
      </c>
      <c r="D4423" t="s">
        <v>10</v>
      </c>
      <c r="E4423" t="s">
        <v>213</v>
      </c>
      <c r="G4423" t="str">
        <f>HYPERLINK(_xlfn.CONCAT("https://tablet.otzar.org/",CHAR(35),"/book/650943/p/-1/t/1/fs/0/start/0/end/0/c"),"תשעה באב שנדחה")</f>
        <v>תשעה באב שנדחה</v>
      </c>
      <c r="H4423" t="str">
        <f>_xlfn.CONCAT("https://tablet.otzar.org/",CHAR(35),"/book/650943/p/-1/t/1/fs/0/start/0/end/0/c")</f>
        <v>https://tablet.otzar.org/#/book/650943/p/-1/t/1/fs/0/start/0/end/0/c</v>
      </c>
    </row>
    <row r="4424" spans="1:8" x14ac:dyDescent="0.25">
      <c r="A4424">
        <v>650298</v>
      </c>
      <c r="B4424" t="s">
        <v>8424</v>
      </c>
      <c r="C4424" t="s">
        <v>8425</v>
      </c>
      <c r="D4424" t="s">
        <v>463</v>
      </c>
      <c r="E4424" t="s">
        <v>35</v>
      </c>
      <c r="G4424" t="str">
        <f>HYPERLINK(_xlfn.CONCAT("https://tablet.otzar.org/",CHAR(35),"/book/650298/p/-1/t/1/fs/0/start/0/end/0/c"),"תשרי ביאת משיח")</f>
        <v>תשרי ביאת משיח</v>
      </c>
      <c r="H4424" t="str">
        <f>_xlfn.CONCAT("https://tablet.otzar.org/",CHAR(35),"/book/650298/p/-1/t/1/fs/0/start/0/end/0/c")</f>
        <v>https://tablet.otzar.org/#/book/650298/p/-1/t/1/fs/0/start/0/end/0/c</v>
      </c>
    </row>
    <row r="4425" spans="1:8" x14ac:dyDescent="0.25">
      <c r="A4425">
        <v>648844</v>
      </c>
      <c r="B4425" t="s">
        <v>8426</v>
      </c>
      <c r="C4425" t="s">
        <v>8427</v>
      </c>
      <c r="D4425" t="s">
        <v>139</v>
      </c>
      <c r="E4425" t="s">
        <v>35</v>
      </c>
      <c r="G4425" t="str">
        <f>HYPERLINK(_xlfn.CONCAT("https://tablet.otzar.org/",CHAR(35),"/book/648844/p/-1/t/1/fs/0/start/0/end/0/c"),"תתן אמת ליעקב")</f>
        <v>תתן אמת ליעקב</v>
      </c>
      <c r="H4425" t="str">
        <f>_xlfn.CONCAT("https://tablet.otzar.org/",CHAR(35),"/book/648844/p/-1/t/1/fs/0/start/0/end/0/c")</f>
        <v>https://tablet.otzar.org/#/book/648844/p/-1/t/1/fs/0/start/0/end/0/c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רשימת ספרים מאגרים - נוספו בגיר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2023-03-05T09:39:44Z</dcterms:created>
  <dcterms:modified xsi:type="dcterms:W3CDTF">2023-03-05T09:39:52Z</dcterms:modified>
</cp:coreProperties>
</file>