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tzar\OTZAR\"/>
    </mc:Choice>
  </mc:AlternateContent>
  <xr:revisionPtr revIDLastSave="0" documentId="8_{518DD079-1ED8-4182-9191-C87BE34CB728}" xr6:coauthVersionLast="45" xr6:coauthVersionMax="45" xr10:uidLastSave="{00000000-0000-0000-0000-000000000000}"/>
  <bookViews>
    <workbookView xWindow="-120" yWindow="-120" windowWidth="29040" windowHeight="15840"/>
  </bookViews>
  <sheets>
    <sheet name="OTZARHLIST" sheetId="1" r:id="rId1"/>
  </sheets>
  <calcPr calcId="0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B2412" i="1"/>
  <c r="F2412" i="1"/>
  <c r="B2413" i="1"/>
  <c r="F2413" i="1"/>
  <c r="B2414" i="1"/>
  <c r="F2414" i="1"/>
  <c r="B2415" i="1"/>
  <c r="F2415" i="1"/>
  <c r="B2416" i="1"/>
  <c r="F2416" i="1"/>
  <c r="B2417" i="1"/>
  <c r="F2417" i="1"/>
  <c r="B2418" i="1"/>
  <c r="F2418" i="1"/>
  <c r="B2419" i="1"/>
  <c r="F2419" i="1"/>
  <c r="B2420" i="1"/>
  <c r="F2420" i="1"/>
  <c r="F2421" i="1"/>
  <c r="F2422" i="1"/>
  <c r="F2423" i="1"/>
  <c r="F2424" i="1"/>
  <c r="B2425" i="1"/>
  <c r="F2425" i="1"/>
  <c r="B2426" i="1"/>
  <c r="F2426" i="1"/>
  <c r="B2427" i="1"/>
  <c r="F2427" i="1"/>
  <c r="F2428" i="1"/>
  <c r="B2429" i="1"/>
  <c r="F2429" i="1"/>
  <c r="F2430" i="1"/>
  <c r="B2431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</calcChain>
</file>

<file path=xl/sharedStrings.xml><?xml version="1.0" encoding="utf-8"?>
<sst xmlns="http://schemas.openxmlformats.org/spreadsheetml/2006/main" count="18368" uniqueCount="7402">
  <si>
    <t>שם הספר</t>
  </si>
  <si>
    <t>מחבר</t>
  </si>
  <si>
    <t>שנת הדפסה</t>
  </si>
  <si>
    <t>מקום הדפסה</t>
  </si>
  <si>
    <t>נושאים</t>
  </si>
  <si>
    <t>קישור אקסל</t>
  </si>
  <si>
    <t>אבות ובנים על פרקי אבות</t>
  </si>
  <si>
    <t>שולם, ברוך - שולם, עמוס</t>
  </si>
  <si>
    <t>חש"ד</t>
  </si>
  <si>
    <t>ירושלים</t>
  </si>
  <si>
    <t>משנה</t>
  </si>
  <si>
    <t>אבות של זמננו - 4 כר'</t>
  </si>
  <si>
    <t>קליין, משה יעקב</t>
  </si>
  <si>
    <t>תשע"ט</t>
  </si>
  <si>
    <t>בני ברק</t>
  </si>
  <si>
    <t>אבי הנחל</t>
  </si>
  <si>
    <t>אודסר, ישראל דב</t>
  </si>
  <si>
    <t>חסידות</t>
  </si>
  <si>
    <t>אבי הנחל - זבחים</t>
  </si>
  <si>
    <t>בן אריה, יהושע אפרים הכהן</t>
  </si>
  <si>
    <t>תשע"ח</t>
  </si>
  <si>
    <t>מודיעין עילית</t>
  </si>
  <si>
    <t>תלמוד בבלי</t>
  </si>
  <si>
    <t>אביב לה'</t>
  </si>
  <si>
    <t>לוצקי, מיכאל - קליקשטין, משה</t>
  </si>
  <si>
    <t>תש"פ</t>
  </si>
  <si>
    <t>קבצים וכתבי עת, ספרי זכרון ויובל, תלמוד בבלי</t>
  </si>
  <si>
    <t>אבינו מלכנו - ראש השנה ב</t>
  </si>
  <si>
    <t>ועד חיילי בית דוד</t>
  </si>
  <si>
    <t>ניו יורק</t>
  </si>
  <si>
    <t>ספריית חב"ד</t>
  </si>
  <si>
    <t>אביר יעקב - 8 כר'</t>
  </si>
  <si>
    <t>אביחצירא, יעקב בן מסעוד</t>
  </si>
  <si>
    <t>נהריה</t>
  </si>
  <si>
    <t>מחשבה ומוסר</t>
  </si>
  <si>
    <t>אבלות וטעמיה</t>
  </si>
  <si>
    <t>בניזרי, שלמה</t>
  </si>
  <si>
    <t>הלכה ומנהג</t>
  </si>
  <si>
    <t>אבן השהם &lt;זכרון אהרן&gt;</t>
  </si>
  <si>
    <t>אליקים גץ בן מאיר</t>
  </si>
  <si>
    <t>תשע"ד</t>
  </si>
  <si>
    <t>שאלות ותשובות</t>
  </si>
  <si>
    <t>אבן השהם &lt;אבן למלאת&gt;</t>
  </si>
  <si>
    <t>צייח, יוסף</t>
  </si>
  <si>
    <t>קבלה</t>
  </si>
  <si>
    <t>אבן השעות</t>
  </si>
  <si>
    <t>גרינוואלד, משה מאיר</t>
  </si>
  <si>
    <t>[תרל"ט],</t>
  </si>
  <si>
    <t>ווארשא,</t>
  </si>
  <si>
    <t>נושאים שונים</t>
  </si>
  <si>
    <t>אבן יחזקאל</t>
  </si>
  <si>
    <t>לנדא, יחזקאל הלוי</t>
  </si>
  <si>
    <t>חמ"ד</t>
  </si>
  <si>
    <t>דרושים, תלמוד בבלי</t>
  </si>
  <si>
    <t>אבן עוזר - עירובין &lt;מהדורה חדשה&gt;</t>
  </si>
  <si>
    <t>עוזר בן מאיר - שורצברג, מנחם</t>
  </si>
  <si>
    <t>שלחן ערוך ומפרשיו, תלמוד בבלי</t>
  </si>
  <si>
    <t>אבן פינה</t>
  </si>
  <si>
    <t>אריה ליב בן יהודה הלוי מסטריזוב - טייטלבוים, משה בן צבי הירש</t>
  </si>
  <si>
    <t>תקס"ד</t>
  </si>
  <si>
    <t>לבוב Lvov</t>
  </si>
  <si>
    <t>שלחן ערוך ומפרשיו</t>
  </si>
  <si>
    <t>אבני אליהו</t>
  </si>
  <si>
    <t>יצחקוב, אליהו בן יהודה</t>
  </si>
  <si>
    <t>ירושלים Jeruasalem</t>
  </si>
  <si>
    <t>אבני גזית</t>
  </si>
  <si>
    <t>שפילמאן, יעקב מאיר בן אליהו</t>
  </si>
  <si>
    <t>(תרכ"ה</t>
  </si>
  <si>
    <t>(באקארעשט),</t>
  </si>
  <si>
    <t>אבני דרך - יד</t>
  </si>
  <si>
    <t>פרינץ, אלחנן נפתלי</t>
  </si>
  <si>
    <t>אבני הסוגיות - 14 כר'</t>
  </si>
  <si>
    <t>מירון, חיים בן דניאל יהושע</t>
  </si>
  <si>
    <t>תשע"ז</t>
  </si>
  <si>
    <t>אבני חושן - א</t>
  </si>
  <si>
    <t>בית המדרש לבירורי הלכות מעשיות</t>
  </si>
  <si>
    <t>תשנ"ו</t>
  </si>
  <si>
    <t>הלכה ומנהג, קבצים וכתבי עת, ספרי זכרון ויובל, שלחן ערוך ומפרשיו</t>
  </si>
  <si>
    <t>אבני לוי - ב</t>
  </si>
  <si>
    <t>לוי, אלמוג בן ניסים</t>
  </si>
  <si>
    <t>אבני מחצב</t>
  </si>
  <si>
    <t>קפלן, אברהם - קפלן, נפתלי</t>
  </si>
  <si>
    <t>דרושים, מועדי ישראל, נושאים שונים, תנ"ך</t>
  </si>
  <si>
    <t>אבני מסילה - סוטה</t>
  </si>
  <si>
    <t>גנס, שלמה אהרן בן ישראל</t>
  </si>
  <si>
    <t>אבני פנה - ב</t>
  </si>
  <si>
    <t>פרנקיל תאומים, פנחס בן יהושע</t>
  </si>
  <si>
    <t>אבני קודש</t>
  </si>
  <si>
    <t>תש"ע</t>
  </si>
  <si>
    <t>מועדי ישראל</t>
  </si>
  <si>
    <t>אבני שהם - נדה</t>
  </si>
  <si>
    <t>לוריא, רפאל משה בן מרדכי יחיאל</t>
  </si>
  <si>
    <t>תשמ"ה</t>
  </si>
  <si>
    <t>אבני שלמה - מלך ונשיא</t>
  </si>
  <si>
    <t>בעילום שם</t>
  </si>
  <si>
    <t>אבקת רוכל &lt;זכרון אהרן&gt;</t>
  </si>
  <si>
    <t>קארו, יוסף בן אפרים</t>
  </si>
  <si>
    <t>אבקת רוכל</t>
  </si>
  <si>
    <t>מכיר בן יצחק שר חסד</t>
  </si>
  <si>
    <t>(רע"ו)</t>
  </si>
  <si>
    <t>(קושטנדינה),</t>
  </si>
  <si>
    <t>אגודת ישראל קאנווענשאן בוך (31)</t>
  </si>
  <si>
    <t>אגודת ישראל</t>
  </si>
  <si>
    <t>תשי"ד</t>
  </si>
  <si>
    <t>אגודת מאמרים - מתינות</t>
  </si>
  <si>
    <t>לוינשטיין, יחזקאל הלוי</t>
  </si>
  <si>
    <t>תשמ"א</t>
  </si>
  <si>
    <t>חדרה</t>
  </si>
  <si>
    <t>מחשבה ומוסר, נושאים שונים</t>
  </si>
  <si>
    <t>אגלי בכרה</t>
  </si>
  <si>
    <t>שרייבר, חזקיהו יוסף בן פנחס</t>
  </si>
  <si>
    <t>אגרות הראיה - 2 כר'</t>
  </si>
  <si>
    <t>קוק, אברהם יצחק בן שלמה זלמן הכהן</t>
  </si>
  <si>
    <t>תש"ג - תש"ו</t>
  </si>
  <si>
    <t>ירושלים Jerusalem</t>
  </si>
  <si>
    <t>אגרות ורשימות קה"י - ו</t>
  </si>
  <si>
    <t>קנייבסקי, יעקב ישראל בן חיים פרץ. ברזם, שאול. ברזם, משה.</t>
  </si>
  <si>
    <t>אגרת המדות</t>
  </si>
  <si>
    <t>אזולאי, אליהו</t>
  </si>
  <si>
    <t>תשל"ט</t>
  </si>
  <si>
    <t>חיפה</t>
  </si>
  <si>
    <t>נושאים שונים, תולדות עם ישראל</t>
  </si>
  <si>
    <t>אגרת המוסר</t>
  </si>
  <si>
    <t>תשל"ח</t>
  </si>
  <si>
    <t>בן דוד ויוסף, ראובן</t>
  </si>
  <si>
    <t>אגרת המועדים</t>
  </si>
  <si>
    <t>תשל"ו</t>
  </si>
  <si>
    <t>אגרת הקדושה והטהרה</t>
  </si>
  <si>
    <t>הלכה ומנהג, מחשבה ומוסר</t>
  </si>
  <si>
    <t>אגרת הקדש &lt;מהדורה חדשה&gt;</t>
  </si>
  <si>
    <t>ווייסבלום, אלעזר בן אלימלך מליזנסק</t>
  </si>
  <si>
    <t>אגרת הרמב"ן &lt;פתח אליהו&gt;</t>
  </si>
  <si>
    <t>הכהן, אליהו</t>
  </si>
  <si>
    <t>תשע"א</t>
  </si>
  <si>
    <t>אגרת הרמב"ן עם ביאור חמדת יחזקאל</t>
  </si>
  <si>
    <t>וויספיש, יחזקאל בן משה</t>
  </si>
  <si>
    <t>תשע"ו</t>
  </si>
  <si>
    <t>אגרת הרמב"ן עם ביאור</t>
  </si>
  <si>
    <t>קשתיאל, אליעזר</t>
  </si>
  <si>
    <t>אגרת לבן דורנו</t>
  </si>
  <si>
    <t>אגרת לבר מצוה</t>
  </si>
  <si>
    <t>אגרת רבי יהודה בן קוריש</t>
  </si>
  <si>
    <t>אבן-קורייש, יהודה בן יצחק</t>
  </si>
  <si>
    <t>תש"י</t>
  </si>
  <si>
    <t>תל אביב,</t>
  </si>
  <si>
    <t>אגרת שבת</t>
  </si>
  <si>
    <t>אגרת תימן</t>
  </si>
  <si>
    <t>משה בן מימון (רמב"ם)</t>
  </si>
  <si>
    <t>תשנ"ג</t>
  </si>
  <si>
    <t>אגרתא דחדוותא - לח</t>
  </si>
  <si>
    <t>גרוס, מרדכי בן צדוק</t>
  </si>
  <si>
    <t>בני ברק Bene Berak</t>
  </si>
  <si>
    <t>אדברה בעדותיך</t>
  </si>
  <si>
    <t>אזולאי, דוד בן אברהם</t>
  </si>
  <si>
    <t>הלכה ומנהג, מועדי ישראל</t>
  </si>
  <si>
    <t>אדמה שמים ותהום</t>
  </si>
  <si>
    <t>גינזבורג, יצחק בן שמשון</t>
  </si>
  <si>
    <t>תשנ"ט</t>
  </si>
  <si>
    <t>כפר חב"ד</t>
  </si>
  <si>
    <t>אדני הבית</t>
  </si>
  <si>
    <t>פנירי, משה</t>
  </si>
  <si>
    <t>אדני המשפט - א</t>
  </si>
  <si>
    <t>אדני זהב - 7 כר'</t>
  </si>
  <si>
    <t>בן עבו, אליהו בן משה</t>
  </si>
  <si>
    <t>אדני פז</t>
  </si>
  <si>
    <t>קנטור, אהרן דוד</t>
  </si>
  <si>
    <t>אדנים וקרסים</t>
  </si>
  <si>
    <t>בלושטיין, בונם</t>
  </si>
  <si>
    <t>תנ"ך</t>
  </si>
  <si>
    <t>אדר והוד</t>
  </si>
  <si>
    <t>וייספיש</t>
  </si>
  <si>
    <t>מועדי ישראל, תפלות בקשות פיוטים ושירה</t>
  </si>
  <si>
    <t>אדרת אליהו - 4 כר'</t>
  </si>
  <si>
    <t>טופיק, אליהו</t>
  </si>
  <si>
    <t>תשס"ו</t>
  </si>
  <si>
    <t>אהבת ישראל &lt;מהדורה חדשה&gt;</t>
  </si>
  <si>
    <t>וורטמאן, משה בן חיים</t>
  </si>
  <si>
    <t>אהבת עולם</t>
  </si>
  <si>
    <t>אהבת ציון וירושלים</t>
  </si>
  <si>
    <t>יפה, יוסף בן משה</t>
  </si>
  <si>
    <t>תש"ז</t>
  </si>
  <si>
    <t>אהבת שי</t>
  </si>
  <si>
    <t>כהן, אליהו יוסף שאר ישוב בן דוד</t>
  </si>
  <si>
    <t>אהבת שלום &lt;מהדורה ראשונה&gt;</t>
  </si>
  <si>
    <t>מנחם מנדל בן יעקב קופל מקוסוב</t>
  </si>
  <si>
    <t>[תקצ"ג,</t>
  </si>
  <si>
    <t>לעמבערג,</t>
  </si>
  <si>
    <t>דרושים</t>
  </si>
  <si>
    <t>אהל אברהם - 2 כר'</t>
  </si>
  <si>
    <t>בית מדרש אוהל אברהם</t>
  </si>
  <si>
    <t>תשע"ה</t>
  </si>
  <si>
    <t>מושב הודיה</t>
  </si>
  <si>
    <t>הלכה ומנהג, שלחן ערוך ומפרשיו, תלמוד בבלי</t>
  </si>
  <si>
    <t>אהל דוד - ט</t>
  </si>
  <si>
    <t>קאהן, דוד בן צבי משה</t>
  </si>
  <si>
    <t>אהל הראשונים - ערכין</t>
  </si>
  <si>
    <t>כהן, עמנואל חיים יצחק בן יקותיאל</t>
  </si>
  <si>
    <t>אהל יעקב - 2 כר'</t>
  </si>
  <si>
    <t>סקוצילס, יעקב אהרן בן טלי</t>
  </si>
  <si>
    <t>הלכה ומנהג, שלחן ערוך ומפרשיו</t>
  </si>
  <si>
    <t>אהל יעקב - בראשית</t>
  </si>
  <si>
    <t>קראנץ, יעקב בן זאב</t>
  </si>
  <si>
    <t>[תרי"א,</t>
  </si>
  <si>
    <t>לבוב,</t>
  </si>
  <si>
    <t>אהל ישעיהו - ב"ק</t>
  </si>
  <si>
    <t>מן, הלל</t>
  </si>
  <si>
    <t>תשס"ח</t>
  </si>
  <si>
    <t>אהל משה - 2 כר'</t>
  </si>
  <si>
    <t>פארהאנד, משה בן יוסף צבי</t>
  </si>
  <si>
    <t>אהל רחל - בין המצרים</t>
  </si>
  <si>
    <t>אויערבאך, שמואל בן שלמה זלמן</t>
  </si>
  <si>
    <t>אהלה של תורה - יט - כ</t>
  </si>
  <si>
    <t>בית תלמוד להוראה דחסידי גור</t>
  </si>
  <si>
    <t>ישראל</t>
  </si>
  <si>
    <t>קבצים וכתבי עת, ספרי זכרון ויובל</t>
  </si>
  <si>
    <t>אהלה של תורה - 4 כר'</t>
  </si>
  <si>
    <t>כולל יששכר באהליך - ב"ב</t>
  </si>
  <si>
    <t>אהלי צבי - זבחים</t>
  </si>
  <si>
    <t>יעקובוביץ, אליהו צבי בן טוביה</t>
  </si>
  <si>
    <t>אהלי שם &lt;מהדורה חדשה עם מסגרת השם&gt;</t>
  </si>
  <si>
    <t>גאנצפריד, שלמה בן יוסף</t>
  </si>
  <si>
    <t>אהלי שם &lt;שו"ע&gt; - 2 כר'</t>
  </si>
  <si>
    <t>פרץ, מיכאל בן יוסף</t>
  </si>
  <si>
    <t>מקסיקו</t>
  </si>
  <si>
    <t>אהלי שם - נטעי אשל</t>
  </si>
  <si>
    <t>גינשטלינג, מנחם אליעזר בן לוי</t>
  </si>
  <si>
    <t>תשל"ב</t>
  </si>
  <si>
    <t>תלמוד בבלי, תנ"ך</t>
  </si>
  <si>
    <t>אהלי שם - 5 כר'</t>
  </si>
  <si>
    <t>אלעד</t>
  </si>
  <si>
    <t>אהלי שם</t>
  </si>
  <si>
    <t>שלום, מנחם</t>
  </si>
  <si>
    <t>אהלי שמעון - או"ח</t>
  </si>
  <si>
    <t>לוי, שמעון בן אברהם</t>
  </si>
  <si>
    <t>הלכה ומנהג, מועדי ישראל, שאלות ותשובות</t>
  </si>
  <si>
    <t>אהליך יעקב  - ה</t>
  </si>
  <si>
    <t>כולל אהלי יעקב</t>
  </si>
  <si>
    <t>אהלים - 2 כר'</t>
  </si>
  <si>
    <t>כולל ובית מדרש אהל יוסף משה</t>
  </si>
  <si>
    <t>בונוס איירס</t>
  </si>
  <si>
    <t>אודות קבורה במשטחים בקומות</t>
  </si>
  <si>
    <t>קובץ תשובות</t>
  </si>
  <si>
    <t>הלכה ומנהג, נושאים שונים</t>
  </si>
  <si>
    <t>אוהב מוסר &lt;מהדורה חדשה&gt;</t>
  </si>
  <si>
    <t>לווינזון, משה בן שלמה אלעזר</t>
  </si>
  <si>
    <t>תש"ס</t>
  </si>
  <si>
    <t>אוהבי יש</t>
  </si>
  <si>
    <t>גרויז, יהושע שלמה</t>
  </si>
  <si>
    <t>תשנ"ב</t>
  </si>
  <si>
    <t>אוזן עבדך</t>
  </si>
  <si>
    <t>קמיונסקי, אברהם צבי - פסין, אהרן יהושע</t>
  </si>
  <si>
    <t>אולטראסאונד לאור ההלכה</t>
  </si>
  <si>
    <t>סואד, יצחק</t>
  </si>
  <si>
    <t>אולפן חד"ת - ג</t>
  </si>
  <si>
    <t>בורשטיין, נחמן ישראל בן משה</t>
  </si>
  <si>
    <t>תשכ"ז</t>
  </si>
  <si>
    <t>אום אני חומה - ד</t>
  </si>
  <si>
    <t>אום אני חומה</t>
  </si>
  <si>
    <t>תשי"ג</t>
  </si>
  <si>
    <t>אוסף מדרשים &lt;זכרון אהרן&gt; - 2 כר'</t>
  </si>
  <si>
    <t>מדרשי אגדה בהוצאת זכרון אהרן</t>
  </si>
  <si>
    <t>שאר ספרי חז"ל</t>
  </si>
  <si>
    <t>אוצר אגדות החסידים - 4 כר'</t>
  </si>
  <si>
    <t>גוטמן, מנחם</t>
  </si>
  <si>
    <t>תשל"ז</t>
  </si>
  <si>
    <t>חסידות, תלמוד בבלי</t>
  </si>
  <si>
    <t>אוצר אגרות קודש</t>
  </si>
  <si>
    <t>מרקסון, אברהם מרדכי יוסף</t>
  </si>
  <si>
    <t>אשדוד</t>
  </si>
  <si>
    <t>אוצר אפרים - 2 כר'</t>
  </si>
  <si>
    <t>שטיין, אפרים פישל בן חיים אריה לייב</t>
  </si>
  <si>
    <t>אוצר דינים תורת הקרבנות - 5 כר'</t>
  </si>
  <si>
    <t>מכון תורת הקרבנות</t>
  </si>
  <si>
    <t>אוצר הגאונים - מסכת עבודה זרה</t>
  </si>
  <si>
    <t>זייני, אליהו רחמים בן מאיר (עורך)</t>
  </si>
  <si>
    <t>אוצר ההודיה לבת המצוה</t>
  </si>
  <si>
    <t>טאוב, יהודה</t>
  </si>
  <si>
    <t>קרית אתא</t>
  </si>
  <si>
    <t>אוצר הלכות רבית א</t>
  </si>
  <si>
    <t>ויצמן, יהודה לייב</t>
  </si>
  <si>
    <t>אוצר הלכות רבית ב</t>
  </si>
  <si>
    <t>אוצר המונחים הפלוסופיים ואנתולוגיה פלוסופית - 4 כר'</t>
  </si>
  <si>
    <t>קלאצקין, יעקב בן אליהו</t>
  </si>
  <si>
    <t>תרפ"ו - תרצ"ד</t>
  </si>
  <si>
    <t>ברלין Berlin</t>
  </si>
  <si>
    <t>אוצר הנפש - 3 כר'</t>
  </si>
  <si>
    <t>אוצר העיון - 5 כר'</t>
  </si>
  <si>
    <t>ארנון, ישראל נח בן משה</t>
  </si>
  <si>
    <t>אוצר השבת - ב</t>
  </si>
  <si>
    <t>כץ, אשר אנשיל בן יהושע</t>
  </si>
  <si>
    <t>תשמ"ב</t>
  </si>
  <si>
    <t>אוצר השירה והפיוט - הוספות לכל החלקים</t>
  </si>
  <si>
    <t>דוידזון, ישראל בן דוד זאב</t>
  </si>
  <si>
    <t>תרפ"ה - תרצ"ג</t>
  </si>
  <si>
    <t>ניו יורק New York</t>
  </si>
  <si>
    <t>תפלות בקשות פיוטים ושירה</t>
  </si>
  <si>
    <t>אוצר טעמי המלך</t>
  </si>
  <si>
    <t>קלאניצקי-קליין, שלמה זלמן בן יעקב</t>
  </si>
  <si>
    <t>תרצ"ט</t>
  </si>
  <si>
    <t>אוצר יראת שמים</t>
  </si>
  <si>
    <t>דיין, יוסף חיים בן טוביה</t>
  </si>
  <si>
    <t>אוצר לשון הרמב"ם - 4 כר'</t>
  </si>
  <si>
    <t>אסף, דוד</t>
  </si>
  <si>
    <t>תש"ך</t>
  </si>
  <si>
    <t>אוצר מדרשי איכה - איכה רבה, נוסח כת"י, מדרש זוטא, מדרש לקח טוב</t>
  </si>
  <si>
    <t>שאר ספרי חז"ל, תנ"ך</t>
  </si>
  <si>
    <t>אוצר מדרשי אסתר - אסתר רבה, אבא גוריון, פנים אחרים, מגילת אסתר, לקח טוב</t>
  </si>
  <si>
    <t>תשע"ב</t>
  </si>
  <si>
    <t>אוצר מדרשי קהלת - קהלת רבה, מדרש זוטא, לקח טוב</t>
  </si>
  <si>
    <t>אוצר מדרשי רות - רות רבה, מדרש זוטא, לקח טוב - משיב נפש, חתם סופר</t>
  </si>
  <si>
    <t>אוצר מדרשי שיר השירים - 2 כר'</t>
  </si>
  <si>
    <t>אוצר ממעונות אריות - 2 כר'</t>
  </si>
  <si>
    <t>מכון זכרון אהרן</t>
  </si>
  <si>
    <t>אוצר מפרשי התורה - ג (שמות א)</t>
  </si>
  <si>
    <t>מכון ירושלים</t>
  </si>
  <si>
    <t>אוצר פרקי אבות</t>
  </si>
  <si>
    <t>ווייס, יוסף שלמה</t>
  </si>
  <si>
    <t>לוס אנג'לס</t>
  </si>
  <si>
    <t>אוצר קובץ מפרשים - 4 כר'</t>
  </si>
  <si>
    <t>פיינשטיין, רפאל בן חיים</t>
  </si>
  <si>
    <t>אוצרות דרך ישרה - 13 כר'</t>
  </si>
  <si>
    <t>כהן, ישראל בן צבי</t>
  </si>
  <si>
    <t>אוצרות היחוד</t>
  </si>
  <si>
    <t>ליכטנשטיין, שמואל אהרן בן יוסף יעקב</t>
  </si>
  <si>
    <t>אוצרות הפוסקים - שחיטה</t>
  </si>
  <si>
    <t>עובדיה, יעקב - בירדוגו, מאיר</t>
  </si>
  <si>
    <t>אוצרות חיים &lt;בריש גלי&gt;</t>
  </si>
  <si>
    <t>וויטאל, חיים בן יוסף - גרויז, יהושע שלמה</t>
  </si>
  <si>
    <t>אוצרות חיים &lt;השלם - מהדורת אהבת שלום&gt;</t>
  </si>
  <si>
    <t>וויטאל, חיים בן יוסף</t>
  </si>
  <si>
    <t>אוצרות חיים &lt;פתח לאוצר&gt;</t>
  </si>
  <si>
    <t>ויטאל, חיים בן יוסף</t>
  </si>
  <si>
    <t>אוצרות ירושלים - שכ</t>
  </si>
  <si>
    <t>אוצרות ירושלים</t>
  </si>
  <si>
    <t>תשמ"ז</t>
  </si>
  <si>
    <t>אוצרות - 1</t>
  </si>
  <si>
    <t>בית מכירות פומביות</t>
  </si>
  <si>
    <t>נושאים שונים, קבצים וכתבי עת, ספרי זכרון ויובל</t>
  </si>
  <si>
    <t>אור אליעזר</t>
  </si>
  <si>
    <t>קאליש, אליעזר מאיר</t>
  </si>
  <si>
    <t>אור דוד - 4 כר'</t>
  </si>
  <si>
    <t>דומב, יצחק דוד בן אשר</t>
  </si>
  <si>
    <t>אור הבקר - עולת הבקר ב</t>
  </si>
  <si>
    <t>ווייס, יקותיאל בן יצחק</t>
  </si>
  <si>
    <t>תרס"ד - תרס"ח</t>
  </si>
  <si>
    <t>וץ Vac</t>
  </si>
  <si>
    <t>אור הגנוז לצדיקים &lt;מהדורה ראשונה&gt;</t>
  </si>
  <si>
    <t>אהרן בן צבי הירש הכהן מאפטא</t>
  </si>
  <si>
    <t>תק"ס</t>
  </si>
  <si>
    <t>זאלקווי,</t>
  </si>
  <si>
    <t>אור החושן - 3 כר'</t>
  </si>
  <si>
    <t>גרינשטיין, אוריאל בן שרגא פייבל</t>
  </si>
  <si>
    <t>אור היהדות</t>
  </si>
  <si>
    <t>גרינצווייג, אברהם מנדל בן יהודה</t>
  </si>
  <si>
    <t>תרס"ו,</t>
  </si>
  <si>
    <t>ווילנא,</t>
  </si>
  <si>
    <t>אור המערב - 4 כר'</t>
  </si>
  <si>
    <t>ירחון תורני ולמורשת יהדות המערב</t>
  </si>
  <si>
    <t>אור הפרשה</t>
  </si>
  <si>
    <t>חיון, דניאל</t>
  </si>
  <si>
    <t>אור הרשב"י</t>
  </si>
  <si>
    <t>ששון, חיים</t>
  </si>
  <si>
    <t>ביתר</t>
  </si>
  <si>
    <t>אור השבת - 5 כר'</t>
  </si>
  <si>
    <t>קובץ</t>
  </si>
  <si>
    <t>אור התפילין</t>
  </si>
  <si>
    <t>עקשטיין, גמליאל</t>
  </si>
  <si>
    <t>אור חדש על ציון</t>
  </si>
  <si>
    <t>נריה, משה צבי בן פתחיה</t>
  </si>
  <si>
    <t>תשנ"א</t>
  </si>
  <si>
    <t>כפר הרואה</t>
  </si>
  <si>
    <t>תולדות עם ישראל</t>
  </si>
  <si>
    <t>אור חיה - מועדים</t>
  </si>
  <si>
    <t>דויטש, חיים</t>
  </si>
  <si>
    <t>אור יום טוב</t>
  </si>
  <si>
    <t>הלכה ומנהג, תלמוד בבלי</t>
  </si>
  <si>
    <t>אור ישראל וקדושו</t>
  </si>
  <si>
    <t>אור למאיר</t>
  </si>
  <si>
    <t>שפירא, מאיר יהודה בן דוד</t>
  </si>
  <si>
    <t>תשט"ו</t>
  </si>
  <si>
    <t>פתח תקוה,</t>
  </si>
  <si>
    <t>תולדות עם ישראל, תנ"ך</t>
  </si>
  <si>
    <t>אור לשמינית</t>
  </si>
  <si>
    <t>תשע"ג</t>
  </si>
  <si>
    <t>אור מופלא</t>
  </si>
  <si>
    <t>לעלוב</t>
  </si>
  <si>
    <t>תשס"ב</t>
  </si>
  <si>
    <t>אור מיכאל</t>
  </si>
  <si>
    <t>ניסנוב, מיכאל</t>
  </si>
  <si>
    <t>אור מרדכי</t>
  </si>
  <si>
    <t>אור משה מאיר ושירת רינה</t>
  </si>
  <si>
    <t>הרבנים לבית פינטו</t>
  </si>
  <si>
    <t>אור נצח</t>
  </si>
  <si>
    <t>צציק, שמואל בן אברהם חיים</t>
  </si>
  <si>
    <t>ירושליםJerusalem</t>
  </si>
  <si>
    <t>אור נתנאל</t>
  </si>
  <si>
    <t>קווין, נתנאל הכהן</t>
  </si>
  <si>
    <t>תשס"ט</t>
  </si>
  <si>
    <t>אור פני משה - ב (תשע"ח, תשע"ט)</t>
  </si>
  <si>
    <t>קרעטשניף</t>
  </si>
  <si>
    <t>רחובות</t>
  </si>
  <si>
    <t>חסידות, תנ"ך</t>
  </si>
  <si>
    <t>אור צבי - ר"ה, סוכה</t>
  </si>
  <si>
    <t>גומבו, צבי בן ראובן</t>
  </si>
  <si>
    <t>אור ציון</t>
  </si>
  <si>
    <t>לובאן, יוסף דוב</t>
  </si>
  <si>
    <t>תלמוד בבלי, תלמוד ירושלמי</t>
  </si>
  <si>
    <t>אור שלמה ומשה - פרק כיצד הרגל</t>
  </si>
  <si>
    <t>כולל אור שלמה ומשה</t>
  </si>
  <si>
    <t>אור שמואל - 5 כר'</t>
  </si>
  <si>
    <t>בית המדרש לתורה</t>
  </si>
  <si>
    <t>תשמ"ח</t>
  </si>
  <si>
    <t>סקוקי</t>
  </si>
  <si>
    <t>אור שמח &lt;אור הבינה&gt; - נזיקין א</t>
  </si>
  <si>
    <t>כהן, מאיר שמחה בן שמשון קלונימוס - דסקל, יצחק בירך</t>
  </si>
  <si>
    <t>אור תורה - 16 כר'</t>
  </si>
  <si>
    <t>כהן, ישראל (עורך)</t>
  </si>
  <si>
    <t>אורה זו תורה - וישב ב</t>
  </si>
  <si>
    <t>וילהלם, נחמן יוסף בן יהודה דב</t>
  </si>
  <si>
    <t>אורות אמונים - 4 כר'</t>
  </si>
  <si>
    <t>רבינוביץ, גמליאל בן אלחנן הכהן</t>
  </si>
  <si>
    <t>תשע"ג-תשע"ד</t>
  </si>
  <si>
    <t>אורות בין הזמנים - שומע כעונה</t>
  </si>
  <si>
    <t>אורות הקודש &lt;חכמת הקודש&gt;</t>
  </si>
  <si>
    <t>קוק, אברהם יצחק בן שלמה זלמן הכהן - סולטנוביץ, זאב</t>
  </si>
  <si>
    <t>הרב ברכה</t>
  </si>
  <si>
    <t>אורות התורה</t>
  </si>
  <si>
    <t>תשל"ג</t>
  </si>
  <si>
    <t>אורות התחיה - א</t>
  </si>
  <si>
    <t>הר ברכה</t>
  </si>
  <si>
    <t>אורות חיים - שער הפרנסה</t>
  </si>
  <si>
    <t>כהן, חיים (החלבן)</t>
  </si>
  <si>
    <t>רמת גן</t>
  </si>
  <si>
    <t>אורות עמנואל</t>
  </si>
  <si>
    <t>עלון שבועי מועצה דתית עמנואל</t>
  </si>
  <si>
    <t>תשמ"ז-תשמ"ט</t>
  </si>
  <si>
    <t>עמנואל</t>
  </si>
  <si>
    <t>אורות - יב</t>
  </si>
  <si>
    <t>מכון שלהבת טשארנאביל</t>
  </si>
  <si>
    <t>חסידות, קבצים וכתבי עת, ספרי זכרון ויובל</t>
  </si>
  <si>
    <t>אורות</t>
  </si>
  <si>
    <t>אורח מישור - או"ח קע-קפא</t>
  </si>
  <si>
    <t>פלם, אליהו בן יהודה</t>
  </si>
  <si>
    <t>אורי וישעי - שמות א שובבי"ם</t>
  </si>
  <si>
    <t>יונגרייז, אורי שרגא בן אהרן הלוי</t>
  </si>
  <si>
    <t>אורי וישעי</t>
  </si>
  <si>
    <t>מוסדות אור תורת שלום</t>
  </si>
  <si>
    <t>מועדי ישראל, מחשבה ומוסר, תפלות בקשות פיוטים ושירה</t>
  </si>
  <si>
    <t>אושר הנישואין באותיות ומילים</t>
  </si>
  <si>
    <t>גלזרסון, מתתיהו</t>
  </si>
  <si>
    <t>אותות ומופתים</t>
  </si>
  <si>
    <t>ג'קובס, יוסף בן יצחק הכהן</t>
  </si>
  <si>
    <t>אותיות דר' יצחק &lt;מהדורה חדשה&gt;</t>
  </si>
  <si>
    <t>יצחק אייזיק בן יעקב הלוי</t>
  </si>
  <si>
    <t>תשכ"ה</t>
  </si>
  <si>
    <t>אותיות לשון הקודש</t>
  </si>
  <si>
    <t>אז נדברו - 5 כר'</t>
  </si>
  <si>
    <t>חבורות ליל שישי קרית יואל</t>
  </si>
  <si>
    <t>אז נדברו - 3 כר'</t>
  </si>
  <si>
    <t>ירחון ויז'ניץ</t>
  </si>
  <si>
    <t>תשמ"ו</t>
  </si>
  <si>
    <t>אזן אהרן &lt;מהדורה חדשה&gt;</t>
  </si>
  <si>
    <t>עזריאל, אהרן בן עזריאל</t>
  </si>
  <si>
    <t>תשנ"ח</t>
  </si>
  <si>
    <t>אזני יהושע &lt;מהדורה חדשה&gt; - ד</t>
  </si>
  <si>
    <t>בנבנישתי, יהושע רפאל בן ישראל</t>
  </si>
  <si>
    <t>אזעקת אמת</t>
  </si>
  <si>
    <t>נשרי, אברהם צבי</t>
  </si>
  <si>
    <t>אחדות ישראל - 5 כר'</t>
  </si>
  <si>
    <t>בטאון תנועת אחדות ישראל</t>
  </si>
  <si>
    <t>תשי"ט</t>
  </si>
  <si>
    <t>תל אביב</t>
  </si>
  <si>
    <t>אחות קטנה</t>
  </si>
  <si>
    <t>רוטר, חיים בן אהרן ישעיה</t>
  </si>
  <si>
    <t>אחזת הלויים</t>
  </si>
  <si>
    <t>קירש, חיים זאב בן צבי מנחם הלוי</t>
  </si>
  <si>
    <t>לייקווד</t>
  </si>
  <si>
    <t>נושאים שונים, תנ"ך</t>
  </si>
  <si>
    <t>אחלקם ביעקב</t>
  </si>
  <si>
    <t>הורביץ, אלטר יהודה יחזקאל בן יעקב שרגא פייביש</t>
  </si>
  <si>
    <t>מועדי ישראל, תלמוד בבלי, תנ"ך</t>
  </si>
  <si>
    <t>אחרית האדם בעולם הזה</t>
  </si>
  <si>
    <t>שוורץ, יואל בן אהרן</t>
  </si>
  <si>
    <t>אטה למשל - פרשיות התורה</t>
  </si>
  <si>
    <t>לחובר, דוד בן משה</t>
  </si>
  <si>
    <t>איגרת פורים</t>
  </si>
  <si>
    <t>לוי, נתן - לוי, אברהם בן יצחק</t>
  </si>
  <si>
    <t>הלכה ומנהג, מועדי ישראל, תלמוד בבלי, תנ"ך</t>
  </si>
  <si>
    <t>איזהו רשות הרבים</t>
  </si>
  <si>
    <t>ווערכטער-ראבינאוויטש, צבי הירש בן פנחס</t>
  </si>
  <si>
    <t>איי הים - שמואל ב</t>
  </si>
  <si>
    <t>דוד, אברהם ירמיהו בן יוחנן הכהן</t>
  </si>
  <si>
    <t>לייקאווד</t>
  </si>
  <si>
    <t>אילו של אברהם - ביצה</t>
  </si>
  <si>
    <t>פינקלשטיין, אברהם בן יחזקאל</t>
  </si>
  <si>
    <t>תפרח</t>
  </si>
  <si>
    <t>אילת אהבים - 5 כר'</t>
  </si>
  <si>
    <t>שהרבני, אייל</t>
  </si>
  <si>
    <t>אילת השחר - כאיל תערוג</t>
  </si>
  <si>
    <t>אימורים משלחן גבוה</t>
  </si>
  <si>
    <t>פרנק, צבי פסח</t>
  </si>
  <si>
    <t>אין אויסגעבענקטן לאנד</t>
  </si>
  <si>
    <t>הערבסט, מרדכי</t>
  </si>
  <si>
    <t>אין גדולה כתורה</t>
  </si>
  <si>
    <t>נשרי, אברהם צבי בן יצחק אייזיק</t>
  </si>
  <si>
    <t>אין עוד מלבדו</t>
  </si>
  <si>
    <t>רוט, זאב</t>
  </si>
  <si>
    <t>איסור נגיעה ותיקונו</t>
  </si>
  <si>
    <t>הלכה ומנהג, ספריית חב"ד</t>
  </si>
  <si>
    <t>איש הלוי - חזקת הבתים</t>
  </si>
  <si>
    <t>וולפא, אברהם ישעיהו בן ברוך מרדכי הלוי</t>
  </si>
  <si>
    <t>איש הרוח</t>
  </si>
  <si>
    <t>שפירא, אברהם</t>
  </si>
  <si>
    <t>תשי"ח,</t>
  </si>
  <si>
    <t>איתן האזרחי &lt;זכרון אהרן&gt;</t>
  </si>
  <si>
    <t>רפאפורט, אברהם בן ישראל יחיאל הכהן</t>
  </si>
  <si>
    <t>אך טוב וחסד - יו"ד</t>
  </si>
  <si>
    <t>כהן, אברהם</t>
  </si>
  <si>
    <t>אשקלון</t>
  </si>
  <si>
    <t>אל תהי צדיק הרבה</t>
  </si>
  <si>
    <t>אל תחטאו בילד</t>
  </si>
  <si>
    <t>ישיבת שערי יושר</t>
  </si>
  <si>
    <t>אלה המשפטים</t>
  </si>
  <si>
    <t>רוזין, אברהם בן קלונימוס קלמן</t>
  </si>
  <si>
    <t>אלה תולדות ר' אברהם</t>
  </si>
  <si>
    <t>זלמנוב, מנחם מנדל</t>
  </si>
  <si>
    <t>מולדובה</t>
  </si>
  <si>
    <t>אלומות - תשרי תשע"ד</t>
  </si>
  <si>
    <t>בית המדרש אלון מורה</t>
  </si>
  <si>
    <t>אלון מורה</t>
  </si>
  <si>
    <t>אלי"ה תמימה</t>
  </si>
  <si>
    <t>אליהו יהודה</t>
  </si>
  <si>
    <t>אליבא דהלכתא - 4 כר'</t>
  </si>
  <si>
    <t>חברת אהבת שלום</t>
  </si>
  <si>
    <t>אליהו הנביא</t>
  </si>
  <si>
    <t>רוזנברג, יהודה יודל בן ישראל יצחק</t>
  </si>
  <si>
    <t>(תשי"ג</t>
  </si>
  <si>
    <t>ירושלים,</t>
  </si>
  <si>
    <t>מועדי ישראל, נושאים שונים</t>
  </si>
  <si>
    <t>אלע אגדות פון תלמוד</t>
  </si>
  <si>
    <t>אגדות התלמוד</t>
  </si>
  <si>
    <t>תרפ"ה</t>
  </si>
  <si>
    <t>אם לבינה - קידושין</t>
  </si>
  <si>
    <t>מימון, אריאל יוסף רפאל בן עוזי</t>
  </si>
  <si>
    <t>אם לבינה</t>
  </si>
  <si>
    <t>קאמלהאר, יקותיאל אריה בן גרשון</t>
  </si>
  <si>
    <t>תרס"ט - חש"ד</t>
  </si>
  <si>
    <t>Lvov לבוב - ישראל</t>
  </si>
  <si>
    <t>חסידות, תולדות עם ישראל</t>
  </si>
  <si>
    <t>אמ"ת ואמונה - ב</t>
  </si>
  <si>
    <t>תובל, מרדכי אלימלך</t>
  </si>
  <si>
    <t>אמונה ומודעות</t>
  </si>
  <si>
    <t>מחשבה ומוסר, ספריית חב"ד</t>
  </si>
  <si>
    <t>אמונת אליעזר - חג הפסח</t>
  </si>
  <si>
    <t>מרגליות, אליהו מנחם בן אליעזר צדוק</t>
  </si>
  <si>
    <t>אמונת חיים - שבת קודש</t>
  </si>
  <si>
    <t>שיפמן, חיים הלוי</t>
  </si>
  <si>
    <t>ביתר עילית</t>
  </si>
  <si>
    <t>אמונת חכמים &lt;זכרון אהרן&gt;</t>
  </si>
  <si>
    <t>באזילה, אביעד שר שלום בן מנחם שמשון</t>
  </si>
  <si>
    <t>אמונת עז</t>
  </si>
  <si>
    <t>אויערבאך, עזריאל</t>
  </si>
  <si>
    <t>אמונת עתיך - 7 כר'</t>
  </si>
  <si>
    <t>מכון התורה והארץ</t>
  </si>
  <si>
    <t>כפר דרום - אשקלון</t>
  </si>
  <si>
    <t>הלכה ומנהג, קבצים וכתבי עת, ספרי זכרון ויובל</t>
  </si>
  <si>
    <t>אמירה כתיבה - כתובות</t>
  </si>
  <si>
    <t>מילר, מאיר יחיאל בן שמואל הכהן</t>
  </si>
  <si>
    <t>אמרות חכמה - הגדה של פסח</t>
  </si>
  <si>
    <t>אבני, נתנאל</t>
  </si>
  <si>
    <t>אמרות טהורות - ב</t>
  </si>
  <si>
    <t>חרל"פ, יעקב משה</t>
  </si>
  <si>
    <t>תשכ"ט</t>
  </si>
  <si>
    <t>אמרות טהורות - אוצרות התורה</t>
  </si>
  <si>
    <t>מינדען, יוסף שלמה - קאהוט, אברהם זאב - רובינזון, משה נתן</t>
  </si>
  <si>
    <t>אמרות משה - תורה</t>
  </si>
  <si>
    <t>ברזם, משה זכריה בן שאול</t>
  </si>
  <si>
    <t>בניברק</t>
  </si>
  <si>
    <t>אמרות משה - גיטין</t>
  </si>
  <si>
    <t>קלויזנר, משה מאיר</t>
  </si>
  <si>
    <t>אמרי אביגדור - גיטין</t>
  </si>
  <si>
    <t>ציפרשטיין, אביגדור</t>
  </si>
  <si>
    <t>אמרי אליעזר - ג</t>
  </si>
  <si>
    <t>פרלוב, אליעזר זאב בן אהרן</t>
  </si>
  <si>
    <t>תשמ"ט</t>
  </si>
  <si>
    <t>אמרי אש - תרומות</t>
  </si>
  <si>
    <t>שגב, אורן בן חיים</t>
  </si>
  <si>
    <t>אמרי בינה - ד אבהע"ז</t>
  </si>
  <si>
    <t>אוירבאך, מאיר בן יצחק איציק</t>
  </si>
  <si>
    <t>[תרצ"ח] -תשכ"ח</t>
  </si>
  <si>
    <t>לובלין- ירושלים</t>
  </si>
  <si>
    <t>אמרי בינה</t>
  </si>
  <si>
    <t>לחוביצקי, משה יהודה ליב בן יעקב קופיל</t>
  </si>
  <si>
    <t>תר"ס,</t>
  </si>
  <si>
    <t>דרושים, משנה, תלמוד בבלי, תנ"ך</t>
  </si>
  <si>
    <t>פרידמאן, יצחק אייזיק בן יוסף</t>
  </si>
  <si>
    <t>תרע"ג,</t>
  </si>
  <si>
    <t>וורשה,</t>
  </si>
  <si>
    <t>אמרי ברוך - בראשית</t>
  </si>
  <si>
    <t>סיימאן, ברוך חיים</t>
  </si>
  <si>
    <t>אמרי דב - כריתות</t>
  </si>
  <si>
    <t>היימפלד, דב</t>
  </si>
  <si>
    <t>אמרי דבש - ביאור על נשמת</t>
  </si>
  <si>
    <t>שטרנבוך, אלכסנדר</t>
  </si>
  <si>
    <t>אמרי חן ושפר</t>
  </si>
  <si>
    <t>רייך, נפתלי</t>
  </si>
  <si>
    <t>תשס"ד</t>
  </si>
  <si>
    <t>לייקוואוד</t>
  </si>
  <si>
    <t>אמרי יוסף - 3 כר'</t>
  </si>
  <si>
    <t>עדס, יוסף משה</t>
  </si>
  <si>
    <t>אמרי יושר - עבודה זרה</t>
  </si>
  <si>
    <t>גריינימן, מאיר בן שמואל</t>
  </si>
  <si>
    <t>אמרי יצחק -מועדים - פורים פסח</t>
  </si>
  <si>
    <t>וייס, יצחק מאיר</t>
  </si>
  <si>
    <t>אמרי ישראל</t>
  </si>
  <si>
    <t>עמרני, ישראל מאיר</t>
  </si>
  <si>
    <t>אמרי מאיר</t>
  </si>
  <si>
    <t>יוסט, מאיר</t>
  </si>
  <si>
    <t>אמסטרדם</t>
  </si>
  <si>
    <t>אמרי מרדכי - ב</t>
  </si>
  <si>
    <t>גולדשטיין, מרדכי בן משה</t>
  </si>
  <si>
    <t>רפאלי, מרדכי אליהו</t>
  </si>
  <si>
    <t>אמרי משה - 2 כר'</t>
  </si>
  <si>
    <t>הולצברג, משה צבי</t>
  </si>
  <si>
    <t>אמרי משה</t>
  </si>
  <si>
    <t>כהנא, צבי - קסטנבוים, משה מאיר</t>
  </si>
  <si>
    <t>אמרי נועם</t>
  </si>
  <si>
    <t>אשכנזי, אברהם מאיר בן שאול הלוי</t>
  </si>
  <si>
    <t>תרמ"ח</t>
  </si>
  <si>
    <t>ריכטשרייבר, זיסקינד בן דוב אריה</t>
  </si>
  <si>
    <t>תרפ"ו</t>
  </si>
  <si>
    <t>דרושים, תלמוד בבלי, תנ"ך</t>
  </si>
  <si>
    <t>אמרי נעם</t>
  </si>
  <si>
    <t>רייזקין, מרדכי שמואל בן אליהו הכהן</t>
  </si>
  <si>
    <t>תרנ"ז,</t>
  </si>
  <si>
    <t>אמרי רבית</t>
  </si>
  <si>
    <t>גולדשמידט, מאיר בן יוסף</t>
  </si>
  <si>
    <t>אמרי שי - כתובות</t>
  </si>
  <si>
    <t>יעקובוביץ, שמעון יחזקאל</t>
  </si>
  <si>
    <t>תשס"ז</t>
  </si>
  <si>
    <t>אמרי שמואל - 2 כר'</t>
  </si>
  <si>
    <t>עדס, שמואל בן מאיר</t>
  </si>
  <si>
    <t>אמרי שמועה - שבת</t>
  </si>
  <si>
    <t>נוקראי, שמעון בן מנחם</t>
  </si>
  <si>
    <t>אמרי שפר - ברכות</t>
  </si>
  <si>
    <t>קרביץ, נפתלי מנחם בן יוסף</t>
  </si>
  <si>
    <t>אמרי שפר</t>
  </si>
  <si>
    <t>שפירא, מאיר יעקב בן שאול יחזקאל</t>
  </si>
  <si>
    <t>אמרתו ארץ</t>
  </si>
  <si>
    <t>ולר, אמיר</t>
  </si>
  <si>
    <t>אמת לדוד</t>
  </si>
  <si>
    <t>גדסי, דוד</t>
  </si>
  <si>
    <t>אמת ליעקב - קבלת התורה</t>
  </si>
  <si>
    <t>גוטמן, יעקב</t>
  </si>
  <si>
    <t>דרושים, מועדי ישראל</t>
  </si>
  <si>
    <t>אמת ליעקב</t>
  </si>
  <si>
    <t>פרץ, יעקב בן יוסף</t>
  </si>
  <si>
    <t>אמת ליעקב - 3 כר'</t>
  </si>
  <si>
    <t>קמנצקי, יעקב</t>
  </si>
  <si>
    <t>לייקוואד</t>
  </si>
  <si>
    <t>משנה, תלמוד בבלי</t>
  </si>
  <si>
    <t>אמת למד פיך</t>
  </si>
  <si>
    <t>אמת צרופה</t>
  </si>
  <si>
    <t>דהרי, יניב</t>
  </si>
  <si>
    <t>אמתחת בנימין</t>
  </si>
  <si>
    <t>קאהן, בנימין בן חיים יחיאל</t>
  </si>
  <si>
    <t>תרע"ז</t>
  </si>
  <si>
    <t>נויארק,</t>
  </si>
  <si>
    <t>אנא רחם - יהושע, שופטים</t>
  </si>
  <si>
    <t>נגר, רוני בן משה</t>
  </si>
  <si>
    <t>אני לדודי ודודי לי</t>
  </si>
  <si>
    <t>חסידות, מועדי ישראל</t>
  </si>
  <si>
    <t>למברסקי, מאיר</t>
  </si>
  <si>
    <t>אני מאמין - ה (תמים תהיה)</t>
  </si>
  <si>
    <t>ארלנגר, יצחק משה בן יוסף</t>
  </si>
  <si>
    <t>חסידות, מחשבה ומוסר</t>
  </si>
  <si>
    <t>אני תפילה (יידיש)</t>
  </si>
  <si>
    <t>שישא, בנימין זאב בן יעקב עקיבא הלוי</t>
  </si>
  <si>
    <t>אני תפילה</t>
  </si>
  <si>
    <t>אנייע ש"ס תחנה</t>
  </si>
  <si>
    <t>תחינות</t>
  </si>
  <si>
    <t>ווילנא - ארה"ב</t>
  </si>
  <si>
    <t>אנכי והילדים</t>
  </si>
  <si>
    <t>חסידות, נושאים שונים</t>
  </si>
  <si>
    <t>אנציקלופדיה תלמודית - 2 כר'</t>
  </si>
  <si>
    <t>יד הרב הרצוג</t>
  </si>
  <si>
    <t>אסופה בעניני עם וארצו</t>
  </si>
  <si>
    <t>אסופת חידושי תורה ומאמרים</t>
  </si>
  <si>
    <t>קהילת לומדי תורה ברכפלד</t>
  </si>
  <si>
    <t>אסופת מאמרים בענייני חברה</t>
  </si>
  <si>
    <t>אסופת מאמרים והלכות בעניין שמירת איכות הסביבה ואיסור בל תשחית</t>
  </si>
  <si>
    <t>אסופת מאמרים</t>
  </si>
  <si>
    <t>אסיא - 6 כר'</t>
  </si>
  <si>
    <t>מאמרים בעניני הלכה ורפואה</t>
  </si>
  <si>
    <t>תשנ"ז</t>
  </si>
  <si>
    <t>אסיפת דברי חכמים</t>
  </si>
  <si>
    <t>לנץ, חיים ירוחם בן שמשון משולם פייבוש</t>
  </si>
  <si>
    <t>אספקלריא - 256 &lt;ויחי-תשע"ט&gt;</t>
  </si>
  <si>
    <t>קלאר, ישראל אברהם (עורך)</t>
  </si>
  <si>
    <t>אסתכל באורייתא</t>
  </si>
  <si>
    <t>גודמן, אברהם ברוך</t>
  </si>
  <si>
    <t>אעלה בתמר - 2 כר'</t>
  </si>
  <si>
    <t>בן הרוש, תומר בן אברהם</t>
  </si>
  <si>
    <t>אפיקי מים - ג</t>
  </si>
  <si>
    <t>אפיקי מים - קידושין</t>
  </si>
  <si>
    <t>מילר, מנשה יוסף בן שלמה הלוי</t>
  </si>
  <si>
    <t>אפיקי מים - 6 כר'</t>
  </si>
  <si>
    <t>שפירא, משה - שמלצר, מרדכי ראובן (עורך)</t>
  </si>
  <si>
    <t>אפיקי נחל</t>
  </si>
  <si>
    <t>אפיקי תורה - בראשית</t>
  </si>
  <si>
    <t>מייזליש, יעקב</t>
  </si>
  <si>
    <t>אפיקי תלמוד</t>
  </si>
  <si>
    <t>מלאכי, יצחק בן צבי</t>
  </si>
  <si>
    <t>לוד</t>
  </si>
  <si>
    <t>אפיתחא דבבא - בבא בתרא ב</t>
  </si>
  <si>
    <t>ריבנר, גרשון בן שלמה</t>
  </si>
  <si>
    <t>ליקוואוד</t>
  </si>
  <si>
    <t>אפריון יוסף - שילוח הקן</t>
  </si>
  <si>
    <t>לב, יעקב</t>
  </si>
  <si>
    <t>אקשיבה - א</t>
  </si>
  <si>
    <t>ארבעה חרשים</t>
  </si>
  <si>
    <t>אריה ליב בן ברוך מלאנצוט</t>
  </si>
  <si>
    <t>[תר"ט,</t>
  </si>
  <si>
    <t>[לבוב],</t>
  </si>
  <si>
    <t>דרושים, מועדי ישראל, תלמוד בבלי</t>
  </si>
  <si>
    <t>ארבעת המינים המהודרים</t>
  </si>
  <si>
    <t>חו"ר ביהמ"ד משנת דוד קרלין סטולין</t>
  </si>
  <si>
    <t>ארוממך - 3 כר'</t>
  </si>
  <si>
    <t>עלון תורני</t>
  </si>
  <si>
    <t>ארון הברית - 2 כר'</t>
  </si>
  <si>
    <t>אלימלך, אליהו</t>
  </si>
  <si>
    <t>קבלה, תפלות בקשות פיוטים ושירה</t>
  </si>
  <si>
    <t>ארזי התורה - תשס"ו</t>
  </si>
  <si>
    <t>ארח יצחק - 4 כר'</t>
  </si>
  <si>
    <t>אדלר, יצחק בן עמנואל נחום</t>
  </si>
  <si>
    <t>ארח משפט - 2 כר'</t>
  </si>
  <si>
    <t>בית מדרש לדיינות</t>
  </si>
  <si>
    <t>קבצים וכתבי עת, ספרי זכרון ויובל, שלחן ערוך ומפרשיו</t>
  </si>
  <si>
    <t>ארחות אהרן - 3 כר'</t>
  </si>
  <si>
    <t>רוזנפלד, אהרן בן יצחק מנשה הכהן (מפינסק קרלין)</t>
  </si>
  <si>
    <t>ארחות חיים - צוואת רבי אליעזר הגדול</t>
  </si>
  <si>
    <t>ארחות יהודה - ערבי פסחים</t>
  </si>
  <si>
    <t>ניימן, יהודה אריה בן שלמה</t>
  </si>
  <si>
    <t>ארחות צדקה</t>
  </si>
  <si>
    <t>בבור, אליעזר בן דניאל</t>
  </si>
  <si>
    <t>ארחותיך למדני - 2 כר'</t>
  </si>
  <si>
    <t>אריה ישאג - 5 כר'</t>
  </si>
  <si>
    <t>גליק, יצחק בן יהודה</t>
  </si>
  <si>
    <t>אריה שאג - ט</t>
  </si>
  <si>
    <t>הלברשטאם, אריה ליבש בן סיני</t>
  </si>
  <si>
    <t>אריתי מורי</t>
  </si>
  <si>
    <t>שנקר, אברהם צבי בן מרדכי</t>
  </si>
  <si>
    <t>מועדי ישראל, משנה, תלמוד בבלי, תנ"ך</t>
  </si>
  <si>
    <t>ארץ זבת חלב ודבש</t>
  </si>
  <si>
    <t>ארץ חיים</t>
  </si>
  <si>
    <t>ויצמן, יהושע</t>
  </si>
  <si>
    <t>מעלות</t>
  </si>
  <si>
    <t>ארץ חמדה - נחלה לישראל</t>
  </si>
  <si>
    <t>הורוויץ, ישראל זאב בן שמואל הלוי</t>
  </si>
  <si>
    <t>ארץ חמדתנו</t>
  </si>
  <si>
    <t>זייני, אליהו רחמים בן מאיר</t>
  </si>
  <si>
    <t>ארץ ישראל</t>
  </si>
  <si>
    <t>בונה, אברהם בן נתן</t>
  </si>
  <si>
    <t>תרצ"ח</t>
  </si>
  <si>
    <t>ארץ צבי &lt;מהדורה מחודשת&gt; - 2 כר'</t>
  </si>
  <si>
    <t>פרומר, אריה צבי בן חנוך הנדל</t>
  </si>
  <si>
    <t>ארץ צבי</t>
  </si>
  <si>
    <t>ארשת שפתיים - 8 כר'</t>
  </si>
  <si>
    <t>כולל דרכי דוד</t>
  </si>
  <si>
    <t>אשא עיני</t>
  </si>
  <si>
    <t>אשי אברהם - שבת</t>
  </si>
  <si>
    <t>גיברלטר, אברהם ישעיהו בן אריה משה</t>
  </si>
  <si>
    <t>אשיחה בחקיך &lt;בהלכה&gt; - 44 כר'</t>
  </si>
  <si>
    <t>נזרית, אורן בן דוד</t>
  </si>
  <si>
    <t>באר שבע</t>
  </si>
  <si>
    <t>אשיחה בחקיך - 41 כר'</t>
  </si>
  <si>
    <t>אשכבתיה דבן מלך</t>
  </si>
  <si>
    <t>מינצברג, נתן יהודה לייב בן אלימלך</t>
  </si>
  <si>
    <t>אשכבתיה דרבינו</t>
  </si>
  <si>
    <t>אברהמס, אריה ליב בן אברהם (עליו)</t>
  </si>
  <si>
    <t>אשל אברהם - 8 כר'</t>
  </si>
  <si>
    <t>ליפשיץ, אברהם שמעון בן גרשון יוסף</t>
  </si>
  <si>
    <t>רכסים</t>
  </si>
  <si>
    <t>אשל ברמה - 2 כר'</t>
  </si>
  <si>
    <t>סילבר, שמואל אברהם בן יצחק אייזיק</t>
  </si>
  <si>
    <t>אשפרת בטון בשבת</t>
  </si>
  <si>
    <t>מכון מדעי טכנולוגי לבעיות הלכה</t>
  </si>
  <si>
    <t>תש"ל</t>
  </si>
  <si>
    <t>אשר יבחר</t>
  </si>
  <si>
    <t>שורקין, יעקב משה</t>
  </si>
  <si>
    <t>אשר קדשנו</t>
  </si>
  <si>
    <t>אשת חיל מבואר ומפורש</t>
  </si>
  <si>
    <t>שפירא, נתן דוד (עורך)</t>
  </si>
  <si>
    <t>אתה בחרתו</t>
  </si>
  <si>
    <t>גרינברג, מרדכי</t>
  </si>
  <si>
    <t>כרם ביבנה</t>
  </si>
  <si>
    <t>אתה בחרתנו - סוכות תש"פ</t>
  </si>
  <si>
    <t>אתקינו סעודתא - סעודות חנוכה</t>
  </si>
  <si>
    <t>פלשניצקי, אריה בן יוסף הכהן</t>
  </si>
  <si>
    <t>אתרוג למינו - 2 כר'</t>
  </si>
  <si>
    <t>שוורץ, ראובן מלך בן בנימין יצחק</t>
  </si>
  <si>
    <t>באופן מיוחד</t>
  </si>
  <si>
    <t>מכון אם בישראל</t>
  </si>
  <si>
    <t>בית שמש</t>
  </si>
  <si>
    <t>באור פניך - שומרים</t>
  </si>
  <si>
    <t>גולדברג, ישראל בן ניסן</t>
  </si>
  <si>
    <t>באורח משפט</t>
  </si>
  <si>
    <t>אויערבאך, צבי בן שמחה בונם</t>
  </si>
  <si>
    <t>באורח צדיקים - גלות וגאולה</t>
  </si>
  <si>
    <t>חומת יהדות אירופה</t>
  </si>
  <si>
    <t>באורי תפלה</t>
  </si>
  <si>
    <t>מטלין, גיטה בת שמעון משה</t>
  </si>
  <si>
    <t>תשל"א</t>
  </si>
  <si>
    <t>באורך נראה אור</t>
  </si>
  <si>
    <t>משפחת פרץ</t>
  </si>
  <si>
    <t>הלכה ומנהג, מועדי ישראל, נושאים שונים, תלמוד בבלי</t>
  </si>
  <si>
    <t>באמונה ננצח</t>
  </si>
  <si>
    <t>לזכר שמואל מאיר</t>
  </si>
  <si>
    <t>תשס"ג</t>
  </si>
  <si>
    <t>באמונתו יחיה</t>
  </si>
  <si>
    <t>באר אברהם - עירובין</t>
  </si>
  <si>
    <t>מלריך, אברהם בן משה</t>
  </si>
  <si>
    <t>באר אברהם - 2 כר'</t>
  </si>
  <si>
    <t>קמחי, אברהם</t>
  </si>
  <si>
    <t>באר אליהו - השבתת חמץ</t>
  </si>
  <si>
    <t>הילדסהיימר, אליהו בן נפתלי צבי</t>
  </si>
  <si>
    <t>באר בצלאל - 2 כר'</t>
  </si>
  <si>
    <t>אזואלוס, בצלאל בן רפאל</t>
  </si>
  <si>
    <t>באר ההגדה</t>
  </si>
  <si>
    <t>טביוביץ, אהרן משה בן יהודה יוסף</t>
  </si>
  <si>
    <t>באר המים - ב"ק</t>
  </si>
  <si>
    <t>שגב, אליאב בן רפאל</t>
  </si>
  <si>
    <t>באר יצחק - ביצה</t>
  </si>
  <si>
    <t>באקשט, ישעיהו (עורך)</t>
  </si>
  <si>
    <t>באר יצחק</t>
  </si>
  <si>
    <t>ביליצר, יצחק אייזיק בן פינחס הלוי</t>
  </si>
  <si>
    <t>מועדי ישראל, תנ"ך</t>
  </si>
  <si>
    <t>סבאג, יצחק בן ראובן</t>
  </si>
  <si>
    <t>צרפת</t>
  </si>
  <si>
    <t>באר לחי</t>
  </si>
  <si>
    <t>מוסקוביץ, יוסף חיים בן יחיאל מיכל</t>
  </si>
  <si>
    <t>ברוקלין</t>
  </si>
  <si>
    <t>מימון, חי בן יעקב</t>
  </si>
  <si>
    <t>תרמ"ח - תשס"ו</t>
  </si>
  <si>
    <t>ליוורנו - ישראל</t>
  </si>
  <si>
    <t>דרושים, משנה, תנ"ך</t>
  </si>
  <si>
    <t>באר מים - מקוואות</t>
  </si>
  <si>
    <t>אלקיכן, יוסף מאיר בן אפרים הלוי</t>
  </si>
  <si>
    <t>באר מים</t>
  </si>
  <si>
    <t>שטופל, מיכל דוד בן יוחנן</t>
  </si>
  <si>
    <t>ברלין,</t>
  </si>
  <si>
    <t>באר שבע &lt;זכרון אהרן מהדורה מתוקנת&gt; ב (הוריות, תמיד, כריתות, סוטה, סנהדרין, חולין, שו"ת, באר מים חיים)</t>
  </si>
  <si>
    <t>איילינבורג, יששכר בער בן ישראל ליזר פרנס</t>
  </si>
  <si>
    <t>משנה, שאלות ותשובות, תלמוד בבלי</t>
  </si>
  <si>
    <t>באר שלמה</t>
  </si>
  <si>
    <t>בכרך, רפאל אלחנן</t>
  </si>
  <si>
    <t>באר שמואל - גניבה וגזילה</t>
  </si>
  <si>
    <t>ישועה, שמואל</t>
  </si>
  <si>
    <t>באר שמחה</t>
  </si>
  <si>
    <t>נויפלד, שמחה בונם בן אהרן</t>
  </si>
  <si>
    <t>בארה שבע</t>
  </si>
  <si>
    <t>לנדאו, ישראל יעקב</t>
  </si>
  <si>
    <t>בארות המים - ג</t>
  </si>
  <si>
    <t>דרנגר, ישראל משה</t>
  </si>
  <si>
    <t>אנטוורפן</t>
  </si>
  <si>
    <t>בארות יצחק וברכה</t>
  </si>
  <si>
    <t>בידני, אהרן גבריאל</t>
  </si>
  <si>
    <t>מחשבה ומוסר, נושאים שונים, תנ"ך</t>
  </si>
  <si>
    <t>בגבורות ישע - עירובין</t>
  </si>
  <si>
    <t>אלטמן, גבריאל ישעיהו בן אברהם</t>
  </si>
  <si>
    <t>בגדי ישע &lt;מהדורה חדשה&gt;</t>
  </si>
  <si>
    <t>צדוק רופא הכהן</t>
  </si>
  <si>
    <t>בגדי ישע</t>
  </si>
  <si>
    <t>זרגרי, ישי עמוס בן מתתיהו</t>
  </si>
  <si>
    <t>גבעת זאב</t>
  </si>
  <si>
    <t>בגדי קודש - קונטרס שמעו בני</t>
  </si>
  <si>
    <t>דרור, שמעון בן אליהו</t>
  </si>
  <si>
    <t>בדבר מלך - ג</t>
  </si>
  <si>
    <t>רייטפארט, יצחק בן חיים</t>
  </si>
  <si>
    <t>בדי אהרן - חולין</t>
  </si>
  <si>
    <t>דייטש, אהרן בן עמרם יוסף</t>
  </si>
  <si>
    <t>בדי האילן - 2 כר'</t>
  </si>
  <si>
    <t>גיא, יצחק עמנואל בן דוד</t>
  </si>
  <si>
    <t>בדיני כלי שמלאכתו לאיסור</t>
  </si>
  <si>
    <t>בן שלמה, צבי בן מיכאל</t>
  </si>
  <si>
    <t>בדקדוק חברים - 7 כר'</t>
  </si>
  <si>
    <t>סלומון, אברהם</t>
  </si>
  <si>
    <t>בדרך המלך נלך</t>
  </si>
  <si>
    <t>ארגון נפשנו</t>
  </si>
  <si>
    <t>בדרך לימוד</t>
  </si>
  <si>
    <t>חש"מ</t>
  </si>
  <si>
    <t>בדרכי אבות - ב</t>
  </si>
  <si>
    <t>פסין, אהרן יהושע</t>
  </si>
  <si>
    <t>בהר יראה - תורה ומועדים</t>
  </si>
  <si>
    <t>שמילאוויטש, מאיר יצחק</t>
  </si>
  <si>
    <t>ברוקלין, ניו יורק</t>
  </si>
  <si>
    <t>בהתאסף - 6 כר'</t>
  </si>
  <si>
    <t>קובץ תורני</t>
  </si>
  <si>
    <t>בורא מיני בשמים</t>
  </si>
  <si>
    <t>עדס, אברהם חיים בן דניאל</t>
  </si>
  <si>
    <t>בזכות ונשמרתם</t>
  </si>
  <si>
    <t>פיינהנדלר, אהרן</t>
  </si>
  <si>
    <t>בזכותא דבר יוחאי</t>
  </si>
  <si>
    <t>כהן, אהרן בן משה ישעיהו</t>
  </si>
  <si>
    <t>בחוקותיך אשתעשע</t>
  </si>
  <si>
    <t>אייזנבך, אברהם</t>
  </si>
  <si>
    <t>בחינות עולם &lt;מגדנות  אלעזר - המליץ - המזכיר&gt;</t>
  </si>
  <si>
    <t>ידעיה בן אברהם בדרשי</t>
  </si>
  <si>
    <t>תקע"ח</t>
  </si>
  <si>
    <t>בחצרות החיים - ל</t>
  </si>
  <si>
    <t>בטאון ארגון החבורות דחסידי צאנז</t>
  </si>
  <si>
    <t>נתניה</t>
  </si>
  <si>
    <t>בחר ה' בציון</t>
  </si>
  <si>
    <t>בחשק משה - 6 כר'</t>
  </si>
  <si>
    <t>שווארץ, קלמן</t>
  </si>
  <si>
    <t>בטאון צעירי ויז'ניץ - 5 כר'</t>
  </si>
  <si>
    <t>אגודת צעירי ויזניץ</t>
  </si>
  <si>
    <t>ביאור חמש מגילות</t>
  </si>
  <si>
    <t>וואלי, משה דוד</t>
  </si>
  <si>
    <t>ביאור מגילת אסתר תליתאה</t>
  </si>
  <si>
    <t>ביאור עניני הנבואות וביאור המקראות בספר ירמיהו</t>
  </si>
  <si>
    <t>חנון, חיים</t>
  </si>
  <si>
    <t>ביאור קצר על שלושים מצוות בני נח</t>
  </si>
  <si>
    <t>שטיבל, מנחם פנחס</t>
  </si>
  <si>
    <t>ביאורי משפט - 2 כר'</t>
  </si>
  <si>
    <t>עלעפנט, יצחק מנחם בן דב ראובן</t>
  </si>
  <si>
    <t>ביאורי סוגיות אהל דוד - פסחים</t>
  </si>
  <si>
    <t>ביאורי סוגיות - 2 כר'</t>
  </si>
  <si>
    <t>ביאורי סוגיות - ב"ק</t>
  </si>
  <si>
    <t>מנדלקורן, שמואל זאב</t>
  </si>
  <si>
    <t>ביאורים במועדים - 5 כר'</t>
  </si>
  <si>
    <t>פברשטיין, יוסף</t>
  </si>
  <si>
    <t>ביאורים וחידושים - חולין</t>
  </si>
  <si>
    <t>חג'ג', חנניה</t>
  </si>
  <si>
    <t>ביאורים וליקוטים - 3 כר'</t>
  </si>
  <si>
    <t>קנובלוביץ, אברהם ברוך בן יצחק מאיר</t>
  </si>
  <si>
    <t>ביבליאטעק אידישע וויסענשאפט</t>
  </si>
  <si>
    <t>שוומר, שמואל</t>
  </si>
  <si>
    <t>ביום קדשי - עירובין</t>
  </si>
  <si>
    <t>אויערבך, אהרן יוסף בן אברהם דב</t>
  </si>
  <si>
    <t>ביכורי שדי - 2 כר'</t>
  </si>
  <si>
    <t>כהן, דוד שמואל ישי</t>
  </si>
  <si>
    <t>מועדי ישראל, נושאים שונים, תנ"ך</t>
  </si>
  <si>
    <t>ביכורי שלמה</t>
  </si>
  <si>
    <t>זלזניק, שלמה זלמן בן זליג ראובן</t>
  </si>
  <si>
    <t>ביכורים בכרם - תשנ"ו</t>
  </si>
  <si>
    <t>בין השמשות דר"ת וזמן הדלקת נרות חנוכה</t>
  </si>
  <si>
    <t>בין התחברות למחויבות</t>
  </si>
  <si>
    <t>עמיטל, יהודה</t>
  </si>
  <si>
    <t>אלון שבות</t>
  </si>
  <si>
    <t>בינה לעתים</t>
  </si>
  <si>
    <t>תקנ"א,</t>
  </si>
  <si>
    <t>ברלין</t>
  </si>
  <si>
    <t>בינה לעתים - פורים</t>
  </si>
  <si>
    <t>פרייס, משה בן יששכר הלוי</t>
  </si>
  <si>
    <t>ביני עמודי - 2 כר'</t>
  </si>
  <si>
    <t>התאחדות תלמידי ישיבת בית מאיר</t>
  </si>
  <si>
    <t>ביני עמודי - עירובין</t>
  </si>
  <si>
    <t>עטיה, מרדכי בן חיים</t>
  </si>
  <si>
    <t>בינת הלב &lt;מהדורה חדשה&gt;</t>
  </si>
  <si>
    <t>תאומים, נפתלי הירץ בן יונה</t>
  </si>
  <si>
    <t>בינת המשפט - ז</t>
  </si>
  <si>
    <t>דסקל, יצחק בירך בן שמואל יהודה</t>
  </si>
  <si>
    <t>הלכה ומנהג, שאלות ותשובות, שלחן ערוך ומפרשיו</t>
  </si>
  <si>
    <t>בינת טהרה</t>
  </si>
  <si>
    <t>קמינצקי, אסף</t>
  </si>
  <si>
    <t>בינת עתים - בין השמשות וזמני היום</t>
  </si>
  <si>
    <t>שרייבער, אליעזר צבי הלוי בן שרגא פייוול</t>
  </si>
  <si>
    <t>בינת שבת</t>
  </si>
  <si>
    <t>בירורי החזקה</t>
  </si>
  <si>
    <t>קופמן, יוסף שלמה בן מיכאל</t>
  </si>
  <si>
    <t>בירורי הלכה בשאלות מצויות בין לחש לחזרה</t>
  </si>
  <si>
    <t>אשכנזי, חיים בן משה</t>
  </si>
  <si>
    <t>בירורי הלכה - 4 כר'</t>
  </si>
  <si>
    <t>אייזנשטיין, אברהם חיים</t>
  </si>
  <si>
    <t>בירורי השיטות - מלאכת יום טוב</t>
  </si>
  <si>
    <t>בירורי סוגיות - ריבית</t>
  </si>
  <si>
    <t>ביטאן, אליהו בן שלום</t>
  </si>
  <si>
    <t>בירורי סוגיות - 5 כר'</t>
  </si>
  <si>
    <t>וקסשטוק, יהודה לייב</t>
  </si>
  <si>
    <t>בישול במערכת קיטור</t>
  </si>
  <si>
    <t>בישול בשבת - מדריך הלכתי מאוייר</t>
  </si>
  <si>
    <t>רוזנברג, אהוד</t>
  </si>
  <si>
    <t>בית אבא</t>
  </si>
  <si>
    <t>תורן, חיים בן אהרן</t>
  </si>
  <si>
    <t>תשט"ו,</t>
  </si>
  <si>
    <t>תל-אביב</t>
  </si>
  <si>
    <t>בית אהרן וישראל - 7 כר'</t>
  </si>
  <si>
    <t>בית אהרן על הלכות חדש</t>
  </si>
  <si>
    <t>לוריא, אהרן</t>
  </si>
  <si>
    <t>בית אוצר השיעורים - 2 כר'</t>
  </si>
  <si>
    <t>קופמן, מיכאל בן אליהו</t>
  </si>
  <si>
    <t>בית אליהו - 2 כר'</t>
  </si>
  <si>
    <t>זילבר, אליהו</t>
  </si>
  <si>
    <t>בית אליהו - כיצד מברכין מה"ב</t>
  </si>
  <si>
    <t>פישר, אליהו בן יחיאל מיכל</t>
  </si>
  <si>
    <t>בית אשר - ב</t>
  </si>
  <si>
    <t>גרינצויג, אשר זליג בן שלום</t>
  </si>
  <si>
    <t>בית גנזי &lt;על התורה&gt; - ח (במדבר ב)</t>
  </si>
  <si>
    <t>תשס"א</t>
  </si>
  <si>
    <t>בית דוד</t>
  </si>
  <si>
    <t>מאווסאס, יהודה ליב</t>
  </si>
  <si>
    <t>תשל"ה</t>
  </si>
  <si>
    <t>בית דוד - הלכות חג הסוכות</t>
  </si>
  <si>
    <t>שאול, דוד צבי בן חיים שלום</t>
  </si>
  <si>
    <t>בית האוצר - 5 כר'</t>
  </si>
  <si>
    <t>בית הבחירה - ביאור לשבע ברכות</t>
  </si>
  <si>
    <t>בית הוראה (קיצור)</t>
  </si>
  <si>
    <t>אדיר, אליהו</t>
  </si>
  <si>
    <t>בית הוראה</t>
  </si>
  <si>
    <t>בית הוראה - א</t>
  </si>
  <si>
    <t>מאיר, אריאל</t>
  </si>
  <si>
    <t>בית היין</t>
  </si>
  <si>
    <t>לנגרמן, מאיר יהודה ליבוש</t>
  </si>
  <si>
    <t>בית ועד לחכמים - 4 כר'</t>
  </si>
  <si>
    <t>בית ועד לחכמים רמת שלמה</t>
  </si>
  <si>
    <t>בית ועד לחכמים - 9 כר'</t>
  </si>
  <si>
    <t>בית מדרש בית ישראל עזרת תורה</t>
  </si>
  <si>
    <t>בית יהודה (חידושי מהריב"ן) - 3 כר'</t>
  </si>
  <si>
    <t>יהודה בן ניסן מקאליש</t>
  </si>
  <si>
    <t>בית יוסף &lt;מהדורת זכרון אהרן&gt;</t>
  </si>
  <si>
    <t>בית יחיאל - שביעית</t>
  </si>
  <si>
    <t>פרידמן, חנוך - כולל בית יחיאל</t>
  </si>
  <si>
    <t>תשנ"ד</t>
  </si>
  <si>
    <t>בית יעקב - 4 כר'</t>
  </si>
  <si>
    <t>ירחון לעניני חינוך ספרות ומחשבה</t>
  </si>
  <si>
    <t>תשכ"א</t>
  </si>
  <si>
    <t>בית יעקב - וזאת ליהודה</t>
  </si>
  <si>
    <t>[תרפ"ח],</t>
  </si>
  <si>
    <t>בית יצחק - 4 כר'</t>
  </si>
  <si>
    <t>ישיבת רבנו יצחק אלחנן</t>
  </si>
  <si>
    <t>בית ישי - חלק פירות האילן</t>
  </si>
  <si>
    <t>גבאי, ישי</t>
  </si>
  <si>
    <t>אדם</t>
  </si>
  <si>
    <t>בית ישראל (טור - חושן משפט)</t>
  </si>
  <si>
    <t>יהושע פאלק בן אלכסנדר הכהן</t>
  </si>
  <si>
    <t>בית ישראל באמריקה</t>
  </si>
  <si>
    <t>דייוויס, משה</t>
  </si>
  <si>
    <t>בית ישראל - פסחים, יומא, ר"ה, מגילה, מו"ק, מנחות</t>
  </si>
  <si>
    <t>הורוויץ, ישראל זאב בן דוד יהודה</t>
  </si>
  <si>
    <t>בית ישראל</t>
  </si>
  <si>
    <t>לרנר, ישראל אברהם בן שבח זאב</t>
  </si>
  <si>
    <t>בית לשמי</t>
  </si>
  <si>
    <t>ישיבת לוצרן</t>
  </si>
  <si>
    <t>לוצרן</t>
  </si>
  <si>
    <t>בית מאיר</t>
  </si>
  <si>
    <t>יונה, מאיר</t>
  </si>
  <si>
    <t>דרושים, משנה, נושאים שונים, שאלות ותשובות, שלחן ערוך ומפרשיו, תלמוד בבלי, תנ"ך</t>
  </si>
  <si>
    <t>בית מהרא"י</t>
  </si>
  <si>
    <t>אליעזר יואל בן חיים שלמה זלמן הלוי</t>
  </si>
  <si>
    <t>תרס"ד</t>
  </si>
  <si>
    <t>ניו יארק,</t>
  </si>
  <si>
    <t>בית מתתיהו - ג</t>
  </si>
  <si>
    <t>גבאי, מתתיהו</t>
  </si>
  <si>
    <t>בית עבר - 2 כר'</t>
  </si>
  <si>
    <t>כהן, בנציון בן שמעון</t>
  </si>
  <si>
    <t>בית שמואל אחרון</t>
  </si>
  <si>
    <t>פאלקנפלד, שמואל בן משה פינחס</t>
  </si>
  <si>
    <t>תרע"ד,</t>
  </si>
  <si>
    <t>פיעטרקוב,</t>
  </si>
  <si>
    <t>ביתך ושעריך - מזוזה</t>
  </si>
  <si>
    <t>אשכול, יוחאי</t>
  </si>
  <si>
    <t>בכורי חיל - כתובות</t>
  </si>
  <si>
    <t>לוי, חיים יעקב בן שמואל יצחק</t>
  </si>
  <si>
    <t>בכורים - ז</t>
  </si>
  <si>
    <t>ישיבת הרמב"ם</t>
  </si>
  <si>
    <t>תשכ"ו</t>
  </si>
  <si>
    <t>תל אביב Tel Aviv</t>
  </si>
  <si>
    <t>בכורים - מסע במצרים</t>
  </si>
  <si>
    <t>סלושץ, נחום בן דוד שלמה</t>
  </si>
  <si>
    <t>תרס"ז</t>
  </si>
  <si>
    <t>ורשה-קראקוי,</t>
  </si>
  <si>
    <t>בלב קשוב - תולדות רבי אליעזר ברגמן</t>
  </si>
  <si>
    <t>ברטורא, אברהם</t>
  </si>
  <si>
    <t>תשמ"ג</t>
  </si>
  <si>
    <t>בלבנת הספיר</t>
  </si>
  <si>
    <t>טייטלבוים, אריה לייב</t>
  </si>
  <si>
    <t>בלבת אש - 2 כר'</t>
  </si>
  <si>
    <t>נובוגרוצקי, מנחם</t>
  </si>
  <si>
    <t>בלכתך בדרך - תשנ"ד</t>
  </si>
  <si>
    <t>במאי זכיין</t>
  </si>
  <si>
    <t>לזכר הרבנית גריינימן</t>
  </si>
  <si>
    <t>במותר לו</t>
  </si>
  <si>
    <t>שמעונוב, נהוראי בן יוסף הלוי</t>
  </si>
  <si>
    <t>במחוקק משענתם - ב</t>
  </si>
  <si>
    <t>כהן, יעקב רועי - בגריש, ערן</t>
  </si>
  <si>
    <t>במחיצת חכמי ישראל</t>
  </si>
  <si>
    <t>טאפלין, ישראל</t>
  </si>
  <si>
    <t>ליקוואד</t>
  </si>
  <si>
    <t>במסילה נעלה</t>
  </si>
  <si>
    <t>גינזבורג, אליעזר</t>
  </si>
  <si>
    <t>במעגלי ישר - 2 כר'</t>
  </si>
  <si>
    <t>רוטשילד, יששכר שלמה</t>
  </si>
  <si>
    <t>במעלות היראה</t>
  </si>
  <si>
    <t>במעמד השחר</t>
  </si>
  <si>
    <t>הכהן, דוד חי</t>
  </si>
  <si>
    <t>בת ים</t>
  </si>
  <si>
    <t>במשעול הכרם - דרכי לימוד וקנין תורה</t>
  </si>
  <si>
    <t>ישיבת כרם ביבנה</t>
  </si>
  <si>
    <t>בן איש חי &lt;אבן חי-ציוני אשר&gt; במדבר א</t>
  </si>
  <si>
    <t>יוסף חיים בן אליהו - בן חיים, אשר</t>
  </si>
  <si>
    <t>בן איש חי וקיים - מועדים</t>
  </si>
  <si>
    <t>יצחקוב, גבריאל בן יוסף אילן</t>
  </si>
  <si>
    <t>בן ישכר - 2 כר'</t>
  </si>
  <si>
    <t>וויינברגר, אליהו בן שבתי</t>
  </si>
  <si>
    <t>תשד"מ</t>
  </si>
  <si>
    <t>בן מלך - 6 כר'</t>
  </si>
  <si>
    <t>בנה ביתך כהלכה</t>
  </si>
  <si>
    <t>בלוך, מיכה שלמה ישראל</t>
  </si>
  <si>
    <t>בני אברהם א</t>
  </si>
  <si>
    <t>אייברמסאן, מנחם מענדל</t>
  </si>
  <si>
    <t>בני אברהם ב</t>
  </si>
  <si>
    <t>בני אברהם - הלכות הכנה משבת לחול</t>
  </si>
  <si>
    <t>בני בכורי ישראל</t>
  </si>
  <si>
    <t>נוסבוים, נחמיה יצחק</t>
  </si>
  <si>
    <t>בני בכורי ישראל - 2 כר'</t>
  </si>
  <si>
    <t>קלוגר, אברהם צבי</t>
  </si>
  <si>
    <t>בני ברק ארבע שנות יצירה</t>
  </si>
  <si>
    <t>עיריית בני ברק</t>
  </si>
  <si>
    <t>תש"כ</t>
  </si>
  <si>
    <t>בני ברק - ניו יורק</t>
  </si>
  <si>
    <t>בני חורין</t>
  </si>
  <si>
    <t>מלמד,יוסף בן ציון בן דב</t>
  </si>
  <si>
    <t>בני חיל</t>
  </si>
  <si>
    <t>בני יהוידע</t>
  </si>
  <si>
    <t>באסה אליהו,יונתן</t>
  </si>
  <si>
    <t>בני ציון - א</t>
  </si>
  <si>
    <t>תשנ"ה</t>
  </si>
  <si>
    <t>בנין אפריון</t>
  </si>
  <si>
    <t>האליס, שלמה</t>
  </si>
  <si>
    <t>בנין חיים - 3 כר'</t>
  </si>
  <si>
    <t>דומב, שמואל חיים</t>
  </si>
  <si>
    <t>בנין יהושע</t>
  </si>
  <si>
    <t>מייזליש, יהושע בן חיים</t>
  </si>
  <si>
    <t>לונדון</t>
  </si>
  <si>
    <t>בנין שלמה &lt;מהדורה מחודשת&gt; - ב</t>
  </si>
  <si>
    <t>כהן, שלמה בן ישראל משה מווילנא</t>
  </si>
  <si>
    <t>בנין שלמה - עצי ברושים &lt;מהדורה מחודשת&gt; - א</t>
  </si>
  <si>
    <t>בנין שמואל - אהע"ז</t>
  </si>
  <si>
    <t>כהן, שמואל בן יהודה</t>
  </si>
  <si>
    <t>בנינו כנטיעים - 2 כר'</t>
  </si>
  <si>
    <t>חורי, צבי בן שמעון</t>
  </si>
  <si>
    <t>שדרות</t>
  </si>
  <si>
    <t>בנפש האגדה</t>
  </si>
  <si>
    <t>בנפש השבת</t>
  </si>
  <si>
    <t>בנפש התורה - 3 כר'</t>
  </si>
  <si>
    <t>עלי</t>
  </si>
  <si>
    <t>בנפש התשובה - 2 כר'</t>
  </si>
  <si>
    <t>בנתיב החלב - 2 כר'</t>
  </si>
  <si>
    <t>קובץ (עורך: וייטמן, זאב)</t>
  </si>
  <si>
    <t>בנתיבות האיש - 2 כר'</t>
  </si>
  <si>
    <t>שוקרון, אבנר ישראל</t>
  </si>
  <si>
    <t>בנתיבות ההלכה - 9 כר'</t>
  </si>
  <si>
    <t>קסטנר, נחום (עורך)</t>
  </si>
  <si>
    <t>בנתיבות התלמוד - ב</t>
  </si>
  <si>
    <t>ישיבת רבינו חיים עוזר</t>
  </si>
  <si>
    <t>בעין טובה - 4 כר'</t>
  </si>
  <si>
    <t>מלמד, זלמן ברוך הכהן</t>
  </si>
  <si>
    <t>בענין האיסור לעלות להר הבית בזמן הזה</t>
  </si>
  <si>
    <t>עדס, יעקב בן יהודה</t>
  </si>
  <si>
    <t>בענין קשר תפילין של ראש בצורת דל"ת</t>
  </si>
  <si>
    <t>פרנק, חיים שרגא פייביל בן זאב וולף</t>
  </si>
  <si>
    <t>בעקבות מרן - 10 כר'</t>
  </si>
  <si>
    <t>בעקבות שלום</t>
  </si>
  <si>
    <t>נגר, יהודה יובל</t>
  </si>
  <si>
    <t>בעקבי הכתובים - איוב</t>
  </si>
  <si>
    <t>אדלשטיין, יעקב בן צבי יהודה</t>
  </si>
  <si>
    <t>רמת השרון</t>
  </si>
  <si>
    <t>בעקבי המגילות - רות</t>
  </si>
  <si>
    <t>בעקבי המועדים</t>
  </si>
  <si>
    <t>בעקבי הצאן - 2 כר'</t>
  </si>
  <si>
    <t>ווייס, גרשון יעקב - חייט, אליעזר חיים (עורך)</t>
  </si>
  <si>
    <t>בערתי הקדש</t>
  </si>
  <si>
    <t>בעתה אחישנה</t>
  </si>
  <si>
    <t>בצאת שנה</t>
  </si>
  <si>
    <t>בן-שחר, אברהם יצחק בן אפרים מרדכי</t>
  </si>
  <si>
    <t>קדומים</t>
  </si>
  <si>
    <t>מועדי ישראל, מחשבה ומוסר, קבצים וכתבי עת, ספרי זכרון ויובל</t>
  </si>
  <si>
    <t>בצדק ובמשפט</t>
  </si>
  <si>
    <t>וידר, יחיאל בן יצחק</t>
  </si>
  <si>
    <t>בצדק תשפוט</t>
  </si>
  <si>
    <t>אשכנזי, צדוק</t>
  </si>
  <si>
    <t>ציריך</t>
  </si>
  <si>
    <t>בצילם חימדתי</t>
  </si>
  <si>
    <t>בצל האמונה - דרשות ומאמרים לחג הסוכות</t>
  </si>
  <si>
    <t>רוזנברג, שמעון גרשון</t>
  </si>
  <si>
    <t>אפרת</t>
  </si>
  <si>
    <t>בצל מקדש - 2 כר'</t>
  </si>
  <si>
    <t>בית אולפנא כולל הרצליה</t>
  </si>
  <si>
    <t>הרצליה</t>
  </si>
  <si>
    <t>בצל תומר - ב</t>
  </si>
  <si>
    <t>ישיבת מהרי"ט דסאטמר</t>
  </si>
  <si>
    <t>בצלו חמדתי וישבתי - מצוות סוכה וכוונתה</t>
  </si>
  <si>
    <t>בקור חולים מעבר יבק וספר החיים</t>
  </si>
  <si>
    <t>לאנדסהוט, אליעזר ליזר בן מאיר</t>
  </si>
  <si>
    <t>תרכ"ז</t>
  </si>
  <si>
    <t>בערלין</t>
  </si>
  <si>
    <t>הלכה ומנהג, תפלות בקשות פיוטים ושירה</t>
  </si>
  <si>
    <t>בקורת תהיה</t>
  </si>
  <si>
    <t>שפירא כהנא, נחום</t>
  </si>
  <si>
    <t>בקיאות כהלכה - 6 כר'</t>
  </si>
  <si>
    <t>כהן-זדה, שמואל בן עזרא</t>
  </si>
  <si>
    <t>בקראי שמו - 2 כר'</t>
  </si>
  <si>
    <t>בר יוסף</t>
  </si>
  <si>
    <t>בוגרד, יוסף</t>
  </si>
  <si>
    <t>ברוך אומר - 3 כר'</t>
  </si>
  <si>
    <t>שרגא, ברוך</t>
  </si>
  <si>
    <t>הלכה ומנהג, שאלות ותשובות</t>
  </si>
  <si>
    <t>ברוך שאמר - 2 כר'</t>
  </si>
  <si>
    <t>סאקס, ברוך בן דוד</t>
  </si>
  <si>
    <t>ברורי הלכות - ב</t>
  </si>
  <si>
    <t>אייזנברגר, מרדכי שבתי</t>
  </si>
  <si>
    <t>ברורים בהלכות הראי"ה</t>
  </si>
  <si>
    <t>קובץ מאמרים</t>
  </si>
  <si>
    <t>ברית דוד</t>
  </si>
  <si>
    <t>רייך, אברהם בן דוד אריה</t>
  </si>
  <si>
    <t>ברית הלוי - ב</t>
  </si>
  <si>
    <t>מחפוד, איתמר בן אהרן</t>
  </si>
  <si>
    <t>ברית השבת</t>
  </si>
  <si>
    <t>תש"ד</t>
  </si>
  <si>
    <t>מועדי ישראל, תולדות עם ישראל</t>
  </si>
  <si>
    <t>ברית מרדכי</t>
  </si>
  <si>
    <t>וויינברג, מרדכי יצחק בן ישעיה</t>
  </si>
  <si>
    <t>ברית שלש עשרה</t>
  </si>
  <si>
    <t>דאוויד, יעקב יהודה</t>
  </si>
  <si>
    <t>בריתי היתה אתו</t>
  </si>
  <si>
    <t>בריתי יצחק - 4 כר'</t>
  </si>
  <si>
    <t>ברנד, יצחק בן וולף זאב</t>
  </si>
  <si>
    <t>בריתי שלום - 2 כר'</t>
  </si>
  <si>
    <t>שפירא, פנחס</t>
  </si>
  <si>
    <t>ביתר עלית</t>
  </si>
  <si>
    <t>ברכה לישראל - מסכת שבועות</t>
  </si>
  <si>
    <t>בלודשטארק, ישראל</t>
  </si>
  <si>
    <t>ברכה משולשת</t>
  </si>
  <si>
    <t>הוברמן, יצחק הכהן - אדרי, עוזיאל בן רפאל</t>
  </si>
  <si>
    <t>ברכו שמו</t>
  </si>
  <si>
    <t>פרלמוטר, יצחק אייזיק בן חיים אלעזר</t>
  </si>
  <si>
    <t>ברכות הורי - ברכות</t>
  </si>
  <si>
    <t>נויבירט, אהרן אלחנן</t>
  </si>
  <si>
    <t>ברכות והודאות</t>
  </si>
  <si>
    <t>יאחינסון, שמעון צבי בן יחיאל מיכל</t>
  </si>
  <si>
    <t>תרמ"א,</t>
  </si>
  <si>
    <t>ברכות יעטה</t>
  </si>
  <si>
    <t>ברכי יוסף &lt;מהדורת זכרון אהרן&gt; - 4 כר'</t>
  </si>
  <si>
    <t>אזולאי, חיים יוסף דוד בן רפאל יצחק זרחיה</t>
  </si>
  <si>
    <t>ברכת אב - 4 כר'</t>
  </si>
  <si>
    <t>ברכת אלישע - ה</t>
  </si>
  <si>
    <t>ווייס, יצחק ישעיה</t>
  </si>
  <si>
    <t>ברכת אלעזר - 3 כר'</t>
  </si>
  <si>
    <t>באלד, אלעזר ברוך</t>
  </si>
  <si>
    <t>ברכת אשר &lt;על החומש&gt; - א (בראשית)</t>
  </si>
  <si>
    <t>וסרטייל, אשר בן שלום</t>
  </si>
  <si>
    <t>ברכת דוד - 3 כר'</t>
  </si>
  <si>
    <t>אוחיון, דניאל</t>
  </si>
  <si>
    <t>ברכת המזון עם פירוש הריקאנאטי</t>
  </si>
  <si>
    <t>ריקאנאטי, מנחם בן בנימין</t>
  </si>
  <si>
    <t>ברכת המזון</t>
  </si>
  <si>
    <t>נתיבות</t>
  </si>
  <si>
    <t>ברכת השבת - ד</t>
  </si>
  <si>
    <t>ברידס, אברהם בן עזרא</t>
  </si>
  <si>
    <t>ברכת התורה</t>
  </si>
  <si>
    <t>סלומון, דוד בן יהושע</t>
  </si>
  <si>
    <t>ברכת חלה</t>
  </si>
  <si>
    <t>דרעי, יגאל</t>
  </si>
  <si>
    <t>ברכת חתניך - ג</t>
  </si>
  <si>
    <t>ברכת יעקב - ברכות</t>
  </si>
  <si>
    <t>כהן, יעקב דוד בן מאיר</t>
  </si>
  <si>
    <t>ברכת יעקב - 2 כר'</t>
  </si>
  <si>
    <t>מאיר, יעקב בן מנחם מרדכי</t>
  </si>
  <si>
    <t>ברכת יצחק - טז</t>
  </si>
  <si>
    <t>לוין, יצחק בן חיים שרגא הלוי</t>
  </si>
  <si>
    <t>ברכת כהן - תורה ומועדים</t>
  </si>
  <si>
    <t>דויטש, ברוך שמואל בן בנימין זאב הכהן</t>
  </si>
  <si>
    <t>ברכת כהן</t>
  </si>
  <si>
    <t>מאנדעל, חיים בן אברהם ביינוש הכהן</t>
  </si>
  <si>
    <t>ברכת מועדיך - שבועות</t>
  </si>
  <si>
    <t>מרגולין, הדר יהודה</t>
  </si>
  <si>
    <t>ברכת מצותיך - ג</t>
  </si>
  <si>
    <t>ברכת משה - 2 כר'</t>
  </si>
  <si>
    <t>נדב, טל בן רמי</t>
  </si>
  <si>
    <t>חולון</t>
  </si>
  <si>
    <t>ברכת עמנואל</t>
  </si>
  <si>
    <t>כולל אברכים דחסידי סלונים עמנואל</t>
  </si>
  <si>
    <t>ברכת צבי - 4 כר'</t>
  </si>
  <si>
    <t>ליפקוביץ, צבי הירש בן אברהם יצחק</t>
  </si>
  <si>
    <t>ברכת שלום</t>
  </si>
  <si>
    <t>ויינברגר, שלום משולם</t>
  </si>
  <si>
    <t>ברכת שלמה אורחות לשון</t>
  </si>
  <si>
    <t>אגודת נוצרי לשון</t>
  </si>
  <si>
    <t>ברכת שלמה</t>
  </si>
  <si>
    <t>אומן, שלמה חיים</t>
  </si>
  <si>
    <t>ברכת שלמה - אבן העזר</t>
  </si>
  <si>
    <t>קליינרמן, שלמה בן גבריאל</t>
  </si>
  <si>
    <t>בשביל ישראל</t>
  </si>
  <si>
    <t>מנדל, יצחק יוסף</t>
  </si>
  <si>
    <t>ליקווד</t>
  </si>
  <si>
    <t>בשבילי אורייתא - פרקים ממשנת חייו</t>
  </si>
  <si>
    <t>ליברמן, שמחה בונם בן ברכיה</t>
  </si>
  <si>
    <t>בשבילים נעלמים בדרך למולדת</t>
  </si>
  <si>
    <t>לנדאו, דב בן שמחה</t>
  </si>
  <si>
    <t>ניר גלים</t>
  </si>
  <si>
    <t>בשבעים נפש</t>
  </si>
  <si>
    <t>ארגון לב לאחים</t>
  </si>
  <si>
    <t>בשוב ה' ציון היינו כחולמים</t>
  </si>
  <si>
    <t>בשובך לציון - 3 כר'</t>
  </si>
  <si>
    <t>בשם אומרם - פורים</t>
  </si>
  <si>
    <t>שריר, שלמה</t>
  </si>
  <si>
    <t>בשם מרדכי</t>
  </si>
  <si>
    <t>אמרוסי, מרדכי</t>
  </si>
  <si>
    <t>פתח תקווה</t>
  </si>
  <si>
    <t>בשמים ראש &lt;ריח בשמים&gt;</t>
  </si>
  <si>
    <t>אשר בן יחיאל (רא"ש). מיוחס לו - עמאר, ראובן בן משה</t>
  </si>
  <si>
    <t>תקנ"ג -תשד"מ</t>
  </si>
  <si>
    <t>ברלין -ירושלים</t>
  </si>
  <si>
    <t>בשערי תורה (ללימוד ועיון עצמי) - 2 כר'</t>
  </si>
  <si>
    <t>קובץ ישיבת איתרי</t>
  </si>
  <si>
    <t>בת מצוה</t>
  </si>
  <si>
    <t>אבינר, שלמה</t>
  </si>
  <si>
    <t>בתי משה - ברכות</t>
  </si>
  <si>
    <t>טויב, משה ב"ר אברהם</t>
  </si>
  <si>
    <t>זכרון יעקב</t>
  </si>
  <si>
    <t>גאולה ושכנותיה</t>
  </si>
  <si>
    <t>קלוגר, בנימין</t>
  </si>
  <si>
    <t>גאולת ישראל</t>
  </si>
  <si>
    <t>גולד, זבולון חיים יואל בן דוד</t>
  </si>
  <si>
    <t>לונדון,</t>
  </si>
  <si>
    <t>גאון התורה - פרקים בתולדות רבי אליהו חזן</t>
  </si>
  <si>
    <t>הייזלר, יעקב</t>
  </si>
  <si>
    <t>גאון ישראל וקדושו - ב</t>
  </si>
  <si>
    <t>הגר, מנחם מנדל מווישווא</t>
  </si>
  <si>
    <t>גאונים בבליים שאחר זמן הגאונים &lt;גרמנית&gt;</t>
  </si>
  <si>
    <t>פוזננסקי, שמואל אברהם</t>
  </si>
  <si>
    <t>גבורות ה' - ג</t>
  </si>
  <si>
    <t>יהודה ליווא בן בצלאל (מהר"ל) מפראג</t>
  </si>
  <si>
    <t>מועדי ישראל, מחשבה ומוסר</t>
  </si>
  <si>
    <t>גבורות יצחק</t>
  </si>
  <si>
    <t>ספר זכרון לרבי יצחק יואל ברנשטיין זצ"ל</t>
  </si>
  <si>
    <t>גבורות רמח"ל</t>
  </si>
  <si>
    <t>לוצאטו, משה חיים בן יעקב חי (רמח"ל)</t>
  </si>
  <si>
    <t>גבורת אריאל - זבחים</t>
  </si>
  <si>
    <t>חכם צדק, אריאל בן יונתן</t>
  </si>
  <si>
    <t>קרית ספר</t>
  </si>
  <si>
    <t>גביע הכסף - 3 כר'</t>
  </si>
  <si>
    <t>עטייה, גדעון</t>
  </si>
  <si>
    <t>גביעי גביע הכסף &lt;מהדורה חדשה&gt;</t>
  </si>
  <si>
    <t>ריבלין, בנימין בן שלמה זלמן</t>
  </si>
  <si>
    <t>גבעת שאול - ב</t>
  </si>
  <si>
    <t>ארנפלד, שאול בן דוד צבי</t>
  </si>
  <si>
    <t>גדולים מעשי חייא</t>
  </si>
  <si>
    <t>כהן, רחמים (עליו)</t>
  </si>
  <si>
    <t>גדולת גדליהו</t>
  </si>
  <si>
    <t>גליק, יצחק יהודה</t>
  </si>
  <si>
    <t>גדולת יהושע</t>
  </si>
  <si>
    <t>לעוו, משה אריה</t>
  </si>
  <si>
    <t>גדלות האדם</t>
  </si>
  <si>
    <t>גוילין - יד-טו</t>
  </si>
  <si>
    <t>ירחון</t>
  </si>
  <si>
    <t>גוף נפש ונשמה</t>
  </si>
  <si>
    <t>גור אריה יהודא &lt;מהדורת זכרון אהרן&gt; - 2 כר'</t>
  </si>
  <si>
    <t>תאומים, אריה יהודה ליב בן יוסף</t>
  </si>
  <si>
    <t>גור אריה יהודה</t>
  </si>
  <si>
    <t>היימן, משה</t>
  </si>
  <si>
    <t>גחלי אש</t>
  </si>
  <si>
    <t>שרף, אריה</t>
  </si>
  <si>
    <t>פתח תקוה</t>
  </si>
  <si>
    <t>גיבורי כח</t>
  </si>
  <si>
    <t>ישיבת ברכת יצחק</t>
  </si>
  <si>
    <t>אור יהודה</t>
  </si>
  <si>
    <t>גינת אגוז - תשע"ט</t>
  </si>
  <si>
    <t>אלטמן, שמשון בן שרגא צבי</t>
  </si>
  <si>
    <t>גינת ראובן - 4 כר'</t>
  </si>
  <si>
    <t>גירושי שוטה</t>
  </si>
  <si>
    <t>פרי, אברהם</t>
  </si>
  <si>
    <t>גל עיני</t>
  </si>
  <si>
    <t>תלמידי ישיבת ליובאוויטש בולטימור</t>
  </si>
  <si>
    <t>בולטימור</t>
  </si>
  <si>
    <t>גלא עמיקתא &lt;זכרון אהרן&gt;</t>
  </si>
  <si>
    <t>וויטאל, חיים בן יוסף - פאנצירי, אפרים</t>
  </si>
  <si>
    <t>גלגולי נשמות</t>
  </si>
  <si>
    <t>גלגל המזלות</t>
  </si>
  <si>
    <t>מזרחי, מרדכי</t>
  </si>
  <si>
    <t>גלי ים - דברים</t>
  </si>
  <si>
    <t>יצהרי, מרדכי</t>
  </si>
  <si>
    <t>גליון אר"ץ זבת חל'ב - 9-14</t>
  </si>
  <si>
    <t>עדס, אברהם בן עזרא</t>
  </si>
  <si>
    <t>תשס"ה</t>
  </si>
  <si>
    <t>גליון שו"ת יגדיל תורה - 2 כר'</t>
  </si>
  <si>
    <t>גליון תורת הקרבנות - 10 כר'</t>
  </si>
  <si>
    <t>גליונות אמור ואמרת - הלכות טהרת כהנים</t>
  </si>
  <si>
    <t>מכון תורת הטהרה</t>
  </si>
  <si>
    <t>גליונות נפש החיים - 2 כר'</t>
  </si>
  <si>
    <t>גליונות</t>
  </si>
  <si>
    <t>מחשבה ומוסר, נושאים שונים, קבצים וכתבי עת, ספרי זכרון ויובל</t>
  </si>
  <si>
    <t>גליונות עומק הפשט - 6 כר'</t>
  </si>
  <si>
    <t>גליונות עזר לשיעורים בנביא - ירמיהו</t>
  </si>
  <si>
    <t>לוי, יצחק בן יעקב</t>
  </si>
  <si>
    <t>גליונות צוף התורה - 2 כר'</t>
  </si>
  <si>
    <t>לסר, נועם</t>
  </si>
  <si>
    <t>קבצים וכתבי עת, ספרי זכרון ויובל, תנ"ך</t>
  </si>
  <si>
    <t>גלעד - 3 כר'</t>
  </si>
  <si>
    <t>מאסף לתולדות יהודי פולין</t>
  </si>
  <si>
    <t>קבצים וכתבי עת, ספרי זכרון ויובל, תולדות עם ישראל</t>
  </si>
  <si>
    <t>גם אני אודך - 16 כר'</t>
  </si>
  <si>
    <t>גן יעקב</t>
  </si>
  <si>
    <t>כהן, יעקב בן אברהם מג'רבה</t>
  </si>
  <si>
    <t>[תרע"ב,</t>
  </si>
  <si>
    <t>גרבה,</t>
  </si>
  <si>
    <t>גנזי ארמוני</t>
  </si>
  <si>
    <t>ארמוני, משה חיים</t>
  </si>
  <si>
    <t>גנזי ברכה</t>
  </si>
  <si>
    <t>כהן, מאיר בן משה</t>
  </si>
  <si>
    <t>גנזי צדיקים</t>
  </si>
  <si>
    <t>מכון סוד ישרים</t>
  </si>
  <si>
    <t>גנזי שלום</t>
  </si>
  <si>
    <t>זנדני, סלאם (שלום)</t>
  </si>
  <si>
    <t>גנת ישראל - 2 כר'</t>
  </si>
  <si>
    <t>גולדברג, ישראל בן שמעון מנחם</t>
  </si>
  <si>
    <t>גפן בעצי היער</t>
  </si>
  <si>
    <t>גרינוולד, יצחק אייזיק</t>
  </si>
  <si>
    <t>גפן ישראל</t>
  </si>
  <si>
    <t>זובר, יעקב ישראל</t>
  </si>
  <si>
    <t>דרושים, שאלות ותשובות</t>
  </si>
  <si>
    <t>גר המתגייר - 2 כר'</t>
  </si>
  <si>
    <t>פישר, בצלאל אורי</t>
  </si>
  <si>
    <t>גרם מלאכה בשבת באמצעות אור ורוח</t>
  </si>
  <si>
    <t>גרש כרמל - שמחת כהן</t>
  </si>
  <si>
    <t>הכהן, רחמים חי חויתה בן חנינא</t>
  </si>
  <si>
    <t>דאס אידישע ווארט - 11 כר'</t>
  </si>
  <si>
    <t>חודש זשורנאל</t>
  </si>
  <si>
    <t>תשט"ז</t>
  </si>
  <si>
    <t>דאס אידישע ליכט (תש"מ) - 6 כר'</t>
  </si>
  <si>
    <t>שבועון</t>
  </si>
  <si>
    <t>דבור ומחשבה &lt;הכוזרי&gt;</t>
  </si>
  <si>
    <t>טולדנו, שלמה בן חביב</t>
  </si>
  <si>
    <t>דבקה נפשי אחריך - 2 כר'</t>
  </si>
  <si>
    <t>לוז, עקיבא</t>
  </si>
  <si>
    <t>דבר בעתו אבלות החורבן</t>
  </si>
  <si>
    <t>דבר בעתו - א</t>
  </si>
  <si>
    <t>חן, אברהם דוד בן אליעזר יהודה</t>
  </si>
  <si>
    <t>אוסטרוב מזוב</t>
  </si>
  <si>
    <t>דבר הכהן</t>
  </si>
  <si>
    <t>רבינוביץ (ראפפורט), דב הכהן בן גמליאל</t>
  </si>
  <si>
    <t>דבר השמיטה</t>
  </si>
  <si>
    <t>העדה החרדית</t>
  </si>
  <si>
    <t>תשי"ח-תש"ך</t>
  </si>
  <si>
    <t>ירשלים</t>
  </si>
  <si>
    <t>דבר חיים -יומא</t>
  </si>
  <si>
    <t>סלומון, דוד בן חיים שלמה</t>
  </si>
  <si>
    <t>דבר יוסף</t>
  </si>
  <si>
    <t>פיינשטיין, יוסף דב בן חיים</t>
  </si>
  <si>
    <t>דבר יעקב - 2 כר'</t>
  </si>
  <si>
    <t>שטיינהויז, יעקב בן דוב זאב</t>
  </si>
  <si>
    <t>דבר לדור - קובץ הספדים על הגראי"ה קוק זצ"ל</t>
  </si>
  <si>
    <t>אלבוים, אבישי - אלבוים, אריה</t>
  </si>
  <si>
    <t>פדואל</t>
  </si>
  <si>
    <t>דבר נאה</t>
  </si>
  <si>
    <t>אליקים, ניסים</t>
  </si>
  <si>
    <t>תרס"ו</t>
  </si>
  <si>
    <t>הלכה ומנהג, נושאים שונים, תנ"ך</t>
  </si>
  <si>
    <t>דברו על לב ירושלים</t>
  </si>
  <si>
    <t>טורנר, דוד</t>
  </si>
  <si>
    <t>דברות אליהו - 4 כר'</t>
  </si>
  <si>
    <t>אבירזל, אליהו בן יוסף</t>
  </si>
  <si>
    <t>דברות מנחם - הלכות סוכה</t>
  </si>
  <si>
    <t>פוקס, מנחם מנדל בן שבתי זאב</t>
  </si>
  <si>
    <t>דברות מרדכי - 2 כר'</t>
  </si>
  <si>
    <t>שפירא, מרדכי דב בן בן ציון הכהן</t>
  </si>
  <si>
    <t>דברות צבי - כה &lt;כתובות&gt;</t>
  </si>
  <si>
    <t>וייספיש, צבי בן שמואל</t>
  </si>
  <si>
    <t>דברי אליהו - א-ב</t>
  </si>
  <si>
    <t>גורדון, אליהו בן דוד זאב</t>
  </si>
  <si>
    <t>תרע"א</t>
  </si>
  <si>
    <t>וילנה Vilna</t>
  </si>
  <si>
    <t>דרושים, תנ"ך</t>
  </si>
  <si>
    <t>דברי אליהו - ו</t>
  </si>
  <si>
    <t>כולל אברכים דברי אליהו</t>
  </si>
  <si>
    <t>דברי אמת &lt;מהדורת אהבת שלום&gt; - חלק הקונטרסים</t>
  </si>
  <si>
    <t>יצחק בן דוד מקושטא</t>
  </si>
  <si>
    <t>דברי אריה</t>
  </si>
  <si>
    <t>אייזנשטאט, אריה ליב בן חיים חייקל</t>
  </si>
  <si>
    <t>תרל"ג</t>
  </si>
  <si>
    <t>דברי בניהו - 6 כר'</t>
  </si>
  <si>
    <t>דיין, בניהו בן יששכר ידידיה</t>
  </si>
  <si>
    <t>דברי ברק</t>
  </si>
  <si>
    <t>כהן, ברק בן יוסף</t>
  </si>
  <si>
    <t>דברי גאולה - 3</t>
  </si>
  <si>
    <t>דברי גאולה</t>
  </si>
  <si>
    <t>תשט"ו-תשט"ז</t>
  </si>
  <si>
    <t>דברי דוד - 8 כר'</t>
  </si>
  <si>
    <t>סבאג, דוד בן יצחק</t>
  </si>
  <si>
    <t>דברי דוד</t>
  </si>
  <si>
    <t>פרידמאן, דוד משה בן ישראל</t>
  </si>
  <si>
    <t>הוסיאטין,</t>
  </si>
  <si>
    <t>דברי הפורים</t>
  </si>
  <si>
    <t>הכהן, כאלפון משה</t>
  </si>
  <si>
    <t>דברי חיים (שו"ת) &lt;עם הערות והוספות&gt; - 3 כר'</t>
  </si>
  <si>
    <t>האלברשטאם, חיים בן אריה ליבוש</t>
  </si>
  <si>
    <t>דברי חיים דוב - על שער הכוונות ב</t>
  </si>
  <si>
    <t>וויסברג, חיים דב</t>
  </si>
  <si>
    <t>דברי חפץ - זמן מתן תורתנו</t>
  </si>
  <si>
    <t>ישיבת בית יוסף</t>
  </si>
  <si>
    <t>גייטסהעד</t>
  </si>
  <si>
    <t>דברי חפץ - 2 כר'</t>
  </si>
  <si>
    <t>קובץ תורני לחידושי תורה הלכה ומסורת</t>
  </si>
  <si>
    <t>דברי חפץ</t>
  </si>
  <si>
    <t>שולמאן, קלמן בן ירוחם פישל</t>
  </si>
  <si>
    <t>תרנ"א,</t>
  </si>
  <si>
    <t>דברי טובה - מלכים ב (א-יד)</t>
  </si>
  <si>
    <t>טאוב, אברהם בן יחזקאל צבי</t>
  </si>
  <si>
    <t>דברי יהודה וקול יהודה - ב</t>
  </si>
  <si>
    <t>קראוס, יהודה הכהן</t>
  </si>
  <si>
    <t>דברי יהודה - ביאור על תפילת שמונה עשרה</t>
  </si>
  <si>
    <t>לורבר, יהודה בן חיים</t>
  </si>
  <si>
    <t>דברי יהושע</t>
  </si>
  <si>
    <t>הלר, יהושע בן אהרן</t>
  </si>
  <si>
    <t>תרט"ז,</t>
  </si>
  <si>
    <t>שראבני, ראובן שלום - שראבני, יהושע אריה בן ראובן שלום</t>
  </si>
  <si>
    <t>דברי יואל &lt;תורה - 3 כר'</t>
  </si>
  <si>
    <t>טייטלבוים, יואל בן חנניה יום טוב ליפא</t>
  </si>
  <si>
    <t>דברי יואל - 6 כר'</t>
  </si>
  <si>
    <t>דרושים, חסידות, מועדי ישראל</t>
  </si>
  <si>
    <t>דברי יוסף</t>
  </si>
  <si>
    <t>הכהן, יוסף תילה (תהילה)</t>
  </si>
  <si>
    <t>דברי ימי ישראל החדש</t>
  </si>
  <si>
    <t>רוזנבלאט, משולם זישא בן שמואל נח</t>
  </si>
  <si>
    <t>[תרפ"ט,</t>
  </si>
  <si>
    <t>ירושלם,</t>
  </si>
  <si>
    <t>דברי יעקב חיים - ב</t>
  </si>
  <si>
    <t>סופר, יעקב חיים בן יצחק שלום</t>
  </si>
  <si>
    <t>דברי יעקב - שביעית</t>
  </si>
  <si>
    <t>דברי ישכר - א</t>
  </si>
  <si>
    <t>רוזנבוים, ישכר בר בן איתמר</t>
  </si>
  <si>
    <t>רעננה</t>
  </si>
  <si>
    <t>דברי מרדכי</t>
  </si>
  <si>
    <t>כהן, דן מרדכי</t>
  </si>
  <si>
    <t>דברי משה</t>
  </si>
  <si>
    <t>קרויזר, משה</t>
  </si>
  <si>
    <t>דברי עז - 2 כר'</t>
  </si>
  <si>
    <t>המילטון, בועז נחמיה</t>
  </si>
  <si>
    <t>דברי רבותינו</t>
  </si>
  <si>
    <t>גרוזובסקי, רפאל ראובן - הוטנר, יצחק</t>
  </si>
  <si>
    <t>דברי ריבות &lt;זכרון אהרן&gt;</t>
  </si>
  <si>
    <t>אדרבי, יצחק בן שמואל</t>
  </si>
  <si>
    <t>ונציה Venice</t>
  </si>
  <si>
    <t>דברי שבח - ברכת הגומל</t>
  </si>
  <si>
    <t>הרטמן, חנוך דב בן יהושע דוד</t>
  </si>
  <si>
    <t>דברי שבת</t>
  </si>
  <si>
    <t>שושנה, יוסף</t>
  </si>
  <si>
    <t>דברי שי"ח - 3 כר'</t>
  </si>
  <si>
    <t>קנייבסקי, שמריהו יוסף חיים בן יעקב ישראל</t>
  </si>
  <si>
    <t>דברי שיר - ב</t>
  </si>
  <si>
    <t>דדש, רפאל יוסף בן ישר</t>
  </si>
  <si>
    <t>דברי שירה - עניני עגונות</t>
  </si>
  <si>
    <t>לוין, אליהו בן משה הלוי</t>
  </si>
  <si>
    <t>תש"ן</t>
  </si>
  <si>
    <t>דברי שמואל - ברכת התורה</t>
  </si>
  <si>
    <t>פרימן, שמואל מלאכי</t>
  </si>
  <si>
    <t>דברי תורה מהרבנית מיכלא איטא רבינוביץ</t>
  </si>
  <si>
    <t>רבינוביץ, מיכלא איטא</t>
  </si>
  <si>
    <t>דברים כהוויתן</t>
  </si>
  <si>
    <t>קבוצת אברכים</t>
  </si>
  <si>
    <t>דברים שנאמרו על מסכת בבא קמא</t>
  </si>
  <si>
    <t>דברך נצב בשמים</t>
  </si>
  <si>
    <t>ברזל, פינחס ירוחם</t>
  </si>
  <si>
    <t>דבש תמרים</t>
  </si>
  <si>
    <t>ישיבת תורה ויראה ובית רחל דרבינו יואל</t>
  </si>
  <si>
    <t>דגלנו - רל-רלא</t>
  </si>
  <si>
    <t>בטאון תנועת צא"י</t>
  </si>
  <si>
    <t>תשל"ד</t>
  </si>
  <si>
    <t>דובר ישרים - 2 כר'</t>
  </si>
  <si>
    <t>וייס, דוב</t>
  </si>
  <si>
    <t>דובר שלום &lt;זכרון אהרן&gt;</t>
  </si>
  <si>
    <t>פישל, דוב שלום</t>
  </si>
  <si>
    <t>דוד מלך ישראל חי וקיים</t>
  </si>
  <si>
    <t>דודאי שמואל - 2 כר'</t>
  </si>
  <si>
    <t>וולפא, שמואל דוד בן ברוך מרדכי הלוי</t>
  </si>
  <si>
    <t>דולה ומשקה - 2 כר'</t>
  </si>
  <si>
    <t>הורוביץ, יעקב - בכר, תומר חיים בן עזריאל  עורך</t>
  </si>
  <si>
    <t>דור דור ודורשיו - 2 כר'</t>
  </si>
  <si>
    <t>אליאסי, אלקנה</t>
  </si>
  <si>
    <t>דור המלקטים - 8 כר'</t>
  </si>
  <si>
    <t>שטילרמן, יוסף בן נחום</t>
  </si>
  <si>
    <t>דורות - 0075 (פנחס)</t>
  </si>
  <si>
    <t>הגליון השבועי של בטאון העדה</t>
  </si>
  <si>
    <t>דורשי ה'</t>
  </si>
  <si>
    <t>סגל, יהודה זרחיה בן שפטיה הלוי</t>
  </si>
  <si>
    <t>דורשי תורה - תשס"ז</t>
  </si>
  <si>
    <t>יוסף, עובדיה</t>
  </si>
  <si>
    <t>די סדרה און הפטרה - ב</t>
  </si>
  <si>
    <t>זליג, ה, ל</t>
  </si>
  <si>
    <t>תש"ח</t>
  </si>
  <si>
    <t>דיואן משה דרעי</t>
  </si>
  <si>
    <t>דרעי, משה בן אברהם</t>
  </si>
  <si>
    <t>(תרצ"ז</t>
  </si>
  <si>
    <t>דיואן שמואל הנגיד &lt;מהדורת ירדן&gt; - 3 כר'</t>
  </si>
  <si>
    <t>שמואל בן יוסף הלוי (הנגיד)</t>
  </si>
  <si>
    <t>דיור וקליטה בישוב הישן</t>
  </si>
  <si>
    <t>אלעזר, יעקב</t>
  </si>
  <si>
    <t>דייקות מרבנו שמואל</t>
  </si>
  <si>
    <t>שמואל בן מאיר (רשב"ם)</t>
  </si>
  <si>
    <t>דין וחשבון מוגש לצירי הכנסיה הגדולה העולמית החמישית</t>
  </si>
  <si>
    <t>מחלקת ההסברה של הסתדרות אגודת ישראל העולמית</t>
  </si>
  <si>
    <t>תשכ"ד</t>
  </si>
  <si>
    <t>דינא דבור</t>
  </si>
  <si>
    <t>זכאי, עובדיה</t>
  </si>
  <si>
    <t>דינא דגזלן</t>
  </si>
  <si>
    <t>דינא דגרמי</t>
  </si>
  <si>
    <t>משה בן נחמן (רמב"ן) - קמפה, ברוך מרדכי בן אורי דוד</t>
  </si>
  <si>
    <t>דינא דמלכותא</t>
  </si>
  <si>
    <t>שור, דוד שלמה</t>
  </si>
  <si>
    <t>דיני אבלות</t>
  </si>
  <si>
    <t>אורטנר, נתן יהודה בן אלטר משה שמואל</t>
  </si>
  <si>
    <t>דיני בשר בחלב</t>
  </si>
  <si>
    <t>גולדשמידט, גדליהו</t>
  </si>
  <si>
    <t>דיני הקרבת המנחה - מראי מקומות</t>
  </si>
  <si>
    <t>מכון תורת הקורבנות</t>
  </si>
  <si>
    <t>נושאים שונים, תלמוד בבלי</t>
  </si>
  <si>
    <t>דיני חנוכה - ע"פ פסקי רבי מרדכי אליהו</t>
  </si>
  <si>
    <t>בית המדרש דרכי הוראה לרבנים</t>
  </si>
  <si>
    <t>דיני משחקים בשבת</t>
  </si>
  <si>
    <t>דיני מתווך במשפט העברי</t>
  </si>
  <si>
    <t>ורהפטיג, שילם</t>
  </si>
  <si>
    <t>דיני ציצית</t>
  </si>
  <si>
    <t>דיני שביעית</t>
  </si>
  <si>
    <t>קרן התרבות דגל ירושלים</t>
  </si>
  <si>
    <t>דיני שלג</t>
  </si>
  <si>
    <t>דיני תשלום שכר שכיר בזמנו</t>
  </si>
  <si>
    <t>אפללו, מאיר בן ברוך</t>
  </si>
  <si>
    <t>דינים וביאורים - סוכה</t>
  </si>
  <si>
    <t>דליים של שמחה - שמחת תורה</t>
  </si>
  <si>
    <t>דן באהל - דיני עשיית אהל בשבת</t>
  </si>
  <si>
    <t>אבידן, דן</t>
  </si>
  <si>
    <t>דע לך בני</t>
  </si>
  <si>
    <t>זולברג, מוטי</t>
  </si>
  <si>
    <t>דע מה שתשיב (לגביר לעשיר לקמצן)</t>
  </si>
  <si>
    <t>טיירשטיין, יהונתן</t>
  </si>
  <si>
    <t>דעה ערוכה</t>
  </si>
  <si>
    <t>אלטמן, אביגדור</t>
  </si>
  <si>
    <t>דער אידישער שטראל - 68 כר'</t>
  </si>
  <si>
    <t>דער אידישער שטראל</t>
  </si>
  <si>
    <t>דער אמת -2</t>
  </si>
  <si>
    <t>מילר, ישראל</t>
  </si>
  <si>
    <t>תש"א</t>
  </si>
  <si>
    <t>שיקגו</t>
  </si>
  <si>
    <t>דער היילגער קוואל - 3 כר'</t>
  </si>
  <si>
    <t>דעת אליעזר</t>
  </si>
  <si>
    <t>פורטיגול, אליעזר זוסיא בן ישראל אברהם</t>
  </si>
  <si>
    <t>דעת בנימין - בבא מציעא</t>
  </si>
  <si>
    <t>וולמן, בנימין זאב בן אריה צבי</t>
  </si>
  <si>
    <t>דעת השבת</t>
  </si>
  <si>
    <t>שלוסברג, ראובן בן אברהם יצחק</t>
  </si>
  <si>
    <t>דעת חדרים - בבא קמא</t>
  </si>
  <si>
    <t>ישיבת נתיב הדעת</t>
  </si>
  <si>
    <t>דעת חכמה - 4 כר'</t>
  </si>
  <si>
    <t>אלבוים, יוסף חיים בן ירמיהו</t>
  </si>
  <si>
    <t>דעת כשרות - 2 כר'</t>
  </si>
  <si>
    <t>דעת כשרות</t>
  </si>
  <si>
    <t>דעת ריבית</t>
  </si>
  <si>
    <t>שטרנשוס, יעקב שמעון בן ישראל</t>
  </si>
  <si>
    <t>דעת שבת</t>
  </si>
  <si>
    <t>כולל אברכים אהל שרה</t>
  </si>
  <si>
    <t>דעת שפתי</t>
  </si>
  <si>
    <t>חפי, דוד</t>
  </si>
  <si>
    <t>דעת תורה והשקפה</t>
  </si>
  <si>
    <t>מערכת זקניך ויאמרו לך</t>
  </si>
  <si>
    <t>מחשבה ומוסר, תולדות עם ישראל</t>
  </si>
  <si>
    <t>דעת תורה לקט פסקי דין על גיוס בנות לשרות לאומי</t>
  </si>
  <si>
    <t>דקדוק הלשון העברית</t>
  </si>
  <si>
    <t>ילין, דוד בן יהושע</t>
  </si>
  <si>
    <t>[תש"ב]). תשכ"ג</t>
  </si>
  <si>
    <t>דקדוקי סופרים השלם - 3 כר'</t>
  </si>
  <si>
    <t>חברי מכון התלמוד הישראלי השלם</t>
  </si>
  <si>
    <t>דרור יקרא</t>
  </si>
  <si>
    <t>יוניוב, דרור</t>
  </si>
  <si>
    <t>דרוש לראש השנה</t>
  </si>
  <si>
    <t>וייס</t>
  </si>
  <si>
    <t>דרושים לכל חפציהם</t>
  </si>
  <si>
    <t>שטרן, אברהם בן יצחק יהודה ליב אריה</t>
  </si>
  <si>
    <t>דרישה וחקירה - 3 כר'</t>
  </si>
  <si>
    <t>לינטופ, יהושע (עורך)</t>
  </si>
  <si>
    <t>דרך ארץ קדמה לתורה - פגישות משודכים</t>
  </si>
  <si>
    <t>דרך דעה - 2 כר'</t>
  </si>
  <si>
    <t>דונט, מרדכי</t>
  </si>
  <si>
    <t>דרך ה' לרמח"ל עם ביאור דרך שלמה - א</t>
  </si>
  <si>
    <t>בן אדמון, שלמה</t>
  </si>
  <si>
    <t>דרך המדבר</t>
  </si>
  <si>
    <t>דיין, ניסים בן שלמה</t>
  </si>
  <si>
    <t>דרך המלך - 3 כר'</t>
  </si>
  <si>
    <t>פוקסברומר</t>
  </si>
  <si>
    <t>דרך הקוצרים - איזהו נשך</t>
  </si>
  <si>
    <t>ולדר, יעקב צבי</t>
  </si>
  <si>
    <t>דרך חוקיך - אבות</t>
  </si>
  <si>
    <t>פדלון, חן</t>
  </si>
  <si>
    <t>דרך חכמה</t>
  </si>
  <si>
    <t>לוצאטו, משה חיים בן יעקב חי</t>
  </si>
  <si>
    <t>תרי"ט,</t>
  </si>
  <si>
    <t>Warszawa</t>
  </si>
  <si>
    <t>דרך ישראל - קנינים</t>
  </si>
  <si>
    <t>טופורוביץ, ישראל בן יחזקאל משה הלוי</t>
  </si>
  <si>
    <t>דרך כלה</t>
  </si>
  <si>
    <t>קטן, חנה</t>
  </si>
  <si>
    <t>דרך משפט - טענה</t>
  </si>
  <si>
    <t>דרך עדותיך</t>
  </si>
  <si>
    <t>קאהן, דוד בן אברהם יצחק (אדמו"ר מתו"א)</t>
  </si>
  <si>
    <t>דרך פקודיך</t>
  </si>
  <si>
    <t>שפירא, צבי אלימלך בן פסח מדינוב</t>
  </si>
  <si>
    <t>[תרע"ד,</t>
  </si>
  <si>
    <t>דרך צדיקים</t>
  </si>
  <si>
    <t>לווין, נח חיים בן משה</t>
  </si>
  <si>
    <t>[תרס"ג]).</t>
  </si>
  <si>
    <t>דרכה של תורה</t>
  </si>
  <si>
    <t>דרכי אבות</t>
  </si>
  <si>
    <t>כהן, מיכאל</t>
  </si>
  <si>
    <t>דרכי אורה</t>
  </si>
  <si>
    <t>הייזלר, מרדכי שרגא בן יוסף</t>
  </si>
  <si>
    <t>דרכי ברוך - 7 כר'</t>
  </si>
  <si>
    <t>קמפה, ברוך מרדכי בן אורי דוד</t>
  </si>
  <si>
    <t>דרכי דוד &lt;מהדורה חדשה&gt; - 2 כר'</t>
  </si>
  <si>
    <t>לוי, מרדכי דוד בן ברוך</t>
  </si>
  <si>
    <t>דרכי דעת - ב</t>
  </si>
  <si>
    <t>סופר, אליהו ציון בן יצחק שלום</t>
  </si>
  <si>
    <t>דרכי היחוד</t>
  </si>
  <si>
    <t>כהן, נתנאל</t>
  </si>
  <si>
    <t>דרכי התלמוד, תרגילנו בתורתך</t>
  </si>
  <si>
    <t>קאנפאנטון, יצחק בן יעקב - אריאל, ישראל</t>
  </si>
  <si>
    <t>דרכי יושר</t>
  </si>
  <si>
    <t>שארף, משה יעקב בן אפרים</t>
  </si>
  <si>
    <t>תרס"ב</t>
  </si>
  <si>
    <t>קראקא,</t>
  </si>
  <si>
    <t>דרכי יעקב - 15 כר'</t>
  </si>
  <si>
    <t>פוגלבלט, יעקב בן שמואל יוסף</t>
  </si>
  <si>
    <t>דרכי מרדכי</t>
  </si>
  <si>
    <t>תורג'מן, מאור מאיר</t>
  </si>
  <si>
    <t>דרכי נעם &lt;זכרון אהרן&gt;</t>
  </si>
  <si>
    <t>מרדכי בן יהודה הלוי ממצרים</t>
  </si>
  <si>
    <t>דרכי עונג - ב דש, מלבן, מעמר</t>
  </si>
  <si>
    <t>ינקלביץ, אשר חנוך</t>
  </si>
  <si>
    <t>דרכי שמואל - 4 כר'</t>
  </si>
  <si>
    <t>דרכים ושיטות לזכירת הלימוד</t>
  </si>
  <si>
    <t>בן ישי, ישראל בן דוד הכהן</t>
  </si>
  <si>
    <t>דרש בחכמה</t>
  </si>
  <si>
    <t>שראבני, ראובן שלום</t>
  </si>
  <si>
    <t>דרש חיה</t>
  </si>
  <si>
    <t>דרש יוסף</t>
  </si>
  <si>
    <t>לוי, יוסף</t>
  </si>
  <si>
    <t>דרושים, נושאים שונים</t>
  </si>
  <si>
    <t>דרש משה</t>
  </si>
  <si>
    <t>קליינבוים, יעקב משה בן יוסף הלוי</t>
  </si>
  <si>
    <t>תרע"ה,</t>
  </si>
  <si>
    <t>דרשות ילקוט סופר</t>
  </si>
  <si>
    <t>סופר, יוסף ליב בן זוסמאן אליעזר</t>
  </si>
  <si>
    <t>דרשות - ח</t>
  </si>
  <si>
    <t>זנגר, יום טוב בן יעקב</t>
  </si>
  <si>
    <t>דרשת מהר"ח</t>
  </si>
  <si>
    <t>חיים בן יצחק מוולוז'ין</t>
  </si>
  <si>
    <t>תש"נ</t>
  </si>
  <si>
    <t>דת יהודית - חלה</t>
  </si>
  <si>
    <t>מנדלוביץ, ראובן בן רפאל יעקב</t>
  </si>
  <si>
    <t>ה"למד-וו"</t>
  </si>
  <si>
    <t>ברטוב (רודניצקי), ראובן</t>
  </si>
  <si>
    <t>ה"עבודה" ליום הכיפורים אופיה תולדותיה והתפתחותה בשירה העברית - 2 כר'</t>
  </si>
  <si>
    <t>מלאכי, צבי</t>
  </si>
  <si>
    <t>הא לחמא עניא</t>
  </si>
  <si>
    <t>שקלים, עזרא</t>
  </si>
  <si>
    <t>האבלות בהלכה ובאגדה</t>
  </si>
  <si>
    <t>נקי, דוד שלום</t>
  </si>
  <si>
    <t>האבן והעזר - 3 כר'</t>
  </si>
  <si>
    <t>סעדה, יגאל</t>
  </si>
  <si>
    <t>האחוד - שנה א חוברת ב</t>
  </si>
  <si>
    <t>האייפון בהלכה</t>
  </si>
  <si>
    <t>בן דוד, יהודה</t>
  </si>
  <si>
    <t>האינטרנט בהלכה</t>
  </si>
  <si>
    <t>ליכטנשטיין, דוד בן שמואל צבי</t>
  </si>
  <si>
    <t>האיש מקדש</t>
  </si>
  <si>
    <t>קריסטל, דוד שלום</t>
  </si>
  <si>
    <t>האמונה והבטחון</t>
  </si>
  <si>
    <t>יעקב בן ששת</t>
  </si>
  <si>
    <t>האמונה והפצתה</t>
  </si>
  <si>
    <t>האמנם עם נבחר</t>
  </si>
  <si>
    <t>פלאוט, זאב משה</t>
  </si>
  <si>
    <t>תשכ"ח</t>
  </si>
  <si>
    <t>האר עיני - 2 כר'</t>
  </si>
  <si>
    <t>חדאד, אליאור</t>
  </si>
  <si>
    <t>דרושים, הלכה ומנהג, שלחן ערוך ומפרשיו, תנ"ך</t>
  </si>
  <si>
    <t>הארוך מש"ך - מאכלי עכו"ם, יי"נ, ע"ז,  רבית, נדה</t>
  </si>
  <si>
    <t>כ"ץ, שבתי בן מאיר הכהן</t>
  </si>
  <si>
    <t>האשה וחינוכה</t>
  </si>
  <si>
    <t>רוזנפלד, בן ציון</t>
  </si>
  <si>
    <t>תש"מ</t>
  </si>
  <si>
    <t>הבה נחזור למקור מחצבתנו</t>
  </si>
  <si>
    <t>לוין, יצחק מאיר הכהן</t>
  </si>
  <si>
    <t>הביננו</t>
  </si>
  <si>
    <t>גתי, יזהר</t>
  </si>
  <si>
    <t>טבריה</t>
  </si>
  <si>
    <t>הבינני ואחיה - בראשית</t>
  </si>
  <si>
    <t>הבינני ואשיחה - 2 כר'</t>
  </si>
  <si>
    <t>אנגלדר, יעקב בן שלמה הכהן</t>
  </si>
  <si>
    <t>הבית הגדול</t>
  </si>
  <si>
    <t>ישיבת ברכת אפרים איגוד הבוגרים</t>
  </si>
  <si>
    <t>הבית היהודי - 2 כר'</t>
  </si>
  <si>
    <t>זכאי, אהרן</t>
  </si>
  <si>
    <t>הבריאה והמבול</t>
  </si>
  <si>
    <t>קורמן, אברהם</t>
  </si>
  <si>
    <t>הגאון הקדוש מגוטא</t>
  </si>
  <si>
    <t>בוים, יחיאל</t>
  </si>
  <si>
    <t>הגדה של פסח  &lt;פקסמיליות של הגדות ישנות&gt; - 10 כר'</t>
  </si>
  <si>
    <t>הגדה של פסח</t>
  </si>
  <si>
    <t>תק"א</t>
  </si>
  <si>
    <t>פירט</t>
  </si>
  <si>
    <t>הגדה של פסח  &lt;עבדי השם&gt;</t>
  </si>
  <si>
    <t>הכט,</t>
  </si>
  <si>
    <t>הגדה של פסח &lt;רשפי אש&gt;</t>
  </si>
  <si>
    <t>הגדה של פסח &lt;מגיד דבריו ליעקב&gt;</t>
  </si>
  <si>
    <t>אלגאזי, ישראל יעקב בן יום טוב</t>
  </si>
  <si>
    <t>הגדה של פסח &lt;שפת הים - מהדורה חדשה&gt;</t>
  </si>
  <si>
    <t>אלטשולר, זאב וואלף בן דוב בר</t>
  </si>
  <si>
    <t>הגדה של פסח &lt;פירוש הגר"א - ליקוטי דודאים&gt;</t>
  </si>
  <si>
    <t>אליהו בן שלמה זלמן [הגר"א]</t>
  </si>
  <si>
    <t>קליוולנד</t>
  </si>
  <si>
    <t>הגדה של פסח &lt;ליל שמורים -מהדורה חדשה&gt;</t>
  </si>
  <si>
    <t>אפשטיין, יחיאל מיכל בן אהרן יצחק הלוי</t>
  </si>
  <si>
    <t>הגדה של פסח &lt;וידבר משה&gt;</t>
  </si>
  <si>
    <t>דיין, משה בן יצחק</t>
  </si>
  <si>
    <t>הגדה של פסח &lt;ביד הראשונים&gt;</t>
  </si>
  <si>
    <t>דיקמן, אברהם בן ברוך</t>
  </si>
  <si>
    <t>הגדה של פסח &lt;פקסמיליות של הגדות ישנות&gt; - הגדה מתוך מחזור רומא</t>
  </si>
  <si>
    <t>ש</t>
  </si>
  <si>
    <t>בולניא</t>
  </si>
  <si>
    <t>הגדה של פסח &lt;דברי הלוים&gt;</t>
  </si>
  <si>
    <t>הורוויץ, פינחס בן צבי הירש הלוי - הורוויץ, שמואל שמעלקא בן צבי הירש</t>
  </si>
  <si>
    <t>הגדה של פסח &lt;ע"פ מבעל הפלאה&gt;</t>
  </si>
  <si>
    <t>הורוויץ, פינחס בן צבי הירש הלוי</t>
  </si>
  <si>
    <t>תרכ"א</t>
  </si>
  <si>
    <t>לבוב</t>
  </si>
  <si>
    <t>הגדה של פסח &lt;פתח אליהו&gt;</t>
  </si>
  <si>
    <t>הגדה של פסח &lt;ויגד משה&gt;</t>
  </si>
  <si>
    <t>הגדה של פסח &lt;רגלי מבשר&gt;</t>
  </si>
  <si>
    <t>הרשטיק, אליעזר זעירא</t>
  </si>
  <si>
    <t>הגדה של פסח &lt;דומה דודי לצבי&gt;</t>
  </si>
  <si>
    <t>הגדה של פסח &lt;כי ישאלך&gt;</t>
  </si>
  <si>
    <t>חזקיהו, נתנאל יהונתן</t>
  </si>
  <si>
    <t>צפת</t>
  </si>
  <si>
    <t>הגדה של פסח &lt;והגדת לבנך ביום ההוא&gt;</t>
  </si>
  <si>
    <t>מרגלית, נתן</t>
  </si>
  <si>
    <t>הגדה של פסח &lt;קרבן פסח&gt;</t>
  </si>
  <si>
    <t>סילברסטון, גדליהו בן ישעיהו מאיר</t>
  </si>
  <si>
    <t>תר"ע</t>
  </si>
  <si>
    <t>ושינגטון Washington</t>
  </si>
  <si>
    <t>הגדה של פסח &lt;בית אבא-ויגד משה&gt;</t>
  </si>
  <si>
    <t>פלס, משה מאיר בן חיים</t>
  </si>
  <si>
    <t>הגדה של פסח &lt;מהר"ם שיק&gt;</t>
  </si>
  <si>
    <t>שיק, משה בן יוסף</t>
  </si>
  <si>
    <t>תר"ס</t>
  </si>
  <si>
    <t>הגדה של פסח &lt;מגיד נפלא&gt;</t>
  </si>
  <si>
    <t>הגדה של פסח &lt;בני יששכר&gt;</t>
  </si>
  <si>
    <t>הגדה של פסח &lt;משא המועד&gt;</t>
  </si>
  <si>
    <t>שפניר, אבידן משה בן בנימין זאב</t>
  </si>
  <si>
    <t>הגדה של פסח גדולי ישראל</t>
  </si>
  <si>
    <t>שטיין, ישראל אברהם בן שלמה אהרן הכהן</t>
  </si>
  <si>
    <t>חש"ד (מהדורה רביעית)</t>
  </si>
  <si>
    <t>הגדה של פסח לאור ההלכה</t>
  </si>
  <si>
    <t>דובאוו, זלמן יוסף בן יצחק</t>
  </si>
  <si>
    <t>דובלין</t>
  </si>
  <si>
    <t>הגדה של פסח - שבילי ההגדה</t>
  </si>
  <si>
    <t>ארגון "שבילים"</t>
  </si>
  <si>
    <t>הגדה של פסח - רגלי מבשר</t>
  </si>
  <si>
    <t>הרשטיק, אליעזר זעירא בן מנחם שמואל</t>
  </si>
  <si>
    <t>הגדה של פסח - קול מנחם</t>
  </si>
  <si>
    <t>טאוב, מנחם מנדל בן יצחק איזיק מקאליב</t>
  </si>
  <si>
    <t>הגדה של פסח - היושבת בגנים</t>
  </si>
  <si>
    <t>כהנא שפירא, אברהם אלקנה</t>
  </si>
  <si>
    <t>הגדה של פסח - וטהר לבנו</t>
  </si>
  <si>
    <t>ריינר, יוחנן</t>
  </si>
  <si>
    <t>הגהות שי"ח השדה על ספר אוצר המדרשים</t>
  </si>
  <si>
    <t>הגזרה השוה</t>
  </si>
  <si>
    <t>שווארץ, אריה בן יעקב חיים</t>
  </si>
  <si>
    <t>תרנ"ח</t>
  </si>
  <si>
    <t>הגיון התלמוד</t>
  </si>
  <si>
    <t>יפה, משולם זלמן בן אליהו יששכר בר</t>
  </si>
  <si>
    <t>תרצ"ב,</t>
  </si>
  <si>
    <t>קיידאן,</t>
  </si>
  <si>
    <t>הגיון לבי</t>
  </si>
  <si>
    <t>בוגץ', יהודה ליב בן יעקב</t>
  </si>
  <si>
    <t>הגיע זמן גאולתכם</t>
  </si>
  <si>
    <t>כהן, מאור</t>
  </si>
  <si>
    <t>הגשר</t>
  </si>
  <si>
    <t>(תרצ"ט)</t>
  </si>
  <si>
    <t>(שיקאגו),</t>
  </si>
  <si>
    <t>הגשת המנחה</t>
  </si>
  <si>
    <t>הדביר - 3 כר'</t>
  </si>
  <si>
    <t>קובץ לתורה וחכמת ישראל</t>
  </si>
  <si>
    <t>תרע"ט</t>
  </si>
  <si>
    <t>הדלקת נר חנוכה לבחורי ישיבות</t>
  </si>
  <si>
    <t>הדלקת נר חנוכה</t>
  </si>
  <si>
    <t>וויס, יצחק יעקב בן יוסף יהודה</t>
  </si>
  <si>
    <t>לונדון London</t>
  </si>
  <si>
    <t>הדעה והדבור &lt;מהדורה חדשה&gt; - 3 כר'</t>
  </si>
  <si>
    <t>סורוצקין, זלמן בן בן-ציון</t>
  </si>
  <si>
    <t>הדעה והדיבור - 46 כר'</t>
  </si>
  <si>
    <t>הדרום - 4 כר'</t>
  </si>
  <si>
    <t>הסתדרות הרבנים דאמריקא</t>
  </si>
  <si>
    <t>הדריכני בנתיב מצוותיך</t>
  </si>
  <si>
    <t>הדרך פנימה - הדבקות בה' דרך התורה</t>
  </si>
  <si>
    <t>עובדיה, אליהו</t>
  </si>
  <si>
    <t>הדרכה לבני תורה</t>
  </si>
  <si>
    <t>בן פורת, יוסף</t>
  </si>
  <si>
    <t>באר יעקב</t>
  </si>
  <si>
    <t>הדרכה מעשית לתקיעת שופר</t>
  </si>
  <si>
    <t>הדרכות וצוואות שפתי צדיק</t>
  </si>
  <si>
    <t>יוסטמאן, פינחס מנחם אלעזר בן בנימין אליעזר</t>
  </si>
  <si>
    <t>הדרת ישראל - 3 כר'</t>
  </si>
  <si>
    <t>וייסמן, ישראל אריה בן זידא יוסף</t>
  </si>
  <si>
    <t>הדרת פנים זקן - 3 כר'</t>
  </si>
  <si>
    <t>ווניער, משה</t>
  </si>
  <si>
    <t>הדרת קדש - בראשית</t>
  </si>
  <si>
    <t>ההגדה לעורך הסדר</t>
  </si>
  <si>
    <t>וולף, אברהם</t>
  </si>
  <si>
    <t>אודסה</t>
  </si>
  <si>
    <t>ההד - 17 כר'</t>
  </si>
  <si>
    <t>ההד. ירושלים.</t>
  </si>
  <si>
    <t>ההיגיאנה והבריאות של האשה העבריה על פי מסקנות המדע האחרונות</t>
  </si>
  <si>
    <t>אפשטיין, משה בן בצלאל יעקב</t>
  </si>
  <si>
    <t>תרצ"ה</t>
  </si>
  <si>
    <t>ההלבשה העברית הקדומה</t>
  </si>
  <si>
    <t>הרשברג, אברהם שמואל</t>
  </si>
  <si>
    <t>וארשא</t>
  </si>
  <si>
    <t>ההפטרות של פרשת אחרי ופרשת קדושים - ב</t>
  </si>
  <si>
    <t>וינגרטן, שמואל הכהן</t>
  </si>
  <si>
    <t>ההר הטוב הזה והלבנון</t>
  </si>
  <si>
    <t>אריאל, ישראל</t>
  </si>
  <si>
    <t>ההשגחה - 8</t>
  </si>
  <si>
    <t>גליון בענייני השגחה וכשרות</t>
  </si>
  <si>
    <t>הוא היה אומר</t>
  </si>
  <si>
    <t>לזכר רבי שלום הלל שטרן</t>
  </si>
  <si>
    <t>הודאת צבי - בבא קמא, גיטין</t>
  </si>
  <si>
    <t>אדלשטיין, צבי יהודה בן יעקב</t>
  </si>
  <si>
    <t>הוצאות שבת</t>
  </si>
  <si>
    <t>הוצאת בית דין צדק לונדון והמדינה - כג</t>
  </si>
  <si>
    <t>רפאפורט, אברהם</t>
  </si>
  <si>
    <t>הזורעים בדמעה</t>
  </si>
  <si>
    <t>קובץ זכרון</t>
  </si>
  <si>
    <t>הזיו לך</t>
  </si>
  <si>
    <t>הזיידע - רבי אפרים שמואל פפרמן</t>
  </si>
  <si>
    <t>לרנר, שפרה</t>
  </si>
  <si>
    <t>החושן והמשפט - 5 כר'</t>
  </si>
  <si>
    <t>החינוך בקהילות המזרח</t>
  </si>
  <si>
    <t>אילני, צבי - זיכל, מאיר</t>
  </si>
  <si>
    <t>החינוך הטבעי</t>
  </si>
  <si>
    <t>בית אל</t>
  </si>
  <si>
    <t>החינוך היהודי בגרמניה בימי ההשכלה והאמנציפציה</t>
  </si>
  <si>
    <t>אליאב, מרדכי</t>
  </si>
  <si>
    <t>החינוך והמחנך</t>
  </si>
  <si>
    <t>חדקוב, חיים מרדכי אייזיק</t>
  </si>
  <si>
    <t>החפץ חיים על הסידור</t>
  </si>
  <si>
    <t>כהן, ישראל מאיר בן אריה זאב - זריצקי, דוד</t>
  </si>
  <si>
    <t>החשן הבהיר - חושן משפט שלא - שלט</t>
  </si>
  <si>
    <t>פונט, אברהם שמואל בן צבי אלימלך</t>
  </si>
  <si>
    <t>ירושלים - ניו יורק</t>
  </si>
  <si>
    <t>הטבע היהודי</t>
  </si>
  <si>
    <t>הטור המבואר - חנוכה</t>
  </si>
  <si>
    <t>מכון טור ובית יוסף המבואר</t>
  </si>
  <si>
    <t>הטיפול בתינוקות</t>
  </si>
  <si>
    <t>ויטמן, פנחס דניאל בן יעקב</t>
  </si>
  <si>
    <t>היא תתהלל</t>
  </si>
  <si>
    <t>היה עם פיפיות</t>
  </si>
  <si>
    <t>ארגון לראות טוב</t>
  </si>
  <si>
    <t>הלכה ומנהג, מועדי ישראל, מחשבה ומוסר</t>
  </si>
  <si>
    <t>היהודים בצרפת ודברי ימיהם</t>
  </si>
  <si>
    <t>שפירא, דוד</t>
  </si>
  <si>
    <t>היהודים ושפת הסלאווים</t>
  </si>
  <si>
    <t>הרכבי, אברהם אליהו בן יעקב</t>
  </si>
  <si>
    <t>תרכ"ז,</t>
  </si>
  <si>
    <t>היהודים עם נשק בידיהם</t>
  </si>
  <si>
    <t>ורבין, משה</t>
  </si>
  <si>
    <t>היהלום שבסתר</t>
  </si>
  <si>
    <t>היורה והדעה - 2 כר'</t>
  </si>
  <si>
    <t>היכל הוראה - ה</t>
  </si>
  <si>
    <t>בראנדסדארפער, משה בן מאיר</t>
  </si>
  <si>
    <t>היכל ושערים</t>
  </si>
  <si>
    <t>ורטהימר, הלל בן אברהם יהודה</t>
  </si>
  <si>
    <t>היכלא דאורייתא</t>
  </si>
  <si>
    <t>מרכז התורה - רשת הכוללים דחסידי מכנובקא בעלזא</t>
  </si>
  <si>
    <t>היכלי דעה</t>
  </si>
  <si>
    <t>דגגה, דוד</t>
  </si>
  <si>
    <t>הישיבה בית היוצר</t>
  </si>
  <si>
    <t>היתר עיסקא החדש - ב</t>
  </si>
  <si>
    <t>כרמל, אברהם מרדכי</t>
  </si>
  <si>
    <t>הכוזרי של זמננו - 2 כר'</t>
  </si>
  <si>
    <t>הכוכב (ארה"ב) - שנה ב חוברת א</t>
  </si>
  <si>
    <t>שטרנהל, יצחק בן דוד (עורך)</t>
  </si>
  <si>
    <t>הכל נשמע</t>
  </si>
  <si>
    <t>חטיבי, אופיר</t>
  </si>
  <si>
    <t>הכנוס לעיון בהלכות הקודש והמקדש</t>
  </si>
  <si>
    <t>לקט מאמרים</t>
  </si>
  <si>
    <t>הכשר כלים</t>
  </si>
  <si>
    <t>אדרעי, עמרם בן אליהו</t>
  </si>
  <si>
    <t>הכתב והקבלה - ב</t>
  </si>
  <si>
    <t>מקלנבורג, יעקב צבי בן גמליאל</t>
  </si>
  <si>
    <t>[תר"ם]</t>
  </si>
  <si>
    <t>פראנקפורט אם מיין,</t>
  </si>
  <si>
    <t>הלולי צבי - 3 כר'</t>
  </si>
  <si>
    <t>יעקבוביץ, צבי בן חיים יוסף</t>
  </si>
  <si>
    <t>הליכות &lt;סדרה חדשה&gt; - 3</t>
  </si>
  <si>
    <t>בטאון המועצה הדתית תל אביב יפו</t>
  </si>
  <si>
    <t>הליכות אבן ישראל - שבת א</t>
  </si>
  <si>
    <t>פישר, ישראל יעקב בן אהרן</t>
  </si>
  <si>
    <t>הליכות הוריות</t>
  </si>
  <si>
    <t>רקוב, יוסף</t>
  </si>
  <si>
    <t>הליכות הישועות משה - ג</t>
  </si>
  <si>
    <t>גייגר, יחזקאל</t>
  </si>
  <si>
    <t>הליכות השולחן ערוך החמישי - ב</t>
  </si>
  <si>
    <t>סמג'ה, ארי אברהם</t>
  </si>
  <si>
    <t>הליכות חייו והנהגותיו של ר' ראובן קרלנשטיין</t>
  </si>
  <si>
    <t>הליכות חיים - רבינו הקדוש מריבניץ</t>
  </si>
  <si>
    <t>גרונר, דוד יהודה - גלדצלר, דוד</t>
  </si>
  <si>
    <t>הליכות יוסף</t>
  </si>
  <si>
    <t>יוניוב, יוסף בן אביגדור</t>
  </si>
  <si>
    <t>הליכות מנחות (מזוזה ותפילין)</t>
  </si>
  <si>
    <t>הליכות מנחות (ציצית)</t>
  </si>
  <si>
    <t>הליכות שדה - 8 כר'</t>
  </si>
  <si>
    <t>המכון לחקר החקלאות ע"פ התורה</t>
  </si>
  <si>
    <t>הליכות - 100</t>
  </si>
  <si>
    <t>הליכות</t>
  </si>
  <si>
    <t>תשמ"ד</t>
  </si>
  <si>
    <t>הלכה ברורה - טז</t>
  </si>
  <si>
    <t>יוסף, דוד בן עובדיה</t>
  </si>
  <si>
    <t>הלכה ומעשה - 4</t>
  </si>
  <si>
    <t>הלכה למעשה - א</t>
  </si>
  <si>
    <t>לינק, משה</t>
  </si>
  <si>
    <t>הלכה לעם</t>
  </si>
  <si>
    <t>ברמאן, יעקב בן יחזקאל מאיר</t>
  </si>
  <si>
    <t>הלכה מנהג ומסורת</t>
  </si>
  <si>
    <t>הלכה פסוקה - חו"מ קעו-קפח</t>
  </si>
  <si>
    <t>מכון הרי פישל</t>
  </si>
  <si>
    <t>הלכות אבלות</t>
  </si>
  <si>
    <t>בר דע, יצחק</t>
  </si>
  <si>
    <t>הלכות איסור והיתר</t>
  </si>
  <si>
    <t>ווייל, אברהם צבי - גולדבלט, חיים טודרוס</t>
  </si>
  <si>
    <t>הלכות ברכות, הלכות פסח, ברכות בחשבון, המעשר והעושר</t>
  </si>
  <si>
    <t>מני, אליהו בן סלימאן</t>
  </si>
  <si>
    <t>הלכות גרים בנישואי תערובת</t>
  </si>
  <si>
    <t>אביאור, יוסף</t>
  </si>
  <si>
    <t>אור עציון</t>
  </si>
  <si>
    <t>הלכות והליכות הימים הנוראים</t>
  </si>
  <si>
    <t>קורח, שלמה - צדוק, אוריאל</t>
  </si>
  <si>
    <t>הלכות והליכות חג הסוכות</t>
  </si>
  <si>
    <t>הלכות ומנהגים לחג השבועות שחל להיות ביום א</t>
  </si>
  <si>
    <t>זיכרמן, ישראל שמעון</t>
  </si>
  <si>
    <t>הלכות יום ביום - תפילה ב</t>
  </si>
  <si>
    <t>קארפ, משה מרדכי</t>
  </si>
  <si>
    <t>הלכות יום העצמאות ויום ירושלים</t>
  </si>
  <si>
    <t>רקובר, נחום (עורך)</t>
  </si>
  <si>
    <t>הלכות מיסים במקורות העבריים</t>
  </si>
  <si>
    <t>בזק, יעקב</t>
  </si>
  <si>
    <t>הלכות מתנות כהונה זרוע לחיים וקיבה</t>
  </si>
  <si>
    <t>פלבני, משה</t>
  </si>
  <si>
    <t>הלכות עשיית עירוב חצרות ובדיקת המחיצות - הקצר</t>
  </si>
  <si>
    <t>הלר, אברהם יחיאל הכהן</t>
  </si>
  <si>
    <t>אופקים</t>
  </si>
  <si>
    <t>הלכות פסח לחולה</t>
  </si>
  <si>
    <t>טננבוים, יעקב</t>
  </si>
  <si>
    <t>הלכות קטנות - הלכה רווחת &lt;מהדורת זכרון אהרן&gt;</t>
  </si>
  <si>
    <t>חאגיז, ישראל יעקב בן שמואל</t>
  </si>
  <si>
    <t>הלכות קריעה על המקדש</t>
  </si>
  <si>
    <t>הלכות קריעה</t>
  </si>
  <si>
    <t>בן חיים, אברהם בן דוד</t>
  </si>
  <si>
    <t>הלכות ראש חודש ותעניות</t>
  </si>
  <si>
    <t>הלכות שבת - סיכום סימני הבקיאות</t>
  </si>
  <si>
    <t>דהן, אסף</t>
  </si>
  <si>
    <t>הלכות שטריימל</t>
  </si>
  <si>
    <t>ציון, מרדכי</t>
  </si>
  <si>
    <t>נריה</t>
  </si>
  <si>
    <t>הלכות שכיחות לנופשים</t>
  </si>
  <si>
    <t>שרייבר, דוד אריה לייב בן פינחס</t>
  </si>
  <si>
    <t>הלכתא למשיחא - 2 כר'</t>
  </si>
  <si>
    <t>הלל וזמרה - על הגדת פסח</t>
  </si>
  <si>
    <t>פולק, פנחס שלום משה חיים</t>
  </si>
  <si>
    <t>המאור שבתורה - ד</t>
  </si>
  <si>
    <t>מוסדות אור החיים</t>
  </si>
  <si>
    <t>המאור - 28 כר'</t>
  </si>
  <si>
    <t>ירחון תורני , אמסעל, מאיר (עורך)</t>
  </si>
  <si>
    <t>תשכ"ב</t>
  </si>
  <si>
    <t>המאיר לארץ - 2 כר'</t>
  </si>
  <si>
    <t>המאיר לחיים - 4 כר'</t>
  </si>
  <si>
    <t>ביתאן, חיים</t>
  </si>
  <si>
    <t>תוניס</t>
  </si>
  <si>
    <t>המאיר לפרשה</t>
  </si>
  <si>
    <t>חאג'יאן, מיכאל בן מרדכי</t>
  </si>
  <si>
    <t>המבאר</t>
  </si>
  <si>
    <t>כרצונעליון, יהודה משה בן שרגא פייבוש</t>
  </si>
  <si>
    <t>תרל"א,</t>
  </si>
  <si>
    <t>המבחן הארצי בגמרא</t>
  </si>
  <si>
    <t>מרכז החינוך העצמאי בישראל</t>
  </si>
  <si>
    <t>הקד' תשי"ט</t>
  </si>
  <si>
    <t>(ירושלים,</t>
  </si>
  <si>
    <t>המבשר תורני - 41 כר'</t>
  </si>
  <si>
    <t>המוסף התורני של עתון המבשר</t>
  </si>
  <si>
    <t>המדריך להוראה - ד</t>
  </si>
  <si>
    <t>מכון המדריך להוראה</t>
  </si>
  <si>
    <t>המדריך ליולדת לאבי הבן המוהל</t>
  </si>
  <si>
    <t>בוכריס, אשר</t>
  </si>
  <si>
    <t>המדרש והמעשה - 1</t>
  </si>
  <si>
    <t>מוסדות צאנז בני ברק</t>
  </si>
  <si>
    <t>המדרש כהלכה</t>
  </si>
  <si>
    <t>בארי, ישראל בן שמואל זאב הלוי</t>
  </si>
  <si>
    <t>(נס-ציונה),</t>
  </si>
  <si>
    <t>המודיע - 12 כר'</t>
  </si>
  <si>
    <t>עתון אורתודוכסי</t>
  </si>
  <si>
    <t>פולטובה</t>
  </si>
  <si>
    <t>המחדש בטובו</t>
  </si>
  <si>
    <t>ראובן, אהרן</t>
  </si>
  <si>
    <t>המחזיר שכינתו לציון - 3 כר'</t>
  </si>
  <si>
    <t>הירש, שי הכהן (מלקט)</t>
  </si>
  <si>
    <t>המינים המהודרים</t>
  </si>
  <si>
    <t>מרמורשטיין, אלטר אליהו בן אהרן צבי</t>
  </si>
  <si>
    <t>המכשיל את חברו</t>
  </si>
  <si>
    <t>המלחמה והמצור</t>
  </si>
  <si>
    <t>רולר, יצחק אייזיק בן משולם אליעזר</t>
  </si>
  <si>
    <t>תרל"ח</t>
  </si>
  <si>
    <t>אמסטרדם,</t>
  </si>
  <si>
    <t>המנגן המופלא</t>
  </si>
  <si>
    <t>סדן, דוב בן חיים צבי הכהן</t>
  </si>
  <si>
    <t>המנהג האיטלקי בירושלים עיה"ק</t>
  </si>
  <si>
    <t>הרטום, מנחם</t>
  </si>
  <si>
    <t>המסורת על מקום המקדש - תדפיס</t>
  </si>
  <si>
    <t>שפירא, נעם - פלאי, יוסף</t>
  </si>
  <si>
    <t>יצהר</t>
  </si>
  <si>
    <t>המסילה - ו</t>
  </si>
  <si>
    <t>בטאון בני הישיבות יוצאי תימן</t>
  </si>
  <si>
    <t>תשכ"ג</t>
  </si>
  <si>
    <t>המסילה - 7 כר'</t>
  </si>
  <si>
    <t>ועד הרבנים דניו יארק רבתי</t>
  </si>
  <si>
    <t>ת"ש - תש"ב</t>
  </si>
  <si>
    <t>המסע אל האושר</t>
  </si>
  <si>
    <t>פינטו, יאשיהו יוסף בן חיים</t>
  </si>
  <si>
    <t>המסר שיש ללמוד ממהומות הר הבית</t>
  </si>
  <si>
    <t>המעין - 5 כר'</t>
  </si>
  <si>
    <t>המעין</t>
  </si>
  <si>
    <t>שעלבים</t>
  </si>
  <si>
    <t>המצוה המבוארת - 10 כר'</t>
  </si>
  <si>
    <t>אטלס, אברהם (עורך)</t>
  </si>
  <si>
    <t>המקבץ - ד</t>
  </si>
  <si>
    <t>מכון באר התורה</t>
  </si>
  <si>
    <t>מועדי ישראל, קבצים וכתבי עת, ספרי זכרון ויובל</t>
  </si>
  <si>
    <t>המקורבים - תשע"ט</t>
  </si>
  <si>
    <t>המקצוע - א</t>
  </si>
  <si>
    <t>סימקאוויטש, יצחק מאיר בן שמואל אברהם</t>
  </si>
  <si>
    <t>המרד של מארדי</t>
  </si>
  <si>
    <t>רבינוביץ, חיים דב בן שרגא פייטל</t>
  </si>
  <si>
    <t>המשפחה בישראל</t>
  </si>
  <si>
    <t>המרכז לטהרת המשפחה</t>
  </si>
  <si>
    <t>המתיבתא - 6 כר'</t>
  </si>
  <si>
    <t>מתיבתא תורה ודעת</t>
  </si>
  <si>
    <t>תש"ג</t>
  </si>
  <si>
    <t>הנאמן - 4 כר'</t>
  </si>
  <si>
    <t>תש"ו</t>
  </si>
  <si>
    <t>הנדר מסיביר למירון</t>
  </si>
  <si>
    <t>ישראלי, יואב</t>
  </si>
  <si>
    <t>הנהגות ואורחות חיים</t>
  </si>
  <si>
    <t>גרינברג, שמואל בן שלמה</t>
  </si>
  <si>
    <t>הנהגות - 4 כר'</t>
  </si>
  <si>
    <t>רבי, חיים</t>
  </si>
  <si>
    <t>הנוער והחנוך</t>
  </si>
  <si>
    <t>לוין, יצחק מאיר</t>
  </si>
  <si>
    <t>הנותן ליעף כח</t>
  </si>
  <si>
    <t>בני הישיבות</t>
  </si>
  <si>
    <t>הנחית הלכתיות לצוות הסיעודי</t>
  </si>
  <si>
    <t>בית החולים שערי צדק</t>
  </si>
  <si>
    <t>הנחמדים מזהב - ביצה</t>
  </si>
  <si>
    <t>הופמן, יוסף בן שלמה צדוק</t>
  </si>
  <si>
    <t>מודעין עלית</t>
  </si>
  <si>
    <t>הנחמדים מזהב</t>
  </si>
  <si>
    <t>קנובליך, שלמה זלמן בן חיים אלתר</t>
  </si>
  <si>
    <t>הניגון של הצדיק</t>
  </si>
  <si>
    <t>מינץ, גיא צבי</t>
  </si>
  <si>
    <t>הסגולה - במעלת תוספת שבת</t>
  </si>
  <si>
    <t>הסוגיא להלכה - הלכות לולב</t>
  </si>
  <si>
    <t>בלודשטראק, ישראל</t>
  </si>
  <si>
    <t>הסופר - 8 כר'</t>
  </si>
  <si>
    <t>קובץ תורני ישיבת חתן סופר</t>
  </si>
  <si>
    <t>הסינון הסופי</t>
  </si>
  <si>
    <t>לוי, קובי</t>
  </si>
  <si>
    <t>הסכמת בעלי הועד בענין ישוב הארץ</t>
  </si>
  <si>
    <t>הסכמה. ירושלים. תרמ"ג.</t>
  </si>
  <si>
    <t>תקמ"ג</t>
  </si>
  <si>
    <t>הספדו של חכם</t>
  </si>
  <si>
    <t>קובץ הספדים לזכרו של רבי יחזקאל ברטלר</t>
  </si>
  <si>
    <t>הספר הלבן</t>
  </si>
  <si>
    <t>העדה - הוספה לגליון ערב שבועות תשס"ד</t>
  </si>
  <si>
    <t>בטאון העדה החרדית</t>
  </si>
  <si>
    <t>העילוי דיום ז"ך</t>
  </si>
  <si>
    <t>העיר ממזרח - 5 כר'</t>
  </si>
  <si>
    <t>אברהם, דוד</t>
  </si>
  <si>
    <t>העם הנבחר</t>
  </si>
  <si>
    <t>לוי, אברהם אלחנן</t>
  </si>
  <si>
    <t>העמדת להררי עוז</t>
  </si>
  <si>
    <t>הררי, דורון</t>
  </si>
  <si>
    <t>העמק - 2 כר'</t>
  </si>
  <si>
    <t>תשד"ה</t>
  </si>
  <si>
    <t>הערות התמימים ואנ"ש - 5 כר'</t>
  </si>
  <si>
    <t>מאריסטאון</t>
  </si>
  <si>
    <t>הערות וביאורים בספר מוצל מאש</t>
  </si>
  <si>
    <t>הערות וביאורים - שבועות פרקים ה-ו</t>
  </si>
  <si>
    <t>חסידים, ברוך - מאור, אברהם נריה</t>
  </si>
  <si>
    <t>הערות והארות בעניני אפית מצות</t>
  </si>
  <si>
    <t>גרינהויז, בן ציון רפאל</t>
  </si>
  <si>
    <t>הערות והארות בפירוש הרמב"ן על התורה</t>
  </si>
  <si>
    <t>מאהרשען, יצחק</t>
  </si>
  <si>
    <t>תרפ"ג</t>
  </si>
  <si>
    <t>בודאפעסט</t>
  </si>
  <si>
    <t>הערות וחידושים במסכת ב"ק</t>
  </si>
  <si>
    <t>הערות וחידושים במסכת גיטין</t>
  </si>
  <si>
    <t>הערות וחידושים - 2 כר'</t>
  </si>
  <si>
    <t>טויב, ישראל בן יחזקאל צבי</t>
  </si>
  <si>
    <t>הערות לשו"ע חו"מ מאת מרן החיד"א</t>
  </si>
  <si>
    <t>הערות על הקהילות יעקב - ברכות</t>
  </si>
  <si>
    <t>ברטמן, אברהם שלום בן שמעון מנחם מנדל</t>
  </si>
  <si>
    <t>הערות על קונטרס אחרון של שו"ע הרב - הלכות תלמוד תורה</t>
  </si>
  <si>
    <t>חנסוב, דן בן ראובן</t>
  </si>
  <si>
    <t>הפיוט בר יוחאי</t>
  </si>
  <si>
    <t>חיימוביץ, טל אפרים בן משה דוד</t>
  </si>
  <si>
    <t>הפך בה דכולה בה - א</t>
  </si>
  <si>
    <t>ישיבת רבי חיים עוזר לונדון</t>
  </si>
  <si>
    <t>הפלאות נדרים &lt;מהדורה חדשה&gt;</t>
  </si>
  <si>
    <t>יוסף בן יעקב הלוי</t>
  </si>
  <si>
    <t>הפלחים</t>
  </si>
  <si>
    <t>מיוחס, יוסף בן רחמים נתן</t>
  </si>
  <si>
    <t>תרצ"ז</t>
  </si>
  <si>
    <t>הפצות וחיזוקים</t>
  </si>
  <si>
    <t>הפרדס - 33 כר'</t>
  </si>
  <si>
    <t>הפרדס</t>
  </si>
  <si>
    <t>הצדיקים חיים</t>
  </si>
  <si>
    <t>נושאים שונים, תפלות בקשות פיוטים ושירה</t>
  </si>
  <si>
    <t>הצופה לחכמת ישראל - מפתח</t>
  </si>
  <si>
    <t>הצלת בית החיים של רביז"ל</t>
  </si>
  <si>
    <t>הועד להצלת בית החיים של רביז"ל</t>
  </si>
  <si>
    <t>הצעות לקבלת מידע רפואי בשבת</t>
  </si>
  <si>
    <t>הקבצו - 5 כר'</t>
  </si>
  <si>
    <t>קובץ גליונות</t>
  </si>
  <si>
    <t>הקדמה לספר ויואל משה החדש</t>
  </si>
  <si>
    <t>הקדמת הזהר עם שינוי נוסחאות</t>
  </si>
  <si>
    <t>מכון מפיקים נגה</t>
  </si>
  <si>
    <t>הקדמת הרוקח</t>
  </si>
  <si>
    <t>אלעזר בן יהודה מגרמיזא</t>
  </si>
  <si>
    <t>הלכה ומנהג, חסידות, מחשבה ומוסר, נושאים שונים</t>
  </si>
  <si>
    <t>הקדמת ספר מסילת ישרים ע"פ סלו המסילה</t>
  </si>
  <si>
    <t>צברי, יוסף בן דוד</t>
  </si>
  <si>
    <t>מחשבה ומוסר, קבלה</t>
  </si>
  <si>
    <t>הקהל</t>
  </si>
  <si>
    <t>טייכטל, חיים מנחם</t>
  </si>
  <si>
    <t>הקול קול יעקב</t>
  </si>
  <si>
    <t>ליפשיץ, יעקב</t>
  </si>
  <si>
    <t>הקריאה והקדושה</t>
  </si>
  <si>
    <t>הקשורים ליעקב &lt;זכרון אהרן&gt;</t>
  </si>
  <si>
    <t>עמדין, יעקב ישראל בן צבי</t>
  </si>
  <si>
    <t>הקשר שבין עם ישראל למצרים</t>
  </si>
  <si>
    <t>הר יראה - אלול, ימים נוראים</t>
  </si>
  <si>
    <t>פינקל, אריה ליב בן חיים זאב</t>
  </si>
  <si>
    <t>הר עיבל הר השמחה</t>
  </si>
  <si>
    <t>פרלמן, נחמיה</t>
  </si>
  <si>
    <t>הר צבי</t>
  </si>
  <si>
    <t>רייכמאן, צבי בן אליהו</t>
  </si>
  <si>
    <t>הרב יהודה אבידע ז"ל</t>
  </si>
  <si>
    <t>קוסובר, מרדכי</t>
  </si>
  <si>
    <t>הרב יעקב מאיר הראשון לציון</t>
  </si>
  <si>
    <t>הרב על הקו</t>
  </si>
  <si>
    <t>בית ההוראה תל אביב</t>
  </si>
  <si>
    <t>חדש18</t>
  </si>
  <si>
    <t>הרב ר' משה סגל נאוועמעסטע המבורגר</t>
  </si>
  <si>
    <t>המבורגר, חיים - ריבלין, בנימין</t>
  </si>
  <si>
    <t>הרבי מליובאוויטש</t>
  </si>
  <si>
    <t>מערכת ופרצת</t>
  </si>
  <si>
    <t>הרבי ר' צבי אלימלך מדינוב - 3 כר'</t>
  </si>
  <si>
    <t>הרהורי תורה</t>
  </si>
  <si>
    <t>רובין, ישראל אליעזר</t>
  </si>
  <si>
    <t>הלכה ומנהג, מועדי ישראל, נושאים שונים</t>
  </si>
  <si>
    <t>הרובע היהודי בירושלים העתיקה</t>
  </si>
  <si>
    <t>הרופא והשד -מהדורה מדעית של ספר שעשועים</t>
  </si>
  <si>
    <t>אבן-זבארה, יוסף בן מאיר - דישון, יהודית</t>
  </si>
  <si>
    <t>הרמב"ם והגאונים</t>
  </si>
  <si>
    <t>חבצלת, מאיר</t>
  </si>
  <si>
    <t>הרעה בשושנים - עיונים במגילת שיר השירים</t>
  </si>
  <si>
    <t>לזכר יהודה בן יוסף</t>
  </si>
  <si>
    <t>מעלה אדומים</t>
  </si>
  <si>
    <t>השולח סבלונות</t>
  </si>
  <si>
    <t>פרקש,יצחק שלמה - רוזנברג, ברוך</t>
  </si>
  <si>
    <t>השיבה שופטינו כבראשונה</t>
  </si>
  <si>
    <t>השיר והפיוט</t>
  </si>
  <si>
    <t>משפחת טויטו (עורכים)</t>
  </si>
  <si>
    <t>גבעת שמואל</t>
  </si>
  <si>
    <t>השכל - 2 כר'</t>
  </si>
  <si>
    <t>ירחון לדברי תורה ומוסר</t>
  </si>
  <si>
    <t>השלחן הבהיר</t>
  </si>
  <si>
    <t>השמחה בתפארתה</t>
  </si>
  <si>
    <t>קרישבסקי, שלמה</t>
  </si>
  <si>
    <t>השמעת כלאים - 2 כר'</t>
  </si>
  <si>
    <t>השפה האלוקית</t>
  </si>
  <si>
    <t>זילברברג, יעקב יהודה</t>
  </si>
  <si>
    <t>השקפת המקרא</t>
  </si>
  <si>
    <t>פולצ'ק, שלמה</t>
  </si>
  <si>
    <t>השתפכות הנפש</t>
  </si>
  <si>
    <t>[תרס"ז,</t>
  </si>
  <si>
    <t>התאחדות התימנים בארץ ישראל</t>
  </si>
  <si>
    <t>דורי, זכריה</t>
  </si>
  <si>
    <t>קרית נטפים</t>
  </si>
  <si>
    <t>התהום</t>
  </si>
  <si>
    <t>התודה</t>
  </si>
  <si>
    <t>שולביץ, חיים</t>
  </si>
  <si>
    <t>התוועדות יב-יג תמוז תשע"ט</t>
  </si>
  <si>
    <t>התורה והמצוה לריצב"א</t>
  </si>
  <si>
    <t>כהנא-שפירא, צבי הירש אשר בן שמואל יהודה הכהן</t>
  </si>
  <si>
    <t>תרע"ג</t>
  </si>
  <si>
    <t>התורה והעם</t>
  </si>
  <si>
    <t>וולף, יוסף אברהם בן פינחס</t>
  </si>
  <si>
    <t>התלמוד הירושלמי</t>
  </si>
  <si>
    <t>התמים מוסף בית משיח - 47 כר'</t>
  </si>
  <si>
    <t>התמים</t>
  </si>
  <si>
    <t>כפר חבד</t>
  </si>
  <si>
    <t>התנאים ומשנתם - תקופת הבית (תוספת למהדורה הראשונה)</t>
  </si>
  <si>
    <t>רוזנשטיין, אברהם משה</t>
  </si>
  <si>
    <t>התפילה ומשמעות הזמן ביהדות</t>
  </si>
  <si>
    <t>התפתחות האנושות לפי מושגי התנ"ך</t>
  </si>
  <si>
    <t>ברקוביץ, חיים בן יצחק גרשון</t>
  </si>
  <si>
    <t>תל אביב-יפו,</t>
  </si>
  <si>
    <t>התקנות והסכמות ומנהגים</t>
  </si>
  <si>
    <t>כהן, איתי</t>
  </si>
  <si>
    <t>ואחד תרגום</t>
  </si>
  <si>
    <t>דינר, מיכאל שלום בן יהודה אריה הלוי</t>
  </si>
  <si>
    <t>ואין למו מכשול - 4 כר'</t>
  </si>
  <si>
    <t>ישראל, אברהם</t>
  </si>
  <si>
    <t>ואם תאמר - 4 כר'</t>
  </si>
  <si>
    <t>ואני תפילה</t>
  </si>
  <si>
    <t>תיקונים. שובבי"ם</t>
  </si>
  <si>
    <t>ואת צנועים חכמה</t>
  </si>
  <si>
    <t>ובחקתיהם לא תלכו</t>
  </si>
  <si>
    <t>רוזמן, יונתן הלוי</t>
  </si>
  <si>
    <t>ובחרת בחיים</t>
  </si>
  <si>
    <t>סיטיון, אליהו</t>
  </si>
  <si>
    <t>ובראשי חדשיכם</t>
  </si>
  <si>
    <t>ובשנה השביעית</t>
  </si>
  <si>
    <t>הוטרר, בועז</t>
  </si>
  <si>
    <t>הלכה ומנהג, תולדות עם ישראל</t>
  </si>
  <si>
    <t>ודברת בם</t>
  </si>
  <si>
    <t>דניאלי, בועז מרדכי</t>
  </si>
  <si>
    <t>ודברת בם - 2 כר'</t>
  </si>
  <si>
    <t>טרופ, אביעד - טוקר, אליעזר חיים</t>
  </si>
  <si>
    <t>ודברת בם - ב</t>
  </si>
  <si>
    <t>מוסקוביץ, ברוך</t>
  </si>
  <si>
    <t>מרזל, ברוך</t>
  </si>
  <si>
    <t>חברון</t>
  </si>
  <si>
    <t>ודרשת וחקרת - 2 כר'</t>
  </si>
  <si>
    <t>גרוסמן, אהרן יהודה בן אברהם משה הלוי</t>
  </si>
  <si>
    <t>והאר עינינו</t>
  </si>
  <si>
    <t>גולדשמיט, יוסף שלמה בן פסח מאיר</t>
  </si>
  <si>
    <t>והב בסופה</t>
  </si>
  <si>
    <t>הרשקוביץ, משה  בן יונה זאב</t>
  </si>
  <si>
    <t>והזהיר - 2 כר'</t>
  </si>
  <si>
    <t>והיה העקב למישור</t>
  </si>
  <si>
    <t>פרנק, עקיבא בן יעקב הלוי</t>
  </si>
  <si>
    <t>והיה עקב תשמעון</t>
  </si>
  <si>
    <t>אבידן, משה בן ציון</t>
  </si>
  <si>
    <t>והיו הדברים האלה</t>
  </si>
  <si>
    <t>לזכר מרת לאה צ'ולק</t>
  </si>
  <si>
    <t>והיו לאחדים - א</t>
  </si>
  <si>
    <t>ישיבת נזר התורה</t>
  </si>
  <si>
    <t>והייתם קדושים (הלכות תולעים)</t>
  </si>
  <si>
    <t>גרינבוים, נתן</t>
  </si>
  <si>
    <t>והלא קצץ</t>
  </si>
  <si>
    <t>בטיסט שמואל</t>
  </si>
  <si>
    <t>והנה רבקה יוצאת</t>
  </si>
  <si>
    <t>דגן, איתמר (עורך)</t>
  </si>
  <si>
    <t>והניף הכהן</t>
  </si>
  <si>
    <t>כהן, יואל בן חיים צבי</t>
  </si>
  <si>
    <t>מונסי</t>
  </si>
  <si>
    <t>והשיב הכהן</t>
  </si>
  <si>
    <t>חמצי, חיים יהושע אלעזר בן יוסף הכהן</t>
  </si>
  <si>
    <t>ווי העמודים</t>
  </si>
  <si>
    <t>אוריאל בן עקיבא</t>
  </si>
  <si>
    <t>וזאת התורה</t>
  </si>
  <si>
    <t>טלבי, חיים</t>
  </si>
  <si>
    <t>וזאת התורה - 2 כר'</t>
  </si>
  <si>
    <t>וזאת ליהודה</t>
  </si>
  <si>
    <t>בלוי, יהודה אריה בן משה</t>
  </si>
  <si>
    <t>וינה,</t>
  </si>
  <si>
    <t>ויסנשטרן, יהודה אריה</t>
  </si>
  <si>
    <t>לאנדא, יהודה ליב בן משה יששכר</t>
  </si>
  <si>
    <t>תל-אביב,</t>
  </si>
  <si>
    <t>וזבחת כאשר ציויתך</t>
  </si>
  <si>
    <t>רושגולד, ברוך בנימין בן משה יצחק</t>
  </si>
  <si>
    <t>וחי אחיך</t>
  </si>
  <si>
    <t>ברוק, דב בן דוד</t>
  </si>
  <si>
    <t>וחי בהם</t>
  </si>
  <si>
    <t>ויאמר אליהו</t>
  </si>
  <si>
    <t>קבלן, אליהו בן רחמים</t>
  </si>
  <si>
    <t>ויברך דוד - עירובין, ברכות, אהלות</t>
  </si>
  <si>
    <t>מוסקוב, דוד משה בן אפרים</t>
  </si>
  <si>
    <t>ויברך יהודה - ז</t>
  </si>
  <si>
    <t>ויברך עזרא</t>
  </si>
  <si>
    <t>שתיאת, עזרא</t>
  </si>
  <si>
    <t>ויגד משה - אבות</t>
  </si>
  <si>
    <t>כ"ץ, משה יהודה</t>
  </si>
  <si>
    <t>ויגש אליהו</t>
  </si>
  <si>
    <t>וידבר יוסף</t>
  </si>
  <si>
    <t>אפלבוים, יוסף בן צבי יהודה הלוי</t>
  </si>
  <si>
    <t>תרפ"ז,</t>
  </si>
  <si>
    <t>שעדלעץ,</t>
  </si>
  <si>
    <t>וידבר משה - אלול תשרי</t>
  </si>
  <si>
    <t>וידבר משה</t>
  </si>
  <si>
    <t>וידבר משה - מועדים א</t>
  </si>
  <si>
    <t>רבינוביץ, משה יחיאל אלימלך בן נתן דוד</t>
  </si>
  <si>
    <t>תרפ"ז-תרפ"ח</t>
  </si>
  <si>
    <t>ורשה Warsaw</t>
  </si>
  <si>
    <t>ויהי בנסוע</t>
  </si>
  <si>
    <t>גרינפלד, משה חנוך</t>
  </si>
  <si>
    <t>ויהי בשבעים שנה</t>
  </si>
  <si>
    <t>ועד שבעים שנה</t>
  </si>
  <si>
    <t>ויהי ידיו אמונה</t>
  </si>
  <si>
    <t>מכון מאד נעלה</t>
  </si>
  <si>
    <t>סדן, אלי</t>
  </si>
  <si>
    <t>ויואל יצחק - במדבר</t>
  </si>
  <si>
    <t>קופרמן, יצחק יואל בן אברהם שמחה</t>
  </si>
  <si>
    <t>ויואל משה עם ביאור כי טוב</t>
  </si>
  <si>
    <t>טייטלבוים, יואל בן חנניה יום טוב ליפא - וויינבערגער, מאיר</t>
  </si>
  <si>
    <t>ויוסף אברהם &lt;מהדורה חדשה&gt;</t>
  </si>
  <si>
    <t>דיין, אברהם בן ישעיה</t>
  </si>
  <si>
    <t>ויזבח אלקנה - 5 כר'</t>
  </si>
  <si>
    <t>לוטינגר, גיא אלקנה</t>
  </si>
  <si>
    <t>ויחד לבבנו באמונתך - רבי משה לוי</t>
  </si>
  <si>
    <t>חן, עובדיה (כתיבה)</t>
  </si>
  <si>
    <t>וילנה הציונית ועסקניה</t>
  </si>
  <si>
    <t>ברוידס, יצחק בן מנחם מאיר</t>
  </si>
  <si>
    <t>ת"ש,</t>
  </si>
  <si>
    <t>וימצא כתוב</t>
  </si>
  <si>
    <t>פוזן, רפאל בנימין</t>
  </si>
  <si>
    <t>ויעודם - 18 כר'</t>
  </si>
  <si>
    <t>ויען הכהן - 2 כר'</t>
  </si>
  <si>
    <t>הכהן, אדיר</t>
  </si>
  <si>
    <t>ויען יוסף - יורה דעה ג</t>
  </si>
  <si>
    <t>גרינוואלד, יוסף בן יעקב יחזקיהו</t>
  </si>
  <si>
    <t>ויקבוץ יוסף</t>
  </si>
  <si>
    <t>אלנתנוב, יוסף בן אליהו</t>
  </si>
  <si>
    <t>ויקהל משה</t>
  </si>
  <si>
    <t>ווייס, משה</t>
  </si>
  <si>
    <t>ויקהל משה - ה</t>
  </si>
  <si>
    <t>קליין, משה שאול</t>
  </si>
  <si>
    <t>תשע"זט</t>
  </si>
  <si>
    <t>ויקם עזרא - יחוד</t>
  </si>
  <si>
    <t>עטיה, עזרא בן פנחס</t>
  </si>
  <si>
    <t>ויקרא בהם שמי - יבמות, חנוכה</t>
  </si>
  <si>
    <t>מועדי ישראל, תלמוד בבלי</t>
  </si>
  <si>
    <t>וירא יעקב - שמיני, תזריע, מצורע</t>
  </si>
  <si>
    <t>פלק, יעקב יהודה בן מאיר</t>
  </si>
  <si>
    <t>וישמע משה - 2 כר'</t>
  </si>
  <si>
    <t>פריד, משה בן עמרם</t>
  </si>
  <si>
    <t>וישמע קולי</t>
  </si>
  <si>
    <t>שפיגל, יעקב שמואל (עורך)</t>
  </si>
  <si>
    <t>וכמטמונים תחפשנה - 2 כר'</t>
  </si>
  <si>
    <t>חסידות, מועדי ישראל, ספריית חב"ד</t>
  </si>
  <si>
    <t>וכתב משה</t>
  </si>
  <si>
    <t>לוצקי, משה</t>
  </si>
  <si>
    <t>ולא בעל שבט הלוי בלבד</t>
  </si>
  <si>
    <t>ואזנר, שמואל בן יוסף צבי הלוי (עליו) - גרוסברד, בנימין</t>
  </si>
  <si>
    <t>ולאשר אמר, ויגד משה - 3 כר'</t>
  </si>
  <si>
    <t>כץ, אשר אנשיל - כץ, משה יהודה</t>
  </si>
  <si>
    <t>ומדותי פעולתם</t>
  </si>
  <si>
    <t>בן ארויה, רפאל בן יעקב</t>
  </si>
  <si>
    <t>וממנה יוושע</t>
  </si>
  <si>
    <t>ומקדשי תיראו - 5 כר'</t>
  </si>
  <si>
    <t>מכון מורא מקדש</t>
  </si>
  <si>
    <t>ומתוקים מדבש</t>
  </si>
  <si>
    <t>דויטש, אברהם ישעיהו בן יעקב פרץ</t>
  </si>
  <si>
    <t>ונבנתה עיר</t>
  </si>
  <si>
    <t>ונשמע פתגם - פורים</t>
  </si>
  <si>
    <t>ונשמרתם</t>
  </si>
  <si>
    <t>ועבדי דוד -תדפיס</t>
  </si>
  <si>
    <t>פירסאן, חיים בן ציון</t>
  </si>
  <si>
    <t>מועדי ישראל, ספריית חב"ד, תנ"ך</t>
  </si>
  <si>
    <t>ועלה האיש</t>
  </si>
  <si>
    <t>ספר זכרון לרבי אברהם ישעיהו ברמן</t>
  </si>
  <si>
    <t>ראשון לציון</t>
  </si>
  <si>
    <t>וערך הכהן</t>
  </si>
  <si>
    <t>ועתה כתבו לכם - הלכות שבת ויום טוב</t>
  </si>
  <si>
    <t>ופרוס עליה סוכת שלומך</t>
  </si>
  <si>
    <t>דוד, שמואל</t>
  </si>
  <si>
    <t>עפולה</t>
  </si>
  <si>
    <t>וקראת לשבת עונג - מי שלא קידש בלילה</t>
  </si>
  <si>
    <t>רוזנברג, שריאל בן יצחק יעקב</t>
  </si>
  <si>
    <t>ורפא ירפא</t>
  </si>
  <si>
    <t>ושכנתי בתוכם</t>
  </si>
  <si>
    <t>קדוש, ציון בן דוד</t>
  </si>
  <si>
    <t>ושמואל בקראי שמו</t>
  </si>
  <si>
    <t>ארלנגר, ש</t>
  </si>
  <si>
    <t>ושמחת בחגך - חג הסוכות ה</t>
  </si>
  <si>
    <t>ושמחת בחייך</t>
  </si>
  <si>
    <t>ראובן, יהושע שי</t>
  </si>
  <si>
    <t>ושמרו - ג</t>
  </si>
  <si>
    <t>סלושץ, מרדכי אליהו בן חיים משה אהרן</t>
  </si>
  <si>
    <t>ושננתם לבניך</t>
  </si>
  <si>
    <t>גולדשטיין, חיים בן פנחס</t>
  </si>
  <si>
    <t>ליקוט</t>
  </si>
  <si>
    <t>ושננתם לבניך - 3 כר'</t>
  </si>
  <si>
    <t>קדרי, יהודה</t>
  </si>
  <si>
    <t>מועדי ישראל, נושאים שונים, תנ"ך, תנ"ך</t>
  </si>
  <si>
    <t>ותחי רוח יעקב</t>
  </si>
  <si>
    <t>רענן, יעקב בן יואל הלוי</t>
  </si>
  <si>
    <t>מועדי ישראל, משנה, תנ"ך</t>
  </si>
  <si>
    <t>ותלמודו בידו - 8 כר'</t>
  </si>
  <si>
    <t>קראם, ירחמיאל</t>
  </si>
  <si>
    <t>זאת התרומה</t>
  </si>
  <si>
    <t>גולדשמיט, פינחס בן פסח מאיר</t>
  </si>
  <si>
    <t>זאת עשו וחיו</t>
  </si>
  <si>
    <t>גינסברג, גרשון בן חיים יונה</t>
  </si>
  <si>
    <t>[תשי"א,</t>
  </si>
  <si>
    <t>זבח תודה</t>
  </si>
  <si>
    <t>אויערבאך, יעקב בן אהרן יהודה ליב</t>
  </si>
  <si>
    <t>משנה, נושאים שונים, תלמוד בבלי, תנ"ך</t>
  </si>
  <si>
    <t>זבחי איש</t>
  </si>
  <si>
    <t>שפירא, אליהו ירוחם</t>
  </si>
  <si>
    <t>זה דודי</t>
  </si>
  <si>
    <t>ווייספעלד, יששכר זאב</t>
  </si>
  <si>
    <t>זה השער לה' - הלכות מזוזה</t>
  </si>
  <si>
    <t>לוי, אברהם</t>
  </si>
  <si>
    <t>זהב הארץ</t>
  </si>
  <si>
    <t>ויצמן, יהושע טוביה בן אברהם יעקב</t>
  </si>
  <si>
    <t>זהב ולבונה - ה (קשירה בשבת)</t>
  </si>
  <si>
    <t>ענבל, יעקב בן צבי</t>
  </si>
  <si>
    <t>זהר &lt;פירוש זהר בהיר&gt; - 2 כר'</t>
  </si>
  <si>
    <t>אייכנשטיין, יצחק אייזיק מנחם בן שלמה יעקב</t>
  </si>
  <si>
    <t>זובח תודה</t>
  </si>
  <si>
    <t>מולכו, יוסף בן אברהם</t>
  </si>
  <si>
    <t>שלוניקי</t>
  </si>
  <si>
    <t>זוהר הרקיע</t>
  </si>
  <si>
    <t>זיו אבות - אבות פרק ב</t>
  </si>
  <si>
    <t>וויס, פנחס זליג בן זאב יהודה</t>
  </si>
  <si>
    <t>זיו החכמה</t>
  </si>
  <si>
    <t>זיו קידושין</t>
  </si>
  <si>
    <t>הגר, זאב וולף</t>
  </si>
  <si>
    <t>זיווג משמים</t>
  </si>
  <si>
    <t>חלמיש, יצחק בן ישעיהו</t>
  </si>
  <si>
    <t>זכור ברית</t>
  </si>
  <si>
    <t>רוזנווסר, משה יהודה בן צבי דב</t>
  </si>
  <si>
    <t>זכור זאת ליעקב</t>
  </si>
  <si>
    <t>לזכר יעקב יובל</t>
  </si>
  <si>
    <t>זכור לאברהם - 2 כר'</t>
  </si>
  <si>
    <t>שניאור, יעקב בן אברהם</t>
  </si>
  <si>
    <t>זכור לדוד - תורה ומועדים</t>
  </si>
  <si>
    <t>בצלאל, משה אריאל</t>
  </si>
  <si>
    <t>דרושים, מועדי ישראל, תנ"ך</t>
  </si>
  <si>
    <t>זכור למרים</t>
  </si>
  <si>
    <t>אייזנבך, חנניה יוסף</t>
  </si>
  <si>
    <t>זכות לאהרן</t>
  </si>
  <si>
    <t>לזכר רבי אהרן ועקנין</t>
  </si>
  <si>
    <t>דרושים, קבצים וכתבי עת, ספרי זכרון ויובל</t>
  </si>
  <si>
    <t>זכותא דיעקב</t>
  </si>
  <si>
    <t>זכר לחיים</t>
  </si>
  <si>
    <t>כהנא, יצחק מרדכי בן ברוך ישעיה</t>
  </si>
  <si>
    <t>תש"ב-תש"ך</t>
  </si>
  <si>
    <t>זכר צדיק לברכה</t>
  </si>
  <si>
    <t>שטמר, שלום</t>
  </si>
  <si>
    <t>זכרו לעולם בריתו</t>
  </si>
  <si>
    <t>זכרו תורת משה &lt;מהדורה חדשה&gt;</t>
  </si>
  <si>
    <t>דאנציג, אברהם בן יחיאל מיכל</t>
  </si>
  <si>
    <t>שנ"ג</t>
  </si>
  <si>
    <t>זכרו תורת משה - 2 כר'</t>
  </si>
  <si>
    <t>[תר"ד],</t>
  </si>
  <si>
    <t>זכרון אליהו משה</t>
  </si>
  <si>
    <t>קובץ זכרון ע"ש ר' אליהו משה גראס</t>
  </si>
  <si>
    <t>טורנטו</t>
  </si>
  <si>
    <t>זכרון אלעזר</t>
  </si>
  <si>
    <t>ישיבת בין הזמנים פקודת אלעזר</t>
  </si>
  <si>
    <t>זכרון ברוך</t>
  </si>
  <si>
    <t>קובץ חידושי תורה לזכר הרב ברוך נוסבוים</t>
  </si>
  <si>
    <t>זכרון ברוריה</t>
  </si>
  <si>
    <t>זכרון זאת - &lt;מהדו"ר&gt;</t>
  </si>
  <si>
    <t>הורוויץ, יעקב יצחק בן אברהם אליעזר הלוי</t>
  </si>
  <si>
    <t>[תרכ"ט],</t>
  </si>
  <si>
    <t>וויילר, יעקב בן יוסף</t>
  </si>
  <si>
    <t>כולל אברכים זכרון יעקב</t>
  </si>
  <si>
    <t>זכרון יצחק - ד</t>
  </si>
  <si>
    <t>דרחי, זכריה דוד בן יעקב</t>
  </si>
  <si>
    <t>זכרון לידיה</t>
  </si>
  <si>
    <t>זכרון מאיר - ב</t>
  </si>
  <si>
    <t>זכרון מנחם מאיר (ב)</t>
  </si>
  <si>
    <t>כהן, מ.</t>
  </si>
  <si>
    <t>ח</t>
  </si>
  <si>
    <t>זכרון נתנאל</t>
  </si>
  <si>
    <t>קובץ זכרון ע"ש הבח' נתנאל לוין</t>
  </si>
  <si>
    <t>זכרון צבי - 6 כר'</t>
  </si>
  <si>
    <t>כולל זכרון צבי שע"י ישיבת שערי תורה</t>
  </si>
  <si>
    <t>זכרון שאול - 2 כר'</t>
  </si>
  <si>
    <t>ברזם, שאול</t>
  </si>
  <si>
    <t>זכרון שלמה - כיבוד אב</t>
  </si>
  <si>
    <t>קליין, שלמה זלמן בן אלעזר - קליין, אלעזר בן שלמה זלמן</t>
  </si>
  <si>
    <t>זכרון שלמה, אבני זכרון</t>
  </si>
  <si>
    <t>קליין, שלמה זלמן בן אלעזר - לנדאו, יעקב ישראל</t>
  </si>
  <si>
    <t>זכרון שמואל</t>
  </si>
  <si>
    <t>לזכר הבחור שמואל מאיר הלוי זיסקינד</t>
  </si>
  <si>
    <t>זכרונות רבי יצחק מנחם מנדל ליס</t>
  </si>
  <si>
    <t>פרידמן, שבתי יונה</t>
  </si>
  <si>
    <t>זמירות המבוארות לשבת</t>
  </si>
  <si>
    <t>זמירות ישראל</t>
  </si>
  <si>
    <t>זמירות לשבת ויום טוב &lt;אמרי משה&gt;</t>
  </si>
  <si>
    <t>דויטש, משה בן מאיר</t>
  </si>
  <si>
    <t>זמירות לשבת קודש - קאברין</t>
  </si>
  <si>
    <t>זלצמן, שלמה</t>
  </si>
  <si>
    <t>חסידות, מועדי ישראל, תפלות בקשות פיוטים ושירה</t>
  </si>
  <si>
    <t>זמירות לשבת - קונטרס שלחן גבוה</t>
  </si>
  <si>
    <t>קולדצקי, יצחק בן שכנא</t>
  </si>
  <si>
    <t>זמירות שבת &lt;פניני מהרא"ל&gt;</t>
  </si>
  <si>
    <t>צינץ, אריה ליב בן משה</t>
  </si>
  <si>
    <t>זמירות שבת - משנה שכיר</t>
  </si>
  <si>
    <t>טייכטהאל, ישכר שלמה</t>
  </si>
  <si>
    <t>זמנים כהלכתם - 2 כר'</t>
  </si>
  <si>
    <t>בורשטיין, דוד יהודה בן שלמה</t>
  </si>
  <si>
    <t>זקן גרשון</t>
  </si>
  <si>
    <t>רוזנברג, חיים</t>
  </si>
  <si>
    <t>זר זהב &lt;מהדורת זכרון אהרן&gt;</t>
  </si>
  <si>
    <t>צמח, יעקב בן חיים</t>
  </si>
  <si>
    <t>קבלה, שלחן ערוך ומפרשיו</t>
  </si>
  <si>
    <t>זריזותא דאברהם &lt;מהדורה חדשה&gt;</t>
  </si>
  <si>
    <t>הלר, אברהם נוח בן משה אהרן הלוי</t>
  </si>
  <si>
    <t>משנה, תנ"ך</t>
  </si>
  <si>
    <t>זרע יעקב - 2 כר'</t>
  </si>
  <si>
    <t>מרכז הכוללים דשיכון סקווירא</t>
  </si>
  <si>
    <t>זרע שמשון - מאמרים עם פירוש פרי שמשון</t>
  </si>
  <si>
    <t>נחמני, שמשון חיים בן נחמן מיכאל</t>
  </si>
  <si>
    <t>זרעא חייא וקיימא</t>
  </si>
  <si>
    <t>חבורות במסכת ברכות</t>
  </si>
  <si>
    <t>כולל בוני ירושלים</t>
  </si>
  <si>
    <t>חביבות הצניעות</t>
  </si>
  <si>
    <t>חבל נחלתו - כב</t>
  </si>
  <si>
    <t>אפשטיין, יעקב בן חיים</t>
  </si>
  <si>
    <t>שומריה</t>
  </si>
  <si>
    <t>חבצלת השרון - 2 כר'</t>
  </si>
  <si>
    <t>קרליבך, מרדכי בן משה</t>
  </si>
  <si>
    <t>חג האסיף</t>
  </si>
  <si>
    <t>חג הפסח</t>
  </si>
  <si>
    <t>שפטמן, יהושע</t>
  </si>
  <si>
    <t>חגוי הסלע - חמשה חומשי תורה</t>
  </si>
  <si>
    <t>טאובה, יונה בן שמואל ברוך בענדיט</t>
  </si>
  <si>
    <t>חד וחלק - 4 כר'</t>
  </si>
  <si>
    <t>פרוש, משה צבי</t>
  </si>
  <si>
    <t>חדוותא דשמעתתא זכרון שמואל - עירובין</t>
  </si>
  <si>
    <t>כולל חמדת ישראל</t>
  </si>
  <si>
    <t>חדושי הרב רבנו נסים (חידושי הר"ן לגיטין)</t>
  </si>
  <si>
    <t>ניסים בן ראובן גירונדי (ר"ן)</t>
  </si>
  <si>
    <t>[תע"א,</t>
  </si>
  <si>
    <t>קושטאנדינה,</t>
  </si>
  <si>
    <t>חדושי מהרא"י</t>
  </si>
  <si>
    <t>חדושים על התורה מתלמידי מרן החזו"א</t>
  </si>
  <si>
    <t>חדות המועדים - 2 כר'</t>
  </si>
  <si>
    <t>הררי רפול, יוסף בן שלמה</t>
  </si>
  <si>
    <t>חדות השם - שלוש רגלים</t>
  </si>
  <si>
    <t>גרינברגר, שמואל בן יצחק אייזיק</t>
  </si>
  <si>
    <t>חדרי דעת - 4 כר'</t>
  </si>
  <si>
    <t>חדש בקרבי - ד</t>
  </si>
  <si>
    <t>חדשים גם ישנים - 2 כר'</t>
  </si>
  <si>
    <t>שטייף, יונתן בן צבי</t>
  </si>
  <si>
    <t>חובות הלבבות - 2 כר'</t>
  </si>
  <si>
    <t>אבן-בקודה, בחיי בן יוסף</t>
  </si>
  <si>
    <t>תרי"א,</t>
  </si>
  <si>
    <t>חוברת מבוא להלכות תחום שבת</t>
  </si>
  <si>
    <t>ערבתם</t>
  </si>
  <si>
    <t>חוג הראי"ה - 2 כר'</t>
  </si>
  <si>
    <t>קוק, אברהם יצחק הכהן - כהן דוד</t>
  </si>
  <si>
    <t>חוויות בעבודת ה' בספר התניא</t>
  </si>
  <si>
    <t>עמית, שגיב</t>
  </si>
  <si>
    <t>חסידות, ספריית חב"ד</t>
  </si>
  <si>
    <t>חוזה לך ברח - עמוס</t>
  </si>
  <si>
    <t>חוכי ישועות</t>
  </si>
  <si>
    <t>הורביץ, יוסף</t>
  </si>
  <si>
    <t>מצפה רמון</t>
  </si>
  <si>
    <t>חומת אש לציון</t>
  </si>
  <si>
    <t>שמלצשטיין, אברהם בן ישראל יצחק הלוי</t>
  </si>
  <si>
    <t>תרפ"ד</t>
  </si>
  <si>
    <t>ווארשה,</t>
  </si>
  <si>
    <t>חופה וקידושין כהלכתה, שמעתתא כהלכה, לקראת שבת</t>
  </si>
  <si>
    <t>רבינוביץ, רפאל אלחנן</t>
  </si>
  <si>
    <t>חופה וקידושין למעשה</t>
  </si>
  <si>
    <t>דודיאן, דניאל</t>
  </si>
  <si>
    <t>חופת שלמה - בית שלמה</t>
  </si>
  <si>
    <t>שוב, שלמה בן נסים</t>
  </si>
  <si>
    <t>חוקי ישראל - 2 כר'</t>
  </si>
  <si>
    <t>המכון לחקיקה הלכתית</t>
  </si>
  <si>
    <t>חוקת ישראל - ב א</t>
  </si>
  <si>
    <t>בריזל, אלעזר בן דוד אריה</t>
  </si>
  <si>
    <t>תשי"ג-תשי"ט</t>
  </si>
  <si>
    <t>חותם האבות - 3 כר'</t>
  </si>
  <si>
    <t>חזון נחום</t>
  </si>
  <si>
    <t>ראגוזניצקי, נחום בן יצחק שמעון</t>
  </si>
  <si>
    <t>(תרצ"ה</t>
  </si>
  <si>
    <t>חזקת אהרן</t>
  </si>
  <si>
    <t>חשין, אהרן זאב</t>
  </si>
  <si>
    <t>חיבור יפה מהישועה</t>
  </si>
  <si>
    <t>ניסים בן יעקב מקירואן</t>
  </si>
  <si>
    <t>תקס"ט</t>
  </si>
  <si>
    <t>חידודי דוד</t>
  </si>
  <si>
    <t>קולדצקי, דוד</t>
  </si>
  <si>
    <t>חידושי אגדות מהר"ם שיק עמ"ס אבות</t>
  </si>
  <si>
    <t>חידושי אגדות מהרש"א השלם &lt;לב אגדות&gt; - ד</t>
  </si>
  <si>
    <t>שמואל אליעזר בן יהודה הלוי (מהרש"א)</t>
  </si>
  <si>
    <t>חידושי אמרי משה</t>
  </si>
  <si>
    <t>קב, משה זעליג בן שלום גרשון דב</t>
  </si>
  <si>
    <t>חידושי הגרנ"ט - נזיקין</t>
  </si>
  <si>
    <t>טרופ, נפתלי</t>
  </si>
  <si>
    <t>חידושי הלכות מבעל הבני יששכר</t>
  </si>
  <si>
    <t>חידושי המהריל"ד - מכות</t>
  </si>
  <si>
    <t>דיסקין, משה יהושע יהודה ליב בן בנימין</t>
  </si>
  <si>
    <t>חידושי הר"ן &lt;הוצאת פרדס&gt; - 15 כר'</t>
  </si>
  <si>
    <t>נסים בן ראובן גירונדי (ר"ן)</t>
  </si>
  <si>
    <t>חידושי הרז"ה &lt;זכרון אהרן&gt; - 2 כר'</t>
  </si>
  <si>
    <t>זאב וולף בן שמואל הלוי</t>
  </si>
  <si>
    <t>חידושי הרי"מ &lt;מהדורה חדשה&gt; - אה"ע</t>
  </si>
  <si>
    <t>אלטר, יצחק מאיר בן ישראל</t>
  </si>
  <si>
    <t>חידושי וכתבי הר"י הורביץ</t>
  </si>
  <si>
    <t>הורביץ, יעקב יוסף בן שמואל אריה</t>
  </si>
  <si>
    <t>הלכה ומנהג, משנה, נושאים שונים, שאר ספרי חז"ל, שלחן ערוך ומפרשיו, תלמוד בבלי</t>
  </si>
  <si>
    <t>חידושי חתם סופר - יורה דעה</t>
  </si>
  <si>
    <t>סופר, משה בן שמואל</t>
  </si>
  <si>
    <t>חידושי כריתות</t>
  </si>
  <si>
    <t>י. א.</t>
  </si>
  <si>
    <t>חידושי מהר"ם צבי</t>
  </si>
  <si>
    <t>וויינגארטן, משה צבי בן יעקב</t>
  </si>
  <si>
    <t>חידושי מהרא"ש אסאד - כתובות</t>
  </si>
  <si>
    <t>אסאד, אהרן שמואל בן יהודה</t>
  </si>
  <si>
    <t>חידושי מרן הגר"ח קניבסקי - 5 כר'</t>
  </si>
  <si>
    <t>קנייבסקי, שמריהו יוסף חיים בן יעקב ישראל - אוהב ציון, יצחק בן מרדכי</t>
  </si>
  <si>
    <t>חידושי רבי אפרים מרדכי - עם הוספות ומכתבים</t>
  </si>
  <si>
    <t>גינזבורג, אפרים מרדכי בן אליעזר</t>
  </si>
  <si>
    <t>חידושי רבינו אברהם שאג - 3 כר'</t>
  </si>
  <si>
    <t>צוובנר, אברהם בן יהודה ליב שאג</t>
  </si>
  <si>
    <t>חידושי רבינו אפרים - נדה</t>
  </si>
  <si>
    <t>רבינו אפרים מרגנשבורג</t>
  </si>
  <si>
    <t>חידושי רבינו משה מאימראן - סוטה, הוריות</t>
  </si>
  <si>
    <t>מאימראן, משה בן אברהם</t>
  </si>
  <si>
    <t>חידושי תורה על מסכת בבא בתרא</t>
  </si>
  <si>
    <t>ישיבת אבי עזרי</t>
  </si>
  <si>
    <t>פאריז</t>
  </si>
  <si>
    <t>חידושי תורה שנשמעו מכ"ק מרן אדמו"ר שליט"א מסאטמאר</t>
  </si>
  <si>
    <t>תשי"ח</t>
  </si>
  <si>
    <t>חידושים וביאורים במסכת כתובות</t>
  </si>
  <si>
    <t>טרוביץ, מרדכי דוד</t>
  </si>
  <si>
    <t>חידושים על התורה לרבינו תם ובית מדרשו</t>
  </si>
  <si>
    <t>יעקב בן מאיר (רבינו תם)</t>
  </si>
  <si>
    <t>חיי אדם - ג</t>
  </si>
  <si>
    <t>[תרכ"ד,</t>
  </si>
  <si>
    <t>טשערנאוויץ,</t>
  </si>
  <si>
    <t>חיי המוסר - ג</t>
  </si>
  <si>
    <t>חיי המוסר</t>
  </si>
  <si>
    <t>חיי הקיבוץ</t>
  </si>
  <si>
    <t>חיי ורפואת ישראל בשבת</t>
  </si>
  <si>
    <t>הוניסברג, ישראל</t>
  </si>
  <si>
    <t>חיי יעקב</t>
  </si>
  <si>
    <t>נושאים שונים, תולדות עם ישראל, תנ"ך</t>
  </si>
  <si>
    <t>חיי ירושלים</t>
  </si>
  <si>
    <t>חיי כרמיה</t>
  </si>
  <si>
    <t>אלק, יואל בן בנימין אהרן</t>
  </si>
  <si>
    <t>[תרמ"ב]</t>
  </si>
  <si>
    <t>Memel</t>
  </si>
  <si>
    <t>חיי עד</t>
  </si>
  <si>
    <t>קצבורג, דוד צבי</t>
  </si>
  <si>
    <t>חיי עולם &lt;עץ חיים&gt; ב</t>
  </si>
  <si>
    <t>חיי עולם &lt;עץ חיים&gt; ג</t>
  </si>
  <si>
    <t>חיי עולם &lt;עץ חיים&gt; ד</t>
  </si>
  <si>
    <t>חיי עולם &lt;שער הכוונות, מועדים&gt; ה</t>
  </si>
  <si>
    <t>חיים בריאים כהלכה</t>
  </si>
  <si>
    <t>אסחייק, יחזקאל</t>
  </si>
  <si>
    <t>חיים של קידוש ה'</t>
  </si>
  <si>
    <t>חייקינים</t>
  </si>
  <si>
    <t>חייקין, אהוד מנחם צבי</t>
  </si>
  <si>
    <t>חינוך בית יהודא &lt;מהדורת זכרון אהרן&gt;</t>
  </si>
  <si>
    <t>יהודה ליב בן חנוך מפפרשה</t>
  </si>
  <si>
    <t>חינוך הבית למצות ודיני קטן</t>
  </si>
  <si>
    <t>נויבירט, יהושע ישעיה בן אהרן</t>
  </si>
  <si>
    <t>חינוך ילדים - 2 כר'</t>
  </si>
  <si>
    <t>שוורץ, חיים שלום</t>
  </si>
  <si>
    <t>חישבתי דרכי - ב</t>
  </si>
  <si>
    <t>בוצ'קובסקי, יעקב צבי</t>
  </si>
  <si>
    <t>חכמה ומוסר</t>
  </si>
  <si>
    <t>ענתיבי, אברהם בן יצחק</t>
  </si>
  <si>
    <t>[תר"י,</t>
  </si>
  <si>
    <t>ליוורנו,</t>
  </si>
  <si>
    <t>חכמת אדם</t>
  </si>
  <si>
    <t>[תרט"ז]-תרי"ז,</t>
  </si>
  <si>
    <t>לייפציג,</t>
  </si>
  <si>
    <t>חכמת המוסר</t>
  </si>
  <si>
    <t>גרודזינסקי, אברהם</t>
  </si>
  <si>
    <t>חכמת לב - סוכה</t>
  </si>
  <si>
    <t>סולומונס, יהושע הרשל אברהם בן נח</t>
  </si>
  <si>
    <t>חכמת נשים</t>
  </si>
  <si>
    <t>הס, מרדכי זאב</t>
  </si>
  <si>
    <t>חכמת שלמה</t>
  </si>
  <si>
    <t>טביב, שלמה בן יוסף</t>
  </si>
  <si>
    <t>חלק הלוי - נשיאת כפיים</t>
  </si>
  <si>
    <t>לוי, חגי - לוי, חברון</t>
  </si>
  <si>
    <t>חלקנו עמהם</t>
  </si>
  <si>
    <t>חלקת אליהו - 5 כר'</t>
  </si>
  <si>
    <t>אלקיים, אליהו יוחאי</t>
  </si>
  <si>
    <t>חלקת חיים - ע"ז, חולין, נדה</t>
  </si>
  <si>
    <t>רבינוביץ, חיים מנחם בן אלטר יהודה אריה</t>
  </si>
  <si>
    <t>חלקת חנוך - מקוואות</t>
  </si>
  <si>
    <t>פרידמן, חנוך אריה בן יוסף</t>
  </si>
  <si>
    <t>מועדי ישראל, משנה</t>
  </si>
  <si>
    <t>חמדה גנוזה</t>
  </si>
  <si>
    <t>הלפרין, חיים דוב משה בן שלום</t>
  </si>
  <si>
    <t>חמדת יוסף - ב</t>
  </si>
  <si>
    <t>סרברולוב, יוסף</t>
  </si>
  <si>
    <t>תרפ"א-תרפ"ג</t>
  </si>
  <si>
    <t>לובלין,</t>
  </si>
  <si>
    <t>חמדת ישראל - קידושין</t>
  </si>
  <si>
    <t>ישיבת חיי משה</t>
  </si>
  <si>
    <t>חמישה שיעורים - 5 כר'</t>
  </si>
  <si>
    <t>דויטש, חיים בן נתן יהודה</t>
  </si>
  <si>
    <t>חמישים שנה של תורה בישיבת איתרי</t>
  </si>
  <si>
    <t>גרינולד, שמואל</t>
  </si>
  <si>
    <t>חמר משה</t>
  </si>
  <si>
    <t>פרקוביץ, משה בן אברהם</t>
  </si>
  <si>
    <t>חמשה חומשי תורה &lt;עם תרגום אונקלוס מדויק ע"פ כ"י&gt; - 5 כר'</t>
  </si>
  <si>
    <t>לוונשטין, ליפמן הירש -  היידנהיים, בנימין וולף בן שמשון</t>
  </si>
  <si>
    <t>תר"ך -תש?</t>
  </si>
  <si>
    <t>רדלהיים - ירושלים</t>
  </si>
  <si>
    <t>חמשה חומשי תורה &lt;החלוקה על פי מסורת חז"ל&gt;</t>
  </si>
  <si>
    <t>פוזן, משה אליעזר</t>
  </si>
  <si>
    <t>לונדון - ישראל</t>
  </si>
  <si>
    <t>חנוכה, צום עשרה בטבת, ט"ו בשבט</t>
  </si>
  <si>
    <t>חנוכת הבית</t>
  </si>
  <si>
    <t>חנוכת המזבח</t>
  </si>
  <si>
    <t>ישיבת פוניבז' לצעירים</t>
  </si>
  <si>
    <t>חסד ה'</t>
  </si>
  <si>
    <t>אלמאליח, יוסף בן עיוש</t>
  </si>
  <si>
    <t>חסד ואמת נפגשו - סדר אושפיזין</t>
  </si>
  <si>
    <t>חסד לאברהם - שו"ת ב</t>
  </si>
  <si>
    <t>יצחקי, אורי</t>
  </si>
  <si>
    <t>דימונה</t>
  </si>
  <si>
    <t>חסד לאברהם - זרעים</t>
  </si>
  <si>
    <t>סומפולינסקי, אברהם זאב בן דוד בונם</t>
  </si>
  <si>
    <t>משנה, תלמוד ירושלמי</t>
  </si>
  <si>
    <t>חסדי דוד הנאמנים - 12 כר'</t>
  </si>
  <si>
    <t>תשס"ח - תשע"ח</t>
  </si>
  <si>
    <t>חסדי השם על התורה</t>
  </si>
  <si>
    <t>קריגר, מרדכי אהרן בן זאב</t>
  </si>
  <si>
    <t>חסדי השם על עין יעקב - 7 כר'</t>
  </si>
  <si>
    <t>חסידות - כו (עבודת המידות ב)</t>
  </si>
  <si>
    <t>חפץ חיים &lt;שי"ח התמר&gt;</t>
  </si>
  <si>
    <t>כהן, ישראל מאיר בן אריה זאב - היימן, עופר שמאי</t>
  </si>
  <si>
    <t>חפץ חיים &lt;עם הערות&gt;</t>
  </si>
  <si>
    <t>כהן, ישראל מאיר בן אריה זאב - רוזלאר, יהונתן בנימין הלוי</t>
  </si>
  <si>
    <t>חפץ חיים &lt;עקבי חיים&gt;</t>
  </si>
  <si>
    <t>כהן, ישראל מאיר בן אריה זאב</t>
  </si>
  <si>
    <t>חפץ חיים &lt;משכיל על נגינות, משכיל שיר ידידות&gt;</t>
  </si>
  <si>
    <t>קורח, יחיא בן שלום</t>
  </si>
  <si>
    <t>תרצ"ב</t>
  </si>
  <si>
    <t>חפץ חיים עם ביאור שיח התמר</t>
  </si>
  <si>
    <t>כהן, ישראל מאיר בן אריה זאב - היימן, עומר שמאי</t>
  </si>
  <si>
    <t>חציו לה' וחציו לכם</t>
  </si>
  <si>
    <t>חצר אמונים - 3 כר'</t>
  </si>
  <si>
    <t>חצרות ישע</t>
  </si>
  <si>
    <t>הלברשטט, ישעיה בן יוסף</t>
  </si>
  <si>
    <t>חק המוסר - 2 כר'</t>
  </si>
  <si>
    <t>הרשקוביץ, שמעון אהרן</t>
  </si>
  <si>
    <t>חקל חיים - קב הישר</t>
  </si>
  <si>
    <t>שטייגר, חיים מענדיל</t>
  </si>
  <si>
    <t>חקר ועיון - 24 כר'</t>
  </si>
  <si>
    <t>פרוש, חיים יצחק</t>
  </si>
  <si>
    <t>חקרי הלכות - 2 כר'</t>
  </si>
  <si>
    <t>גוראריה, אליהו יוחנן בן נתן</t>
  </si>
  <si>
    <t>חרב פיפיות</t>
  </si>
  <si>
    <t>חשב האפד - מ"ח דברים שהתורה נקנית בהם</t>
  </si>
  <si>
    <t>פאל, אליעזר דוד</t>
  </si>
  <si>
    <t>חתן ותורה</t>
  </si>
  <si>
    <t>חתן עם הכלה</t>
  </si>
  <si>
    <t>ט"ו בשבט בהלכה</t>
  </si>
  <si>
    <t>ט"ו בשבט - הלכות ומנהגים</t>
  </si>
  <si>
    <t>בית מדרש גבוה להלכה בהתישבות</t>
  </si>
  <si>
    <t>טבח והכן &lt;מהדורה חדשה&gt;</t>
  </si>
  <si>
    <t>קרא, יוסף חיים בן יצחק זליג</t>
  </si>
  <si>
    <t>טבעת המלך</t>
  </si>
  <si>
    <t>טהרת הכלים - ה</t>
  </si>
  <si>
    <t>בעדני, דוד ישעיהו בן שמעון</t>
  </si>
  <si>
    <t>טהרת ישראל</t>
  </si>
  <si>
    <t>איבגי, ישראל מאיר בן עמרם</t>
  </si>
  <si>
    <t>ימודיעין עילית</t>
  </si>
  <si>
    <t>טהרת ישראל - א</t>
  </si>
  <si>
    <t>אריאל, עזריה בן ישראל</t>
  </si>
  <si>
    <t>משנה, נושאים שונים</t>
  </si>
  <si>
    <t>טהרת מירון - הר המערות</t>
  </si>
  <si>
    <t>טוב הלל</t>
  </si>
  <si>
    <t>רוטנברג, הלל</t>
  </si>
  <si>
    <t>טוב טעם - כריתות</t>
  </si>
  <si>
    <t>כץ, מנחם בן יצחק</t>
  </si>
  <si>
    <t>טוב להודות לה'</t>
  </si>
  <si>
    <t>טוב להודות - על מזמור לתודה</t>
  </si>
  <si>
    <t>הרבסט, חיים בן שלום אליעזר</t>
  </si>
  <si>
    <t>טוב עין הוא יבורך</t>
  </si>
  <si>
    <t>טובה ראייתו -מסלונים עד טבריה</t>
  </si>
  <si>
    <t>סנדברג, יצחק מתתיהו - וינשטוק, יאיר (עורך)</t>
  </si>
  <si>
    <t>טור - יורה דעה &lt;ונציה שי"א&gt;</t>
  </si>
  <si>
    <t>יעקב בן אשר (בעל הטורים)</t>
  </si>
  <si>
    <t>שי"א</t>
  </si>
  <si>
    <t>טורי אבן &lt;מהדורה חדשה&gt; - ראש השנה</t>
  </si>
  <si>
    <t>גינצבורג, אריה ליב בן אשר</t>
  </si>
  <si>
    <t>טיב ההגדה - ג</t>
  </si>
  <si>
    <t>אביטן, מיכאל בן נסים</t>
  </si>
  <si>
    <t>טיב הקהילה</t>
  </si>
  <si>
    <t>רבינוביץ, גמליאל בן לוי הכהן</t>
  </si>
  <si>
    <t>טיב התחזקות - ב</t>
  </si>
  <si>
    <t>טיסה נעימה</t>
  </si>
  <si>
    <t>נושאים שונים, ספריית חב"ד</t>
  </si>
  <si>
    <t>טל השמים</t>
  </si>
  <si>
    <t>בראט, ישעיה בן שמואל הלוי</t>
  </si>
  <si>
    <t>טלא דבדולחא</t>
  </si>
  <si>
    <t>טלה חלב</t>
  </si>
  <si>
    <t>שמואלי, עודד</t>
  </si>
  <si>
    <t>טנא פירות העמל - 7 כר'</t>
  </si>
  <si>
    <t>שטיינמץ, זאב</t>
  </si>
  <si>
    <t>טנא</t>
  </si>
  <si>
    <t>גוטמכר, שרגא</t>
  </si>
  <si>
    <t>טפה מן הים</t>
  </si>
  <si>
    <t>קוסובסקי, בנימין בן חיים יהושע בן-ציון</t>
  </si>
  <si>
    <t>תש"ך,</t>
  </si>
  <si>
    <t>טראבלס של מעלה - 8 כר'</t>
  </si>
  <si>
    <t>בטאון תורני למורשת יהודת לוב</t>
  </si>
  <si>
    <t>יאיר מבין</t>
  </si>
  <si>
    <t>יאיר נתיב - א</t>
  </si>
  <si>
    <t>חזן, יאיר</t>
  </si>
  <si>
    <t>יאקובינה</t>
  </si>
  <si>
    <t>להמאן, מאיר בן אשר למל אהרן</t>
  </si>
  <si>
    <t>יאר יעקב</t>
  </si>
  <si>
    <t>ניסן, יעקב ישראל בן אמנון</t>
  </si>
  <si>
    <t>יאר פנים - עבודה זרה</t>
  </si>
  <si>
    <t>רוט, יחיאל אהרן בן צבי אביגדור</t>
  </si>
  <si>
    <t>יבמה כאשת איש</t>
  </si>
  <si>
    <t>מורבסקי, אילן</t>
  </si>
  <si>
    <t>יבנה וחכמיה</t>
  </si>
  <si>
    <t>סיפורה של אם ישיבות ההסדר</t>
  </si>
  <si>
    <t>יבקש תורה - שבת</t>
  </si>
  <si>
    <t>קויפמן, יצחק בן שמעון</t>
  </si>
  <si>
    <t>יברך את עמו בשלום</t>
  </si>
  <si>
    <t>יברך ישראל - 2 כר'</t>
  </si>
  <si>
    <t>בינשטוק, אברהם יונה</t>
  </si>
  <si>
    <t>יגדיל תורה &lt;לונדון&gt; - 5 כר'</t>
  </si>
  <si>
    <t>עורך: הלפרין, אלחנן</t>
  </si>
  <si>
    <t>יגיה שביב - 1</t>
  </si>
  <si>
    <t>חשין, אליעזר</t>
  </si>
  <si>
    <t>יגל יעקב</t>
  </si>
  <si>
    <t>יד דוד - 2 כר'</t>
  </si>
  <si>
    <t>זינצהיים, יוסף דוד בן אברהם יצחק</t>
  </si>
  <si>
    <t>יד הלוי - פסחים</t>
  </si>
  <si>
    <t>דהאן, יצחק</t>
  </si>
  <si>
    <t>יד הקטנה</t>
  </si>
  <si>
    <t>גוטליב, דוב בריש בן יעקב</t>
  </si>
  <si>
    <t>תרט"ז - תרי"ט</t>
  </si>
  <si>
    <t>[קעניגסבערג],</t>
  </si>
  <si>
    <t>יד לנתיבתי</t>
  </si>
  <si>
    <t>סטניצקי, נתן בן פרץ</t>
  </si>
  <si>
    <t>יד מיכאל</t>
  </si>
  <si>
    <t>כולל ישיבת הכותל</t>
  </si>
  <si>
    <t>יד מלאכי &lt;מכון ירושלים&gt; - ג</t>
  </si>
  <si>
    <t>הכהן, מלאכי בן יעקב - אברהם, דוד בן אברהם</t>
  </si>
  <si>
    <t>יד מלכים</t>
  </si>
  <si>
    <t>זויברמן, דוד</t>
  </si>
  <si>
    <t>יד נתן</t>
  </si>
  <si>
    <t>נתן דוד בן ישראל</t>
  </si>
  <si>
    <t>תרפ"ז</t>
  </si>
  <si>
    <t>יד שלום</t>
  </si>
  <si>
    <t>אונגר, שלום דוד בן יעקב יצחק</t>
  </si>
  <si>
    <t>ידי השלחן</t>
  </si>
  <si>
    <t>אושרי, ידידיה</t>
  </si>
  <si>
    <t>ידי כהן - 2 כר'</t>
  </si>
  <si>
    <t>כהן, יוסף דוד בן משה חיים</t>
  </si>
  <si>
    <t>ידי משה ותורה אור &lt;מהדורה חדשה&gt;</t>
  </si>
  <si>
    <t>ידי משה - א</t>
  </si>
  <si>
    <t>קום, משה בן חיים דוב</t>
  </si>
  <si>
    <t>תרפ"ח</t>
  </si>
  <si>
    <t>סט. לואיס</t>
  </si>
  <si>
    <t>ידיד נפש על תלמוד בבלי - שבת ב</t>
  </si>
  <si>
    <t>ברלב, יחיאל אברהם בן בנימין הלוי</t>
  </si>
  <si>
    <t>ידיו אמונה - 3 כר'</t>
  </si>
  <si>
    <t>רוזן, שמואל אהרן</t>
  </si>
  <si>
    <t>ידיעות הטבע שבתלמוד</t>
  </si>
  <si>
    <t>טאקסין, מנחם צבי בן אריה</t>
  </si>
  <si>
    <t>תרס"ג,</t>
  </si>
  <si>
    <t>ידיעות המכון - תשכ"ט</t>
  </si>
  <si>
    <t>ידיעות חדשות על תוספות גורניש ועניינן</t>
  </si>
  <si>
    <t>תא שמע, ישראל</t>
  </si>
  <si>
    <t>רמת גן Ramat Gan</t>
  </si>
  <si>
    <t>ידעת ומצאת</t>
  </si>
  <si>
    <t>קושלבסקי, אברהם בן אליהו</t>
  </si>
  <si>
    <t>ידרך ענוים</t>
  </si>
  <si>
    <t>סלומונס, דוד יצחק בן נח</t>
  </si>
  <si>
    <t>יהגה חכמה - 2 כר'</t>
  </si>
  <si>
    <t>פייגעלשטאק, יוסף יצחק</t>
  </si>
  <si>
    <t>יהדות ומיסטיקה</t>
  </si>
  <si>
    <t>נושאים שונים, קבלה</t>
  </si>
  <si>
    <t>יהדות מהי</t>
  </si>
  <si>
    <t>זקס, יהושע פישל</t>
  </si>
  <si>
    <t>יהדות רומניה - 1</t>
  </si>
  <si>
    <t>החברה ההיסטורית של יהודי רומניה</t>
  </si>
  <si>
    <t>יהדות - 3 כר'</t>
  </si>
  <si>
    <t>בטאון היהדות הנאמנה</t>
  </si>
  <si>
    <t>יהי שלום בחילך - לנשים</t>
  </si>
  <si>
    <t>יובל אורות</t>
  </si>
  <si>
    <t>אוסף מאמרים</t>
  </si>
  <si>
    <t>יום הבר מצוה</t>
  </si>
  <si>
    <t>יום הקדיש</t>
  </si>
  <si>
    <t>ישראל. הרבנות הראשית</t>
  </si>
  <si>
    <t>יום שמחת כהן</t>
  </si>
  <si>
    <t>מרציאנו, אליהו רפאל בן מאיר מרדכי</t>
  </si>
  <si>
    <t>יומי דפגרי</t>
  </si>
  <si>
    <t>יפה, דב</t>
  </si>
  <si>
    <t>יומן הרב הנזיר</t>
  </si>
  <si>
    <t>כהן, דוד</t>
  </si>
  <si>
    <t>יומן - כסלו תשכ"ה, כסלו תשכ"ח</t>
  </si>
  <si>
    <t>הארלינג, מאיר</t>
  </si>
  <si>
    <t>יוסיף אור</t>
  </si>
  <si>
    <t>מגן, יוסף מאיר בן דוד יצחק</t>
  </si>
  <si>
    <t>יוצרות המבואורת</t>
  </si>
  <si>
    <t>יושב אהלים</t>
  </si>
  <si>
    <t>מנטרוז, יעקב בן דוד</t>
  </si>
  <si>
    <t>שוב, יצחק אליעזר</t>
  </si>
  <si>
    <t>יחוד ההתבודדות (אנגלית)</t>
  </si>
  <si>
    <t>יחוד</t>
  </si>
  <si>
    <t>יחי עזרא</t>
  </si>
  <si>
    <t>שרים, דביר בן אליהו</t>
  </si>
  <si>
    <t>יחי ראובן</t>
  </si>
  <si>
    <t>ספר זכרון</t>
  </si>
  <si>
    <t>נושאים שונים, קבצים וכתבי עת, ספרי זכרון ויובל, תלמוד בבלי</t>
  </si>
  <si>
    <t>יחי שלמה</t>
  </si>
  <si>
    <t>קופר, יחיאל שלמה בן מרדכי הכהן</t>
  </si>
  <si>
    <t>יחיל מדבר</t>
  </si>
  <si>
    <t>לוי, חגי</t>
  </si>
  <si>
    <t>יידישע מאכלים</t>
  </si>
  <si>
    <t>יין לשבת</t>
  </si>
  <si>
    <t>ננקנסקי, יהושע</t>
  </si>
  <si>
    <t>יין משמח - 5 כר'</t>
  </si>
  <si>
    <t>תשס"ד-תשע"א</t>
  </si>
  <si>
    <t>ילמדנו רבינו</t>
  </si>
  <si>
    <t>גאלד, חיים</t>
  </si>
  <si>
    <t>ילקוט אורה ושמחה</t>
  </si>
  <si>
    <t>ליקוט מכתבי קודש</t>
  </si>
  <si>
    <t>חסידות, מועדי ישראל, נושאים שונים</t>
  </si>
  <si>
    <t>ילקוט איים רבים - 2 כר'</t>
  </si>
  <si>
    <t>מרגליות, ישראל אריה יצחק</t>
  </si>
  <si>
    <t>ילקוט אמרי קודש</t>
  </si>
  <si>
    <t>פרידמן, ישראל משה בן אברהם יעקב</t>
  </si>
  <si>
    <t>ילקוט ביאור מילות רות</t>
  </si>
  <si>
    <t>כרמי, יובל</t>
  </si>
  <si>
    <t>ילקוט ביאורים בית משה אליהו - גיטין</t>
  </si>
  <si>
    <t>ילקוט הלכות וטעמי המנהגים חב"ד - 2 כר'</t>
  </si>
  <si>
    <t>שמלה, ראובן</t>
  </si>
  <si>
    <t>ילקוט הריח - 2 כר'</t>
  </si>
  <si>
    <t>חזן, יצחק</t>
  </si>
  <si>
    <t>ילקוט זכרונות</t>
  </si>
  <si>
    <t>חדד, בועז</t>
  </si>
  <si>
    <t>ילקוט ספרים</t>
  </si>
  <si>
    <t>פרובסט, מנחם</t>
  </si>
  <si>
    <t>תרפ"ט</t>
  </si>
  <si>
    <t>ברלין-שרלוטנבורג,</t>
  </si>
  <si>
    <t>ילקוט פירושים מילקוט לוי יצחק</t>
  </si>
  <si>
    <t>שניאורסון, לוי יצחק</t>
  </si>
  <si>
    <t>ילקוט שמחת ירושלים</t>
  </si>
  <si>
    <t>קלויזנר, ישראל בן חיים זאב</t>
  </si>
  <si>
    <t>מועדי ישראל, תלמוד ירושלמי</t>
  </si>
  <si>
    <t>ילקוט שמעוני המנוקד והמבואר - 2 כר'</t>
  </si>
  <si>
    <t>שמעון הדרשן - לוין, רפאל בן משה ברוך</t>
  </si>
  <si>
    <t>ים ההלכה - הלכות תפילה</t>
  </si>
  <si>
    <t>מדר, יעקב</t>
  </si>
  <si>
    <t>ים של שלמה &lt;מכון משנת רבי אהרן&gt; ב"ק א</t>
  </si>
  <si>
    <t>לוריא, שלמה בן יחיאל (מהרש"ל)</t>
  </si>
  <si>
    <t>ים של שלמה &lt;מכון משנת רבי אהרן&gt; ב"ק ב</t>
  </si>
  <si>
    <t>ימי הבאנייען</t>
  </si>
  <si>
    <t>אברהם, א.</t>
  </si>
  <si>
    <t>ימי השובבי"ם</t>
  </si>
  <si>
    <t>ימי סופר המלך א</t>
  </si>
  <si>
    <t>ברנפלד, יצחק צבי (עליו)</t>
  </si>
  <si>
    <t>ימי תשובה</t>
  </si>
  <si>
    <t>קרניאל, שלום בן שמעון</t>
  </si>
  <si>
    <t>ימים מקדם</t>
  </si>
  <si>
    <t>רזמוביץ, יצחק דוד</t>
  </si>
  <si>
    <t>ימים נוראים</t>
  </si>
  <si>
    <t>ימין משה</t>
  </si>
  <si>
    <t>בוחבוט, משה צבי</t>
  </si>
  <si>
    <t>יסוד האחדות</t>
  </si>
  <si>
    <t>רוזנטל, נחום בן יואב</t>
  </si>
  <si>
    <t>יסוד המועדים - 2 כר'</t>
  </si>
  <si>
    <t>וויינגארטן, יהודה</t>
  </si>
  <si>
    <t>יסוד מורא</t>
  </si>
  <si>
    <t>אבן-עזרא, אברהם בן מאיר</t>
  </si>
  <si>
    <t>ר"צ - תש"ל</t>
  </si>
  <si>
    <t>קושטא - ירושלים</t>
  </si>
  <si>
    <t>יסוד עולם</t>
  </si>
  <si>
    <t>זכות, משה בן מרדכי</t>
  </si>
  <si>
    <t>תרל"ד</t>
  </si>
  <si>
    <t>Altona</t>
  </si>
  <si>
    <t>יסודות הבית</t>
  </si>
  <si>
    <t>עמאר, שלמה משה בן אליהו</t>
  </si>
  <si>
    <t>יסודות קודש - בפרדס התשובה</t>
  </si>
  <si>
    <t>בוהדנה, שקד בן אהרן</t>
  </si>
  <si>
    <t>יסודי הצדקה</t>
  </si>
  <si>
    <t>כשדן, מנחם מן בן שמשון דב הכהן</t>
  </si>
  <si>
    <t>יסודי ישרון - 2 כר'</t>
  </si>
  <si>
    <t>פלדר, גדליה בן צבי</t>
  </si>
  <si>
    <t>יעלה הדס</t>
  </si>
  <si>
    <t>יערות דבש</t>
  </si>
  <si>
    <t>אייבשיץ, יהונתן בן נתן נטע</t>
  </si>
  <si>
    <t>[תקנ"ט,</t>
  </si>
  <si>
    <t>זולצבאך,</t>
  </si>
  <si>
    <t>דרושים, מחשבה ומוסר</t>
  </si>
  <si>
    <t>יערות האושר</t>
  </si>
  <si>
    <t>יפה וברה</t>
  </si>
  <si>
    <t>ווייס, יקותיאל</t>
  </si>
  <si>
    <t>תרצ"ו</t>
  </si>
  <si>
    <t>בואנוס איירס</t>
  </si>
  <si>
    <t>יפה לב</t>
  </si>
  <si>
    <t>לוינסון, יוסף פנחס הלוי</t>
  </si>
  <si>
    <t>יפה מראה - שבועות</t>
  </si>
  <si>
    <t>ליסיצין, יוסף שלמה בן צבי יעקב</t>
  </si>
  <si>
    <t>יפה נדרשת - חנוכה ב</t>
  </si>
  <si>
    <t>פרידמן, יונה בן משה</t>
  </si>
  <si>
    <t>יפה תואר &lt;זכרון אהרן&gt; - 3 כר'</t>
  </si>
  <si>
    <t>אשכנזי-יפה, שמואל בן יצחק</t>
  </si>
  <si>
    <t>יפרח כשושנה - 3 כר'</t>
  </si>
  <si>
    <t>קוק, איסר דב בן נחום הכהן</t>
  </si>
  <si>
    <t>יצחק ירנן</t>
  </si>
  <si>
    <t>יצחק בן נחמן הכהן</t>
  </si>
  <si>
    <t>יציב פתגם - במדבר</t>
  </si>
  <si>
    <t>הלברשטאם, יקותיאל יהודה בן צבי הירש</t>
  </si>
  <si>
    <t>יצירת אדם</t>
  </si>
  <si>
    <t>יקהל שלמה, בית שלמה, עטרת תפארת</t>
  </si>
  <si>
    <t>בוכנר, שלמה בן בנימין וולף - רבינוביץ, שלמה בן דוב צבי הכהן</t>
  </si>
  <si>
    <t>יקום דבר - מכות</t>
  </si>
  <si>
    <t>סובל, שמואל</t>
  </si>
  <si>
    <t>יקר חכמים</t>
  </si>
  <si>
    <t>יקר תפארת - פרק המפקיד</t>
  </si>
  <si>
    <t>קיסטר, עקיבא</t>
  </si>
  <si>
    <t>יקרא דאורייתא - גיטין</t>
  </si>
  <si>
    <t>ישיבת כנסת יצחק קרית ספר</t>
  </si>
  <si>
    <t>יקרא דחיים</t>
  </si>
  <si>
    <t>ספר זכרון לכבוד הגרח"י גולדויכט</t>
  </si>
  <si>
    <t>יקרא דצבורא</t>
  </si>
  <si>
    <t>אמסלם, שמעון בן אליהו</t>
  </si>
  <si>
    <t>יקרה היא מפנינים</t>
  </si>
  <si>
    <t>דבי, נתנאל</t>
  </si>
  <si>
    <t>יראת השם היא אוצרו</t>
  </si>
  <si>
    <t>ירוץ דברו - 2 כר'</t>
  </si>
  <si>
    <t>ירושלים של מעלה</t>
  </si>
  <si>
    <t>רוזן, ישראל בן דב</t>
  </si>
  <si>
    <t>ירושלים - אתרים קדומים</t>
  </si>
  <si>
    <t>ברושי, עזריאל</t>
  </si>
  <si>
    <t>יפו,</t>
  </si>
  <si>
    <t>ריבלין, אברהם בנימן בן יוסף יהושע</t>
  </si>
  <si>
    <t>ירושת הארץ</t>
  </si>
  <si>
    <t>פרלמוטר, מלאכי</t>
  </si>
  <si>
    <t>ירחון האוצר - 12 כר'</t>
  </si>
  <si>
    <t>כתב עת</t>
  </si>
  <si>
    <t>יריעות שלמה - בבא מציעא</t>
  </si>
  <si>
    <t>ירחי, שלמה בן יצחק</t>
  </si>
  <si>
    <t>ישב אהלים</t>
  </si>
  <si>
    <t>ישגא בקודש</t>
  </si>
  <si>
    <t>אוחנה, שגיא</t>
  </si>
  <si>
    <t>מחשבה ומוסר, נושאים שונים, תפלות בקשות פיוטים ושירה</t>
  </si>
  <si>
    <t>ישוב ארץ ישראל בזמן הזה</t>
  </si>
  <si>
    <t>הופמן, יצחק</t>
  </si>
  <si>
    <t>ישורון &lt;גרמנית&gt; - 130 כר'</t>
  </si>
  <si>
    <t>תרע"ד</t>
  </si>
  <si>
    <t>ישורון - 5 כר'</t>
  </si>
  <si>
    <t>מאסף תורני</t>
  </si>
  <si>
    <t>ישלח דברו - א</t>
  </si>
  <si>
    <t>ישמח יצירך</t>
  </si>
  <si>
    <t>חדאד, מאיר</t>
  </si>
  <si>
    <t>ישמח ישראל &lt;מהדורה חדשה&gt;</t>
  </si>
  <si>
    <t>רבינוביץ, ישראל בן ברוך פנחס</t>
  </si>
  <si>
    <t>משנה, תלמוד בבלי, תנ"ך</t>
  </si>
  <si>
    <t>ישמח לב - ריבית</t>
  </si>
  <si>
    <t>כולל תפארת חיים שמואל</t>
  </si>
  <si>
    <t>ישמח משה &lt;שיעורים&gt; - פסחים, מכות, בבא מציעא</t>
  </si>
  <si>
    <t>חיות, שמואל חיים בן משה דוד</t>
  </si>
  <si>
    <t>ישמח משה &lt;ליקוטים&gt; - 3 כר'</t>
  </si>
  <si>
    <t>טייטלבוים, משה בן צבי הירש</t>
  </si>
  <si>
    <t>ישמח משה &lt;מהדורה חדשה&gt; - 2 כר'</t>
  </si>
  <si>
    <t>ישמח משה &lt;מהדורה ראשונה&gt; - 5 כר'</t>
  </si>
  <si>
    <t>תר"ט-תרכ"א,</t>
  </si>
  <si>
    <t>לעמברג</t>
  </si>
  <si>
    <t>ישמח משה על התורה</t>
  </si>
  <si>
    <t>גפן, ישראל חיים בן משה</t>
  </si>
  <si>
    <t>ישמח משה - 3 כר'</t>
  </si>
  <si>
    <t>ישמח משה</t>
  </si>
  <si>
    <t>הלוי, משה חיים מיתא</t>
  </si>
  <si>
    <t>ישראל סבא - 7 כר'</t>
  </si>
  <si>
    <t>תשכ"ב - תשכ"ג</t>
  </si>
  <si>
    <t>ישרון - 2 כר'</t>
  </si>
  <si>
    <t>קובק, יוסף יצחק</t>
  </si>
  <si>
    <t>ישרש יעקב</t>
  </si>
  <si>
    <t>רבינוביץ, שמואל יעקב בן שמעון מאיר</t>
  </si>
  <si>
    <t>יששכר וזבולון</t>
  </si>
  <si>
    <t>כהן, ניסן קדוש</t>
  </si>
  <si>
    <t>יתד המאיר - 9 כר'</t>
  </si>
  <si>
    <t>ירחון תורני</t>
  </si>
  <si>
    <t>יתום ואלמנה יעודד</t>
  </si>
  <si>
    <t>אבידן, משה</t>
  </si>
  <si>
    <t>כ"ק מרן האדמו"ר מגור זצוקלל"ה</t>
  </si>
  <si>
    <t>קטעי עיתונות</t>
  </si>
  <si>
    <t>כאיל תערוג - ה</t>
  </si>
  <si>
    <t>ליפקוביץ, אברהם יצחק בן מיכל יהודה</t>
  </si>
  <si>
    <t>כאיל תערוג - 4 כר'</t>
  </si>
  <si>
    <t>שטיינמן, אהרן יהודה ליב בן נח צבי</t>
  </si>
  <si>
    <t>כאשר צוה השם</t>
  </si>
  <si>
    <t>גרפינקל, דניאל אליעזר בן אברהם משה</t>
  </si>
  <si>
    <t>כבוד המת</t>
  </si>
  <si>
    <t>וויטריאל, נחמן יהוסף</t>
  </si>
  <si>
    <t>כבוד שבת</t>
  </si>
  <si>
    <t>כבודה בת מלך</t>
  </si>
  <si>
    <t>ווינער, משה ניסן</t>
  </si>
  <si>
    <t>כהלכות הפסח</t>
  </si>
  <si>
    <t>מייזלס, מנחם דן בן יהודה אריה</t>
  </si>
  <si>
    <t>כוכב השחר</t>
  </si>
  <si>
    <t>רבינוביץ, חיים בן שלום</t>
  </si>
  <si>
    <t>תר"ץ</t>
  </si>
  <si>
    <t>סעאיני,</t>
  </si>
  <si>
    <t>כוכבי בוקר - בכורות</t>
  </si>
  <si>
    <t>שטרן, מנחם מנדל</t>
  </si>
  <si>
    <t>כוס ישועות</t>
  </si>
  <si>
    <t>בורודיאנסקי, יהושע בן יצחק ירוחם</t>
  </si>
  <si>
    <t>כור ההלכה - 11 כר'</t>
  </si>
  <si>
    <t>בוק, יהושע בן משה</t>
  </si>
  <si>
    <t>כור המבחן - סנהדרין</t>
  </si>
  <si>
    <t>טיקוצינסקי, רפאל יונה</t>
  </si>
  <si>
    <t>כור המשנה - 7 כר'</t>
  </si>
  <si>
    <t>מפעל ההלכה הארצי</t>
  </si>
  <si>
    <t>כזוהר הרקיע</t>
  </si>
  <si>
    <t>זבורוב, זוהר</t>
  </si>
  <si>
    <t>אזור</t>
  </si>
  <si>
    <t>כח מעשיו</t>
  </si>
  <si>
    <t>כחלון, חיים</t>
  </si>
  <si>
    <t>כי עץ נשא פריו</t>
  </si>
  <si>
    <t>כי תצא למלחמה</t>
  </si>
  <si>
    <t>כיונה מארץ אשור</t>
  </si>
  <si>
    <t>דדון, יצחק</t>
  </si>
  <si>
    <t>כיצד אטפל בילדי בשבת ובחג</t>
  </si>
  <si>
    <t>שלזינגר, יחיאל משה</t>
  </si>
  <si>
    <t>כיצד יעלו לרגל לבית המקדש</t>
  </si>
  <si>
    <t>בורשטין, אברהם בן מנחם</t>
  </si>
  <si>
    <t>כיצד ישירו וינגנו בבית המקדש</t>
  </si>
  <si>
    <t>כיצד מנקים לפסח בשמחה ובקלות</t>
  </si>
  <si>
    <t>כך בתנ"ך</t>
  </si>
  <si>
    <t>אבינרי, יצחק בן משה</t>
  </si>
  <si>
    <t>כלי חמדה - מלאכות שבת ג</t>
  </si>
  <si>
    <t>פלוצקי, מאיר דן רפאל בן חיים יצחק</t>
  </si>
  <si>
    <t>כליל תפארת</t>
  </si>
  <si>
    <t>אברהם, אברהם</t>
  </si>
  <si>
    <t>כלכלה וחינוך מודרני בתימן בעת החדשה</t>
  </si>
  <si>
    <t>צוריאלי, יוסף</t>
  </si>
  <si>
    <t>כלל גדול בתורה</t>
  </si>
  <si>
    <t>כללי המנהגים</t>
  </si>
  <si>
    <t>עובדיה, ליאור יאיר</t>
  </si>
  <si>
    <t>כמים לים מכסים</t>
  </si>
  <si>
    <t>כן ירבה</t>
  </si>
  <si>
    <t>כנס הדיינים - תשע"ח</t>
  </si>
  <si>
    <t>הנהלת בתי הדין הרבניים - ירושלים</t>
  </si>
  <si>
    <t>כנס לביא - תשל"ה</t>
  </si>
  <si>
    <t>כנסת יחזקאל - כתובות</t>
  </si>
  <si>
    <t>אסופת מערכות</t>
  </si>
  <si>
    <t>כנסת ישראל &lt;ישיבת חברון כנסת ישראל&gt; - 2 כר'</t>
  </si>
  <si>
    <t>ישיבת חברון ירושלים</t>
  </si>
  <si>
    <t>כנסת ישראל (סלבודקה) - תרצ"ט יב</t>
  </si>
  <si>
    <t>סלבודקה</t>
  </si>
  <si>
    <t>כנף רננים - 2 כר'</t>
  </si>
  <si>
    <t>לוריא, חנוך זונדל בן ישעיה</t>
  </si>
  <si>
    <t>תרס"ח,</t>
  </si>
  <si>
    <t>כנפי יונה &lt;זכרון אהרן&gt; - יורה דעה</t>
  </si>
  <si>
    <t>לאנדסופר, יונה בן אליהו</t>
  </si>
  <si>
    <t>כנפי יונה - ב</t>
  </si>
  <si>
    <t>אנסבאכער, יונה</t>
  </si>
  <si>
    <t>כסף כשר</t>
  </si>
  <si>
    <t>בראלי, אריאל</t>
  </si>
  <si>
    <t>כעץ שתול</t>
  </si>
  <si>
    <t>כולל להוראה דחסידי בעלזא</t>
  </si>
  <si>
    <t>כעת חיה</t>
  </si>
  <si>
    <t>כעת יאמר - 2 כר'</t>
  </si>
  <si>
    <t>חייקין, ישראל אריה מרדכי בן חיים יצחק</t>
  </si>
  <si>
    <t>כף נחת</t>
  </si>
  <si>
    <t>דיין, נסים</t>
  </si>
  <si>
    <t>כפתור ופרח - בראשית, שמות</t>
  </si>
  <si>
    <t>כרם ביבנה -  ב</t>
  </si>
  <si>
    <t>קובץ חידושי תורה</t>
  </si>
  <si>
    <t>כרם בית שמואל &lt;שנה א&gt; - 3 כר'</t>
  </si>
  <si>
    <t>וויינאכט, חיים ישראל יצחק (עורך)</t>
  </si>
  <si>
    <t>תרצ"ב - תרצ"ג</t>
  </si>
  <si>
    <t>פיוטרקוב Piotrkow</t>
  </si>
  <si>
    <t>כרם בית שמואל &lt;שנה ב&gt; - ו</t>
  </si>
  <si>
    <t>כרם - 2 כר'</t>
  </si>
  <si>
    <t>צימערמאן, אהרן חיים הלוי (עורך)</t>
  </si>
  <si>
    <t>תשי"א-תשי"ח</t>
  </si>
  <si>
    <t>כרמי שלי - קידושין</t>
  </si>
  <si>
    <t>שלי, שאול מקיקץ בן מעתוק</t>
  </si>
  <si>
    <t>כרתי ופלתי &lt;זכרון אהרן&gt; - ב-ג</t>
  </si>
  <si>
    <t>כשהנשמה מאירה</t>
  </si>
  <si>
    <t>לזכר מרת נעמי קדמון</t>
  </si>
  <si>
    <t>כשחר אורך</t>
  </si>
  <si>
    <t>ניב, אהרן י.</t>
  </si>
  <si>
    <t>כשרות כהלכה - א</t>
  </si>
  <si>
    <t>רבני עמותת כושרות</t>
  </si>
  <si>
    <t>כתב הקדש - כתובות</t>
  </si>
  <si>
    <t>כתבי הגר"ח והגרי"ז</t>
  </si>
  <si>
    <t>סולוביציק, חיים בן יוסף דב הלוי - סולוויציק, יצחק זאב בן חיים הלוי</t>
  </si>
  <si>
    <t>הלכה ומנהג, משנה, תלמוד בבלי</t>
  </si>
  <si>
    <t>כתבי הריטב"א</t>
  </si>
  <si>
    <t>יום טוב בן אברהם אשבילי (ריטב"א)</t>
  </si>
  <si>
    <t>ניו-יורק,</t>
  </si>
  <si>
    <t>כתבי מרדכי - 2 כר'</t>
  </si>
  <si>
    <t>משען, מרדכי בן שלמה</t>
  </si>
  <si>
    <t>כתוב לאמר</t>
  </si>
  <si>
    <t>הלוי, יצחק</t>
  </si>
  <si>
    <t>כתית למאור - נדה</t>
  </si>
  <si>
    <t>זוסמן, מאיר</t>
  </si>
  <si>
    <t>כתית למאור - 4 כר'</t>
  </si>
  <si>
    <t>כתלנו - ספר היובל</t>
  </si>
  <si>
    <t>קובץ ישיבת הכותל</t>
  </si>
  <si>
    <t>כתר מלוכה - באור מגילת רות</t>
  </si>
  <si>
    <t>חלפון, אליהו בן חיים</t>
  </si>
  <si>
    <t>נוף אילון</t>
  </si>
  <si>
    <t>כתר שם טוב</t>
  </si>
  <si>
    <t>דזיאלושינסקי, אברהם יהודה</t>
  </si>
  <si>
    <t>כתר תורה &lt;רדומסק&gt; - ג</t>
  </si>
  <si>
    <t>כתר תורה - שבועות ומסכת אבות</t>
  </si>
  <si>
    <t>מכון אבני שוהם</t>
  </si>
  <si>
    <t>ל"ט מלאכות שבת - לתלמידים</t>
  </si>
  <si>
    <t>לא תתגודדו בהלכה ואגדה</t>
  </si>
  <si>
    <t>לאהבה וליראה</t>
  </si>
  <si>
    <t>לאורה של תורה</t>
  </si>
  <si>
    <t>ספז, אוריאל</t>
  </si>
  <si>
    <t>כוכב יעקב</t>
  </si>
  <si>
    <t>לב האדם לאדם</t>
  </si>
  <si>
    <t>אדלמן, משה בן רפאל</t>
  </si>
  <si>
    <t>לב חכם על ספר תורת חכם - 2 כר'</t>
  </si>
  <si>
    <t>תורג'מן, אוהד</t>
  </si>
  <si>
    <t>לב טהור</t>
  </si>
  <si>
    <t>פינצוק, אליהו בן פייבל</t>
  </si>
  <si>
    <t>[תר"ס],</t>
  </si>
  <si>
    <t>לב לדעת</t>
  </si>
  <si>
    <t>לב מבין</t>
  </si>
  <si>
    <t>סאלם, יוסף</t>
  </si>
  <si>
    <t>לב מלכים</t>
  </si>
  <si>
    <t>חדאד, אוהד</t>
  </si>
  <si>
    <t>לב משה - ב</t>
  </si>
  <si>
    <t>פרידמן, אברהם משה הכהן</t>
  </si>
  <si>
    <t>לבב חכמה &lt;על התורה&gt; - א</t>
  </si>
  <si>
    <t>וייס, ברוך</t>
  </si>
  <si>
    <t>לבדו</t>
  </si>
  <si>
    <t>בן יוסף, איתי</t>
  </si>
  <si>
    <t>לבוש יוסף</t>
  </si>
  <si>
    <t>זכאי, יוסף בן אברהם</t>
  </si>
  <si>
    <t>לבוש מרדכי - 2 כר'</t>
  </si>
  <si>
    <t>הומינר, יעקב שמואל</t>
  </si>
  <si>
    <t>לבני בנימן &lt;דברי יעקב&gt;</t>
  </si>
  <si>
    <t>דיסקין, ישראל אברהם שמואל בן בנימין</t>
  </si>
  <si>
    <t>לבנימין אמר</t>
  </si>
  <si>
    <t>שמעיה, בנימין</t>
  </si>
  <si>
    <t>לדוד ולזרעו</t>
  </si>
  <si>
    <t>חש'מ</t>
  </si>
  <si>
    <t>לדור ולדורות</t>
  </si>
  <si>
    <t>ניסים, יצחק בן רחמים</t>
  </si>
  <si>
    <t>לדורותם - 5 כר'</t>
  </si>
  <si>
    <t>קהל עדת חסידי נדבורנה ירושלים</t>
  </si>
  <si>
    <t>לדרש אלהים - הגורלות  לאחיתופל</t>
  </si>
  <si>
    <t>חמווי, אברהם שלום חי בן רפאל</t>
  </si>
  <si>
    <t>תרל"ט</t>
  </si>
  <si>
    <t>ליוורנו Livorno</t>
  </si>
  <si>
    <t>להאיר באור החיים - תשע"ט</t>
  </si>
  <si>
    <t>להאיר - חנוכה</t>
  </si>
  <si>
    <t>דומב, יונתן שרגא</t>
  </si>
  <si>
    <t>להבין שמועות - מעילה</t>
  </si>
  <si>
    <t>וולפסון, דניאל קלמן בן אביעזר שמעון יוסף הלוי</t>
  </si>
  <si>
    <t>להודות ולהלל</t>
  </si>
  <si>
    <t>פיינברג, עקביא דב</t>
  </si>
  <si>
    <t>להודות לה'</t>
  </si>
  <si>
    <t>להורות חכמה ומשפט</t>
  </si>
  <si>
    <t>כהן, תמיר שלמה בן ציון</t>
  </si>
  <si>
    <t>להורות נתן &lt;תורה&gt; - 2 כר'</t>
  </si>
  <si>
    <t>געשטעטנר, נתן בן עמרם</t>
  </si>
  <si>
    <t>להורות נתן - 4 כר'</t>
  </si>
  <si>
    <t>להיות בשמחה תמיד</t>
  </si>
  <si>
    <t>להנחיל אהבי יש</t>
  </si>
  <si>
    <t>להעיר להורות ולהשכיל - ט</t>
  </si>
  <si>
    <t>דומב, יונתן שרגא בן יוסף</t>
  </si>
  <si>
    <t>לו בנגינות</t>
  </si>
  <si>
    <t>אידל, שושנה</t>
  </si>
  <si>
    <t>לוח הזמנים כהלכתם - תש"פ</t>
  </si>
  <si>
    <t>עידאן, צבי</t>
  </si>
  <si>
    <t>לוח הלכות ומנהגים - 2 כר'</t>
  </si>
  <si>
    <t>אבוזגלו, עמרם</t>
  </si>
  <si>
    <t>לוח הנץ ושקיעת החמה לרבי נתנאל סופר - ובסופו טבלה מעודכנת</t>
  </si>
  <si>
    <t>תפילנסקי, נתנאל - סופר, דוד אהרן בן יעקב חיים</t>
  </si>
  <si>
    <t>תרע"ב</t>
  </si>
  <si>
    <t>כתב יד</t>
  </si>
  <si>
    <t>לוח הפעלים המשכלל</t>
  </si>
  <si>
    <t>יאנקילבסקי, א</t>
  </si>
  <si>
    <t>לודז,</t>
  </si>
  <si>
    <t>לוח זמן כהלכתו &lt;רוז'ין סאדיגורה&gt; - 3 כר'</t>
  </si>
  <si>
    <t>שפונד, ישראל בן שלמה זלמן</t>
  </si>
  <si>
    <t>לוח ירושלים - תש"ח</t>
  </si>
  <si>
    <t>ברינקר, דב נתן</t>
  </si>
  <si>
    <t>לוח ל216 שנים תקמ"ה- תש"ס</t>
  </si>
  <si>
    <t>סלומון ויללהם פרוינד</t>
  </si>
  <si>
    <t>וינה</t>
  </si>
  <si>
    <t>לוח לשנת תש"ז</t>
  </si>
  <si>
    <t>הצדקות המאוחדות בירושלים</t>
  </si>
  <si>
    <t>לוח לשנת תש"ח</t>
  </si>
  <si>
    <t>לוח לשנת תשמ"א</t>
  </si>
  <si>
    <t>לוח לשנת תשמ"ג</t>
  </si>
  <si>
    <t>לוח עברי טייטש - תר"ץ</t>
  </si>
  <si>
    <t>לוח עברי טייטש - תרע"ח</t>
  </si>
  <si>
    <t>new</t>
  </si>
  <si>
    <t>נווילנא</t>
  </si>
  <si>
    <t>לוח שנה עיתים לבינה - 68 כר'</t>
  </si>
  <si>
    <t>סופר, דוד אהרן בן יעקב חיים</t>
  </si>
  <si>
    <t>לזמן חרותנו</t>
  </si>
  <si>
    <t>לחג החרות</t>
  </si>
  <si>
    <t>אלפסי, יצחק בן ישראל</t>
  </si>
  <si>
    <t>לחזות בנועם - מעילה</t>
  </si>
  <si>
    <t>לחזות בנועם - 3 כר'</t>
  </si>
  <si>
    <t>התאחדות החבורות צעירי סאדיגורה</t>
  </si>
  <si>
    <t>לחיות במרחב אלוקי</t>
  </si>
  <si>
    <t>לחיות עם הזמן - 5 כר'</t>
  </si>
  <si>
    <t>תש"ע - תשע"ב</t>
  </si>
  <si>
    <t>לחם הפנים</t>
  </si>
  <si>
    <t>קימן, זאב הלוי</t>
  </si>
  <si>
    <t>לחם ושמלה &lt;מהדורה חדשה&gt;</t>
  </si>
  <si>
    <t>לחם רב &lt;זכרון אהרן&gt;</t>
  </si>
  <si>
    <t>די בוטון, אברהם בן משה</t>
  </si>
  <si>
    <t>לחם שמן</t>
  </si>
  <si>
    <t>לחם תנופה</t>
  </si>
  <si>
    <t>ליגמר איניש - כלים א</t>
  </si>
  <si>
    <t>ליהודה ויאמר</t>
  </si>
  <si>
    <t>גייגר, יחזקאל יוסף</t>
  </si>
  <si>
    <t>ליובאוויטש שבליובאוויטש - ו-ז</t>
  </si>
  <si>
    <t>ועד תלמידי התמימים</t>
  </si>
  <si>
    <t>לילה כיום יאיר</t>
  </si>
  <si>
    <t>לימוד החסידות בתומכי תמימים</t>
  </si>
  <si>
    <t>בטאון 'התמים'</t>
  </si>
  <si>
    <t>לימוד הפרשה בליקוטי תורה ותורה אור</t>
  </si>
  <si>
    <t>לימוד סוגיא בתורה עפ"י המקורות - ו</t>
  </si>
  <si>
    <t>קופרמן, יהודה</t>
  </si>
  <si>
    <t>ליקוט בענין בנין בית המקדש והקרבת קרבנות בזמן הזה</t>
  </si>
  <si>
    <t>ליקוט מנהגי הרביים - ליל הסדר</t>
  </si>
  <si>
    <t>געז, אברהם בצלאל</t>
  </si>
  <si>
    <t>ברינוא</t>
  </si>
  <si>
    <t>ליקוט מענות קודש - 4 כר'</t>
  </si>
  <si>
    <t>שניאורסון, מנחם מנדל בן לוי יצחק</t>
  </si>
  <si>
    <t>ליקוט פירושים</t>
  </si>
  <si>
    <t>שניאורסון, לוי יצחק בן ברוך שניאור</t>
  </si>
  <si>
    <t>תשע"ב;</t>
  </si>
  <si>
    <t>ליקוטי דרשות - 2 כר'</t>
  </si>
  <si>
    <t>קרייזווירט, חיים</t>
  </si>
  <si>
    <t>ליקוטי הלכות (לקח טוב)</t>
  </si>
  <si>
    <t>תלמוד בבלי. תרמ"ט. וילנה</t>
  </si>
  <si>
    <t>תרמ"ט</t>
  </si>
  <si>
    <t>ליקוטי הפרשה</t>
  </si>
  <si>
    <t>בלייער, יהודה זאב</t>
  </si>
  <si>
    <t>ליקוטי יהודה - במדבר - ב</t>
  </si>
  <si>
    <t>אלטר, יהודה אריה ליב בן אברהם מרדכי - היינה, יהודה אריה ליב</t>
  </si>
  <si>
    <t>ליקוטי מנחת חינוך - פסח</t>
  </si>
  <si>
    <t>באב"ד, יוסף - גרוסמן, שמואל ראובן - טיברג, ישראל מרדכי</t>
  </si>
  <si>
    <t>ליקוטי מעשרות</t>
  </si>
  <si>
    <t>פאלי, אליהו בן נח</t>
  </si>
  <si>
    <t>ליקוטי עצות - לשון הקודש</t>
  </si>
  <si>
    <t>קויפמן, צבי בן נתן נטע</t>
  </si>
  <si>
    <t>ליקוטי פנינים נבחרים</t>
  </si>
  <si>
    <t>רבינוביץ, יחיאל יהושע בן ירחמיאל צבי</t>
  </si>
  <si>
    <t>ליקוטי קצות החושן - בבא מציעא א</t>
  </si>
  <si>
    <t>הלר, אריה ליב בן יוסף הכהן - ברזל, יוסף צבי</t>
  </si>
  <si>
    <t>ליקוטי שושנים</t>
  </si>
  <si>
    <t>גוטרמאן, משה צבי בן שמעון שלמה</t>
  </si>
  <si>
    <t>ליקוטי תשובות משנת יוסף - מילה</t>
  </si>
  <si>
    <t>רבינוביץ, גמליאל בן אלחנן הכהן (עורך)</t>
  </si>
  <si>
    <t>לך אלי תשוקתי</t>
  </si>
  <si>
    <t>דביר כדורי, אורן</t>
  </si>
  <si>
    <t>לכבוד ראש השנה - 3 כר'</t>
  </si>
  <si>
    <t>ללמדו תורה</t>
  </si>
  <si>
    <t>ללקט שושנים</t>
  </si>
  <si>
    <t>יאקב, שושנה</t>
  </si>
  <si>
    <t>למודי משה - עירובין</t>
  </si>
  <si>
    <t>שפירא, משה</t>
  </si>
  <si>
    <t>למנצח על אילת השחר</t>
  </si>
  <si>
    <t>שטיינמן, אהרן יהודה ליב בן נח צבי (עליו) - גרוסברד, בנימין</t>
  </si>
  <si>
    <t>למעלה למשכיל</t>
  </si>
  <si>
    <t>מועדי ישראל, מחשבה ומוסר, נושאים שונים, תנ"ך</t>
  </si>
  <si>
    <t>למען אחי ורעי</t>
  </si>
  <si>
    <t>סורוצקין, אלחנן בן זלמן</t>
  </si>
  <si>
    <t>למען איתן הנזרק בלהב אש</t>
  </si>
  <si>
    <t>ספר זכרון ליהודה יאיר ברק</t>
  </si>
  <si>
    <t>למען דעת - עבודה זרה</t>
  </si>
  <si>
    <t>למען דעת - אלול תשרי</t>
  </si>
  <si>
    <t>קאהן, דוד בן אברהם יצחק (אדמו"ר מתולדות אהרן)</t>
  </si>
  <si>
    <t>למען ציון לא אחשה - רבי בן ציון הכהן</t>
  </si>
  <si>
    <t>כהן, הילדה</t>
  </si>
  <si>
    <t>למען תזכרו</t>
  </si>
  <si>
    <t>למשה מסיני</t>
  </si>
  <si>
    <t>לעולם אודך - מידת הקנאה</t>
  </si>
  <si>
    <t>פיש, יצחק זאב בן משה שלמה הלוי</t>
  </si>
  <si>
    <t>לעת דודים</t>
  </si>
  <si>
    <t>לוי, דוד</t>
  </si>
  <si>
    <t>לעתים מזומנות</t>
  </si>
  <si>
    <t>ליברמאן, אברהם יצחק</t>
  </si>
  <si>
    <t>הק' תרצ"ג</t>
  </si>
  <si>
    <t>ריגה,</t>
  </si>
  <si>
    <t>לפני המלך</t>
  </si>
  <si>
    <t>לפשוטו של רש"י - במדבר</t>
  </si>
  <si>
    <t>גלברד, שמואל פ.</t>
  </si>
  <si>
    <t>לציון ברחמים</t>
  </si>
  <si>
    <t>לוי, רחמים - לוי, אברהם</t>
  </si>
  <si>
    <t>לקוט אמרים</t>
  </si>
  <si>
    <t>(תרפ"ב)-תרצ"ה</t>
  </si>
  <si>
    <t>לקוטי הלכות &lt;מהדורה ראשונה&gt; - 2 כר'</t>
  </si>
  <si>
    <t>שטרנהארץ, נתן בן נפתלי הירץ</t>
  </si>
  <si>
    <t>תרי"ג</t>
  </si>
  <si>
    <t>לקוטי מהרי"א השלם על ילקוט שמעוני</t>
  </si>
  <si>
    <t>אייכנשטיין, יצחק אייזיק בן יששכר דוב בר</t>
  </si>
  <si>
    <t>לקוטי צבי</t>
  </si>
  <si>
    <t>צבי הירש בן חיים מפיורדא</t>
  </si>
  <si>
    <t>תרכ"ב,</t>
  </si>
  <si>
    <t>לקוטי שמואל</t>
  </si>
  <si>
    <t>מאריס, שמואל</t>
  </si>
  <si>
    <t>לקוטי תפלות ותחנונים</t>
  </si>
  <si>
    <t>גולדשטיין, נחמן בן צבי אריה</t>
  </si>
  <si>
    <t>לקח טוב - ראש השנה</t>
  </si>
  <si>
    <t>דיין, חננאל טוביה בן יששכר</t>
  </si>
  <si>
    <t>לקח טוב - 3 כר'</t>
  </si>
  <si>
    <t>לקחת מוסר - 2 כר'</t>
  </si>
  <si>
    <t>לקט אליהו</t>
  </si>
  <si>
    <t>ברגר, אליהו</t>
  </si>
  <si>
    <t>לקט בעניני חג הפורים</t>
  </si>
  <si>
    <t>לוי, יהושע בן יום טוב</t>
  </si>
  <si>
    <t>לקט בעניני חג הפסח - 2 כר'</t>
  </si>
  <si>
    <t>לקט בעניני ראש השנה</t>
  </si>
  <si>
    <t>לקט בעניני שבועות</t>
  </si>
  <si>
    <t>לקט הלכות ביעור מעשרות</t>
  </si>
  <si>
    <t>רוזנברג, שריאל</t>
  </si>
  <si>
    <t>לקט הלכות ומנהגים - 7 כר'</t>
  </si>
  <si>
    <t>מגיד, יוסף אברהם בן יצחק</t>
  </si>
  <si>
    <t>לקט הלכות יום טוב</t>
  </si>
  <si>
    <t>דינר, יהודה אריה</t>
  </si>
  <si>
    <t>לקט הלכות - 3 כר'</t>
  </si>
  <si>
    <t>סגל, חיים שלום הלוי</t>
  </si>
  <si>
    <t>לקט מאמרים - חנוכה</t>
  </si>
  <si>
    <t>פרוש, שלום חיים בן ליבר מרדכי</t>
  </si>
  <si>
    <t>לקט רשימות - 3 כר'</t>
  </si>
  <si>
    <t>וואכטפויגל, נתן מאיר</t>
  </si>
  <si>
    <t>ליקווד נ. ג' Lakewoo</t>
  </si>
  <si>
    <t>לקט שיעורים &lt;ר"י סלבודקה&gt; - שיעורי הגרד"ל - שיעורי ר' משה הלל הירש - שיעורי רבי יצחק שוורץ - שבת</t>
  </si>
  <si>
    <t>ראשי ישיבת סלבודקה</t>
  </si>
  <si>
    <t>לקט שיעורים &lt;ר"י סלבודקה&gt; - שבת א</t>
  </si>
  <si>
    <t>רוזנברג, ברוך</t>
  </si>
  <si>
    <t>לקט שיעורים &lt;ר"י סלבודקה&gt; - שבת ב</t>
  </si>
  <si>
    <t>שולמן, מרדכי - רוזנברג, ברוך</t>
  </si>
  <si>
    <t>לקט שיעורים - שבת</t>
  </si>
  <si>
    <t>לקראת שבת - 2 כר'</t>
  </si>
  <si>
    <t>איגוד תלמידי הישיבות העולמי</t>
  </si>
  <si>
    <t>לקראת שבת - ב</t>
  </si>
  <si>
    <t>גולדמינץ, אברהם יעקב</t>
  </si>
  <si>
    <t>לקראת שבת</t>
  </si>
  <si>
    <t>לרחוק ולקרוב</t>
  </si>
  <si>
    <t>מאמרים שנאמרו בישיבת באר יעקב</t>
  </si>
  <si>
    <t>לשון זהורית - הגהות והערות</t>
  </si>
  <si>
    <t>לשון חכמים</t>
  </si>
  <si>
    <t>פורת, אפרים</t>
  </si>
  <si>
    <t>לשון מרפא - הלכות רפואה בשבת</t>
  </si>
  <si>
    <t>ווקסמן, ישעיהו לייב</t>
  </si>
  <si>
    <t>לשונות ארגמן - 2 כר'</t>
  </si>
  <si>
    <t>מצגר, חיים יצחק משה</t>
  </si>
  <si>
    <t>לשכנו תדרשו - 2 כר'</t>
  </si>
  <si>
    <t>כהן, יצחק</t>
  </si>
  <si>
    <t>לשלשה באלול - 2 כר'</t>
  </si>
  <si>
    <t>קוק, צבי יהודה בן אברהם יצחק הכהן</t>
  </si>
  <si>
    <t>תרצ"ח-תש"ז</t>
  </si>
  <si>
    <t>לשם מה חייבים רבי - ואתה תצוה בעיון</t>
  </si>
  <si>
    <t>לשעה ולדורות</t>
  </si>
  <si>
    <t>לתולדות ר' שמואל הנגיד</t>
  </si>
  <si>
    <t>פטרבורג</t>
  </si>
  <si>
    <t>לתורה והוראה - 6 כר'</t>
  </si>
  <si>
    <t>בית מדרש לתורה והוראה - ניו יורק</t>
  </si>
  <si>
    <t>מ"י מנוחות - נזקי שכנים ושכירות פועלים</t>
  </si>
  <si>
    <t>ריזל, משה יוסף בן יחיאל זאב</t>
  </si>
  <si>
    <t>מאבני המקום - סוכות</t>
  </si>
  <si>
    <t>ישיבת בית אל</t>
  </si>
  <si>
    <t>מאבני המקום - ב</t>
  </si>
  <si>
    <t>ישראלי, יצחק</t>
  </si>
  <si>
    <t>מאגדות החורבן</t>
  </si>
  <si>
    <t>בן שחר, אברהם יצחק בן אפרים מרדכי</t>
  </si>
  <si>
    <t>מאה שערים ושכונותיה</t>
  </si>
  <si>
    <t>מאהלי תורה - 2 כר'</t>
  </si>
  <si>
    <t>אריאל, יעקב</t>
  </si>
  <si>
    <t>כפר דרום</t>
  </si>
  <si>
    <t>מאוצרותיו של המגיד - פרשת תזריע, פרשת החודש, פסח</t>
  </si>
  <si>
    <t>פערל, שלום</t>
  </si>
  <si>
    <t>מאור אברהם</t>
  </si>
  <si>
    <t>יעקובוביץ, אברהם מאיר בן אהרן</t>
  </si>
  <si>
    <t>מאור ההלכה</t>
  </si>
  <si>
    <t>בורה, אור</t>
  </si>
  <si>
    <t>מאור ושמש השלם - ו</t>
  </si>
  <si>
    <t>אפשטיין, קלונימוס קלמן בן אהרן הלוי</t>
  </si>
  <si>
    <t>מאור חדש</t>
  </si>
  <si>
    <t>אנגל, משה בן שרגא</t>
  </si>
  <si>
    <t>מאורות הגדולים - שיח יצחק - הלולא דצדיקיא</t>
  </si>
  <si>
    <t>רוזנבוים, יצחק אייזיק בן איתמר</t>
  </si>
  <si>
    <t>מאורות - 24 כר'</t>
  </si>
  <si>
    <t>ירחון להזריח אור האמונה בחיינו</t>
  </si>
  <si>
    <t>מאורות</t>
  </si>
  <si>
    <t>(תשט"ז)</t>
  </si>
  <si>
    <t>(תל-אביב),</t>
  </si>
  <si>
    <t>מאורות - 2 כר'</t>
  </si>
  <si>
    <t>תלמידי ישיבת בית אהרן וישראל</t>
  </si>
  <si>
    <t>מאורעות תשע"ז - 2 כר'</t>
  </si>
  <si>
    <t>מאיר דרך 17-21</t>
  </si>
  <si>
    <t>וויל, ישראל מאיר בן אברהם צבי</t>
  </si>
  <si>
    <t>מאיר הלכה - הלכות שבת</t>
  </si>
  <si>
    <t>רבינוביץ, יחיאל מאיר בן גמליאל הכהן</t>
  </si>
  <si>
    <t>מאיר עוז - יא</t>
  </si>
  <si>
    <t>ערבה, מאיר בן מנחם</t>
  </si>
  <si>
    <t>מאיר עין - שופטים</t>
  </si>
  <si>
    <t>איש-שלום, מאיר בן ירמיהו</t>
  </si>
  <si>
    <t>תרנ"א</t>
  </si>
  <si>
    <t>וינה Vienna</t>
  </si>
  <si>
    <t>מאמר אסתר - איסור והיתר</t>
  </si>
  <si>
    <t>אביב, ניר</t>
  </si>
  <si>
    <t>פסגות</t>
  </si>
  <si>
    <t>מאמר בנין ירושלים</t>
  </si>
  <si>
    <t>זילברמן, יצחק שלמה</t>
  </si>
  <si>
    <t>מאמר בענין ימי הגשמים</t>
  </si>
  <si>
    <t>מאמר מנחם</t>
  </si>
  <si>
    <t>טל, אלעזר מנחם מן בן צבי</t>
  </si>
  <si>
    <t>מאמר ציון - 3 כר'</t>
  </si>
  <si>
    <t>מאמר - בזוהר חיי שרה לאו איהי כפילתא</t>
  </si>
  <si>
    <t>שניאור זלמן בן ברוך מלאדי</t>
  </si>
  <si>
    <t>מאמר - כי בועליך עושיך - תרל"ד</t>
  </si>
  <si>
    <t>שניאורסון, שמואל בן מנחם מנדל</t>
  </si>
  <si>
    <t>מאמרי חכמינו בעניני ארץ ישראל</t>
  </si>
  <si>
    <t>הרמן, שמואל צבי</t>
  </si>
  <si>
    <t>יד בנימין</t>
  </si>
  <si>
    <t>מאמרי חנוכה</t>
  </si>
  <si>
    <t>עהרנפלד, יצחק יחיאל בן עקיבא</t>
  </si>
  <si>
    <t>מאמרי כ"ק אדמו"ר מליובאוויטש - א</t>
  </si>
  <si>
    <t>מאמרים קצרים - קובץ ו</t>
  </si>
  <si>
    <t>שניאורסון, מנחם מנדל בן שלום שכנא</t>
  </si>
  <si>
    <t>מאמרים - 3 כר'</t>
  </si>
  <si>
    <t>בורנשטיין - מקובצקי, לאה</t>
  </si>
  <si>
    <t>מאמרים - כתר ארם צובא</t>
  </si>
  <si>
    <t>עופר, יוסף</t>
  </si>
  <si>
    <t>מאמרים - 2 כר'</t>
  </si>
  <si>
    <t>עמנואל, שמחה בן  יונה</t>
  </si>
  <si>
    <t>מאן מלכי רבנן</t>
  </si>
  <si>
    <t>ע, יוסף</t>
  </si>
  <si>
    <t>מאפלה לאורה</t>
  </si>
  <si>
    <t>מאש וממים</t>
  </si>
  <si>
    <t>שטיגל, משה אליעזר (לזכרו)</t>
  </si>
  <si>
    <t>דרושים, נושאים שונים, קבצים וכתבי עת, ספרי זכרון ויובל, שלחן ערוך ומפרשיו, תלמוד בבלי, תלמוד ירושלמי, תנ"ך</t>
  </si>
  <si>
    <t>מבוא השער - שער היחוד והאמונה</t>
  </si>
  <si>
    <t>שפירא, יצחק בן משה</t>
  </si>
  <si>
    <t>מבוא והקדמה לספר פיתוחי חותם על התורה</t>
  </si>
  <si>
    <t>מבוא לקבלת האר"י</t>
  </si>
  <si>
    <t>חסידות, קבלה</t>
  </si>
  <si>
    <t>מבוא לשיטת היסוד בשלבים - 2 כר'</t>
  </si>
  <si>
    <t>קהאן, אבינועם</t>
  </si>
  <si>
    <t>מבוא שערים &lt;מהדורת אהבת שלום&gt;</t>
  </si>
  <si>
    <t>מבחר הערות והארות - ג</t>
  </si>
  <si>
    <t>כולל שבט מיהודה</t>
  </si>
  <si>
    <t>מבחר שיעורי התבוננות - 24 כר'</t>
  </si>
  <si>
    <t>מבט אל החיים - שמות</t>
  </si>
  <si>
    <t>כרייף, רונן</t>
  </si>
  <si>
    <t>מבי מדרשא - כה (בבא קמא)</t>
  </si>
  <si>
    <t>ישיבת עטרת ישראל</t>
  </si>
  <si>
    <t>מבית אבא - פרקי זכרונות מימי ילדות בעיירת מולדתי הוסיאטין</t>
  </si>
  <si>
    <t>אביטוב (בירנבוים), אברהם יצחק</t>
  </si>
  <si>
    <t>מבית לוי - פסח</t>
  </si>
  <si>
    <t>קובץ מבית מדרשו של בעל שבט הלוי</t>
  </si>
  <si>
    <t>מבנה התניא ורעיונות מרכזיים</t>
  </si>
  <si>
    <t>מבצע שפיפון</t>
  </si>
  <si>
    <t>שטרנברג, בת ציון בת שלמה</t>
  </si>
  <si>
    <t>מבצרי הדת</t>
  </si>
  <si>
    <t>רבינוביץ, שמואל יעקב בן יששכר בער</t>
  </si>
  <si>
    <t>מבצרי יהודה - 2 כר'</t>
  </si>
  <si>
    <t>בצרי, יהודה דוד בן משה</t>
  </si>
  <si>
    <t>מבשר טוב - 2 כר'</t>
  </si>
  <si>
    <t>רבינוביץ, בצלאל שמחה מנחם בן ציון</t>
  </si>
  <si>
    <t>מגבעות אשורנו - ב זכרון רחל</t>
  </si>
  <si>
    <t>ישיבת בין הזמנים מגבעות אשרונו</t>
  </si>
  <si>
    <t>מגד גבעות - 2 כר'</t>
  </si>
  <si>
    <t>זלצר, זאב</t>
  </si>
  <si>
    <t>תשל"ז?</t>
  </si>
  <si>
    <t>מגד יעקב - 3 כר'</t>
  </si>
  <si>
    <t>קליימן, יעקב גד בן גרשון</t>
  </si>
  <si>
    <t>מגדל דוד &lt;מהדורה חדשה&gt;</t>
  </si>
  <si>
    <t>ברוקמאן, מרדכי בן מנחם שמעון</t>
  </si>
  <si>
    <t>חסידות, נושאים שונים, תולדות עם ישראל</t>
  </si>
  <si>
    <t>מגדל עז &lt;זכרון אהרן&gt;</t>
  </si>
  <si>
    <t>מגדל עז - מילה והכנסת בנו למלמד</t>
  </si>
  <si>
    <t>מגדל שיר</t>
  </si>
  <si>
    <t>מגיד דבריו ליעקב, עה"ת - 43 כר'</t>
  </si>
  <si>
    <t>מגיד מראשית אחרית</t>
  </si>
  <si>
    <t>ספריית חב"ד, קבלה</t>
  </si>
  <si>
    <t>מגילת איכה &lt;רמז חשבוני&gt;</t>
  </si>
  <si>
    <t>מגילת איכה &lt;על אלה אני בוכיה&gt;</t>
  </si>
  <si>
    <t>מגילת אנטיוכוס &lt;שיח יצחק&gt;</t>
  </si>
  <si>
    <t>אוהב ציון, יצחק בן מרדכי</t>
  </si>
  <si>
    <t>מגילת אנטיוכס</t>
  </si>
  <si>
    <t>מגילת אסתר &lt;מאמר אסתר&gt;- מגילת רות איכה &lt;לקחת מוסר&gt;</t>
  </si>
  <si>
    <t>מגילת אסתר &lt;יפרח כשושנה&gt;</t>
  </si>
  <si>
    <t>מגילת היטלר בצפון אפריקה</t>
  </si>
  <si>
    <t>שרף, מיכל</t>
  </si>
  <si>
    <t>מגילת יוחסין</t>
  </si>
  <si>
    <t>סיימון, שמחה</t>
  </si>
  <si>
    <t>מגילת ספר - דברות שמואל</t>
  </si>
  <si>
    <t>אויערבאך, שמואל בן שלמה זלמן - אייזנטל, אוריאל</t>
  </si>
  <si>
    <t>מגילת רות &lt;אחרי הקוצרים&gt;</t>
  </si>
  <si>
    <t>מגילת רות המבוארת</t>
  </si>
  <si>
    <t>פ. מרדכי</t>
  </si>
  <si>
    <t>מגילת רות - באור בדרך פרדס</t>
  </si>
  <si>
    <t>מגילת שיר השירים &lt;עת דודים&gt;</t>
  </si>
  <si>
    <t>מגילת תולדותיהם של בני לנדא הכהנים</t>
  </si>
  <si>
    <t>מגילת תענית בביטולה</t>
  </si>
  <si>
    <t>מגלה תעלומות</t>
  </si>
  <si>
    <t>הורוויץ, צבי הירש הלוי</t>
  </si>
  <si>
    <t>סט. לואיס,</t>
  </si>
  <si>
    <t>מגלת אסתר הפראגמאטית</t>
  </si>
  <si>
    <t>ריבקין, צבי הירש</t>
  </si>
  <si>
    <t>מגלת אסתר</t>
  </si>
  <si>
    <t>מלבים, מאיר ליבוש בן יחיאל מיכל</t>
  </si>
  <si>
    <t>תר"ה</t>
  </si>
  <si>
    <t>ברעסלויא</t>
  </si>
  <si>
    <t>מגן אבות - מאמר רביעי &lt;ע"פ כת"י&gt;</t>
  </si>
  <si>
    <t>דוראן, שמעון בן צמח</t>
  </si>
  <si>
    <t>מגן ישעך</t>
  </si>
  <si>
    <t>קבלן, רפאל משה</t>
  </si>
  <si>
    <t>שלחן ערוך ומפרשיו, תלמוד בבלי, תלמוד ירושלמי, תנ"ך</t>
  </si>
  <si>
    <t>מדינת ישראל באספקרליה של מרן הראי"ה קוק זצ"ל</t>
  </si>
  <si>
    <t>ליפשיץ, חיים</t>
  </si>
  <si>
    <t>מדרגת האדם בדרכי התשובה</t>
  </si>
  <si>
    <t>הורוויץ, יוסף בן שלמה זלמן זיו</t>
  </si>
  <si>
    <t>מדריך הכשרות - 11 כר'</t>
  </si>
  <si>
    <t>ועד הכשרות של בד"ץ העדה החרדית</t>
  </si>
  <si>
    <t>מדריך כשרות פסח תשמ"א ולכל ימות השנה</t>
  </si>
  <si>
    <t>הרבנות הראשית ירושלים</t>
  </si>
  <si>
    <t>מדריך שמיטה לחקלאים - תשנ"ד</t>
  </si>
  <si>
    <t>מדריך שמיטה לצרכנים - תשנ"ד</t>
  </si>
  <si>
    <t>מדרכי הטהרה</t>
  </si>
  <si>
    <t>לרנר, מרדכי בן שמואל אפרים</t>
  </si>
  <si>
    <t>מדרש אגדה</t>
  </si>
  <si>
    <t>מדרש אגדת בראשית</t>
  </si>
  <si>
    <t>מדרש אור חדש - 2 כר'</t>
  </si>
  <si>
    <t>מדרש אותיות דרבי עקיבא השלם</t>
  </si>
  <si>
    <t>מדרש בראשית זוטא</t>
  </si>
  <si>
    <t>מדרש בראשית רבתי</t>
  </si>
  <si>
    <t>מדרש דחד יומא - ה</t>
  </si>
  <si>
    <t>הוצאת בית יתיר</t>
  </si>
  <si>
    <t>בית יתיר</t>
  </si>
  <si>
    <t>מדרש וביאור איוב עזרא (נחמיה) ודברי הימים</t>
  </si>
  <si>
    <t>מדרש זוטא</t>
  </si>
  <si>
    <t>מדרש חדש</t>
  </si>
  <si>
    <t>מדרש פליאה</t>
  </si>
  <si>
    <t>מדרש פנחס</t>
  </si>
  <si>
    <t>שפירא, פינחס בן אברהם אבא</t>
  </si>
  <si>
    <t>מדרש פתרון תורה</t>
  </si>
  <si>
    <t>מדרש שמואל &lt;אגדת שמואל&gt;</t>
  </si>
  <si>
    <t>מדרש תהלים &lt;שוחר טוב&gt; - 2 כר'</t>
  </si>
  <si>
    <t>מדרש תנחומא (הרגיל והישן) - 4 כר'</t>
  </si>
  <si>
    <t>מדרש תנחומא עם פירוש איל תודה - 2 כר'</t>
  </si>
  <si>
    <t>קפצן, איל בן אברהם</t>
  </si>
  <si>
    <t>מדרשי הלכה ופסקי הרמב"ם</t>
  </si>
  <si>
    <t>לווין, בנימין מנשה בן מאיר</t>
  </si>
  <si>
    <t>מה ה' אלקיך שואל מעמך</t>
  </si>
  <si>
    <t>יוזעף, יצחק זאב בן אברהם</t>
  </si>
  <si>
    <t>מה שחשוב לך לדעת על גיוס בנות</t>
  </si>
  <si>
    <t>זיכל, מאיר</t>
  </si>
  <si>
    <t>מהר"י שטייף - 6 כר'</t>
  </si>
  <si>
    <t>מודעות טבעית</t>
  </si>
  <si>
    <t>מוסדות שארית הפליטה בארץ-ישראל</t>
  </si>
  <si>
    <t>ועד שארית הפליטה בארץ-ישראל</t>
  </si>
  <si>
    <t>מוסף שבת קודש - 63 כר'</t>
  </si>
  <si>
    <t>יתד נאמן</t>
  </si>
  <si>
    <t>מוסר חכמה</t>
  </si>
  <si>
    <t>מוסר יהודי לעומת מוסר נוצרי</t>
  </si>
  <si>
    <t>בן אמוזג, אליהו</t>
  </si>
  <si>
    <t>מועדי אב</t>
  </si>
  <si>
    <t>סורוצקין, מיכאל</t>
  </si>
  <si>
    <t>מועדי ה'</t>
  </si>
  <si>
    <t>אליהו, ארז</t>
  </si>
  <si>
    <t>מועדי ה' - ימים נוראים</t>
  </si>
  <si>
    <t>מורא מלך - קריאת שמע</t>
  </si>
  <si>
    <t>ברלין, אברהם</t>
  </si>
  <si>
    <t>מורה דרכי הרפואה</t>
  </si>
  <si>
    <t>הופלאנד, כריסטוף ווילהלם</t>
  </si>
  <si>
    <t>[תרכ"ט].</t>
  </si>
  <si>
    <t>זיטאמיר,</t>
  </si>
  <si>
    <t>מורה הנבוכים &lt;תרגום אלחריזי&gt; - א</t>
  </si>
  <si>
    <t>מורה הנבוכים עם פירוש הרב אבינר - ב</t>
  </si>
  <si>
    <t>משה בן מימון (רמב"ם) - אבינר, שלמה חיים הכהן</t>
  </si>
  <si>
    <t>מורה נבוכים &lt;תרגום ר"מ לפין&gt;</t>
  </si>
  <si>
    <t>משה בן מימון (הרמב"ם)</t>
  </si>
  <si>
    <t>תקפ"ט</t>
  </si>
  <si>
    <t>זולקווא</t>
  </si>
  <si>
    <t>מורה נבוכים &lt;דפוס למברג&gt; - ג</t>
  </si>
  <si>
    <t>[תרט"ו-תרט"ז].</t>
  </si>
  <si>
    <t>Lemberg,</t>
  </si>
  <si>
    <t>מורה נבוכים &lt;עברית וגרמנית&gt; - ג</t>
  </si>
  <si>
    <t>תקצ"ט</t>
  </si>
  <si>
    <t>פרנקפורט (am Main),</t>
  </si>
  <si>
    <t>מורה נבוכים - מבואר (ב)</t>
  </si>
  <si>
    <t>מוריה - 3 כר'</t>
  </si>
  <si>
    <t>ירחון תורני - מכון ירושלים</t>
  </si>
  <si>
    <t>מורשה - 3 כר'</t>
  </si>
  <si>
    <t>הכמן, משה</t>
  </si>
  <si>
    <t>ירושלים - טורנטו</t>
  </si>
  <si>
    <t>מורשת משה - 6 כר'</t>
  </si>
  <si>
    <t>שטיינהויז, משה בן יעקב</t>
  </si>
  <si>
    <t>מושגים ונידונים - קדשים</t>
  </si>
  <si>
    <t>מותיב ומפרק - חג הסוכות א</t>
  </si>
  <si>
    <t>מזוזות שעריך</t>
  </si>
  <si>
    <t>חסקל, ישראל</t>
  </si>
  <si>
    <t>מזכיר שלום &lt;מהדורת אהבת שלום &gt; א</t>
  </si>
  <si>
    <t>מזכיר שלום &lt;מהדורת אהבת שלום &gt; ב</t>
  </si>
  <si>
    <t>מזכרת רחל</t>
  </si>
  <si>
    <t>מזמור לאסף</t>
  </si>
  <si>
    <t>סימן טוב, אסף</t>
  </si>
  <si>
    <t>מזמור לתודה</t>
  </si>
  <si>
    <t>משפחת מנדלבוים</t>
  </si>
  <si>
    <t>מחברת תשועת ישראל על ידי אסתר</t>
  </si>
  <si>
    <t>מחול הכרמים</t>
  </si>
  <si>
    <t>מחוקק במשענותם - חו"מ</t>
  </si>
  <si>
    <t>שמואליאן, יוסף בן משה</t>
  </si>
  <si>
    <t>מחזור בית אל &lt;מתורגם יהודית&gt; - יום כיפור</t>
  </si>
  <si>
    <t>פינקלשטיין, ה</t>
  </si>
  <si>
    <t>פולין וורשה</t>
  </si>
  <si>
    <t>מחזור זכור לאברהם &lt;כמנהג ק"ק הספרדים בא"י&gt; - 2 כר'</t>
  </si>
  <si>
    <t>זייני, רחמים אליהו בן מאיר (עורך)</t>
  </si>
  <si>
    <t>מחזור לשלשה רגלים מועדי ה' &lt;כמנהג הספרדים בארץ הצבי&gt;</t>
  </si>
  <si>
    <t>מחזקי תורה - ג</t>
  </si>
  <si>
    <t>כוללים צאנז</t>
  </si>
  <si>
    <t>מחל'ב האר"ץ [החדש] - 21</t>
  </si>
  <si>
    <t>בטאון לתורת חכמי ארם צובה</t>
  </si>
  <si>
    <t>מחלב הארץ</t>
  </si>
  <si>
    <t>עבאדי, יוסף בן עזרא (עורך)</t>
  </si>
  <si>
    <t>דרושים, משנה, קבלה, שאלות ותשובות, תלמוד בבלי, תנ"ך</t>
  </si>
  <si>
    <t>מחמדי ארץ - 2 כר'</t>
  </si>
  <si>
    <t>עדני, חיים גד</t>
  </si>
  <si>
    <t>מחנה יוסף - עיונים במשנת רבינו</t>
  </si>
  <si>
    <t>מחנה ישראל</t>
  </si>
  <si>
    <t>מחניים - 8 כר'</t>
  </si>
  <si>
    <t>שבועון דתי לחייל</t>
  </si>
  <si>
    <t>מחקק ספון - 3 כר'</t>
  </si>
  <si>
    <t>בלוך, משה בן אברהם יחזקאל</t>
  </si>
  <si>
    <t>מחקר על המחזור (גרמנית)</t>
  </si>
  <si>
    <t>אדלמן, רפאל</t>
  </si>
  <si>
    <t>שטוטגרט</t>
  </si>
  <si>
    <t>מחקרי ארץ &lt;שו"ת&gt; - ח</t>
  </si>
  <si>
    <t>שעיו, משה רחמים בן אדמון</t>
  </si>
  <si>
    <t>מחקרי ארץ - הלכות צדקה ומעשר</t>
  </si>
  <si>
    <t>מחקרים במסכת קידושין לאור הגירסאות בכתבי יד וראשונים</t>
  </si>
  <si>
    <t>טרויבע, יצחק מאיר</t>
  </si>
  <si>
    <t>מחרוזת</t>
  </si>
  <si>
    <t>בראון, רות  - גור אריה, רות</t>
  </si>
  <si>
    <t>מחשבות לב - א</t>
  </si>
  <si>
    <t>הלפרט, ליבוש בער</t>
  </si>
  <si>
    <t>מחשבת אמונה</t>
  </si>
  <si>
    <t>מחשבת היהדות</t>
  </si>
  <si>
    <t>מחשבת לב - 2 כר'</t>
  </si>
  <si>
    <t>אפשטיין, מרדכי לייב בן יעקב נחום</t>
  </si>
  <si>
    <t>מחשבת שלמה</t>
  </si>
  <si>
    <t>חשס"ג</t>
  </si>
  <si>
    <t>מטה אהרן</t>
  </si>
  <si>
    <t>זיוויטץ, משה שמעון בן יחזקאל</t>
  </si>
  <si>
    <t>מטה אהרן - פסח וסוכה</t>
  </si>
  <si>
    <t>כולל דברי אהרן טעפליק</t>
  </si>
  <si>
    <t>מטה משה &lt;מהדורת זכרון אהרן&gt;</t>
  </si>
  <si>
    <t>מת, משה בן אברהם</t>
  </si>
  <si>
    <t>מטל השמים - הבדלה</t>
  </si>
  <si>
    <t>אברהם, טל</t>
  </si>
  <si>
    <t>מטמוני השבת  - בורר</t>
  </si>
  <si>
    <t>וינד, ישכר דב בן אלחנן</t>
  </si>
  <si>
    <t>מטרת ההגדה</t>
  </si>
  <si>
    <t>מי באר ישעיהו &lt;תליתא&gt;</t>
  </si>
  <si>
    <t>גינצלר, יוסף מרדכי בן יצחק אייזיק</t>
  </si>
  <si>
    <t>מי באר - 2 כר'</t>
  </si>
  <si>
    <t>יעקבזון, חיים מנחם בן ישראל</t>
  </si>
  <si>
    <t>מי הדעת - מקוואות</t>
  </si>
  <si>
    <t>זכאי, יצחק דוד בן אהרן</t>
  </si>
  <si>
    <t>מי הים - רוב וחזקה</t>
  </si>
  <si>
    <t>מינצר, מרדכי</t>
  </si>
  <si>
    <t>מי יזמן</t>
  </si>
  <si>
    <t>מי מנוחות - שו"ת ב</t>
  </si>
  <si>
    <t>מיבול הארץ - ב</t>
  </si>
  <si>
    <t>בוימל, אריה צבי</t>
  </si>
  <si>
    <t>מידות הראיה</t>
  </si>
  <si>
    <t>קוק, אברהם יצחק בן שלמה זלמן הכהן - כרמי, יובל</t>
  </si>
  <si>
    <t>מידע לשידוכים</t>
  </si>
  <si>
    <t>שוורץ, יהודה</t>
  </si>
  <si>
    <t>מיין גענעראל - 2 כר'</t>
  </si>
  <si>
    <t>קליין, ירחמיאל בנימין</t>
  </si>
  <si>
    <t>מילון עזר לספרי הגרי"ד סולובייצ'יק</t>
  </si>
  <si>
    <t>מעוז, איתמר</t>
  </si>
  <si>
    <t>מילי דאבות &lt;מהדורה חדשה&gt;</t>
  </si>
  <si>
    <t>יצחק בן חיים מוולוז'ין</t>
  </si>
  <si>
    <t>מילי דהספידא ליום השלושים</t>
  </si>
  <si>
    <t>נזרית, אורן</t>
  </si>
  <si>
    <t>מילי דהספידא ליום השנה</t>
  </si>
  <si>
    <t>מילי דהספידא על הגאון ר"ד חנוך זילבר</t>
  </si>
  <si>
    <t>קובץ הספדים</t>
  </si>
  <si>
    <t>מילי דחסידותא &lt;מהדורה חדשה&gt;</t>
  </si>
  <si>
    <t>ווארמאן, אברהם דוד בן אשר</t>
  </si>
  <si>
    <t>מילי דעזרא &lt;מהדורת מכון צופה פני דמשק&gt;</t>
  </si>
  <si>
    <t>טאראב, עזרא בן אליהו הכהן</t>
  </si>
  <si>
    <t>מילי דשמעתתא - מזוזה</t>
  </si>
  <si>
    <t>פישר, אהרן</t>
  </si>
  <si>
    <t>מילי מעלייתא</t>
  </si>
  <si>
    <t>ביבר, אברהם זאב</t>
  </si>
  <si>
    <t>מים חיים &lt;מהדורה חדשה&gt; - 2 כר'</t>
  </si>
  <si>
    <t>משאש, יוסף בן חיים</t>
  </si>
  <si>
    <t>מים חיים &lt;מים טהורים&gt; - ד</t>
  </si>
  <si>
    <t>מים חיים &lt;מים קדושים&gt; - ג</t>
  </si>
  <si>
    <t>מים חיים, באר מרים</t>
  </si>
  <si>
    <t>חיון, חיים בן אהליאב</t>
  </si>
  <si>
    <t>הלכה ומנהג, משנה</t>
  </si>
  <si>
    <t>מים עמוקים - ירח האיתנים</t>
  </si>
  <si>
    <t>שפירא, רפאל בן ישראל איסר</t>
  </si>
  <si>
    <t>מים עמוקים, תשובות ראנ"ח &lt;זכרון אהרן&gt; - ב</t>
  </si>
  <si>
    <t>מזרחי, אליהו בן אברהם - אליהו בן חיים</t>
  </si>
  <si>
    <t>מים רבים, רזין דאורייתא, תפארת צבי זאב</t>
  </si>
  <si>
    <t>יחיאל מיכל מזלאטשוב - גולדמן, שלמה מזוועהיל</t>
  </si>
  <si>
    <t>חסידות, תלמוד בבלי, תנ"ך</t>
  </si>
  <si>
    <t>מים שאובים - פסחים</t>
  </si>
  <si>
    <t>מנדל, משה בן יעקב</t>
  </si>
  <si>
    <t>מימיני מיכאל - עירובין</t>
  </si>
  <si>
    <t>פודור, מיכאל בן יוסף הכהן</t>
  </si>
  <si>
    <t>מירא דכיא</t>
  </si>
  <si>
    <t>מרדכי בן יחיאל מיכל הלוי</t>
  </si>
  <si>
    <t>[תרכ"ד].</t>
  </si>
  <si>
    <t>מכון שבתך - 2 כר'</t>
  </si>
  <si>
    <t>מכילתא דרשב"י</t>
  </si>
  <si>
    <t>מדרשי הלכה בהוצאת זכרון אהרן</t>
  </si>
  <si>
    <t>מכילתא - 3 כר'</t>
  </si>
  <si>
    <t>מכתבי אנשי שם</t>
  </si>
  <si>
    <t>גליק, יוסף זליג בן שלמה זלמן</t>
  </si>
  <si>
    <t>(פיטטסבורג),</t>
  </si>
  <si>
    <t>מכתבים מעמק הבכא</t>
  </si>
  <si>
    <t>לנדאו, שרה</t>
  </si>
  <si>
    <t>מכתם לדוד</t>
  </si>
  <si>
    <t>לזכר רבי דוד צבי גרליץ</t>
  </si>
  <si>
    <t>מלא חפנים</t>
  </si>
  <si>
    <t>ת"ר</t>
  </si>
  <si>
    <t>בערלין,</t>
  </si>
  <si>
    <t>מלאך המשיב</t>
  </si>
  <si>
    <t>טיטאצק, יוסף</t>
  </si>
  <si>
    <t>מלאכת מחשבת</t>
  </si>
  <si>
    <t>אקער, מאיר בן מנחם</t>
  </si>
  <si>
    <t>מלאכת שמים</t>
  </si>
  <si>
    <t>שפיץ, דוד</t>
  </si>
  <si>
    <t>מלבושי כבוד ותפארת</t>
  </si>
  <si>
    <t>חיימוביץ, נחום</t>
  </si>
  <si>
    <t>מלון שמושי לתלמוד למדרש ולתרגום - 2 כר'</t>
  </si>
  <si>
    <t>קרוא, ברוך בן יעקב יוסף הלוי</t>
  </si>
  <si>
    <t>מליזענסק לירושלים</t>
  </si>
  <si>
    <t>מפי סופרים וספרים</t>
  </si>
  <si>
    <t>מלך ביפיו</t>
  </si>
  <si>
    <t>מלכות ישראל - 3 כר'</t>
  </si>
  <si>
    <t>רחובות- כפר חב"ד</t>
  </si>
  <si>
    <t>ממגד ירחים - 7 כר'</t>
  </si>
  <si>
    <t>ירחי כלה קרית גן ישראל</t>
  </si>
  <si>
    <t>ממדבר מתנה, תמלוך בכבוד, קנה בשם, פתחי עולם, אילת אהבים</t>
  </si>
  <si>
    <t>ממלכת כהנים</t>
  </si>
  <si>
    <t>קהאן, ראובן אליהו הכהן</t>
  </si>
  <si>
    <t>ממעייני הישועה</t>
  </si>
  <si>
    <t>התאחדות האברכים דקהל יטב לב</t>
  </si>
  <si>
    <t>ממעין מחולה - 5 כר'</t>
  </si>
  <si>
    <t>קובץ ישיבת ההסדר ישיבת נריה</t>
  </si>
  <si>
    <t>שדמות מחולה</t>
  </si>
  <si>
    <t>ממעינות הלוי</t>
  </si>
  <si>
    <t>מכון ממעינות הלוי</t>
  </si>
  <si>
    <t>ממעיני השלום</t>
  </si>
  <si>
    <t>קובץ תורני שאץ</t>
  </si>
  <si>
    <t>אנטווורפן</t>
  </si>
  <si>
    <t>מן העמק - ב</t>
  </si>
  <si>
    <t>כהנוביץ, שלמה זלמן</t>
  </si>
  <si>
    <t>מנבכי הים</t>
  </si>
  <si>
    <t>ספר יובל</t>
  </si>
  <si>
    <t>מנהגי חתם סופר</t>
  </si>
  <si>
    <t>סופר, עקיבא מנחם בן יוחנן</t>
  </si>
  <si>
    <t>מנהגי מהרי"צ הלוי - שבת קודש</t>
  </si>
  <si>
    <t>דינר, יוסף צבי הלוי</t>
  </si>
  <si>
    <t>מנוחה וקדושה &lt;השלם&gt;</t>
  </si>
  <si>
    <t>ישראל איסר בן דוב בר</t>
  </si>
  <si>
    <t>מנוחה טובה - מועדים</t>
  </si>
  <si>
    <t>סולומונס, שמואל ליב</t>
  </si>
  <si>
    <t>מנוחת אברהם</t>
  </si>
  <si>
    <t>שלוסברג, שמואל</t>
  </si>
  <si>
    <t>מנוחת אמת - 2 כר'</t>
  </si>
  <si>
    <t>סני, מרדכי אברהם בן נפתלי</t>
  </si>
  <si>
    <t>מנוחת יעקב - מקוואות</t>
  </si>
  <si>
    <t>מנורת זהב - מזבח הזהב</t>
  </si>
  <si>
    <t>לוריא, שלמה בן יחיאל (מהרש"ל) -שלמה בן מרדכי ממזריטש</t>
  </si>
  <si>
    <t>נושאים שונים, תנ"ך, תפלות בקשות פיוטים ושירה</t>
  </si>
  <si>
    <t>מנחה בלולה - דברים</t>
  </si>
  <si>
    <t>רפאפורט, אברהם מנחם בן יעקב הכהן - די לונזאנו, מנחם בן יהודה</t>
  </si>
  <si>
    <t>תקנ"ה</t>
  </si>
  <si>
    <t>המבורג Hamburg</t>
  </si>
  <si>
    <t>מנחה וזבח</t>
  </si>
  <si>
    <t>וולף, דניאל</t>
  </si>
  <si>
    <t>מנחה לאהרן</t>
  </si>
  <si>
    <t>מנחה לברוך - בשר בחלב, תערובות</t>
  </si>
  <si>
    <t>וידר, ברוך</t>
  </si>
  <si>
    <t>מנחיל אמונה</t>
  </si>
  <si>
    <t>רוגאלין, יהודה ליב בן שרגא</t>
  </si>
  <si>
    <t>פאלטאווא,</t>
  </si>
  <si>
    <t>מנחם משיב נפשי</t>
  </si>
  <si>
    <t>ספר זכרון לרב מנחם ליבמן</t>
  </si>
  <si>
    <t>מנחת אליהו - ב</t>
  </si>
  <si>
    <t>ביטון, אליהו בן חביב</t>
  </si>
  <si>
    <t>מנחת אליהו - 2 כר'</t>
  </si>
  <si>
    <t>שפירא, אליהו נחום בן יחיאל צבי</t>
  </si>
  <si>
    <t>מנחת אלימלך - 2 כר'</t>
  </si>
  <si>
    <t>אללעך, אלימלך</t>
  </si>
  <si>
    <t>מנחת ביכורים - בבא בתרא</t>
  </si>
  <si>
    <t>שמש, ינון בן יעקב</t>
  </si>
  <si>
    <t>מנחת בכורים</t>
  </si>
  <si>
    <t>וינא,</t>
  </si>
  <si>
    <t>מנחת דוד - 4 כר'</t>
  </si>
  <si>
    <t>ליפקוביץ, משה דוד</t>
  </si>
  <si>
    <t>מנחת חינוך עם בשולי המנחה - ה</t>
  </si>
  <si>
    <t>באב"ד, יוסף</t>
  </si>
  <si>
    <t>מנחת חן</t>
  </si>
  <si>
    <t>ווייס, צבי אלימלך</t>
  </si>
  <si>
    <t>מנחת יעקב ישראל</t>
  </si>
  <si>
    <t>קדוש, יעקב ישראל בן יוסף</t>
  </si>
  <si>
    <t>מנחת יעקב - חו"מ סימנים א-עה</t>
  </si>
  <si>
    <t>ווייסמאן, יעקב בן ישראל צבי</t>
  </si>
  <si>
    <t>מנחת יצחק - שידוכים ונישואין</t>
  </si>
  <si>
    <t>ווייס, יצחק יעקב בן יוסף יהודה</t>
  </si>
  <si>
    <t>מנחת יצחק</t>
  </si>
  <si>
    <t>זסלנסקי, אהרן יצחק בן ראובן</t>
  </si>
  <si>
    <t>הלכה ומנהג, מחשבה ומוסר, נושאים שונים</t>
  </si>
  <si>
    <t>מנחת ישראל - כיבוד אב ואם</t>
  </si>
  <si>
    <t>דרוק, ישראל חיים בן זלמן</t>
  </si>
  <si>
    <t>מנחת נחשון</t>
  </si>
  <si>
    <t>שילר, נחשון בן נטע</t>
  </si>
  <si>
    <t>מנחת נתנאל</t>
  </si>
  <si>
    <t>מנחת נתנאל - ב"ק, קידושין</t>
  </si>
  <si>
    <t>משולם, נתנאל בן יצחק</t>
  </si>
  <si>
    <t>מנחת ערב - ערבי פסחים</t>
  </si>
  <si>
    <t>פריד, ירחמיאל דוד בן נחמן צבי</t>
  </si>
  <si>
    <t>תלמוד בבלי, תפלות בקשות פיוטים ושירה</t>
  </si>
  <si>
    <t>מנחת פרי &lt;שו"ת&gt; - 2 כר'</t>
  </si>
  <si>
    <t>רוטנברג, ישעיהו פנחס בן אליעזר שרגא</t>
  </si>
  <si>
    <t>מנחת ציבור - קינים</t>
  </si>
  <si>
    <t>מנחת ציון - פסח</t>
  </si>
  <si>
    <t>בבצ'יק, בן ציון</t>
  </si>
  <si>
    <t>קרית גת</t>
  </si>
  <si>
    <t>מנחת ראובן - עירובין</t>
  </si>
  <si>
    <t>יעקובוביץ, ראובן</t>
  </si>
  <si>
    <t>מנחת רפאל - 3 כר'</t>
  </si>
  <si>
    <t>סקירה, רפאל</t>
  </si>
  <si>
    <t>מנחת שאול - 4 כר'</t>
  </si>
  <si>
    <t>סעיד, שאול דניאל</t>
  </si>
  <si>
    <t>מנחת שי - ספר זכרון</t>
  </si>
  <si>
    <t>לזכר הרב שאול יעקב כהן</t>
  </si>
  <si>
    <t>מנחת שי - 5 כר'</t>
  </si>
  <si>
    <t>שלטי, יצחק בן אליהו</t>
  </si>
  <si>
    <t>מנחת שלום - סנהדרין, מכות</t>
  </si>
  <si>
    <t>יפרח, שלום בן מאיר</t>
  </si>
  <si>
    <t>מנחת שמעון</t>
  </si>
  <si>
    <t>מנחת תודה - דמאי</t>
  </si>
  <si>
    <t>פולק, צבי בן גרשון מאיר</t>
  </si>
  <si>
    <t>מסביב לשלחן - 43 כר'</t>
  </si>
  <si>
    <t>רוזנשטיין, שלמה (עורך)</t>
  </si>
  <si>
    <t>מסורה - כז</t>
  </si>
  <si>
    <t>מסורת התנ"ך - 3 כר'</t>
  </si>
  <si>
    <t>העליר, חיים</t>
  </si>
  <si>
    <t>מסילה - 1</t>
  </si>
  <si>
    <t>העיתון לבית היהודי</t>
  </si>
  <si>
    <t>מסיני עד נבו</t>
  </si>
  <si>
    <t>בק, שמואל יהושע בן דב</t>
  </si>
  <si>
    <t>מסכת אבות &lt;ספורנו&gt; עם ביאור תורת עבדי אבות</t>
  </si>
  <si>
    <t>קרביץ, משה בן יעקב מאיר</t>
  </si>
  <si>
    <t>מסכת אבות עם פירוש בני יששכר</t>
  </si>
  <si>
    <t>מסכת בבא מציעא פרק המפקיד תרוגם אנגלי עם ביאור</t>
  </si>
  <si>
    <t>מרקוס, יוסף בן ראובן</t>
  </si>
  <si>
    <t>בוסטון</t>
  </si>
  <si>
    <t>מסכת ביצה &lt;עם פירוש יידיש כפי רש"י ומלבי"ם&gt;</t>
  </si>
  <si>
    <t>דריליך, שלמה בן בצלאל</t>
  </si>
  <si>
    <t>מסכת ביצה עם הלכה ברורה</t>
  </si>
  <si>
    <t>קוק, אברהם יצחק בן שלמה זלמן</t>
  </si>
  <si>
    <t>מסכת ברכות מן הגניזה</t>
  </si>
  <si>
    <t>כ"ץ, אברהם יצחק בן ראובן (מהדיר)</t>
  </si>
  <si>
    <t>מסכת ברכות - על פי כתבי יד ודפוסים ראשונים</t>
  </si>
  <si>
    <t>פרפרקוביץ', נחמיה</t>
  </si>
  <si>
    <t>תרס"ט,</t>
  </si>
  <si>
    <t>סאנקט פעטערסבורג,</t>
  </si>
  <si>
    <t>מסכת חגיגה</t>
  </si>
  <si>
    <t>תלמוד בבלי. ר"מ. ואדי אל חג'ארה</t>
  </si>
  <si>
    <t>מסכת מדות &lt;שחזור נוסח קדום, שינוי נוסח וסרטוטי המקדש&gt;</t>
  </si>
  <si>
    <t>קאופמן, אשר זעליג</t>
  </si>
  <si>
    <t>מסכת ציצית עם עין משפט ונר מצוה</t>
  </si>
  <si>
    <t>טנר, דוד פנחס</t>
  </si>
  <si>
    <t>מסכת קינים &lt;יוסף לקח&gt;</t>
  </si>
  <si>
    <t>דוידוביץ, יוסף</t>
  </si>
  <si>
    <t>מסכת קנים עם פירוש יוסף לקח</t>
  </si>
  <si>
    <t>מסכת שקלים מן תלמוד ירושלמי - ביאור באנגלית</t>
  </si>
  <si>
    <t>שולמן, יעקב בן שמריהו</t>
  </si>
  <si>
    <t>תלמוד ירושלמי</t>
  </si>
  <si>
    <t>מסכת תענית</t>
  </si>
  <si>
    <t>מסנני המים בשבת</t>
  </si>
  <si>
    <t>מורגנשטרן, ישראל מאיר בן דוד אריה</t>
  </si>
  <si>
    <t>מסע התשובה והאהבה</t>
  </si>
  <si>
    <t>נחמני, משה יהודה בן מרדכי</t>
  </si>
  <si>
    <t>מחשבה ומוסר, נושאים שונים, תולדות עם ישראל</t>
  </si>
  <si>
    <t>מסתרי האגדה - א</t>
  </si>
  <si>
    <t>וולמאן, מנחם מנדל בן אליהו</t>
  </si>
  <si>
    <t>תרפ"ד-תר"ץ</t>
  </si>
  <si>
    <t>ורשה-תל אביב,</t>
  </si>
  <si>
    <t>מעדני ארץ - מסכת שביעית</t>
  </si>
  <si>
    <t>אוירבאך, שלמה זלמן בן חיים יהודה ליב</t>
  </si>
  <si>
    <t>מעדני אשר - ו חול המועד</t>
  </si>
  <si>
    <t>לונצר, אשר צבי בן יהודה מיכאל</t>
  </si>
  <si>
    <t>מעדני אשר - 4 כר'</t>
  </si>
  <si>
    <t>שוורץ, אשר אנשיל</t>
  </si>
  <si>
    <t>מעדני השלחן - סימנים א-כ</t>
  </si>
  <si>
    <t>רבינוביץ, לוי בן גמליאל הכהן</t>
  </si>
  <si>
    <t>מעדני יום טוב - 6 כר'</t>
  </si>
  <si>
    <t>זנגר, יום טוב בן יעקב ישראל</t>
  </si>
  <si>
    <t>מעדני מלך - על התורה והגדה ש"פ</t>
  </si>
  <si>
    <t>הורוויץ, אשר ישעיהו בן מאיר</t>
  </si>
  <si>
    <t>מעדני מלכים - ב</t>
  </si>
  <si>
    <t>מעדני משה</t>
  </si>
  <si>
    <t>יפה, משה דוב</t>
  </si>
  <si>
    <t>מעדני סופר</t>
  </si>
  <si>
    <t>מעיין גנים - 5 כר'</t>
  </si>
  <si>
    <t>תשס"ב - תשע"א</t>
  </si>
  <si>
    <t>מעיין המקום - יומא, כתובות</t>
  </si>
  <si>
    <t>וסרטיל, יאיר</t>
  </si>
  <si>
    <t>מעיין שמואל</t>
  </si>
  <si>
    <t>וייס, שמואל מאיר בן דוד</t>
  </si>
  <si>
    <t>מעיינו מים - פסחים</t>
  </si>
  <si>
    <t>ישועה יוסף מ - עמר, יהודה</t>
  </si>
  <si>
    <t>מעיינות הרים - כח</t>
  </si>
  <si>
    <t>מוסדות זוועהיל ירושלים</t>
  </si>
  <si>
    <t>מעייני יעקב - 3 כר'</t>
  </si>
  <si>
    <t>גולדשטיין, שמואל יעקב בן אליעזר יצחק</t>
  </si>
  <si>
    <t>מעיל צדקה &lt;זכרון אהרן&gt;</t>
  </si>
  <si>
    <t>מעין גנים - דברים</t>
  </si>
  <si>
    <t>אסולין, שלמה</t>
  </si>
  <si>
    <t>מעין גנים - 2 כר'</t>
  </si>
  <si>
    <t>מעין התורה</t>
  </si>
  <si>
    <t>מעין חיים, נחלי חיים, באר חיים</t>
  </si>
  <si>
    <t>חרל"פ, חיים זבולון בן יעקב משה</t>
  </si>
  <si>
    <t>הלכה ומנהג, נושאים שונים, שאלות ותשובות, תנ"ך</t>
  </si>
  <si>
    <t>מעין יוסף - נדה</t>
  </si>
  <si>
    <t>קוהוט, ישעיהו</t>
  </si>
  <si>
    <t>מעלות המדות &lt;מהדורה חדשה&gt;</t>
  </si>
  <si>
    <t>עניו, יחיאל בן יקותיאל</t>
  </si>
  <si>
    <t>מעלות התורה והמצוה</t>
  </si>
  <si>
    <t>אורדמאן, משולם שאול בן שרגא</t>
  </si>
  <si>
    <t>קידן Kedainiai</t>
  </si>
  <si>
    <t>מעלית אוטמטית בשבת</t>
  </si>
  <si>
    <t>מעלת היסורים</t>
  </si>
  <si>
    <t>סובר, שבתי בן אריה ליב</t>
  </si>
  <si>
    <t>מעלת מספר ששים</t>
  </si>
  <si>
    <t>מעלת עלינו לשבח</t>
  </si>
  <si>
    <t>זביחי, פנחס בן רפאל</t>
  </si>
  <si>
    <t>מחשבה ומוסר, תפלות בקשות פיוטים ושירה</t>
  </si>
  <si>
    <t>מעמדו של הפועל במקרא</t>
  </si>
  <si>
    <t>לויאן, משה</t>
  </si>
  <si>
    <t>מעמק הבכא</t>
  </si>
  <si>
    <t>אלפסי, יצחק (עורך)</t>
  </si>
  <si>
    <t>מענה פיו - אורח חיים</t>
  </si>
  <si>
    <t>סרי, יורם</t>
  </si>
  <si>
    <t>מענה רך &lt;מהדורה חדשה&gt;</t>
  </si>
  <si>
    <t>מערכי המשפט - ירושה</t>
  </si>
  <si>
    <t>בורכוב, יונתן</t>
  </si>
  <si>
    <t>מערכי לב</t>
  </si>
  <si>
    <t>אלקבץ, אברהם יצחק</t>
  </si>
  <si>
    <t>מערכי לב - 2 כר'</t>
  </si>
  <si>
    <t>מערכת יסוד איתן</t>
  </si>
  <si>
    <t>ישיבה גדולה ומתיבתא דרבינו יואל</t>
  </si>
  <si>
    <t>מערכת פלך השתיקה ופלך ההודיה</t>
  </si>
  <si>
    <t>מעשה אלפס - לשמוע בלמודים</t>
  </si>
  <si>
    <t>אלפס, בן ציון בן ירמיהו עקיבא</t>
  </si>
  <si>
    <t>תרצ"א</t>
  </si>
  <si>
    <t>מעשה בראשית בשלשה</t>
  </si>
  <si>
    <t>מעשה השבת - ב</t>
  </si>
  <si>
    <t>כהן, אליה רפאל בן אפרים</t>
  </si>
  <si>
    <t>מעשה נורא</t>
  </si>
  <si>
    <t>מעשה יוסף די לה ריינה. תרס"ה</t>
  </si>
  <si>
    <t>תרס"ה,</t>
  </si>
  <si>
    <t>מעשה ניסים</t>
  </si>
  <si>
    <t>ניסים, יהודה</t>
  </si>
  <si>
    <t>מעשה נסים</t>
  </si>
  <si>
    <t>ווברמן, משה</t>
  </si>
  <si>
    <t>מעשה רקם - דברים</t>
  </si>
  <si>
    <t>בר, קלמן מאיר</t>
  </si>
  <si>
    <t>מעשה שהיה</t>
  </si>
  <si>
    <t>מזרחי, ראובן רועי</t>
  </si>
  <si>
    <t>מעשיות נוראים ונפלאים</t>
  </si>
  <si>
    <t>שנקל, אלעזר בן יעקב</t>
  </si>
  <si>
    <t>תרנ"ו,</t>
  </si>
  <si>
    <t>מפגשים בין יהדות מדע וטכנולוגיה</t>
  </si>
  <si>
    <t>קושלבסקי, אברהם פנחס</t>
  </si>
  <si>
    <t>מפי העם</t>
  </si>
  <si>
    <t>בן יעקב, אברהם</t>
  </si>
  <si>
    <t>מפי זרעו</t>
  </si>
  <si>
    <t>פשווזמן, פינחס מנחם (לזכרו)</t>
  </si>
  <si>
    <t>מפני מה אסור להשתתף בבחירות</t>
  </si>
  <si>
    <t>בלוי, עמרם בן שלמה יצחק</t>
  </si>
  <si>
    <t>מפניני הרמב"ם</t>
  </si>
  <si>
    <t>[תרצ"-,</t>
  </si>
  <si>
    <t>[ברוקלין],</t>
  </si>
  <si>
    <t>מפסקי הרב עזיאל במבחן הזמן - 2 כר'</t>
  </si>
  <si>
    <t>עוזיאל, בן-ציון מאיר חי בן יוסף רפאל</t>
  </si>
  <si>
    <t>מפסקי ישראל</t>
  </si>
  <si>
    <t>יפרח, ישראל</t>
  </si>
  <si>
    <t>מפעלות צדיקים החדש</t>
  </si>
  <si>
    <t>יוסף בן א</t>
  </si>
  <si>
    <t>תרס"א,</t>
  </si>
  <si>
    <t>מפרי פי איש השלם - 2 כר'</t>
  </si>
  <si>
    <t>הלכה ומנהג, משנה, קבלה, שאלות ותשובות, שאר ספרי חז"ל, שלחן ערוך ומפרשיו, תלמוד בבלי, תלמוד ירושלמי, תנ"ך</t>
  </si>
  <si>
    <t>מפתח הפרנסה</t>
  </si>
  <si>
    <t>מפתח למאמרי הלכה ומאמרי אגדה - ראש השנה</t>
  </si>
  <si>
    <t>גלבארט, ברוך בן צבי מאיר</t>
  </si>
  <si>
    <t>תרצ"א - תרצ"ב</t>
  </si>
  <si>
    <t>לודז' Lodz</t>
  </si>
  <si>
    <t>מפתחות על מסכת נדה מספר חוות דעת וסדרי טהרה</t>
  </si>
  <si>
    <t>רביץ, יחיאל מרדכי בן ראובן</t>
  </si>
  <si>
    <t>מצא חן - שליח ציבור</t>
  </si>
  <si>
    <t>גולדברג, יצחק אייזיק ברוך בן מנחם צבי אלימלך</t>
  </si>
  <si>
    <t>מצבת פנחס</t>
  </si>
  <si>
    <t>בק, בנימין הכהן</t>
  </si>
  <si>
    <t>מצד עצמם</t>
  </si>
  <si>
    <t>כנרתי, עמיחי</t>
  </si>
  <si>
    <t>מצוות השם</t>
  </si>
  <si>
    <t>מצוות התורה</t>
  </si>
  <si>
    <t>יונה, מרדכי בן שלמה</t>
  </si>
  <si>
    <t>מועדי ישראל, נושאים שונים, תפלות בקשות פיוטים ושירה</t>
  </si>
  <si>
    <t>מצוות כרימון</t>
  </si>
  <si>
    <t>סרלואי, שמואל מנחם</t>
  </si>
  <si>
    <t>מצוותי תשמורו - תורה ותרי"ג מצוות</t>
  </si>
  <si>
    <t>שרים, עזרא בן משה</t>
  </si>
  <si>
    <t>הלכה ומנהג, תנ"ך</t>
  </si>
  <si>
    <t>מצוותיך אמונה - 5 כר'</t>
  </si>
  <si>
    <t>מצות כיבוד הורים</t>
  </si>
  <si>
    <t>הלכה ומנהג, חסידות, נושאים שונים</t>
  </si>
  <si>
    <t>מצותיך שעשועי</t>
  </si>
  <si>
    <t>לאנדא, יואל</t>
  </si>
  <si>
    <t>מציאות קטן</t>
  </si>
  <si>
    <t>מציאת עצי היער</t>
  </si>
  <si>
    <t>מציץ מן החרכים - 2 כר'</t>
  </si>
  <si>
    <t>מקדמי ארץ - 4 כר'</t>
  </si>
  <si>
    <t>ישיבת קדומים</t>
  </si>
  <si>
    <t>קבצים וכתבי עת, ספרי זכרון ויובל, תלמוד בבלי, תנ"ך</t>
  </si>
  <si>
    <t>מקדש יחזקאל - מעילה</t>
  </si>
  <si>
    <t>ראטער, יחזקאל בן אהרן ישעיה</t>
  </si>
  <si>
    <t>מקוה ישראל</t>
  </si>
  <si>
    <t>וולודורסקי, ישראל בן חיים חייקיל</t>
  </si>
  <si>
    <t>כחלון, רפאל בן אליהו</t>
  </si>
  <si>
    <t>מושב יציץ</t>
  </si>
  <si>
    <t>מקור הברכה - 3 כר'</t>
  </si>
  <si>
    <t>פליישמן, ישעיהו</t>
  </si>
  <si>
    <t>מקור החיים</t>
  </si>
  <si>
    <t>שולמאן, חיים בן  שמריהו</t>
  </si>
  <si>
    <t>מקור חיים</t>
  </si>
  <si>
    <t>לורברבוים, יעקב בן יעקב משה</t>
  </si>
  <si>
    <t>תקצ"ז,</t>
  </si>
  <si>
    <t>זאלקווא,</t>
  </si>
  <si>
    <t>מקרא העדה - 3 כר'</t>
  </si>
  <si>
    <t>גרינצייג, אליהו בן חיים</t>
  </si>
  <si>
    <t>מקראות שיש להם הכרע</t>
  </si>
  <si>
    <t>ברויאר, מרדכי בן שמשון</t>
  </si>
  <si>
    <t>מקראי קודש - במדבר</t>
  </si>
  <si>
    <t>חבורת חומש בבית המדרש ערוך לנר רמת שלמה ירושלים</t>
  </si>
  <si>
    <t>מקראי קודש</t>
  </si>
  <si>
    <t>ששון, מרדכי בן שמחה</t>
  </si>
  <si>
    <t>מר דרור חמש מאות</t>
  </si>
  <si>
    <t>מראה אור - 3 כר'</t>
  </si>
  <si>
    <t>מראה אליהו - 2 כר'</t>
  </si>
  <si>
    <t>קסלר, אליהו בן שמחה</t>
  </si>
  <si>
    <t>מראה דעה</t>
  </si>
  <si>
    <t>נויפלד, גבריאל חיים צבי</t>
  </si>
  <si>
    <t>מראה המלאכות</t>
  </si>
  <si>
    <t>דרבקין, צבי בן אליהו</t>
  </si>
  <si>
    <t>מראה יחזקאל</t>
  </si>
  <si>
    <t>ליפקוביץ, יחזקאל בן משה דוד</t>
  </si>
  <si>
    <t>מראה כהן</t>
  </si>
  <si>
    <t>לזכר רבי אהרן הכהן בייפוס</t>
  </si>
  <si>
    <t>מראה קנים - קן מפורשת</t>
  </si>
  <si>
    <t>וולף,טוביה- גוטמאכר, אליהו בן שלמה</t>
  </si>
  <si>
    <t>מראי מקומות וציונים - דברים</t>
  </si>
  <si>
    <t>מראי מקומות</t>
  </si>
  <si>
    <t>מראי מקומות על ספר עבודת הקרבנות - 2 כר'</t>
  </si>
  <si>
    <t>בית מדרש גבוה לכהנים</t>
  </si>
  <si>
    <t>מראי מקומות - מסכת מידות</t>
  </si>
  <si>
    <t>מראש מקדם</t>
  </si>
  <si>
    <t>מרבדי חן</t>
  </si>
  <si>
    <t>דהן, יוסף בן מרדכי</t>
  </si>
  <si>
    <t>מרבה חיים</t>
  </si>
  <si>
    <t>מרבה ספרים מרבה חכמה</t>
  </si>
  <si>
    <t>סמינר למורות וגננות בית יעקב תל אביב</t>
  </si>
  <si>
    <t>מרגניתא דרבי מאיר</t>
  </si>
  <si>
    <t>קובץ הדרכה בעניני צניעות</t>
  </si>
  <si>
    <t>מרדכי עמנואל נח</t>
  </si>
  <si>
    <t>רייזין, מרדכי זאב בן אהרן שלמה</t>
  </si>
  <si>
    <t>מרכבו ארגמן</t>
  </si>
  <si>
    <t>דוד, סימן טוב בן דוד</t>
  </si>
  <si>
    <t>מרכבות ארגמן &lt;תורה&gt; - בראשית</t>
  </si>
  <si>
    <t>אליהו, מאיר</t>
  </si>
  <si>
    <t>מרכבות ארגמן - 2 כר'</t>
  </si>
  <si>
    <t>מרכבת אליהו</t>
  </si>
  <si>
    <t>מרן הגאון רבי אהרן קוטלר</t>
  </si>
  <si>
    <t>מרעה טוב</t>
  </si>
  <si>
    <t>אדיריה, פנחס</t>
  </si>
  <si>
    <t>מרפא לנפש - 2 כר'</t>
  </si>
  <si>
    <t>פוטרמן, שמעון אלעזר בן יוסף</t>
  </si>
  <si>
    <t>מרפא לעצם</t>
  </si>
  <si>
    <t>פרחי, יצחק בן שלמה</t>
  </si>
  <si>
    <t>תרנ"ב</t>
  </si>
  <si>
    <t>בגדאד,</t>
  </si>
  <si>
    <t>מרפא לשון - ג</t>
  </si>
  <si>
    <t>קובץ בעניני שמירת הלשון</t>
  </si>
  <si>
    <t>משא המלך - או"ח סימנים קנ"ח-ר"מ</t>
  </si>
  <si>
    <t>אברג'ל, מרדכי שמעון</t>
  </si>
  <si>
    <t>משא יהודה</t>
  </si>
  <si>
    <t>זלצר, יהודה ליב בן יצחק</t>
  </si>
  <si>
    <t>משאת אברהם - 2 כר'</t>
  </si>
  <si>
    <t>דיין, אברהם ישראל בן בניהו</t>
  </si>
  <si>
    <t>משאת אחי - שבת, ביצה</t>
  </si>
  <si>
    <t>קוסובסקי שחור, אחיה בן עמנואל</t>
  </si>
  <si>
    <t>משאת בנימין &lt;זכרון אהרן מהדורה מתוקנת&gt;</t>
  </si>
  <si>
    <t>סולניק, בנימין אהרן בן אברהם</t>
  </si>
  <si>
    <t>משאת וארוחה</t>
  </si>
  <si>
    <t>משאת כפי - יא</t>
  </si>
  <si>
    <t>משאת לוי</t>
  </si>
  <si>
    <t>רודרמאן, יעקב יצחק בן יהודה ליב הלוי</t>
  </si>
  <si>
    <t>משביר בר</t>
  </si>
  <si>
    <t>כהן, יוסף שלמה בן משה</t>
  </si>
  <si>
    <t>משביר ברכה</t>
  </si>
  <si>
    <t>משביר זרע - שביעית</t>
  </si>
  <si>
    <t>משבצות חיים - 4 כר'</t>
  </si>
  <si>
    <t>מנדל, חיים מאיר</t>
  </si>
  <si>
    <t>משה רבנו אדון הנביאים</t>
  </si>
  <si>
    <t>סיטון, עזרא</t>
  </si>
  <si>
    <t>משוש כל הארץ</t>
  </si>
  <si>
    <t>משיב נפש</t>
  </si>
  <si>
    <t>עומסי, יחיא</t>
  </si>
  <si>
    <t>תימן</t>
  </si>
  <si>
    <t>משיעורי הגרב"צ פלמן -ג הפרשת תרו"מ</t>
  </si>
  <si>
    <t>פלמן, שלום בן ציון</t>
  </si>
  <si>
    <t>משכיל לאיתן - א</t>
  </si>
  <si>
    <t>גלביין, משה בן יעקב יוסף</t>
  </si>
  <si>
    <t>מחשבה ומוסר, שלחן ערוך ומפרשיו, תנ"ך</t>
  </si>
  <si>
    <t>משכיל לאסף - 2 כר'</t>
  </si>
  <si>
    <t>גולדשטיין, אסף בן יהושע</t>
  </si>
  <si>
    <t>משכיל לאסף</t>
  </si>
  <si>
    <t>לזכר רבי איסר פרנקל</t>
  </si>
  <si>
    <t>משכיל לדוד - 2 כר'</t>
  </si>
  <si>
    <t>משכן אהרן - סוכה</t>
  </si>
  <si>
    <t>שטיין, אהרון בן פסח</t>
  </si>
  <si>
    <t>ווילקלף אוהיו</t>
  </si>
  <si>
    <t>משכן גבריאל - שבת ג</t>
  </si>
  <si>
    <t>קובץ כולל משכן גבריאל</t>
  </si>
  <si>
    <t>משכן הראל</t>
  </si>
  <si>
    <t>בן דוד, הראל</t>
  </si>
  <si>
    <t>משכן וכליו ע"פ חסידות</t>
  </si>
  <si>
    <t>פריז</t>
  </si>
  <si>
    <t>משכן שלום - 2 כר'</t>
  </si>
  <si>
    <t>סגל, שלום מרדכי בן שמעון אליעזר ליפא הלוי</t>
  </si>
  <si>
    <t>משכן שלום - הלכות שמחות</t>
  </si>
  <si>
    <t>קובץ כולל נחלי צדיק</t>
  </si>
  <si>
    <t>משכנות ידידיה - ד</t>
  </si>
  <si>
    <t>גרוסברג, ידידיה בן ירוחם פישל</t>
  </si>
  <si>
    <t>משכני אחריך</t>
  </si>
  <si>
    <t>משל סופרים - שכירות</t>
  </si>
  <si>
    <t>לוי, מנחם שלמה בן מאיר</t>
  </si>
  <si>
    <t>משלחן יהודה</t>
  </si>
  <si>
    <t>שפיץ, יהודה בצלאל בן מאניש אברהם</t>
  </si>
  <si>
    <t>משמרת הבית - בישולי עכו"ם וחלב עכו"ם, יין נסך</t>
  </si>
  <si>
    <t>משמרת הזמנים</t>
  </si>
  <si>
    <t>גוטשטיין, חיים משה בנימין בן אברהם שלמה</t>
  </si>
  <si>
    <t>משמרת הקדש</t>
  </si>
  <si>
    <t>משמרת הקודש - הלכות תערובות</t>
  </si>
  <si>
    <t>משמרת כהן - 8 כר'</t>
  </si>
  <si>
    <t>דויטש, ברוך שמואל הכהן</t>
  </si>
  <si>
    <t>מחשבה ומוסר, קבצים וכתבי עת, ספרי זכרון ויובל</t>
  </si>
  <si>
    <t>משמרת לתורה</t>
  </si>
  <si>
    <t>אסופת דברי רבותינו בענין פגעי הטכנולוגיה</t>
  </si>
  <si>
    <t>משנה ברורה &lt;מאורות&gt; - א</t>
  </si>
  <si>
    <t>כהן, ישראל מאיר בן אריה זאב - בוכריס עוזיאל</t>
  </si>
  <si>
    <t>משנה ברורה &lt;אור המזרח&gt; - ב</t>
  </si>
  <si>
    <t>כהן, ישראל מאיר בן אריה זאב - מכון ירושלים</t>
  </si>
  <si>
    <t>משנה ברורה &lt;משנה אחרונה&gt; - 2 כר'</t>
  </si>
  <si>
    <t>משנה כסף על הרמב"ם</t>
  </si>
  <si>
    <t>כולי, יעקב בן מכיר</t>
  </si>
  <si>
    <t>משנה לחם</t>
  </si>
  <si>
    <t>שטיינברג, ראובן חיים שמעון הלוי</t>
  </si>
  <si>
    <t>משנה שלמה - 8 כר'</t>
  </si>
  <si>
    <t>שיפמן, שלמה</t>
  </si>
  <si>
    <t>משניות מסכת ברכות עם תרגום הולנדית ועם הערות</t>
  </si>
  <si>
    <t>טל, צדוק בן משה טוביה</t>
  </si>
  <si>
    <t>משניות עם ביאור מים טהורים - פרה</t>
  </si>
  <si>
    <t>גוטמן, צבי</t>
  </si>
  <si>
    <t>משנת אליעזר - 3 כר'</t>
  </si>
  <si>
    <t>עקשטיין, אליעזר שמעון</t>
  </si>
  <si>
    <t>משנת בבא מציעא</t>
  </si>
  <si>
    <t>גרבוז, איתמר בן אברהם נח</t>
  </si>
  <si>
    <t>משנת ברוך - 3 כר'</t>
  </si>
  <si>
    <t>טולידנו, רפאל ברוך בן אברהם</t>
  </si>
  <si>
    <t>משנת הבכורה</t>
  </si>
  <si>
    <t>ורנר, נתנאל</t>
  </si>
  <si>
    <t>משנת הגזילה</t>
  </si>
  <si>
    <t>כולל אברכים דחסידי סלונים - קרית גת</t>
  </si>
  <si>
    <t>משנת החזקה</t>
  </si>
  <si>
    <t>משנת המדות - א</t>
  </si>
  <si>
    <t>אדלר, משה מישל הלוי</t>
  </si>
  <si>
    <t>נתניה Netanyah</t>
  </si>
  <si>
    <t>משנת המועדים - 7 כר'</t>
  </si>
  <si>
    <t>משנת המלבן</t>
  </si>
  <si>
    <t>זיצמן, אברהם בן יחיאל מנחם</t>
  </si>
  <si>
    <t>משנת השומרים</t>
  </si>
  <si>
    <t>משנת ויכולו</t>
  </si>
  <si>
    <t>מילר, שלמה בן שרגא</t>
  </si>
  <si>
    <t>משנת חסידים &lt;עם הוספות מכת"י&gt;</t>
  </si>
  <si>
    <t>ריקי, רפאל עמנואל חי בן אברהם</t>
  </si>
  <si>
    <t>משנת טהרות - 3 כר'</t>
  </si>
  <si>
    <t>משנת יהודה - כלים, טהרות</t>
  </si>
  <si>
    <t>משנת יוסף &lt;שו"ת&gt; - יד</t>
  </si>
  <si>
    <t>ליברמן, יוסף</t>
  </si>
  <si>
    <t>משנת יוסף - 2 כר'</t>
  </si>
  <si>
    <t>בן דוד, יהודה (עורך) -</t>
  </si>
  <si>
    <t>משנת יעקב - בבא קמא</t>
  </si>
  <si>
    <t>מרגליות, יעקב ישראל בן דוד מרדכי</t>
  </si>
  <si>
    <t>משנת קידושין</t>
  </si>
  <si>
    <t>משנת תשביתו</t>
  </si>
  <si>
    <t>אדלר, שאול בן קלמן</t>
  </si>
  <si>
    <t>משנתה של אגודת ישראל</t>
  </si>
  <si>
    <t>מנדלזון, מנחם מנדל בן בנימין</t>
  </si>
  <si>
    <t>משנתם סדורה - תערובות א</t>
  </si>
  <si>
    <t>הנדל, שלמה זושא הכהן</t>
  </si>
  <si>
    <t>משפחת הרבנים אדלר</t>
  </si>
  <si>
    <t>אדלר, מרדכי בן נתן</t>
  </si>
  <si>
    <t>משפחת פצ'יפיצ'י</t>
  </si>
  <si>
    <t>אויערבך, שמואל בן משה</t>
  </si>
  <si>
    <t>משפט החושן בימינו - א</t>
  </si>
  <si>
    <t>משפט המצרנות</t>
  </si>
  <si>
    <t>כולל חושן משפט קרלין סטולין - מודיעין עילית</t>
  </si>
  <si>
    <t>משפטי אהרן</t>
  </si>
  <si>
    <t>אקר, אהרן</t>
  </si>
  <si>
    <t>משפטי אמת - 2 כר'</t>
  </si>
  <si>
    <t>משפטי הבשן - 4 כר'</t>
  </si>
  <si>
    <t>בן שמעון, נסים בן מנצור</t>
  </si>
  <si>
    <t>משפטי התורה, נבואה ונביא</t>
  </si>
  <si>
    <t>משפטי חיים - סנהדרין</t>
  </si>
  <si>
    <t>משפטי רבית</t>
  </si>
  <si>
    <t>משפטי שמואל &lt;מהדורת זכרון אהרן&gt;</t>
  </si>
  <si>
    <t>קלעי, שמואל בן משה</t>
  </si>
  <si>
    <t>משקיעים כהלכה</t>
  </si>
  <si>
    <t>זלכה, ינון</t>
  </si>
  <si>
    <t>מתוך העמק</t>
  </si>
  <si>
    <t>דירקטור, ישעיהו טוביה הלוי</t>
  </si>
  <si>
    <t>ניויורק NewYork</t>
  </si>
  <si>
    <t>הלכה ומנהג, נושאים שונים, תלמוד בבלי</t>
  </si>
  <si>
    <t>מתוקים מדבש - 4 כר'</t>
  </si>
  <si>
    <t>גואטה, מאיר</t>
  </si>
  <si>
    <t>מתורגמן &lt;זכרון אהרן&gt;</t>
  </si>
  <si>
    <t>אליהו בן אשר הלוי אשכנזי</t>
  </si>
  <si>
    <t>מתורתו של רבי פנחס - 2 כר'</t>
  </si>
  <si>
    <t>אפשטיין, פינחס בן ישעיהו</t>
  </si>
  <si>
    <t>מתחזקים בתורה - תשע"ט</t>
  </si>
  <si>
    <t>אסופת חידו"ת מתורתם של בני הישיבות בוגרי המדרשות של לב לאחים</t>
  </si>
  <si>
    <t>מתנת חלקו - נשים-נזיקין</t>
  </si>
  <si>
    <t>נקש, משה בן יצחק</t>
  </si>
  <si>
    <t>מתנת כהן - עירובין</t>
  </si>
  <si>
    <t>קופשיץ, יעקב בן נפתלי הכהן</t>
  </si>
  <si>
    <t>מתרדמת הגנזים לארון הספרים</t>
  </si>
  <si>
    <t>מקיצי נרדמים</t>
  </si>
  <si>
    <t>נאות מרדכי - 6 כר'</t>
  </si>
  <si>
    <t>נבחר מכסף</t>
  </si>
  <si>
    <t>נביאים וכתובים &lt;יפלס נתיב&gt; - שופטים</t>
  </si>
  <si>
    <t>נוסבוים, צבי</t>
  </si>
  <si>
    <t>נגוהות</t>
  </si>
  <si>
    <t>נדודי היהודים בעולם</t>
  </si>
  <si>
    <t>טארטאקובר, אריה בן נתן</t>
  </si>
  <si>
    <t>תש"ז).</t>
  </si>
  <si>
    <t>נהורא דשמעתתא - מלאכות שבת חלק ב</t>
  </si>
  <si>
    <t>בית המדרש להוראה - אש התורה</t>
  </si>
  <si>
    <t>נהורא - 3 כר'</t>
  </si>
  <si>
    <t>כתב עת לתורה ויהדות</t>
  </si>
  <si>
    <t>נהר מעדן - ו</t>
  </si>
  <si>
    <t>מכון שיח אבות קוידינוב</t>
  </si>
  <si>
    <t>נהרות איתן - ה</t>
  </si>
  <si>
    <t>רובין, אברהם ישראל</t>
  </si>
  <si>
    <t>נוסח כתובה מתוקן</t>
  </si>
  <si>
    <t>אשר, שמעון</t>
  </si>
  <si>
    <t>נועם אלימלך - 2 כר'</t>
  </si>
  <si>
    <t>ווייסבלום, אלימלך בן אליעזר ליפמאן</t>
  </si>
  <si>
    <t>נועם אליעזר - א</t>
  </si>
  <si>
    <t>נועם אמרים</t>
  </si>
  <si>
    <t>טייטלבוים, יוסף דוד</t>
  </si>
  <si>
    <t>חסידות, מועדי ישראל, תנ"ך</t>
  </si>
  <si>
    <t>נועם הנשמות</t>
  </si>
  <si>
    <t>הגר, יששכר דב</t>
  </si>
  <si>
    <t>נועם זיוך</t>
  </si>
  <si>
    <t>שמילאוויטש</t>
  </si>
  <si>
    <t>נועם שבת - 2 כר'</t>
  </si>
  <si>
    <t>נועם שי"ח - 2 כר'</t>
  </si>
  <si>
    <t>קוטלר, יוסף חיים שניאור בן אהרן</t>
  </si>
  <si>
    <t>נופת צופים - בראשית, ;שמות</t>
  </si>
  <si>
    <t>נופת צופים - ב"ב, סנהדרין, מכות, שבועות, ע"ז, הוריות</t>
  </si>
  <si>
    <t>קוק, יהודה בן יצחק משה</t>
  </si>
  <si>
    <t>נוצר תאנה</t>
  </si>
  <si>
    <t>גלבמן, שלמה זלמן יחזקאל</t>
  </si>
  <si>
    <t>נושא אלמתיו</t>
  </si>
  <si>
    <t>נזר התורה - ל</t>
  </si>
  <si>
    <t>נחית בחסדך</t>
  </si>
  <si>
    <t>נחל איתן</t>
  </si>
  <si>
    <t>מועדי ישראל, נושאים שונים, תלמוד בבלי</t>
  </si>
  <si>
    <t>נחל אליהו</t>
  </si>
  <si>
    <t>דיסקין, אליהו בן יוסף</t>
  </si>
  <si>
    <t>נחל עדניך - 2 כר'</t>
  </si>
  <si>
    <t>נחלי אמונה - 14 כר'</t>
  </si>
  <si>
    <t>קובץ מוסדות חסידי סלאנים באר אברהם</t>
  </si>
  <si>
    <t>נחלת אבות - שרשי מנהגי תימן - א</t>
  </si>
  <si>
    <t>נחלת אלחנן - 3 כר'</t>
  </si>
  <si>
    <t>אינהורן, אלחנן יחזקאל</t>
  </si>
  <si>
    <t>נחלת בנימין - 3 כר'</t>
  </si>
  <si>
    <t>בנדיקט, בנימין זאב (עליו)</t>
  </si>
  <si>
    <t>נחלת יוסף &lt;מהדורה חדשה&gt; - א</t>
  </si>
  <si>
    <t>ארנגרובר, מרדכי אליעזר בן יוסף</t>
  </si>
  <si>
    <t>נחלת יעקב</t>
  </si>
  <si>
    <t>נחלת צבי</t>
  </si>
  <si>
    <t>נחלת צבי - 2 כר'</t>
  </si>
  <si>
    <t>סיימן, צבי משה</t>
  </si>
  <si>
    <t>נחלת שמעון</t>
  </si>
  <si>
    <t>יוסף, שמעון</t>
  </si>
  <si>
    <t>נחלתנו - 2 כר'</t>
  </si>
  <si>
    <t>קובץ לתורה וחסידות</t>
  </si>
  <si>
    <t>נחפשה דרכינו</t>
  </si>
  <si>
    <t>ערד</t>
  </si>
  <si>
    <t>נטיעה של שמחה - 12 כר'</t>
  </si>
  <si>
    <t>ציינוירט, נטע (עליו)</t>
  </si>
  <si>
    <t>תשע"ז - תשע"ט</t>
  </si>
  <si>
    <t>נטיעה של תורה ותפלה</t>
  </si>
  <si>
    <t>נטיעות משה - תערובות</t>
  </si>
  <si>
    <t>יונגרייז, יצחק אייזיק בן משה נתן הלוי</t>
  </si>
  <si>
    <t>נטיעות משה - שומרים</t>
  </si>
  <si>
    <t>יונגרייז, יצחק אייזק בן משה נתן הלוי</t>
  </si>
  <si>
    <t>נטעי אש</t>
  </si>
  <si>
    <t>לידר, שמואל אהרן</t>
  </si>
  <si>
    <t>נטעי שלום</t>
  </si>
  <si>
    <t>גולדשטיין, מרדכי</t>
  </si>
  <si>
    <t>הלכה ומנהג, מועדי ישראל, תנ"ך</t>
  </si>
  <si>
    <t>נטפי חיים</t>
  </si>
  <si>
    <t>נטפי משה - בראשית, שמות</t>
  </si>
  <si>
    <t>סלושץ, חיים משה אהרן</t>
  </si>
  <si>
    <t>ניב המדרשיה - תשכ"ב</t>
  </si>
  <si>
    <t>ניב המורה - נז</t>
  </si>
  <si>
    <t>בטאון הסתדרות מורי אגו"י בא"י</t>
  </si>
  <si>
    <t>ניגוני הרבי שלימד לאורך השנים</t>
  </si>
  <si>
    <t>קונטרסי תשורה משמחות חסידות חב"ד</t>
  </si>
  <si>
    <t>ניט אויסדערציילן</t>
  </si>
  <si>
    <t>פרלשטיין, יוסף</t>
  </si>
  <si>
    <t>תשי"א</t>
  </si>
  <si>
    <t>נימוקי המנחה</t>
  </si>
  <si>
    <t>ראטה, שמואל בן חיים אלטר</t>
  </si>
  <si>
    <t>ניצוצי אור החיים הקדוש</t>
  </si>
  <si>
    <t>אורטנר, דב בעריש בן נתן יהודה</t>
  </si>
  <si>
    <t>ניצני ארץ - 2 כר'</t>
  </si>
  <si>
    <t>קובץ ישיבת מרכז הרב</t>
  </si>
  <si>
    <t>ניצני עוז בימי עברה</t>
  </si>
  <si>
    <t>נכח השלחן</t>
  </si>
  <si>
    <t>נמלא טל - שו"ת</t>
  </si>
  <si>
    <t>כהנוב, לוי ירמיהו בן מנחם נחום הכהן</t>
  </si>
  <si>
    <t>נספר נפלאותיך</t>
  </si>
  <si>
    <t>גדי, אברהם בן שמעון שלום</t>
  </si>
  <si>
    <t>נעלה ביהודה - מקואות, ידים</t>
  </si>
  <si>
    <t>גליק, יונתן בנימין בן יהודה</t>
  </si>
  <si>
    <t>נעם אמרי - ה</t>
  </si>
  <si>
    <t>סגרון, מאיר נסים בן כמוס</t>
  </si>
  <si>
    <t>בר יוחאי</t>
  </si>
  <si>
    <t>נעם יעקב - ערכין ב</t>
  </si>
  <si>
    <t>ענתבי, משה בן אברהם</t>
  </si>
  <si>
    <t>נעשה ונשמע</t>
  </si>
  <si>
    <t>נפלאותיך אשיחה - 2 כר'</t>
  </si>
  <si>
    <t>קלוגער, אברהם צבי</t>
  </si>
  <si>
    <t>נפש החיים &lt;לוח הלימוד היומי&gt;</t>
  </si>
  <si>
    <t>נפש החיים עם ביאור משיבת נפש - ד</t>
  </si>
  <si>
    <t>חיים בן יצחק מוולוז'ין - לויכטר, ראובן</t>
  </si>
  <si>
    <t>נפש הראי"ה - לשלשה באלול</t>
  </si>
  <si>
    <t>נפש חיה</t>
  </si>
  <si>
    <t>נפש יחזקאל - 3 כר'</t>
  </si>
  <si>
    <t>פלס, יחזקאל בן בנימין מנחם</t>
  </si>
  <si>
    <t>נצוצות</t>
  </si>
  <si>
    <t>סגל, גדליה</t>
  </si>
  <si>
    <t>נצחיות הנפש</t>
  </si>
  <si>
    <t>קוזלובסקי, משה מנחם מנדל בן יצחק</t>
  </si>
  <si>
    <t>נקדמה פניו בתודה</t>
  </si>
  <si>
    <t>נקודות אור</t>
  </si>
  <si>
    <t>רודנער, אברהם וואלף</t>
  </si>
  <si>
    <t>נקודות הכסף - שיר השירים</t>
  </si>
  <si>
    <t>בן שטרית, שמעון</t>
  </si>
  <si>
    <t>נר דולק</t>
  </si>
  <si>
    <t>גוטליב, צבי יהודה בן אליעזר יצחק</t>
  </si>
  <si>
    <t>נר המאיר</t>
  </si>
  <si>
    <t>אבוחצירא, רן יוסף חיים מסעוד בן משה</t>
  </si>
  <si>
    <t>נר והלל</t>
  </si>
  <si>
    <t>נר חוה - 3 כר'</t>
  </si>
  <si>
    <t>ברמן, אוריאל בן שלמה אהרן</t>
  </si>
  <si>
    <t>נר ישראל יעקב - 3 כר'</t>
  </si>
  <si>
    <t>בית המדרש גבעת אסף</t>
  </si>
  <si>
    <t>גבעת אסף</t>
  </si>
  <si>
    <t>ברנר, גיורא</t>
  </si>
  <si>
    <t>נר לצדיק - ה דברים</t>
  </si>
  <si>
    <t>אייכנעשטיין, יצחק אייזיק מנחם</t>
  </si>
  <si>
    <t>נר לרגלי דברך</t>
  </si>
  <si>
    <t>הלוי, נהוראי בן ראובן</t>
  </si>
  <si>
    <t>נר לרגלי - חנוכה</t>
  </si>
  <si>
    <t>נר מערבי - י</t>
  </si>
  <si>
    <t>במה ללומדי הירושלמי</t>
  </si>
  <si>
    <t>נושאים שונים, תלמוד ירושלמי</t>
  </si>
  <si>
    <t>נר מצוה</t>
  </si>
  <si>
    <t>גרינוואלד, אשר אנשיל בן מאיר</t>
  </si>
  <si>
    <t>אוזהאראד-אונגוואר,</t>
  </si>
  <si>
    <t>נרות המערכה</t>
  </si>
  <si>
    <t>יונגרייז, דוד הלוי</t>
  </si>
  <si>
    <t>נשיא יששכר - 2 כר'</t>
  </si>
  <si>
    <t>כהן, נתנאל אליהו</t>
  </si>
  <si>
    <t>נשמה של שבת</t>
  </si>
  <si>
    <t>לזכר הרב אליהו שלמה רענן הי"ד</t>
  </si>
  <si>
    <t>נשמת חיים</t>
  </si>
  <si>
    <t>הכהן, חיים</t>
  </si>
  <si>
    <t>תולדות עם ישראל, תלמוד בבלי</t>
  </si>
  <si>
    <t>נשמת חיים - 4 כר'</t>
  </si>
  <si>
    <t>לנגזם, חיים</t>
  </si>
  <si>
    <t>נשמתא דצלותא</t>
  </si>
  <si>
    <t>ז'ורנו, שלמה לוי יצחק בן מאיר</t>
  </si>
  <si>
    <t>נתיב בינה - ברכות</t>
  </si>
  <si>
    <t>שרייבר, ישראל בונם בן פנחס</t>
  </si>
  <si>
    <t>נתיב גבוה - יבמות</t>
  </si>
  <si>
    <t>נתיב לגר</t>
  </si>
  <si>
    <t>ישר, ברוך בן דוד</t>
  </si>
  <si>
    <t>נתיב לחיי עולם</t>
  </si>
  <si>
    <t>ליפיץ, יצחק בן מרדכי</t>
  </si>
  <si>
    <t>[תרנ"ט],</t>
  </si>
  <si>
    <t>נתיב מאיר - יבמות</t>
  </si>
  <si>
    <t>הרשקוביץ, מאיר בן צבי</t>
  </si>
  <si>
    <t>נתיב רפאל</t>
  </si>
  <si>
    <t>ויכסלבוים, רפאל הלוי</t>
  </si>
  <si>
    <t>נתיבה</t>
  </si>
  <si>
    <t>דו שבועון</t>
  </si>
  <si>
    <t>נתיבות אברהם  - הבונה</t>
  </si>
  <si>
    <t>לבנון, אברהם צבי</t>
  </si>
  <si>
    <t>נתיבות אשר - מאמרים</t>
  </si>
  <si>
    <t>דומב, אשר</t>
  </si>
  <si>
    <t>נתיבות בסוגיות - יבמות</t>
  </si>
  <si>
    <t>לינצ'נר, שלמה בן שרגא פייבל</t>
  </si>
  <si>
    <t>נתיבות הברכה</t>
  </si>
  <si>
    <t>ברונר</t>
  </si>
  <si>
    <t>נתיבות הכשרות -</t>
  </si>
  <si>
    <t>בד"ץ מחזיקי הדת</t>
  </si>
  <si>
    <t>נתיבות משה - איזהו נשך א</t>
  </si>
  <si>
    <t>פינקל, משה בן נתן צבי</t>
  </si>
  <si>
    <t>נתיבות עולם</t>
  </si>
  <si>
    <t>יהודה ליווא בן בצלאל (מהר"ל)</t>
  </si>
  <si>
    <t>תרמ"ד,</t>
  </si>
  <si>
    <t>נתיבות שמואל - 3 כר'</t>
  </si>
  <si>
    <t>נתיבי דעת - 2 כר'</t>
  </si>
  <si>
    <t>זכריש, אלעזר</t>
  </si>
  <si>
    <t>נתיבי הלכה - 2 כר'</t>
  </si>
  <si>
    <t>מאורי, יואב</t>
  </si>
  <si>
    <t>נתיבי חיים - ה דברים א</t>
  </si>
  <si>
    <t>אלעזרי, חיים משה ראובן</t>
  </si>
  <si>
    <t>נתיבי ריפוי</t>
  </si>
  <si>
    <t>סלצר, דויד</t>
  </si>
  <si>
    <t>נתן דברו - 3 כר'</t>
  </si>
  <si>
    <t>נוסבאום, נתן בן בנימין</t>
  </si>
  <si>
    <t>נתן פריו - 7 כר'</t>
  </si>
  <si>
    <t>סגן הכהנים</t>
  </si>
  <si>
    <t>מרקוביץ, שמואל בן צבי</t>
  </si>
  <si>
    <t>סדור תפילה &lt;מנחת יהודה&gt; - שבת קודש</t>
  </si>
  <si>
    <t>ליבוביץ, יהודה זאב</t>
  </si>
  <si>
    <t>סדור תפלות לשבת ויום טוב</t>
  </si>
  <si>
    <t>היימאן (חרלפ), א</t>
  </si>
  <si>
    <t>סדר הדלקת נר חנוכה עם פסקי בעל המנחת יצחק</t>
  </si>
  <si>
    <t>סדר ההושענות עם פירוש המילים וביאורים</t>
  </si>
  <si>
    <t>אתרוג, מאיר</t>
  </si>
  <si>
    <t>סדר הושענות הבהיר</t>
  </si>
  <si>
    <t>סדר החיים</t>
  </si>
  <si>
    <t>בלוט, חיים בן אברהם אהרן</t>
  </si>
  <si>
    <t>סדר היום</t>
  </si>
  <si>
    <t>אבן-מכיר, משה בן יהודה</t>
  </si>
  <si>
    <t>תרכ"ח,</t>
  </si>
  <si>
    <t>סדר הקאפיטליך</t>
  </si>
  <si>
    <t>מנהג צדיקי ריז'ין</t>
  </si>
  <si>
    <t>סדר הקפות, הקרבנות ואושפיזין על פי נוסח צאנז</t>
  </si>
  <si>
    <t>מוסדות צאנז סטרופקוב</t>
  </si>
  <si>
    <t>סדר הרבית - 2 כר'</t>
  </si>
  <si>
    <t>שימל, מנחם בן אברהם</t>
  </si>
  <si>
    <t>סדר השביעית - 2 כר'</t>
  </si>
  <si>
    <t>קארליץ, אברהם ישעיהו בן שמריהו יוסף</t>
  </si>
  <si>
    <t>סדר זמירות לשבת &lt;עונג ושמחה לשבת&gt;</t>
  </si>
  <si>
    <t>התאחדות האברכים וחברת הבחורים דישיבה קהלת יעקב מפאפא</t>
  </si>
  <si>
    <t>סדר זמירות לשבת קודש &lt;מעשה אבותי&gt;</t>
  </si>
  <si>
    <t>הורביץ, משה שמעון הלוי</t>
  </si>
  <si>
    <t>סדר יום כיפור קטן עם ביאורים ממרן הגר"ח קנייבסקי</t>
  </si>
  <si>
    <t>קנייבסקי, שמריהו יוסף חיים בן יעקב ישראל - יברוב, צבי</t>
  </si>
  <si>
    <t>סדר יום כפור קטן</t>
  </si>
  <si>
    <t>סדר יוצרות עם קרובץ לפורים</t>
  </si>
  <si>
    <t>אלפערין, דובער</t>
  </si>
  <si>
    <t>סדר כונת ברכת הסוכה וסדר הקפות לשמחת תורה</t>
  </si>
  <si>
    <t>כת"י רבי וידאל קווינקא</t>
  </si>
  <si>
    <t>סדר ליל ר"ה</t>
  </si>
  <si>
    <t>תפילות. ברכות</t>
  </si>
  <si>
    <t>[תשכ"א</t>
  </si>
  <si>
    <t>סדר לימוד ליל ש"ק - חיי שרה</t>
  </si>
  <si>
    <t>קאהן, דוד בן אברהם יצחק</t>
  </si>
  <si>
    <t>סדר לימוד משניות לעילוי הנשמה</t>
  </si>
  <si>
    <t>סדר סליחות לימות השנה -בה"ב, י' בטבת, תענית אסתר, י"ז בתמוז, יוכ"ק</t>
  </si>
  <si>
    <t>סדר עולם רבה, סדר עולם זוטא, מגילת תענית</t>
  </si>
  <si>
    <t>סדר תפילות - סידור הרמ"ז</t>
  </si>
  <si>
    <t>מושב בטחה</t>
  </si>
  <si>
    <t>סדר תפלה דרך ישרה</t>
  </si>
  <si>
    <t>תפילות. סידור.</t>
  </si>
  <si>
    <t>תנ"ז</t>
  </si>
  <si>
    <t>פפד"מ</t>
  </si>
  <si>
    <t>סדר תקון ליל שבועות והושענא רבה</t>
  </si>
  <si>
    <t>תיקון ליל שבועות. תקצ"ו.</t>
  </si>
  <si>
    <t>תק"פ</t>
  </si>
  <si>
    <t>סלויטה Slavuta</t>
  </si>
  <si>
    <t>סדרת תורה ומדע - 3 כר'</t>
  </si>
  <si>
    <t>סוד תקון העולם</t>
  </si>
  <si>
    <t>מלוקט מספרי רבי נחמן מברסלב</t>
  </si>
  <si>
    <t>סוכת גדולי ישראל</t>
  </si>
  <si>
    <t>סוכת הלויים</t>
  </si>
  <si>
    <t>תורת רבותינו מבריסק</t>
  </si>
  <si>
    <t>הלכה ומנהג, מועדי ישראל, תלמוד בבלי</t>
  </si>
  <si>
    <t>סוכת עצי היער</t>
  </si>
  <si>
    <t>סוכת שלומך</t>
  </si>
  <si>
    <t>לאקס, שלמה העניך הכהן</t>
  </si>
  <si>
    <t>סידור בני יששכר</t>
  </si>
  <si>
    <t>סידור המבואר  אביר יעקב - ימות החול</t>
  </si>
  <si>
    <t>מכון אור לישרים</t>
  </si>
  <si>
    <t>ירושלים - נהריה</t>
  </si>
  <si>
    <t>סידור מנחת יהודה</t>
  </si>
  <si>
    <t>פרלמן, יהודה לייב בן אליהו</t>
  </si>
  <si>
    <t>וילנא</t>
  </si>
  <si>
    <t>סידור צלותא דאהרן &lt;בית אהרן&gt; - 2 כר'</t>
  </si>
  <si>
    <t>סידור רבינו חיים - א</t>
  </si>
  <si>
    <t>חיים בן אברהם הכהן מארם צובה</t>
  </si>
  <si>
    <t>תשס"ם</t>
  </si>
  <si>
    <t>סידור תפילת החודש החדש &lt;מהדורת אור וישועה&gt;</t>
  </si>
  <si>
    <t>סיכום הלכות - 12 כר'</t>
  </si>
  <si>
    <t>ברוכיאן, שמואל אהרון</t>
  </si>
  <si>
    <t>סיכום פסחים</t>
  </si>
  <si>
    <t>סיכומי וביאורי ספר נפש החיים - א</t>
  </si>
  <si>
    <t>סיכומי סוגיות - 2 כר'</t>
  </si>
  <si>
    <t>פרידמן, יוסף יצחק</t>
  </si>
  <si>
    <t>סיכומי סוגיות - ב"ק</t>
  </si>
  <si>
    <t>רימר, י</t>
  </si>
  <si>
    <t>סיכומים בהלכות שביעית</t>
  </si>
  <si>
    <t>זליכה, יוסף עזרא בן סלמן</t>
  </si>
  <si>
    <t>סימן לבנים - 7 כר'</t>
  </si>
  <si>
    <t>סימנים טובים</t>
  </si>
  <si>
    <t>מן, שלמה בן אברהם</t>
  </si>
  <si>
    <t>סימנים עשה</t>
  </si>
  <si>
    <t>עמר, חננאל בן אשר</t>
  </si>
  <si>
    <t>סיני - 2 כר'</t>
  </si>
  <si>
    <t>סיני</t>
  </si>
  <si>
    <t>סיפור קטן - מעשה גדול</t>
  </si>
  <si>
    <t>סליחות</t>
  </si>
  <si>
    <t>תפילות. סליחות. תרל"ט. ווארשא</t>
  </si>
  <si>
    <t>ווארשא</t>
  </si>
  <si>
    <t>סלעי ומצודתי - 2 כר'</t>
  </si>
  <si>
    <t>גורן, עמי בן יונה</t>
  </si>
  <si>
    <t>סנהדרי גדולה &lt;סנהדרין&gt; - ט</t>
  </si>
  <si>
    <t>גרוסברג, יחיאל גרשון (מהדיר)</t>
  </si>
  <si>
    <t>סניגור של הציבור</t>
  </si>
  <si>
    <t>קמרי, אליהו אלירם</t>
  </si>
  <si>
    <t>זכריה</t>
  </si>
  <si>
    <t>ספור מן ההפטרה - 2 כר'</t>
  </si>
  <si>
    <t>ספורי החג - סוכות</t>
  </si>
  <si>
    <t>ספורי פראג</t>
  </si>
  <si>
    <t>היילפרין, פאלק</t>
  </si>
  <si>
    <t>תשט"ז,</t>
  </si>
  <si>
    <t>ספר אב הרחמים - 2 כר'</t>
  </si>
  <si>
    <t>ספר אמת</t>
  </si>
  <si>
    <t>רוסוף, אליהו בן ישעיהו הלוי</t>
  </si>
  <si>
    <t>תש"ט</t>
  </si>
  <si>
    <t>New York ניו יורק</t>
  </si>
  <si>
    <t>ספר אסיא - טז</t>
  </si>
  <si>
    <t>הלפרין, מרדכי - בלפר, ישראל -  דוידי, סיגלית  (עורכים)</t>
  </si>
  <si>
    <t>ספר דניאל &lt;מתורגם בלשון אשכנז - פירוש הרב אבן יחיא</t>
  </si>
  <si>
    <t>וולף, זאב וולף בן יוסף מדסאו</t>
  </si>
  <si>
    <t>תקס"ח</t>
  </si>
  <si>
    <t>דסאו</t>
  </si>
  <si>
    <t>ספר דניאל עם תרגום עברי וספר עזרא עם פירוש רחמים בדין</t>
  </si>
  <si>
    <t>הלר, נחמן בן ישראל</t>
  </si>
  <si>
    <t>ספר הדקדוק לרמח"ל &lt;הגהות אשי בני ישראל&gt;</t>
  </si>
  <si>
    <t>לוצאטו, משה חיים בן יעקב חי (רמח"ל) - בריעגער, אלעזר שמואל בן יעקב יצחק</t>
  </si>
  <si>
    <t>ספר הזהר ע"פ הסולם &lt;מאורות הסולם&gt; - הקדמות</t>
  </si>
  <si>
    <t>ספר הזוהר - בראשית</t>
  </si>
  <si>
    <t>זוהר. תר"כ. לבוב</t>
  </si>
  <si>
    <t>ספר הזכרון יד יהודה</t>
  </si>
  <si>
    <t>לזכר רבי יהודה דויטש</t>
  </si>
  <si>
    <t>ספר החינוך מבואר - 3 כר'</t>
  </si>
  <si>
    <t>בר יוסף, מרדכי</t>
  </si>
  <si>
    <t>ספר היובל לישיבת לוצערן</t>
  </si>
  <si>
    <t>ספר היובל</t>
  </si>
  <si>
    <t>ספר היובל לכבוד ד"ר יהושע פינקל</t>
  </si>
  <si>
    <t>הוניג, שמחה בנימין - סטיצקין, אריה לייב</t>
  </si>
  <si>
    <t>ספר היובל לכבוד צבי שארפשטיין</t>
  </si>
  <si>
    <t>שארפשטיין, צבי בן דוב</t>
  </si>
  <si>
    <t>ספר היובל - חוג חתם סופר</t>
  </si>
  <si>
    <t>חוג חתם סופר</t>
  </si>
  <si>
    <t>משפחת בורשטין</t>
  </si>
  <si>
    <t>ספר הישר &lt;מהדורת דבליצקי&gt; - חלק החידושים</t>
  </si>
  <si>
    <t>ספר הכוונות - מאורות נתן</t>
  </si>
  <si>
    <t>שפירא, נתן נטע בן שלמה</t>
  </si>
  <si>
    <t>ספר הכוזרי המבואר</t>
  </si>
  <si>
    <t>ספר הכוזרי</t>
  </si>
  <si>
    <t>יהודה בן שמואל הלוי</t>
  </si>
  <si>
    <t>[תקנ"ה],</t>
  </si>
  <si>
    <t>ספר הלכה למעשה - ברכות הנהנין</t>
  </si>
  <si>
    <t>שפירא, אליעזר דוד</t>
  </si>
  <si>
    <t>ספר המדות</t>
  </si>
  <si>
    <t>ספר המוסר &lt;הנהגות ישרות&gt;</t>
  </si>
  <si>
    <t>ספר יראה. תקס"ה</t>
  </si>
  <si>
    <t>ספר המקנה &lt;מהדורה חדשה&gt; - 3 כר'</t>
  </si>
  <si>
    <t>סופר, זוסמאן אליעזר בן מרדכי אפרים פישל</t>
  </si>
  <si>
    <t>ברטיסלבה Bratislava</t>
  </si>
  <si>
    <t>ספר הנפש &lt;עם ביאור&gt;</t>
  </si>
  <si>
    <t>אבן-פאלקירה, שם טוב בן יוסף</t>
  </si>
  <si>
    <t>תרכ"ד,</t>
  </si>
  <si>
    <t>ווארשויא,</t>
  </si>
  <si>
    <t>ספר הסוגיא - 2 כר'</t>
  </si>
  <si>
    <t>משנה, תלמוד בבלי, תלמוד ירושלמי</t>
  </si>
  <si>
    <t>ספר העקרונות</t>
  </si>
  <si>
    <t>ספר הפעולות</t>
  </si>
  <si>
    <t>ספר הצוואה</t>
  </si>
  <si>
    <t>רוט, אהרן בן שמואל יעקב</t>
  </si>
  <si>
    <t>ספר הרוקח &lt;מהדורת זכרון אהרן&gt; - 2 כר'</t>
  </si>
  <si>
    <t>קרימונה,</t>
  </si>
  <si>
    <t>ספר התיקונים</t>
  </si>
  <si>
    <t>ספר התרומות עם גדולי תרומה - א</t>
  </si>
  <si>
    <t>שמואל בן יצחק הסרדי- פיגו, עזריה בן אפרים</t>
  </si>
  <si>
    <t>ת"ג</t>
  </si>
  <si>
    <t>ספר זכרון דרכי אליהו</t>
  </si>
  <si>
    <t>לזכר ר' אליהו בוזגלו</t>
  </si>
  <si>
    <t>ספר זכרון זכרון פנחס</t>
  </si>
  <si>
    <t>לזכר רבי פנחס וינטרוב</t>
  </si>
  <si>
    <t>ספר זכרון להגאון רבי שמואל דוד ורשבצ'יק</t>
  </si>
  <si>
    <t>שורין, יעקב (עורך)</t>
  </si>
  <si>
    <t>ספר זכרון להרכבי החלק העברי א</t>
  </si>
  <si>
    <t>חרס"ט</t>
  </si>
  <si>
    <t>ספר זכרון לשלמה אומברטו נכון</t>
  </si>
  <si>
    <t>קובץ מחקרים לתולדות היהודים באיטליה</t>
  </si>
  <si>
    <t>ספר יונה עם ביאור</t>
  </si>
  <si>
    <t>ספר יראים &lt;ווי העמודים&gt;</t>
  </si>
  <si>
    <t>טייב, יצחק בן בנימין</t>
  </si>
  <si>
    <t>תרי"ח</t>
  </si>
  <si>
    <t>ליוורנו - ניו יורק</t>
  </si>
  <si>
    <t>ספר מרי"ח ניחוח - א</t>
  </si>
  <si>
    <t>ספר סוכה וארבעת המינים</t>
  </si>
  <si>
    <t>ספר תהלים &lt;עתרת רחמים, נאוה תהילה&gt;</t>
  </si>
  <si>
    <t>מלמד, רחמים הכהן - מלמד, יעקב חיים הכהן</t>
  </si>
  <si>
    <t>ספרא דאפטרתא - ביאור על ההפטרות</t>
  </si>
  <si>
    <t>אופמן, אברהם חיים</t>
  </si>
  <si>
    <t>ספרה של ארץ ישראל</t>
  </si>
  <si>
    <t>לוק, הרי צ'ארלס</t>
  </si>
  <si>
    <t>ספרי במדבר - גירסת הגר"א</t>
  </si>
  <si>
    <t>ספרי</t>
  </si>
  <si>
    <t>ספרי הערכים בקבלה - מאורי אור, ציצים ופרחים, כל הנקרא בשמי</t>
  </si>
  <si>
    <t>ספרי הרשב"ש - 4 כר'</t>
  </si>
  <si>
    <t>בן שלמה, שובאל בן אלעזר</t>
  </si>
  <si>
    <t>ספרי זוטא - עטרת יוסף</t>
  </si>
  <si>
    <t>ספרי זוטא. תרפ"ט</t>
  </si>
  <si>
    <t>ספרי ירושלים הראשונים</t>
  </si>
  <si>
    <t>הלוי, שושנה בת יעקב יהושע</t>
  </si>
  <si>
    <t>ספרי מנחם מנדל - יום טוב ערצעהלונגען - חנוכה</t>
  </si>
  <si>
    <t>משי זהב, מנחם מנדל</t>
  </si>
  <si>
    <t>ספרי רבותינו לפסח</t>
  </si>
  <si>
    <t>רבותינו לבית גור</t>
  </si>
  <si>
    <t>ספרי רבי אליהו בחור - מהלך שבילי הדעת עם הגהות, הבחור, הרכבה, פרקי אליהו, מסורת המסורת, טוב טעם, נימוקי המכלול והשרשים</t>
  </si>
  <si>
    <t>ספרי רבינו בעל הרוקח - 2 כר'</t>
  </si>
  <si>
    <t>ספרים באנגלית - AUTHORITATIVE RESPONSES</t>
  </si>
  <si>
    <t>ספרים באנגלית - חיים בריאים כהלכה</t>
  </si>
  <si>
    <t>ספרים באנגלית - 3 כר'</t>
  </si>
  <si>
    <t>ספרים באנגלית - עיוני תפילה</t>
  </si>
  <si>
    <t>ספרים באנגלית - 4 כר'</t>
  </si>
  <si>
    <t>ספרים באנגלית - Bat Kohen To a Kohen</t>
  </si>
  <si>
    <t>ספרים באנגלית - Grasshoppersx and Locusts in Jewish Tradhition</t>
  </si>
  <si>
    <t>ספרים באנגלית - The Complete Gude To The Arba Minim</t>
  </si>
  <si>
    <t>ספרים באנגלית - 2 כר'</t>
  </si>
  <si>
    <t>-</t>
  </si>
  <si>
    <t>ספרים באנגלית - Chasdei Hashem</t>
  </si>
  <si>
    <t>ספרים בגרמנית- Dr Leo Munk</t>
  </si>
  <si>
    <t>מרברוג</t>
  </si>
  <si>
    <t>ספרים בגרמנית- HERMANN SCHWAB זצ"ל</t>
  </si>
  <si>
    <t>שוואב, הרמן</t>
  </si>
  <si>
    <t>ספרים בספרדית - EL EXILIO ISMAELITA</t>
  </si>
  <si>
    <t>ספרים בספרדית - חיים בריאים כהלכה</t>
  </si>
  <si>
    <t>ספרים בספרדית - משנה תורה לרמב"ם - זמנים</t>
  </si>
  <si>
    <t>ספרים בספרדית - אוצר מסיני א</t>
  </si>
  <si>
    <t>ספרים בצרפתית - חיים בריאים כהלכה</t>
  </si>
  <si>
    <t>ספרים בצרפתית - LHOMME ET SON CHEMIN</t>
  </si>
  <si>
    <t>ספרים ברוסית - חיים בריאים כהלכה</t>
  </si>
  <si>
    <t>עבד ה'</t>
  </si>
  <si>
    <t>מויאל, דוד</t>
  </si>
  <si>
    <t>עבדו את ה' בשמחה</t>
  </si>
  <si>
    <t>עבודה שבלב</t>
  </si>
  <si>
    <t>סידור.</t>
  </si>
  <si>
    <t>עבודת אמת - ב</t>
  </si>
  <si>
    <t>מילר, יעקב יצחק בן משה מאיר</t>
  </si>
  <si>
    <t>עבודת הגרשוני &lt;זכרון אהרן&gt;</t>
  </si>
  <si>
    <t>אשכנזי, גרשון בן יהודה</t>
  </si>
  <si>
    <t>עבודת הגרשוני</t>
  </si>
  <si>
    <t>קרלנשטיין, גרשון בן ירוחם פישל</t>
  </si>
  <si>
    <t>עבודת הגרשוני, חידושי הגרשוני &lt;זכרון אהרן&gt;</t>
  </si>
  <si>
    <t>שאלות ותשובות, שלחן ערוך ומפרשיו</t>
  </si>
  <si>
    <t>עבודת הקודש החדש - לדוד אמת</t>
  </si>
  <si>
    <t>[ת"ר,</t>
  </si>
  <si>
    <t>[רוסיה-פולין],</t>
  </si>
  <si>
    <t>עבודת התפילה</t>
  </si>
  <si>
    <t>ו</t>
  </si>
  <si>
    <t>עבודת מנורה</t>
  </si>
  <si>
    <t>עבודת שלמה - שונא מתנות, הוצאות שבת ויו"ט, לא תנסו</t>
  </si>
  <si>
    <t>קוסובר, שלמה עובדיה</t>
  </si>
  <si>
    <t>עדון המידות</t>
  </si>
  <si>
    <t>חסידות, מחשבה ומוסר, ספריית חב"ד</t>
  </si>
  <si>
    <t>עדות ביהוסף</t>
  </si>
  <si>
    <t>סוקל, יוסף בן ישראל</t>
  </si>
  <si>
    <t>עדות לשושן - 1</t>
  </si>
  <si>
    <t>בימה להלכה ולהגות יהודית</t>
  </si>
  <si>
    <t>עדות נאמנה - ב</t>
  </si>
  <si>
    <t>מונק, אליהו הכהן (עורך)</t>
  </si>
  <si>
    <t>גרמניה</t>
  </si>
  <si>
    <t>עוד יוסף חי</t>
  </si>
  <si>
    <t>אלקובי, יוסף</t>
  </si>
  <si>
    <t>עוז אמונה ותחיה - א</t>
  </si>
  <si>
    <t>בל"ס, אברהם הכהן</t>
  </si>
  <si>
    <t>עוללות</t>
  </si>
  <si>
    <t>אבינדב, אריה</t>
  </si>
  <si>
    <t>בית חלקיה</t>
  </si>
  <si>
    <t>עולת יצחק - ארבע אבות</t>
  </si>
  <si>
    <t>לנדא, יצחק בן קלמן הלוי</t>
  </si>
  <si>
    <t>עולת שבת &lt;מהדורת אהבת שלום&gt;</t>
  </si>
  <si>
    <t>אלמושנינו, משה בן ברוך</t>
  </si>
  <si>
    <t>עומקה של הלכה</t>
  </si>
  <si>
    <t>בורשטין, דוד יהודה בן שלמה</t>
  </si>
  <si>
    <t>עומר התנופה - בבא מציעא</t>
  </si>
  <si>
    <t>ישיבת דרכי דוד</t>
  </si>
  <si>
    <t>עורה כבודי  - תפילה</t>
  </si>
  <si>
    <t>לונדינסקי, שמחה בונים בן ישראל דוד</t>
  </si>
  <si>
    <t>עזר מציון</t>
  </si>
  <si>
    <t>עזרי מעם ד' - 5 כר'</t>
  </si>
  <si>
    <t>שטיינבך, עזרא</t>
  </si>
  <si>
    <t>אנטורפן</t>
  </si>
  <si>
    <t>עזרי מעם ה' - 15 כר'</t>
  </si>
  <si>
    <t>שטיינבאך, עזרא</t>
  </si>
  <si>
    <t>אנטוורפען</t>
  </si>
  <si>
    <t>עטרת יצחק</t>
  </si>
  <si>
    <t>קובץ מחקרים במורשת יהודי תימן</t>
  </si>
  <si>
    <t>עטרת ישראל ורחמים - ב</t>
  </si>
  <si>
    <t>דחבש, חזקיה בן ישראל</t>
  </si>
  <si>
    <t>ראש העין</t>
  </si>
  <si>
    <t>עטרת לוי יצחק</t>
  </si>
  <si>
    <t>תלמידים השלוחים מלבורן</t>
  </si>
  <si>
    <t>מלבורן</t>
  </si>
  <si>
    <t>עטרת משה - 3 כר'</t>
  </si>
  <si>
    <t>למברגר, משה נתן נטע בן מנחם מנדל לבוב</t>
  </si>
  <si>
    <t>עטרת צבי - 2 כר'</t>
  </si>
  <si>
    <t>בסמן, גרשון בן נפתלי</t>
  </si>
  <si>
    <t>עטרת צבי - עירובין</t>
  </si>
  <si>
    <t>הרץ, יחזקאל בן נפתלי מאיר הלוי</t>
  </si>
  <si>
    <t>עטרת שמעון - בבא מציעא</t>
  </si>
  <si>
    <t>טרוביץ, ישראל שמעון בן יהודה ליב</t>
  </si>
  <si>
    <t>עידוד בתופת</t>
  </si>
  <si>
    <t>פרידמן, א - שפירא, קלונימוס קלמיש בן אלימלך</t>
  </si>
  <si>
    <t>עיון ההלכה - משנה ברורה ח"ב</t>
  </si>
  <si>
    <t>עיון ההלכה</t>
  </si>
  <si>
    <t>עיון המשפט - 2 כר'</t>
  </si>
  <si>
    <t>אידלשטיין, חנוך מתתיהו בן נח</t>
  </si>
  <si>
    <t>עיון הסוגיא - 3 כר'</t>
  </si>
  <si>
    <t>טחן, יצחק בן אליהו</t>
  </si>
  <si>
    <t>עיוני שמעתתא - 12 כר'</t>
  </si>
  <si>
    <t>כולל פוניבז'</t>
  </si>
  <si>
    <t>עיוני תוספות - שבת</t>
  </si>
  <si>
    <t>קרויס יעקב מנחם בן גבריאל</t>
  </si>
  <si>
    <t>עיונים בחנוכה</t>
  </si>
  <si>
    <t>ווייל, חזקיהו יוסף בן צבי אברהם</t>
  </si>
  <si>
    <t>עיונים במקרא - ה במדבר, דברים</t>
  </si>
  <si>
    <t>מוריאל, יהודה</t>
  </si>
  <si>
    <t>עיונים במשנה ברורה - 7 כר'</t>
  </si>
  <si>
    <t>עיונים וביאורים מאמר איתא במדרש תילים</t>
  </si>
  <si>
    <t>עיטורי הלכה - סדר היום</t>
  </si>
  <si>
    <t>גרינולד, זאב</t>
  </si>
  <si>
    <t>עיטורי מרדכי - 5 כר'</t>
  </si>
  <si>
    <t>מאיר, מרדכי יעקב בן שמואל</t>
  </si>
  <si>
    <t>עין אברהם - 2 כר'</t>
  </si>
  <si>
    <t>כהן, אברהם בן יוסף</t>
  </si>
  <si>
    <t>עין הבדולח - שבת</t>
  </si>
  <si>
    <t>ישיבת מעלות</t>
  </si>
  <si>
    <t>עין הבדולח</t>
  </si>
  <si>
    <t>עדס, יהודה בן יעקב</t>
  </si>
  <si>
    <t>משנה, שלחן ערוך ומפרשיו, תלמוד בבלי</t>
  </si>
  <si>
    <t>עין הבדלח - תניינא</t>
  </si>
  <si>
    <t>מאנהיימר, חיים צבי בן דוד יהודה ליב</t>
  </si>
  <si>
    <t>עין המים - מלאכות תופר, קורע, מחתך, בונה, סותר ואוהל</t>
  </si>
  <si>
    <t>גוטפרב, ישראל מאיר בן ידידיה יחיאל מיכל</t>
  </si>
  <si>
    <t>עין המשפט - חו"מ קפב-רלד</t>
  </si>
  <si>
    <t>יוסף, עובדיה בן יצחק</t>
  </si>
  <si>
    <t>עין יעקב עם עברי דייטש - 4 כר'</t>
  </si>
  <si>
    <t>יעבץ, יוסף מאיר</t>
  </si>
  <si>
    <t>עיני יצחק - 6 כר'</t>
  </si>
  <si>
    <t>לוי, רפאל יצחק</t>
  </si>
  <si>
    <t>עיניך ברכות בחשבון - א בראשית</t>
  </si>
  <si>
    <t>חסידות, נושאים שונים, תנ"ך</t>
  </si>
  <si>
    <t>עיצומו של יום</t>
  </si>
  <si>
    <t>עיר התמרים</t>
  </si>
  <si>
    <t>עיר מקלט &lt;מהדורה חדשה&gt;</t>
  </si>
  <si>
    <t>דוד בן אריה ליב מלידא</t>
  </si>
  <si>
    <t>עיר על תילה - 2 כר'</t>
  </si>
  <si>
    <t>רבנות בני ברק</t>
  </si>
  <si>
    <t>על חטא העיגול</t>
  </si>
  <si>
    <t>סופר, יחזקאל</t>
  </si>
  <si>
    <t>על יובל ישלח שרשיו</t>
  </si>
  <si>
    <t>על כן</t>
  </si>
  <si>
    <t>פסין, יהודה</t>
  </si>
  <si>
    <t>על מזוזות ביתך</t>
  </si>
  <si>
    <t>על עמך יערימו סוד</t>
  </si>
  <si>
    <t>מכון יערימו סוד</t>
  </si>
  <si>
    <t>על פירוש רבינו גרשום מאור הגולה</t>
  </si>
  <si>
    <t>על פרשת דרכים</t>
  </si>
  <si>
    <t>עלון אספקלריה - 3 כר'</t>
  </si>
  <si>
    <t>מכון מדעי טכנולוגי להלכה</t>
  </si>
  <si>
    <t>עלון שער התפילה - 1-25</t>
  </si>
  <si>
    <t>ק"ק סטניסלוב</t>
  </si>
  <si>
    <t>ביתרעילית</t>
  </si>
  <si>
    <t>עלי אור - מו"ק, חול המועד, הלכות שמחות</t>
  </si>
  <si>
    <t>קוקיס, אוריאל בן מרדכי</t>
  </si>
  <si>
    <t>עלי זבח</t>
  </si>
  <si>
    <t>חשין, יוסף צבי</t>
  </si>
  <si>
    <t>עלי זכרון - 3 כר'</t>
  </si>
  <si>
    <t>רשומות לתולדות אישים וקהלות אגרות ומסמכים</t>
  </si>
  <si>
    <t>נושאים שונים, קבצים וכתבי עת, ספרי זכרון ויובל, תולדות עם ישראל</t>
  </si>
  <si>
    <t>עלי עין</t>
  </si>
  <si>
    <t>משפחת רבי יוסף ריבלין</t>
  </si>
  <si>
    <t>עליהם הוא יחיה</t>
  </si>
  <si>
    <t>אולשוונג</t>
  </si>
  <si>
    <t>עליות שמואל</t>
  </si>
  <si>
    <t>הלפרט, שמואל בן יצחק</t>
  </si>
  <si>
    <t>ניו ג'רזי</t>
  </si>
  <si>
    <t>עליית שלמה</t>
  </si>
  <si>
    <t>יונגר, שלמה נפתלי</t>
  </si>
  <si>
    <t>עלים לביבליוגרפיה וקורות ישראל - 4 כר'</t>
  </si>
  <si>
    <t>עלים לביבליוגרפיה וקורות ישראל</t>
  </si>
  <si>
    <t>תרצ"ד-תרצ"ח</t>
  </si>
  <si>
    <t>עם התורה - 9 כר'</t>
  </si>
  <si>
    <t>עם מקדשי שביעי</t>
  </si>
  <si>
    <t>המערכה על קדושת השבת בפתח תקוה</t>
  </si>
  <si>
    <t>עם נושע בה'</t>
  </si>
  <si>
    <t>רוזנר, שלמה</t>
  </si>
  <si>
    <t>עמוד אש - פסח</t>
  </si>
  <si>
    <t>עמודי אור - ב</t>
  </si>
  <si>
    <t>גרוסברד, אהרן זאב</t>
  </si>
  <si>
    <t>מועדי ישראל, מחשבה ומוסר, נושאים שונים</t>
  </si>
  <si>
    <t>עמודי אורה - 2 כר'</t>
  </si>
  <si>
    <t>קארפ, צבי משה בן אביגדור שלמה</t>
  </si>
  <si>
    <t>עמודי השולחן - 5 כר'</t>
  </si>
  <si>
    <t>עמודי שלמה</t>
  </si>
  <si>
    <t>ויצמן, שלמה</t>
  </si>
  <si>
    <t>עמודיה שבעה - 5 כר'</t>
  </si>
  <si>
    <t>עמודים בתולדות הספר העברי - הגהות ומגיהים</t>
  </si>
  <si>
    <t>שפיגל, יעקב שמואל</t>
  </si>
  <si>
    <t>עמל פנחס</t>
  </si>
  <si>
    <t>סייפש, פנחס בן חיים ליב</t>
  </si>
  <si>
    <t>עמלה של תורה - קידושין</t>
  </si>
  <si>
    <t>עמלה של תורה - יבמות</t>
  </si>
  <si>
    <t>ישיבת נחלת הלוים</t>
  </si>
  <si>
    <t>עמק ארזים</t>
  </si>
  <si>
    <t>רבינוביץ, מאיר</t>
  </si>
  <si>
    <t>עמק ההלכה - 2 כר'</t>
  </si>
  <si>
    <t>זכריהו, מיכאל בן נתנאל</t>
  </si>
  <si>
    <t>עמק הזבח</t>
  </si>
  <si>
    <t>זנזורי, יגאל</t>
  </si>
  <si>
    <t>עמק היבום</t>
  </si>
  <si>
    <t>עמק הספק</t>
  </si>
  <si>
    <t>עמק העירוב</t>
  </si>
  <si>
    <t>עמק הפשט - 2 כר'</t>
  </si>
  <si>
    <t>חברי כולל דף היומי</t>
  </si>
  <si>
    <t>עמק הריבית</t>
  </si>
  <si>
    <t>עמק השמירה</t>
  </si>
  <si>
    <t>עמק יהושפט - 6 כר'</t>
  </si>
  <si>
    <t>אנטין, רפאל בן ראובן</t>
  </si>
  <si>
    <t>עמק יהושפט</t>
  </si>
  <si>
    <t>עמק סוכות</t>
  </si>
  <si>
    <t>עניין התפילה וההתבוננות</t>
  </si>
  <si>
    <t>עניינו של יום - ירח האיתנים</t>
  </si>
  <si>
    <t>פלק, דוד בן יעקב יהודה</t>
  </si>
  <si>
    <t>ענינא דיומא</t>
  </si>
  <si>
    <t>עניני חג השבועות למהרא"ל צינץ</t>
  </si>
  <si>
    <t>עניני חסד וצדקה</t>
  </si>
  <si>
    <t>עניני ל"ג בעומר</t>
  </si>
  <si>
    <t>עניני לשון</t>
  </si>
  <si>
    <t>ילון, חנוך</t>
  </si>
  <si>
    <t>תש"ב-תש"ג</t>
  </si>
  <si>
    <t>עניני ערב</t>
  </si>
  <si>
    <t>עניני שעבוד - 2 כר'</t>
  </si>
  <si>
    <t>ענף עץ אבות</t>
  </si>
  <si>
    <t>שכטר</t>
  </si>
  <si>
    <t>ענפי משה - יו"ט, חול המועד</t>
  </si>
  <si>
    <t>חליוה, משה</t>
  </si>
  <si>
    <t>עפרות זהב - א</t>
  </si>
  <si>
    <t>כהן, עופר</t>
  </si>
  <si>
    <t>עץ אבות</t>
  </si>
  <si>
    <t>משפחת כהן</t>
  </si>
  <si>
    <t>עץ החיים</t>
  </si>
  <si>
    <t>ברדיצ'בסקי, יהושע השיל</t>
  </si>
  <si>
    <t>בני-ברק,</t>
  </si>
  <si>
    <t>תפילות. חולים ומתים</t>
  </si>
  <si>
    <t>עץ התפוחים</t>
  </si>
  <si>
    <t>גלנדואר, חנה</t>
  </si>
  <si>
    <t>עץ חיים &lt;באבוב הישן&gt; - א</t>
  </si>
  <si>
    <t>עץ פרי</t>
  </si>
  <si>
    <t>הלכה ומנהג, חסידות, ספריית חב"ד</t>
  </si>
  <si>
    <t>עקבי דרך</t>
  </si>
  <si>
    <t>זילברליכט, יעקב יהודה</t>
  </si>
  <si>
    <t>עקבי הצאן</t>
  </si>
  <si>
    <t>לייבוביץ, אלתר חנוך העניך הכהן</t>
  </si>
  <si>
    <t>עקבי חיים - זרעים</t>
  </si>
  <si>
    <t>שטיין, יעקב חיים בן אהרן</t>
  </si>
  <si>
    <t>ערוגת הבשם - 2 כר'</t>
  </si>
  <si>
    <t>בן יעקב, מנחם בן צבי יהודה</t>
  </si>
  <si>
    <t>ערוך החדש  - ערוך הקצר - זכר רב</t>
  </si>
  <si>
    <t>פוטרניק, חיים בן ישכר דוב</t>
  </si>
  <si>
    <t>ערוך המשפט - דיני הסיוע לבעל דין</t>
  </si>
  <si>
    <t>לבקוביץ, אברהם ישראל בן דוד דוב</t>
  </si>
  <si>
    <t>עריכת ברכות - 2 כר'</t>
  </si>
  <si>
    <t>ישיבת מיר</t>
  </si>
  <si>
    <t>עריכת יום טוב - 2 כר'</t>
  </si>
  <si>
    <t>עריכת נר</t>
  </si>
  <si>
    <t>ערך ים</t>
  </si>
  <si>
    <t>זילברשטיין, אריה לייב בן משה יוסף</t>
  </si>
  <si>
    <t>ליקווד, ניו ג'רסי</t>
  </si>
  <si>
    <t>ערכי הכנויים &lt;קב שלום&gt;</t>
  </si>
  <si>
    <t>היילפרין, יחיאל בן שלמה</t>
  </si>
  <si>
    <t>סטו מרה Satu Mare</t>
  </si>
  <si>
    <t>ערכי מדות בתורת הרמב"ם</t>
  </si>
  <si>
    <t>הכהן, מרדכי בן חנוך חיים</t>
  </si>
  <si>
    <t>ערכי שמיטה</t>
  </si>
  <si>
    <t>עמנואל, מרדכי</t>
  </si>
  <si>
    <t>עשה ולא תעשה</t>
  </si>
  <si>
    <t>עשרה למאה</t>
  </si>
  <si>
    <t>צבי הירש בן יהודה ליב מוואידיסלאב</t>
  </si>
  <si>
    <t>תקפ"ח</t>
  </si>
  <si>
    <t>רדלהים Roedelheim</t>
  </si>
  <si>
    <t>עת ללדת</t>
  </si>
  <si>
    <t>עתרת - 2 כר'</t>
  </si>
  <si>
    <t>אושפיזאי, מנחם יהודה בן משה בן-ציון הלוי</t>
  </si>
  <si>
    <t>רמת-גן,</t>
  </si>
  <si>
    <t>פאר הבית - תערובות ב</t>
  </si>
  <si>
    <t>שימון, אלעזר בן מנחם מאיר</t>
  </si>
  <si>
    <t>פאר הדור</t>
  </si>
  <si>
    <t>[תרי"ט]</t>
  </si>
  <si>
    <t>פאר מרדכי - 3 כר'</t>
  </si>
  <si>
    <t>ישיבת טלז אוהיו</t>
  </si>
  <si>
    <t>אוהיו</t>
  </si>
  <si>
    <t>פארו עלי ופארי עליו</t>
  </si>
  <si>
    <t>קליין, אברהם שלום</t>
  </si>
  <si>
    <t>פון אונזער אלטען אוצר - אבות</t>
  </si>
  <si>
    <t>יוסטמן &lt;יאושזאהן&gt;, משה בונים</t>
  </si>
  <si>
    <t>פון אייביקן קוואל</t>
  </si>
  <si>
    <t>שווייצר, ישראל</t>
  </si>
  <si>
    <t>פון וואלאזין ביז ירושלים - ב</t>
  </si>
  <si>
    <t>בר-אילן, מאיר בן נפתלי צבי יהודה</t>
  </si>
  <si>
    <t>תרצ"ג</t>
  </si>
  <si>
    <t>פוניבז - 1</t>
  </si>
  <si>
    <t>ישיבת פוניבז</t>
  </si>
  <si>
    <t>פורים בעיר לוד</t>
  </si>
  <si>
    <t>פורים המשולש וערב פסח שחל להיות בשבת - ע"פ פסקי רבי מרדכי אליהו</t>
  </si>
  <si>
    <t>פורים לנו</t>
  </si>
  <si>
    <t>פורת יוסף</t>
  </si>
  <si>
    <t>תאומים, יוסף בן מאיר</t>
  </si>
  <si>
    <t>תרנ"ט</t>
  </si>
  <si>
    <t>פז רב - 2 כר'</t>
  </si>
  <si>
    <t>פזמונים לחגים לפי מנהג יהודי קוצ'ין</t>
  </si>
  <si>
    <t>פזמונים. קוצ'ין.</t>
  </si>
  <si>
    <t>קרית מוצקין</t>
  </si>
  <si>
    <t>פיוט אקדמות עם תרגום עברי</t>
  </si>
  <si>
    <t>יחיאלי, ד</t>
  </si>
  <si>
    <t>פיוטים חסידיים</t>
  </si>
  <si>
    <t>ז'ורנו שלמה לוי יצחק בן מאיר</t>
  </si>
  <si>
    <t>חסידות, קבלה, תפלות בקשות פיוטים ושירה</t>
  </si>
  <si>
    <t>פיטטיא דאורייתא - ב</t>
  </si>
  <si>
    <t>שלנגר, חיים קלמן</t>
  </si>
  <si>
    <t>פינת יקרת - 6 כר'</t>
  </si>
  <si>
    <t>פיקוח נפש ורפואה בשבת</t>
  </si>
  <si>
    <t>יעקב, אליאור</t>
  </si>
  <si>
    <t>פירוש הרא"ם על התורה &lt;עם הערות ועיונים&gt; - 5 כר'</t>
  </si>
  <si>
    <t>מזרחי, אליהו בן אברהם - שטסמן, יששכר בן משה</t>
  </si>
  <si>
    <t>פירוש הרמב"ן על התורה &lt;הדרי קודש&gt; - ה דברים</t>
  </si>
  <si>
    <t>משה בן נחמן (רמב"ן) - מרגולין, הדר יהודה בן מיכאל משה</t>
  </si>
  <si>
    <t>פירוש על עזרא ונחמיה</t>
  </si>
  <si>
    <t>בנימין בן יהודה מרומא</t>
  </si>
  <si>
    <t>תרנ"ה</t>
  </si>
  <si>
    <t>פירות הבית - 3 כר'</t>
  </si>
  <si>
    <t>פרוכטר, אשר אנשיל בן יעקב צבי</t>
  </si>
  <si>
    <t>פיתחא להאי פרשתא</t>
  </si>
  <si>
    <t>יעבץ, יהודה אריה</t>
  </si>
  <si>
    <t>פלא יועץ &lt;דמשק אליעזר&gt; - 2 כר'</t>
  </si>
  <si>
    <t>פאפו, אליעזר בן יצחק - מועלם, יחזקאל אליעזר ישראל</t>
  </si>
  <si>
    <t>פלא יועץ &lt;מהדורה ראשונה&gt;</t>
  </si>
  <si>
    <t>פאפו, אליעזר בן יצחק</t>
  </si>
  <si>
    <t>[תקפ"ד,</t>
  </si>
  <si>
    <t>קושטנדינה,</t>
  </si>
  <si>
    <t>פלאות עדותיך</t>
  </si>
  <si>
    <t>פלגי מים - מהדורה תליתאי</t>
  </si>
  <si>
    <t>צויבל, ניסן בן דוד</t>
  </si>
  <si>
    <t>דרושים, חסידות</t>
  </si>
  <si>
    <t>פליטת סופריהם - בית האוצר</t>
  </si>
  <si>
    <t>מרקוביץ, שמואל - קופמן, מיכאל</t>
  </si>
  <si>
    <t>פלפול נאה לבר המצוה</t>
  </si>
  <si>
    <t>פלפולא חריפתא - 3 כר'</t>
  </si>
  <si>
    <t>פן אבוא</t>
  </si>
  <si>
    <t>פנחס יפלל - 2 כר'</t>
  </si>
  <si>
    <t>מוסבי, פינחס</t>
  </si>
  <si>
    <t>פני אריה - עירובין</t>
  </si>
  <si>
    <t>רלב"ג, אריה ליב בן חיים יהוסף</t>
  </si>
  <si>
    <t>פני המנורה - מגילה</t>
  </si>
  <si>
    <t>וינגורט, שאול יונתן</t>
  </si>
  <si>
    <t>פני השולחן - קידושין</t>
  </si>
  <si>
    <t>סדין, רפאל</t>
  </si>
  <si>
    <t>פני השלחן - חנוכה</t>
  </si>
  <si>
    <t>הלכה ומנהג, מועדי ישראל, שלחן ערוך ומפרשיו</t>
  </si>
  <si>
    <t>פני משה</t>
  </si>
  <si>
    <t>בלייר, משה ליב</t>
  </si>
  <si>
    <t>תרצ"ד</t>
  </si>
  <si>
    <t>פני שבת</t>
  </si>
  <si>
    <t>רבינר, זאב אריה בן בנימין בינוש</t>
  </si>
  <si>
    <t>(הק' תשט"ו)</t>
  </si>
  <si>
    <t>תל אביב - ירושלים,</t>
  </si>
  <si>
    <t>פנים אל פנים - 2 כר'</t>
  </si>
  <si>
    <t>פנים הבית</t>
  </si>
  <si>
    <t>אורפלי, דוד בן עובדיה</t>
  </si>
  <si>
    <t>פניני דברי יאשיהו - הגדה של פסח</t>
  </si>
  <si>
    <t>פניני הפרשה - 3 כר'</t>
  </si>
  <si>
    <t>פניני חוקי חיים - ירח האיתנים</t>
  </si>
  <si>
    <t>ראטה, אברהם חיים בן אהרן</t>
  </si>
  <si>
    <t>פניני חיים</t>
  </si>
  <si>
    <t>אביטל, חיים</t>
  </si>
  <si>
    <t>פניני טוהר</t>
  </si>
  <si>
    <t>פניני יצחק</t>
  </si>
  <si>
    <t>כהן, יצחק בן אליהו</t>
  </si>
  <si>
    <t>פניני מחשבה</t>
  </si>
  <si>
    <t>פניני משה - 2 כר'</t>
  </si>
  <si>
    <t>המבורגר, משה בן פנחס נחום</t>
  </si>
  <si>
    <t>הלכה ומנהג, מחשבה ומוסר, תלמוד בבלי</t>
  </si>
  <si>
    <t>פניני נחלי בא גד</t>
  </si>
  <si>
    <t>בא גד, יוסף</t>
  </si>
  <si>
    <t>פניני נחמה לחג ולמועד</t>
  </si>
  <si>
    <t>רבינוביץ, נחמה</t>
  </si>
  <si>
    <t>פניני פרשת השבוע - 5 כר'</t>
  </si>
  <si>
    <t>קובלסקי, אשר</t>
  </si>
  <si>
    <t>פניני שבע ברכות</t>
  </si>
  <si>
    <t>אלישיב, יוסף שלום בן אברהם - קוק, בן ציון בן שלמה זלמן הכהן</t>
  </si>
  <si>
    <t>פניני תורה - 2 כר'</t>
  </si>
  <si>
    <t>פנינים ואבני חפץ - ויקרא, במדבר, דברים</t>
  </si>
  <si>
    <t>אשכנזי, שלמה</t>
  </si>
  <si>
    <t>פנינים וציונים - 2 כר'</t>
  </si>
  <si>
    <t>פנינים</t>
  </si>
  <si>
    <t>קובץ זכרון לזכר הרבנית פנינה כהנא שפירא</t>
  </si>
  <si>
    <t>פנינת יקרת - א</t>
  </si>
  <si>
    <t>פנקס פתוח</t>
  </si>
  <si>
    <t>האפט, פינחס בן צבי זאב הלוי</t>
  </si>
  <si>
    <t>פנקסי הראי"ה - 3 כר'</t>
  </si>
  <si>
    <t>פסוק לי פסוקך - חולין</t>
  </si>
  <si>
    <t>פרץ, פנחס שמעון בן יעקב</t>
  </si>
  <si>
    <t>פסח מעובין &lt;עם הגהות ר"י עמדין וזכר יצחק&gt;</t>
  </si>
  <si>
    <t>בנבנשתי, חיים בן ישראל</t>
  </si>
  <si>
    <t>פסח שבועות</t>
  </si>
  <si>
    <t>פסח, ל"ג בעומר, שבועות</t>
  </si>
  <si>
    <t>פסח, שבועות</t>
  </si>
  <si>
    <t>פסיקתא דרב כהנא</t>
  </si>
  <si>
    <t>פסקי בן איש חי - 2 כר'</t>
  </si>
  <si>
    <t>יוסף חיים בן אליהו - טויל, שלום יצחק</t>
  </si>
  <si>
    <t>תל ציון</t>
  </si>
  <si>
    <t>פסקי הלכות</t>
  </si>
  <si>
    <t>ליבוביץ, אשר ליאור</t>
  </si>
  <si>
    <t>פסקי המסכימים להוציא עשיר ופרנס מעירו &lt;פסקי הגאון מהר"ר ליווא סג"ל&gt;</t>
  </si>
  <si>
    <t>יהודה ליווא מפירארה</t>
  </si>
  <si>
    <t>[רע"ט,</t>
  </si>
  <si>
    <t>[ויניציאה],</t>
  </si>
  <si>
    <t>פסקי מרן בעל החוט שני - חול המועד</t>
  </si>
  <si>
    <t>כהן, יעקב משה</t>
  </si>
  <si>
    <t>פסקי ראש השנה מהרשב"ץ</t>
  </si>
  <si>
    <t>תרנ"ב,</t>
  </si>
  <si>
    <t>פסקי רבנו</t>
  </si>
  <si>
    <t>קוק, צבי יהודה בן אברהם יצחק הכהן - אבינר, שלמה חיים הכהן</t>
  </si>
  <si>
    <t>יושלים</t>
  </si>
  <si>
    <t>פעולות התנועה</t>
  </si>
  <si>
    <t>פועלי אגודת ישראל</t>
  </si>
  <si>
    <t>פעלים לתורה - לח</t>
  </si>
  <si>
    <t>פענח רזא</t>
  </si>
  <si>
    <t>יצחק בן יהודה הלוי</t>
  </si>
  <si>
    <t>תקע"ג</t>
  </si>
  <si>
    <t>טארנאפאל,</t>
  </si>
  <si>
    <t>פערל פון אונדזער תורה - כג-כג</t>
  </si>
  <si>
    <t>פקודי העדה - סנהדרין ב</t>
  </si>
  <si>
    <t>פקודת אלעזר</t>
  </si>
  <si>
    <t>מנדלוביץ, יעקב אלעזר</t>
  </si>
  <si>
    <t>פקודת הלוי - הלכות שבת ב</t>
  </si>
  <si>
    <t>וויס, יואל סג"ל</t>
  </si>
  <si>
    <t>פרדס אליהו</t>
  </si>
  <si>
    <t>אבוטבול, אליהו בן אורי</t>
  </si>
  <si>
    <t>פרדס הספר</t>
  </si>
  <si>
    <t>אבולעפיא, אברהם</t>
  </si>
  <si>
    <t>פרדס ישראל</t>
  </si>
  <si>
    <t>מוזסון, ישראל יצחק</t>
  </si>
  <si>
    <t>פרדס שלום</t>
  </si>
  <si>
    <t>ברגשטיין, שלום בן שמעון מרדכי</t>
  </si>
  <si>
    <t>ת"ש</t>
  </si>
  <si>
    <t>פרח לבנון</t>
  </si>
  <si>
    <t>ווייסבלום, אליעזר ליפא בן ישראל חיים</t>
  </si>
  <si>
    <t>ורשה,</t>
  </si>
  <si>
    <t>דרושים, מחשבה ומוסר, נושאים שונים</t>
  </si>
  <si>
    <t>פרי חדש - 2 כר'</t>
  </si>
  <si>
    <t>די סילווה, חזקיה בן דוד</t>
  </si>
  <si>
    <t>פרי ידידות - פסחים</t>
  </si>
  <si>
    <t>ספרא, ידידיה</t>
  </si>
  <si>
    <t>פרי יוסף</t>
  </si>
  <si>
    <t>רפאלוב, יוסף בן נתנאל</t>
  </si>
  <si>
    <t>פרי מגדים הלכות לולב &lt;ביאור קצר- ביאור ארוך&gt;</t>
  </si>
  <si>
    <t>פרי עמלינו</t>
  </si>
  <si>
    <t>פרי עץ הגן - א</t>
  </si>
  <si>
    <t>ישיבת רמת גן</t>
  </si>
  <si>
    <t>פרי קדש הלולים</t>
  </si>
  <si>
    <t>אייכנשטיין, צבי הירש בן יצחק איזיק</t>
  </si>
  <si>
    <t>[תקס"ב! צ"ל: תקצ"ג],</t>
  </si>
  <si>
    <t>Lemberg</t>
  </si>
  <si>
    <t>פרי רפאל</t>
  </si>
  <si>
    <t>כהן, שלמה בן רפאל דניאל</t>
  </si>
  <si>
    <t>פרי תבונות - 2 כר'</t>
  </si>
  <si>
    <t>כהן, יצחק משה בן יוסף</t>
  </si>
  <si>
    <t>פריו יתן בעתו</t>
  </si>
  <si>
    <t>פרישת כהן</t>
  </si>
  <si>
    <t>כהן, מנחם בן משה</t>
  </si>
  <si>
    <t>פרפראות לתורה - א בראשית</t>
  </si>
  <si>
    <t>בקר, מנחם</t>
  </si>
  <si>
    <t>פרק חדש בתולדות הכותל המערבי</t>
  </si>
  <si>
    <t>פרקי אבות &lt;משנה שכיר&gt;</t>
  </si>
  <si>
    <t>פרקי אמונה בטחון</t>
  </si>
  <si>
    <t>רבי שלמה מזוועהיל</t>
  </si>
  <si>
    <t>פרקי ברירה</t>
  </si>
  <si>
    <t>פרקי הדרכה</t>
  </si>
  <si>
    <t>פרקי משניות ליארצייט בביאור ע"ט</t>
  </si>
  <si>
    <t>קרישבסקי, משה</t>
  </si>
  <si>
    <t>משנה, תפלות בקשות פיוטים ושירה</t>
  </si>
  <si>
    <t>פרקי שירה עם ביאורים מכת"י - רבי שמואל קמחי, רבי בנימין הכהן, רבי דוד אופנהיים</t>
  </si>
  <si>
    <t>פרקים בתולדות הישוב היהודי</t>
  </si>
  <si>
    <t>בן פורת, יהודה - בן-ציון, יהושע - קידר, אהרן</t>
  </si>
  <si>
    <t>פשוטו כמשמעו - 5 כר'</t>
  </si>
  <si>
    <t>פשר דבר - 7 כר'</t>
  </si>
  <si>
    <t>שטרנפלד, שרגא פייבל</t>
  </si>
  <si>
    <t>פתח אליהו - 4 כר'</t>
  </si>
  <si>
    <t>פתח אליהו</t>
  </si>
  <si>
    <t>פתח האהל</t>
  </si>
  <si>
    <t>בלום, רפאל בן שמואל</t>
  </si>
  <si>
    <t>פתח לאוצר - 2 כר'</t>
  </si>
  <si>
    <t>פתח עינים החדש - יב</t>
  </si>
  <si>
    <t>דבליצקי, שריה בן בצלאל יעקב</t>
  </si>
  <si>
    <t>פתחה בחכמה</t>
  </si>
  <si>
    <t>שוב, מרים</t>
  </si>
  <si>
    <t>פתחו לי פתח - א</t>
  </si>
  <si>
    <t>פתחי אברהם - 5 כר'</t>
  </si>
  <si>
    <t>אוירבאך, אברהם דב בן שלמה זלמן</t>
  </si>
  <si>
    <t>פתחי אמונה - מעשרות, מעשר שני</t>
  </si>
  <si>
    <t>אפשטיין, אלעזר דוד</t>
  </si>
  <si>
    <t>פתחי אשרי - בבא בתרא</t>
  </si>
  <si>
    <t>אייזנבך, ישראל אריה בן שלמה</t>
  </si>
  <si>
    <t>פתחי הלכות - בשר בחלב, תערובות</t>
  </si>
  <si>
    <t>אסולין, תמיר ישי</t>
  </si>
  <si>
    <t>פתחי חכמה - ענווה וגאוה</t>
  </si>
  <si>
    <t>ביגל, אביחי יצחק בן משה</t>
  </si>
  <si>
    <t>קדימה</t>
  </si>
  <si>
    <t>פתחי כלאים</t>
  </si>
  <si>
    <t>פתחי סוגיות - פאה</t>
  </si>
  <si>
    <t>שניידר, יחזקאל בן דוד מנחם</t>
  </si>
  <si>
    <t>פתחי סוכה</t>
  </si>
  <si>
    <t>שניידר, יצחק - שניידר, יחזקאל</t>
  </si>
  <si>
    <t>פתחי עזר - 5 כר'</t>
  </si>
  <si>
    <t>ארז, עזרא בן יעקב</t>
  </si>
  <si>
    <t>פתיחה - ביקורי רבותינו במאריסטאון</t>
  </si>
  <si>
    <t>פתיחה</t>
  </si>
  <si>
    <t>מוריסטאון</t>
  </si>
  <si>
    <t>צא מדירת קבע</t>
  </si>
  <si>
    <t>פריינד, אברהם מנחם</t>
  </si>
  <si>
    <t>מועדי ישראל, שלחן ערוך ומפרשיו</t>
  </si>
  <si>
    <t>צאן קדשים</t>
  </si>
  <si>
    <t>שור, אברהם חיים בן נפתלי צבי הירש</t>
  </si>
  <si>
    <t>תקע"א</t>
  </si>
  <si>
    <t>צבא הלוי - 2 כר'</t>
  </si>
  <si>
    <t>שטיינברג, צבי אליהו</t>
  </si>
  <si>
    <t>צבא השמים - ט-יג הגהות ומילואים</t>
  </si>
  <si>
    <t>וידאל, נסים</t>
  </si>
  <si>
    <t>צבי לבית</t>
  </si>
  <si>
    <t>קוגל, פנחס שלמה</t>
  </si>
  <si>
    <t>צבי לצדיק - א</t>
  </si>
  <si>
    <t>דומב, צבי בן יהושע (עליו)</t>
  </si>
  <si>
    <t>צבי תפארת</t>
  </si>
  <si>
    <t>יפה, צבי דוד בן בנימין</t>
  </si>
  <si>
    <t>[תר"ע],</t>
  </si>
  <si>
    <t>צבי תפארתו - ב"ק, ב"מ, שבועות</t>
  </si>
  <si>
    <t>זילברברג, יצחק יוסף בן רפאל צבי מאיר</t>
  </si>
  <si>
    <t>צדה לדרך</t>
  </si>
  <si>
    <t>אבן-זרח, מנחם בן אהרן</t>
  </si>
  <si>
    <t>צדקה וחסד בהלכה ובאגדה</t>
  </si>
  <si>
    <t>צדקות יהודה וישראל</t>
  </si>
  <si>
    <t>זולדן, יהודה</t>
  </si>
  <si>
    <t>מרכז שפירא</t>
  </si>
  <si>
    <t>צדקת ישע - 2 כר'</t>
  </si>
  <si>
    <t>עבאדי, יוסף שלמה</t>
  </si>
  <si>
    <t>מחשבה ומוסר, משנה</t>
  </si>
  <si>
    <t>צוף דבש &lt;קרית חנה&gt;</t>
  </si>
  <si>
    <t>צרפתי, וידאל בן יצחק</t>
  </si>
  <si>
    <t>צופיה הליכות ביתה</t>
  </si>
  <si>
    <t>צופיה הלכות</t>
  </si>
  <si>
    <t>בן פורת, יצחק</t>
  </si>
  <si>
    <t>צור נעלה</t>
  </si>
  <si>
    <t>סלימן, אליצור</t>
  </si>
  <si>
    <t>צורך יום טוב</t>
  </si>
  <si>
    <t>אדלשטיין, אברהם בן מרדכי שמואל</t>
  </si>
  <si>
    <t>צורת מצות ההסיבה</t>
  </si>
  <si>
    <t>ציון אליהו - ד</t>
  </si>
  <si>
    <t>ציון במשפט</t>
  </si>
  <si>
    <t>ציון לנפש חיה</t>
  </si>
  <si>
    <t>ציון לנפש צדיק - קצור תולדות וזכרונות</t>
  </si>
  <si>
    <t>אוירבאך, מנחם נתן בן שלמה</t>
  </si>
  <si>
    <t>ציוני &lt;מהדורה חדשה&gt;</t>
  </si>
  <si>
    <t>ציוני, מנחם בן מאיר</t>
  </si>
  <si>
    <t>ציוני דעת - 2 כר'</t>
  </si>
  <si>
    <t>קורלנסקי, אברהם דוד בן בנימין בינוש</t>
  </si>
  <si>
    <t>ציוני הראשונים - בכורות</t>
  </si>
  <si>
    <t>פלק, אברהם ישעיהו בן יעקב יהודה</t>
  </si>
  <si>
    <t>ציורים ותמונות בבית הקברות - תדפיס</t>
  </si>
  <si>
    <t>שפיגל, יעקב שמואל בן יהודה</t>
  </si>
  <si>
    <t>ציץ ופרח</t>
  </si>
  <si>
    <t>צל המעלות</t>
  </si>
  <si>
    <t>וולפסון, אברהם</t>
  </si>
  <si>
    <t>תרמ"ב</t>
  </si>
  <si>
    <t>צלותא דמעלי שבתא</t>
  </si>
  <si>
    <t>אפל, שלמה הלוי</t>
  </si>
  <si>
    <t>צליל שעורים</t>
  </si>
  <si>
    <t>צעטיל קטן עם פירוש מעדני מלך</t>
  </si>
  <si>
    <t>ווייסבלום, אלימלך בן אליעזר ליפמאן - ווינגרטן, יצחק</t>
  </si>
  <si>
    <t>צעקת בני ישראל</t>
  </si>
  <si>
    <t>תפילות. שונות</t>
  </si>
  <si>
    <t>צעקת תינוק</t>
  </si>
  <si>
    <t>גבריאל, דוד</t>
  </si>
  <si>
    <t>צפיה - ד</t>
  </si>
  <si>
    <t>צפנת פענח &lt;מהדורה חדשה&gt; - 5 כר'</t>
  </si>
  <si>
    <t>טראני, יוסף בן משה (מהרי"ט)</t>
  </si>
  <si>
    <t>צפנת פענח</t>
  </si>
  <si>
    <t>לווינסון, אשר ניסן בן יהודה ליב</t>
  </si>
  <si>
    <t>תרל"ה</t>
  </si>
  <si>
    <t>דרושים, תולדות עם ישראל</t>
  </si>
  <si>
    <t>מוגרבי, יוסף</t>
  </si>
  <si>
    <t>קאליש - קהילת קאליש</t>
  </si>
  <si>
    <t>ספר קהילה</t>
  </si>
  <si>
    <t>קאר א וועלט</t>
  </si>
  <si>
    <t>קב ונקי - שמות</t>
  </si>
  <si>
    <t>כהנא (גרושקא), צבי</t>
  </si>
  <si>
    <t>קב צבי - 5 כר'</t>
  </si>
  <si>
    <t>ווייס, צבי</t>
  </si>
  <si>
    <t>קבלת הראי"ה - א</t>
  </si>
  <si>
    <t>אביב"י, יוסף בן אריה</t>
  </si>
  <si>
    <t>קבלת התורה</t>
  </si>
  <si>
    <t>מרקוביץ, שמואל</t>
  </si>
  <si>
    <t>קדושים תהיו</t>
  </si>
  <si>
    <t>קדושת המועד</t>
  </si>
  <si>
    <t>רוטשילד, יחיאל מיכל בן ישכר</t>
  </si>
  <si>
    <t>קדושת המקדש</t>
  </si>
  <si>
    <t>קדושת הראי"ה</t>
  </si>
  <si>
    <t>כנרתי, עמיחי - זק, רועי הכהן</t>
  </si>
  <si>
    <t>איתמר</t>
  </si>
  <si>
    <t>קדושת יעקב</t>
  </si>
  <si>
    <t>קדושת ציון - סוכות תש"פ</t>
  </si>
  <si>
    <t>אפשטיין, יהודה (עורך)</t>
  </si>
  <si>
    <t>קדמוניות היהודים במלבר</t>
  </si>
  <si>
    <t>רפאלי, שמואל בן משה</t>
  </si>
  <si>
    <t>תרס"ב -1966</t>
  </si>
  <si>
    <t>ירושלם, הודו</t>
  </si>
  <si>
    <t>קדמונך תחילה - ימי הסליחות</t>
  </si>
  <si>
    <t>קדשים תהיו</t>
  </si>
  <si>
    <t>קהלת יעקב &lt;משנת רבי אהרן&gt; - 2 כר'</t>
  </si>
  <si>
    <t>קו התאריך - קו חכמת התורה</t>
  </si>
  <si>
    <t>קובץ אבקת רוכל - ז</t>
  </si>
  <si>
    <t>קובץ אגרא דשמעתתא</t>
  </si>
  <si>
    <t>קובץ אהלה של תורה - שבת, הוצאה</t>
  </si>
  <si>
    <t>כולל יששכר באהלך</t>
  </si>
  <si>
    <t>קובץ אוצרות התורה</t>
  </si>
  <si>
    <t>ישיבת מאה שערים</t>
  </si>
  <si>
    <t>קובץ אורחות יום טוב -חזקת הבתים</t>
  </si>
  <si>
    <t>ישיבת שערי יום טוב</t>
  </si>
  <si>
    <t>קובץ איסתכל באורייתא - ו</t>
  </si>
  <si>
    <t>קובץ אמרי שפר</t>
  </si>
  <si>
    <t>ישיבת אמרי משה</t>
  </si>
  <si>
    <t>קובץ אני לדודי - תשס"ח</t>
  </si>
  <si>
    <t>קובץ אש הדעת</t>
  </si>
  <si>
    <t>כולל דעת שמואל</t>
  </si>
  <si>
    <t>קובץ אשירה לה' בחיי</t>
  </si>
  <si>
    <t>ראקאוו, בן ציון בן יום טוב ליפמאן</t>
  </si>
  <si>
    <t>קובץ באהלי יעקב - תשמ"ז</t>
  </si>
  <si>
    <t>קובץ דחסידי סקווירא</t>
  </si>
  <si>
    <t>קובץ באר יעקב - בבא מציעא</t>
  </si>
  <si>
    <t>ישיבת סקווירא</t>
  </si>
  <si>
    <t>קובץ בוניך</t>
  </si>
  <si>
    <t>חסידי סלאנים</t>
  </si>
  <si>
    <t>קובץ בי מדרשא - בבא בתרא</t>
  </si>
  <si>
    <t>ישיבת ברכת יצחק אור יהודה</t>
  </si>
  <si>
    <t>קובץ ביאורים - קידושין</t>
  </si>
  <si>
    <t>סולימני, נתנאל</t>
  </si>
  <si>
    <t>מחשבה ומוסר, תלמוד בבלי</t>
  </si>
  <si>
    <t>קובץ בית ועד לחכמים - יא</t>
  </si>
  <si>
    <t>כוללי תורה ויראה דרב"י סאטמאר</t>
  </si>
  <si>
    <t>קובץ בית ישראל - א</t>
  </si>
  <si>
    <t>ועד בחורי חסידי אלכסנדר</t>
  </si>
  <si>
    <t>לודז'</t>
  </si>
  <si>
    <t>קובץ בית ישראל - 4 כר'</t>
  </si>
  <si>
    <t>ישיבת בית ישראל אלכסנדר</t>
  </si>
  <si>
    <t>תר"פ-</t>
  </si>
  <si>
    <t>קובץ בית שמואל &lt;שנה ג&gt; - א-ב (ח)</t>
  </si>
  <si>
    <t>קובץ בית שמואל - 2 כר'</t>
  </si>
  <si>
    <t>קובץ בנין אב - 3 כר'</t>
  </si>
  <si>
    <t>קובץ בענייני צניעות</t>
  </si>
  <si>
    <t>קובץ בענייני תפקיד היהדות במיוחד בימינו</t>
  </si>
  <si>
    <t>קובץ ברית אברהם - ז</t>
  </si>
  <si>
    <t>חניכי ישיבת בית אברהם סלונים</t>
  </si>
  <si>
    <t>קובץ ברכת השבת</t>
  </si>
  <si>
    <t>רשת הכוללים בית שמואל עוזיאל</t>
  </si>
  <si>
    <t>קובץ גליונות מטה אהרן - 2 כר'</t>
  </si>
  <si>
    <t>מכון משה אהרן - פינסק קארלין</t>
  </si>
  <si>
    <t>קובץ גליונות ממעינות הלוי - תשס"ו</t>
  </si>
  <si>
    <t>קובץ גליונות תשועה ברב יועץ</t>
  </si>
  <si>
    <t>קובץ גליונות - 44 כר'</t>
  </si>
  <si>
    <t>קובץ דברות קודש</t>
  </si>
  <si>
    <t>הגר, פנחס דוד בן ישכר דב</t>
  </si>
  <si>
    <t>קובץ דיני החיים</t>
  </si>
  <si>
    <t>זיידמן, חיים ראובן</t>
  </si>
  <si>
    <t>קובץ דרכי מבשר - 10 כר'</t>
  </si>
  <si>
    <t>בית מדרש דרכי הוראה לרבנים</t>
  </si>
  <si>
    <t>קובץ היושבת בגנים - 3 כר'</t>
  </si>
  <si>
    <t>בית מדרש גבוה לייקווד</t>
  </si>
  <si>
    <t>קובץ הענינים</t>
  </si>
  <si>
    <t>קובץ הערות וביאורים - (מנשסתר) נז</t>
  </si>
  <si>
    <t>ישיבת ליובאוויטש מנשסתר</t>
  </si>
  <si>
    <t>מנשסתר</t>
  </si>
  <si>
    <t>קובץ הערות וביאורים - 6 כר'</t>
  </si>
  <si>
    <t>קובץ דתלמידי אהלי תורה</t>
  </si>
  <si>
    <t>קובץ הערות וביאורים - (צפת) -</t>
  </si>
  <si>
    <t>קובץ הערות וביאורים - 3 כר'</t>
  </si>
  <si>
    <t>תלמידי אהלי תורה</t>
  </si>
  <si>
    <t>קובץ הערות ומראי מקומות - 2 כר'</t>
  </si>
  <si>
    <t>שולמן, גדליה</t>
  </si>
  <si>
    <t>קובץ השיעורים החדשים למרן הגר"ש רוזובסקי בעניני נדרים ושבועות</t>
  </si>
  <si>
    <t>רוזובסקי, שמואל בן מיכל דוד</t>
  </si>
  <si>
    <t>קובץ השליחות - מבצע עבודת השליחות</t>
  </si>
  <si>
    <t>ועד תלמידי התמימים העולמי</t>
  </si>
  <si>
    <t>קובץ זכרון אברהם</t>
  </si>
  <si>
    <t>קובץ זכרון אהל לאה</t>
  </si>
  <si>
    <t>לזכר מרת לאה וייס</t>
  </si>
  <si>
    <t>ירושלים בני ברק</t>
  </si>
  <si>
    <t>קובץ זכרון אהרן</t>
  </si>
  <si>
    <t>ישיבת מקור חיים</t>
  </si>
  <si>
    <t>קובץ זכרון אמת ליעקב</t>
  </si>
  <si>
    <t>שטראוס, יעקב הלוי (עליו)</t>
  </si>
  <si>
    <t>קובץ זכרון אש תמיד - א</t>
  </si>
  <si>
    <t>מערכת אש תמיד</t>
  </si>
  <si>
    <t>קובץ זכרון זכר אהרן</t>
  </si>
  <si>
    <t>כהן, אהרן בן דוד יוסף</t>
  </si>
  <si>
    <t>קובץ זכרון מבקש השם</t>
  </si>
  <si>
    <t>לזכרו של רבי סעדיה ברזילי</t>
  </si>
  <si>
    <t>קובץ זכרון נחלת יעקב</t>
  </si>
  <si>
    <t>לזכר רבי יעקב כ"ץ</t>
  </si>
  <si>
    <t>קובץ זכרון עטרת משה</t>
  </si>
  <si>
    <t>שוייצר</t>
  </si>
  <si>
    <t>קובץ זמרת חיים - א</t>
  </si>
  <si>
    <t>כולל זמרת חיים</t>
  </si>
  <si>
    <t>קובץ חבורות מן הבאר</t>
  </si>
  <si>
    <t>לזכר הבחור יפתח מקיס</t>
  </si>
  <si>
    <t>קובץ חידו"ת תפארת משה</t>
  </si>
  <si>
    <t>ישיבת אור ישראל</t>
  </si>
  <si>
    <t>קובץ חידושי תורה האור</t>
  </si>
  <si>
    <t>אריה, שלמה ח בן חיים יצחק</t>
  </si>
  <si>
    <t>קובץ חידושי תורה ופרפראות לחכמה - א</t>
  </si>
  <si>
    <t>בית המדרש בי"ס הגבוה לטכנולוגיה</t>
  </si>
  <si>
    <t>קובץ חידושי תורה משיבת נפש</t>
  </si>
  <si>
    <t>כולל אברכים להוראה דחסידי סאדיגורה</t>
  </si>
  <si>
    <t>קובץ חידושי תורה משכן שלמה - ו ב הלכות מצרנות</t>
  </si>
  <si>
    <t>כולל משכן שלמה</t>
  </si>
  <si>
    <t>קובץ חידושי תורה נחלי דעת</t>
  </si>
  <si>
    <t>בית המדרש נחלי דעת</t>
  </si>
  <si>
    <t>טלז סטון</t>
  </si>
  <si>
    <t>קובץ חידושי תורה תורת נצח - ג</t>
  </si>
  <si>
    <t>ישיבת נצח ישראל</t>
  </si>
  <si>
    <t>איגוד תלמידי הישיבות</t>
  </si>
  <si>
    <t>טורונטו</t>
  </si>
  <si>
    <t>ספריית חב"ד, קבצים וכתבי עת, ספרי זכרון ויובל</t>
  </si>
  <si>
    <t>שטרוך, אוריאל בן נחום צבי הכהן</t>
  </si>
  <si>
    <t>קובץ חכמה ודעת - 2 כר'</t>
  </si>
  <si>
    <t>קובץ חנוכת הבית -ב</t>
  </si>
  <si>
    <t>קובץ י"א ניסן - שנת הקי"ח</t>
  </si>
  <si>
    <t>ליקוטים</t>
  </si>
  <si>
    <t>קובץ יד - עירובין</t>
  </si>
  <si>
    <t>פישהוף, יוסף דב בן אליעזר</t>
  </si>
  <si>
    <t>קובץ יהודה יעלה</t>
  </si>
  <si>
    <t>קובץ כולל גבוה להוראה - עירובין</t>
  </si>
  <si>
    <t>קובץ כולל גבוה להוראה</t>
  </si>
  <si>
    <t>קובץ כיבוד הורים</t>
  </si>
  <si>
    <t>יוניוב, משה חיים בן דרור</t>
  </si>
  <si>
    <t>קובץ כתלי בית המדרש - ב"ק ג</t>
  </si>
  <si>
    <t>קובץ לחיזוק ההתקשרות - פורים תש"ע</t>
  </si>
  <si>
    <t>קובץ לימוד</t>
  </si>
  <si>
    <t>רשת ישיבות בין הזמנים</t>
  </si>
  <si>
    <t>קובץ מאור התורה - 2 כר'</t>
  </si>
  <si>
    <t>כולל אברכים יוצאי סלבודקה</t>
  </si>
  <si>
    <t>קובץ מאמרי אלול תש"ל ועשיה"ת תשל"א</t>
  </si>
  <si>
    <t>קובץ מאמרים לחניכות בית יעקב</t>
  </si>
  <si>
    <t>בלתי ידוע</t>
  </si>
  <si>
    <t>קובץ מבי מדרשא</t>
  </si>
  <si>
    <t>תלמידי מתיבתא דברי יציב חיפה</t>
  </si>
  <si>
    <t>קובץ מבית חזקיהו</t>
  </si>
  <si>
    <t>קובץ מבצע תפילין</t>
  </si>
  <si>
    <t>תלמידי ישיבת תו"ת ליובאוויטש המרכזית</t>
  </si>
  <si>
    <t>קובץ מגדול ישועות - ב</t>
  </si>
  <si>
    <t>תפארת יעקב יוסף ספינקא</t>
  </si>
  <si>
    <t>קובץ מדרש רשב"י - 2 כר'</t>
  </si>
  <si>
    <t>משולם, מסעוד (אשר)</t>
  </si>
  <si>
    <t>קובץ מה טובו אהליך יעקב - 6 כר'</t>
  </si>
  <si>
    <t>קובץ מה שאני מבקש</t>
  </si>
  <si>
    <t>חבורת מעלין בקודש ביאלא</t>
  </si>
  <si>
    <t>קובץ מוסר אבות</t>
  </si>
  <si>
    <t>לקט מדברי גדולי תורה לעסוק בלימוד מסכת אבות</t>
  </si>
  <si>
    <t>קובץ מחנה קיץ</t>
  </si>
  <si>
    <t>בית ליובאוויטש פאריז</t>
  </si>
  <si>
    <t>קובץ מילי דשמעתתא</t>
  </si>
  <si>
    <t>קאהן, ישראל פנחס</t>
  </si>
  <si>
    <t>קובץ מכתבי הרבנים בענין השיער הבא מהודו</t>
  </si>
  <si>
    <t>קובץ מן הבאר - בבא מציעא</t>
  </si>
  <si>
    <t>ישיבת באר המלך</t>
  </si>
  <si>
    <t>קובץ מנורה בדרום - 5 כר'</t>
  </si>
  <si>
    <t>בני תורה אופקים</t>
  </si>
  <si>
    <t>קובץ מפרשי התורה</t>
  </si>
  <si>
    <t>מושקוביץ, צבי בן זאב מאיר</t>
  </si>
  <si>
    <t>מארגרעטען,</t>
  </si>
  <si>
    <t>קובץ מראה מקומות  אהל גדליה - המוכר את הספינה</t>
  </si>
  <si>
    <t>קובץ מראי מקומות ובירורי סוגיות - 3 כר'</t>
  </si>
  <si>
    <t>קובץ מראי מקומות - כיצד מברכין, שלשה שאכלו</t>
  </si>
  <si>
    <t>קובץ משכן דוד</t>
  </si>
  <si>
    <t>כולל משכן דוד</t>
  </si>
  <si>
    <t>קובץ נר דוד - 4 כר'</t>
  </si>
  <si>
    <t>כולל נווה דוד</t>
  </si>
  <si>
    <t>קובץ נר ישראל - סוכה</t>
  </si>
  <si>
    <t>כולל נר ישראל</t>
  </si>
  <si>
    <t>קובץ נר למאור</t>
  </si>
  <si>
    <t>בית מדרש לרבנים מזכרת משה</t>
  </si>
  <si>
    <t>קובץ נר מצוה ותורה אור</t>
  </si>
  <si>
    <t>בן שושן, יצחק בן יוסף</t>
  </si>
  <si>
    <t>קובץ סופרי המלך - ב</t>
  </si>
  <si>
    <t>קובץ עיון הפרשה - 10 כר'</t>
  </si>
  <si>
    <t>קובץ עיון הפרשה</t>
  </si>
  <si>
    <t>קובץ עיוני תורה - 2 כר'</t>
  </si>
  <si>
    <t>בואנוס אירס Buenos</t>
  </si>
  <si>
    <t>קובץ עיונים במלאכת הוצאה</t>
  </si>
  <si>
    <t>ישראל בן אליעזר</t>
  </si>
  <si>
    <t>קובץ עיונים תפארת שמשון - ד</t>
  </si>
  <si>
    <t>קובץ עניני אמונה</t>
  </si>
  <si>
    <t>קובץ ענינים - שבת, מוקצה, מו"ק, תפילין</t>
  </si>
  <si>
    <t>אונא, שלמה בן שמעון משה</t>
  </si>
  <si>
    <t>קובץ עצות בעניין ערכו של הזמן</t>
  </si>
  <si>
    <t>קובץ צדקת אפרים - יא</t>
  </si>
  <si>
    <t>כולל הוראה צדקת אפרים</t>
  </si>
  <si>
    <t>קובץ קהלות ישורון - ג</t>
  </si>
  <si>
    <t>כולל זרעים קהלות ישורון</t>
  </si>
  <si>
    <t>קובץ קו ההלכה עיון ההלכה</t>
  </si>
  <si>
    <t>קובץ קו ההלכה - 2 כר'</t>
  </si>
  <si>
    <t>קובץ ראשונים - 2 כר'</t>
  </si>
  <si>
    <t>קובץ רב ברכות - 2 כר'</t>
  </si>
  <si>
    <t>בית הכנסת המרכזי "טוויג" - ישיבת מדרש יהודה</t>
  </si>
  <si>
    <t>קובץ שאלות בהלכות מליחה</t>
  </si>
  <si>
    <t>שטיין, משה בן ברוך בענדיט</t>
  </si>
  <si>
    <t>קובץ שו"ת מהגר"ח קנייבסקי בעניני תפילין ובר מצוה</t>
  </si>
  <si>
    <t>נאטאן, אברהם</t>
  </si>
  <si>
    <t>קובץ שיחות ומאמרים - אלול וימים נוראים</t>
  </si>
  <si>
    <t>מכון המאורות</t>
  </si>
  <si>
    <t>קובץ שיחות מוסר</t>
  </si>
  <si>
    <t>שיינברג, חיים פינחס בן יעקב יצחק</t>
  </si>
  <si>
    <t>קובץ שיחות שנאמרו בישיבת באר יעקב ע"י מרן המשגיח שליט"א - ב</t>
  </si>
  <si>
    <t>תשככ"ט</t>
  </si>
  <si>
    <t>קובץ שיעורים כלליים - 2 כר'</t>
  </si>
  <si>
    <t>ברים, יהושע העשיל</t>
  </si>
  <si>
    <t>קובץ שלמי ציבור - 2 כר'</t>
  </si>
  <si>
    <t>כולל עושה פרי</t>
  </si>
  <si>
    <t>קובץ שערי ציון - 2 כר'</t>
  </si>
  <si>
    <t>קובץ שערים המצויינים</t>
  </si>
  <si>
    <t>קובץ שפתי מהרש"ג</t>
  </si>
  <si>
    <t>מכון ויגד מרדכי</t>
  </si>
  <si>
    <t>קובץ שתילים</t>
  </si>
  <si>
    <t>משפחת מענדלאוויטש</t>
  </si>
  <si>
    <t>קובץ תוכן השיחות היומיות</t>
  </si>
  <si>
    <t>מערכת מבצע השיחה היומית</t>
  </si>
  <si>
    <t>קובץ תורה מצילה ומגינה</t>
  </si>
  <si>
    <t>קובץ תורני אורייתא</t>
  </si>
  <si>
    <t>ישיבה דרכי תורה</t>
  </si>
  <si>
    <t>קובץ תורני ארזי הלבנון</t>
  </si>
  <si>
    <t>גוטמן, צבי (עורך)</t>
  </si>
  <si>
    <t>הלכה ומנהג, קבצים וכתבי עת, ספרי זכרון ויובל, שאלות ותשובות</t>
  </si>
  <si>
    <t>קובץ תורני בית הלל</t>
  </si>
  <si>
    <t>וינד, ישראל בן הלל</t>
  </si>
  <si>
    <t>קובץ תורני דמשק אליעזר</t>
  </si>
  <si>
    <t>מערכת דמשק אליעזר</t>
  </si>
  <si>
    <t>קובץ תורני המישור - 2 כר'</t>
  </si>
  <si>
    <t>כולל בית הוראה לייקווד</t>
  </si>
  <si>
    <t>קובץ תורני חסדי דוד</t>
  </si>
  <si>
    <t>קובץ כולל חסדי דוד</t>
  </si>
  <si>
    <t>קובץ תורני כבודה של תורה</t>
  </si>
  <si>
    <t>חניכי ישיבת קול תורה</t>
  </si>
  <si>
    <t>קובץ תורני משה ואלעזר - 10 כר'</t>
  </si>
  <si>
    <t>ישיבת כסא רחמים</t>
  </si>
  <si>
    <t>קובץ תורני משנת אהרן - שבת</t>
  </si>
  <si>
    <t>ישיבת פינסק קרלין</t>
  </si>
  <si>
    <t>קובץ תורני עטרת אברהם - א</t>
  </si>
  <si>
    <t>קהל מאקאווא בני ברק</t>
  </si>
  <si>
    <t>קובץ תורני עטרת זהב</t>
  </si>
  <si>
    <t>קובץ תורני שבילי הדעת - א</t>
  </si>
  <si>
    <t>קהילת חניכי הישיבות צא"י קרית הרצוג</t>
  </si>
  <si>
    <t>קובץ תורני שערי אברהם</t>
  </si>
  <si>
    <t>ישיבה קטנה חוג חתם סופר מחנה אברהם</t>
  </si>
  <si>
    <t>קובץ תורני שערי ציון - תשס"ה</t>
  </si>
  <si>
    <t>כוללי טשכנוב</t>
  </si>
  <si>
    <t>קובץ תורני תורה אור - א</t>
  </si>
  <si>
    <t>ישיבת תורת אליהו</t>
  </si>
  <si>
    <t>קובץ תורת ההזכרות - ב</t>
  </si>
  <si>
    <t>קובץ תורת הקורבנות - מסכת מנחות</t>
  </si>
  <si>
    <t>קובץ תורת חיים</t>
  </si>
  <si>
    <t>ישיבת תורת חיים</t>
  </si>
  <si>
    <t>קובץ תורת ציון - א</t>
  </si>
  <si>
    <t>אליהו, ישראל (עורך)</t>
  </si>
  <si>
    <t>קובץ תמצית הדף - עירובין</t>
  </si>
  <si>
    <t>אהבת תורה - בעלזא</t>
  </si>
  <si>
    <t>קובץ תפארת התלמוד</t>
  </si>
  <si>
    <t>ישיבת תפארת התלמוד</t>
  </si>
  <si>
    <t>קובץ תפארת מרדכי</t>
  </si>
  <si>
    <t>קובץ תשובות ומענות בקשר ללימוד בכולל</t>
  </si>
  <si>
    <t>קווים לחקר כניסת היהודים לחיים האזרחים בגרמניה</t>
  </si>
  <si>
    <t>טורי, יעקב</t>
  </si>
  <si>
    <t>קוטנרס שביבי אור - שבועות</t>
  </si>
  <si>
    <t>כ"ץ, יעקב</t>
  </si>
  <si>
    <t>קול אריה - פרקי אבות</t>
  </si>
  <si>
    <t>שווארץ, אברהם יהודה אריה ליב בן פינחס ז</t>
  </si>
  <si>
    <t>קול החצר - 3 כר'</t>
  </si>
  <si>
    <t>קול הישיבה - בבא בתרא חלק ג</t>
  </si>
  <si>
    <t>תלמידי ישיבת טעלז</t>
  </si>
  <si>
    <t>קול השבת - 36 כר'</t>
  </si>
  <si>
    <t>בטאון על מפלגתי</t>
  </si>
  <si>
    <t>קול התור</t>
  </si>
  <si>
    <t>אשלג, יהודה ליב הלוי</t>
  </si>
  <si>
    <t>קול התורה</t>
  </si>
  <si>
    <t>ישיבת קול תורה</t>
  </si>
  <si>
    <t>קול התורה - 4 כר'</t>
  </si>
  <si>
    <t>קול יעקב</t>
  </si>
  <si>
    <t>[תרכ"ה],</t>
  </si>
  <si>
    <t>רויזניטץ, יעקב אליעזר</t>
  </si>
  <si>
    <t>קול יעקב - 3 כר'</t>
  </si>
  <si>
    <t>תלמידי ישיבת רבינו יעקב יוסף</t>
  </si>
  <si>
    <t>קול ירושלים - 4 כר'</t>
  </si>
  <si>
    <t>קול מביאים תודה</t>
  </si>
  <si>
    <t>בית המדרש הגבוה להלכה בהתישבות</t>
  </si>
  <si>
    <t>קול מהיכל &lt;ואלקין&gt; - ה (ירח האיתנים)</t>
  </si>
  <si>
    <t>קול מהיכל - 3 כר'</t>
  </si>
  <si>
    <t>קול מנחם &lt;קאליב&gt; - שבת ב</t>
  </si>
  <si>
    <t>טאוב, מנחם מנדל בן יהודה יחיאל</t>
  </si>
  <si>
    <t>קול מציון - אמרי ציון</t>
  </si>
  <si>
    <t>הספדים על רבי בן ציון פריימן - שילדקרויט, בן-ציון חיים בן אהרן משה</t>
  </si>
  <si>
    <t>קול צופיך</t>
  </si>
  <si>
    <t>קול קורא</t>
  </si>
  <si>
    <t>וייסמאנדל, חיים מיכאל דוב בן יוסף</t>
  </si>
  <si>
    <t>קול רינה וישועה באהלי צדיקים</t>
  </si>
  <si>
    <t>גולדשטיין, פסח</t>
  </si>
  <si>
    <t>קול רנה - 2 כר'</t>
  </si>
  <si>
    <t>הירשבערג, נתן בן משה</t>
  </si>
  <si>
    <t>קול שופר חזק מאד</t>
  </si>
  <si>
    <t>קול שמחה לחתן ולכלה</t>
  </si>
  <si>
    <t>קול שמחה</t>
  </si>
  <si>
    <t>פלטרוביץ, שמחה בן צבי</t>
  </si>
  <si>
    <t>[תרע"ג,</t>
  </si>
  <si>
    <t>דרושים, הלכה ומנהג, תלמוד בבלי, תנ"ך</t>
  </si>
  <si>
    <t>קול ששון וקול שמחה</t>
  </si>
  <si>
    <t>הלכה ומנהג, מועדי ישראל, נושאים שונים, תפלות בקשות פיוטים ושירה</t>
  </si>
  <si>
    <t>קול ששון - &lt;מגילת אסתר עם פירוש הראב"ע ופירוש פתוחי חותם&gt;</t>
  </si>
  <si>
    <t>פירשטנטאל,רפאל בן יעקב</t>
  </si>
  <si>
    <t>קראטאשין,</t>
  </si>
  <si>
    <t>קול תודה - 5 כר'</t>
  </si>
  <si>
    <t>ארגון לעולם אודך</t>
  </si>
  <si>
    <t>קול תורה - 2 כר'</t>
  </si>
  <si>
    <t>תלמידי בית מדרש עליון</t>
  </si>
  <si>
    <t>קולטור פילאסאפישע שטודיען</t>
  </si>
  <si>
    <t>קליין, זאב צבי בן זכריה הכהן</t>
  </si>
  <si>
    <t>קומי אורי</t>
  </si>
  <si>
    <t>קונטרס  מאמרי ימי הרצון</t>
  </si>
  <si>
    <t>קונטרס אאזרך</t>
  </si>
  <si>
    <t>קונטרס אבן הראשה</t>
  </si>
  <si>
    <t>מכון נחלי אמונה סלאנים באר אברהם</t>
  </si>
  <si>
    <t>קונטרס אגרות מאמר מרדכי</t>
  </si>
  <si>
    <t>שוואב, מרדכי מנחם בן יהודה ליב</t>
  </si>
  <si>
    <t>קונטרס אדמת קודש</t>
  </si>
  <si>
    <t>הוועד להצלת בית העלמין מקום קבורת מרן רבי ישראל סלנטר</t>
  </si>
  <si>
    <t>קונטרס אהבת איתן</t>
  </si>
  <si>
    <t>ויינבערג, נתן דוד בן מרדכי</t>
  </si>
  <si>
    <t>קונטרס אובנתא דליבא - מזוזה</t>
  </si>
  <si>
    <t>חבורת אליבא דהלכתא</t>
  </si>
  <si>
    <t>קונטרס אונאת דברים</t>
  </si>
  <si>
    <t>הלוי, אסי אבן יולי</t>
  </si>
  <si>
    <t>קונטרס אופני ריבית מצויים</t>
  </si>
  <si>
    <t>פריצקי, אהרן בן אברהם יעקב</t>
  </si>
  <si>
    <t>קונטרס אור הכולל - ב</t>
  </si>
  <si>
    <t>כולל עבודת לוי</t>
  </si>
  <si>
    <t>קונטרס אור המאיר - על עניני חנוכה</t>
  </si>
  <si>
    <t>חברת מחזיקי תורה דחסידי בעלזא</t>
  </si>
  <si>
    <t>קונטרס אור הפורים</t>
  </si>
  <si>
    <t>גינזבערג, מרדכי</t>
  </si>
  <si>
    <t>צלר, יונה</t>
  </si>
  <si>
    <t>קונטרס אור ועבודת שמירת העיניים</t>
  </si>
  <si>
    <t>קונטרס אור עולם</t>
  </si>
  <si>
    <t>קונטרס אורח אהרן</t>
  </si>
  <si>
    <t>מיטלמן, אהרן</t>
  </si>
  <si>
    <t>קונטרס אורח חיים - אדר</t>
  </si>
  <si>
    <t>מעיין החיים - צאנז</t>
  </si>
  <si>
    <t>קונטרס אורח לצדיק</t>
  </si>
  <si>
    <t>קונטרס אז נדברו - 4 כר'</t>
  </si>
  <si>
    <t>קונטרס איי הים</t>
  </si>
  <si>
    <t>פוגל, אהרן יחיאל יעקב</t>
  </si>
  <si>
    <t>קונטרס איסור פתיחת כלים</t>
  </si>
  <si>
    <t>קונטרס איש איטר</t>
  </si>
  <si>
    <t>קנייבסקי, שמריהו יוסף חיים בן יעקב ישראל - גריססגאטט, יהושע חיים</t>
  </si>
  <si>
    <t>קונטרס אכסניא של תורה</t>
  </si>
  <si>
    <t>מתיבתא תורה ויראה דרב"י מסאטמר</t>
  </si>
  <si>
    <t>נ"י</t>
  </si>
  <si>
    <t>קונטרס אל מול פני המנורה - 2 כר'</t>
  </si>
  <si>
    <t>קונטרס אם כסף תלוה</t>
  </si>
  <si>
    <t>אומן, יחיאל</t>
  </si>
  <si>
    <t>קונטרס אמונת אהרן</t>
  </si>
  <si>
    <t>היילפרין, אהרן</t>
  </si>
  <si>
    <t>קונטרס אמונת חיים - 2 כר'</t>
  </si>
  <si>
    <t>אמונת חיים</t>
  </si>
  <si>
    <t>קונטרס אמונת עתיך - תשנ"ט</t>
  </si>
  <si>
    <t>וולפסון, משה</t>
  </si>
  <si>
    <t>ברוקלין ניו יורק</t>
  </si>
  <si>
    <t>קונטרס אמרי דבש - נשמת</t>
  </si>
  <si>
    <t>שטרנבוך, אלכסנדר זיסקינד בן דב</t>
  </si>
  <si>
    <t>קונטרס אמת ליעקב</t>
  </si>
  <si>
    <t>נסיר, יעקב בן משה חיים</t>
  </si>
  <si>
    <t>קונטרס אמת מארץ</t>
  </si>
  <si>
    <t>קונטרס אפיקי מים</t>
  </si>
  <si>
    <t>זית, מאיר בן אברהם</t>
  </si>
  <si>
    <t>קונטרס אריה ישאג - 7 כר'</t>
  </si>
  <si>
    <t>קונטרס ארץ חמדה</t>
  </si>
  <si>
    <t>קונטרס ארשת שפתים</t>
  </si>
  <si>
    <t>קובץ כולל דרכי דוד</t>
  </si>
  <si>
    <t>קונטרס אשי אהרן - חנוכה</t>
  </si>
  <si>
    <t>קונטרס אשר התרת אסרתי</t>
  </si>
  <si>
    <t>קונטרס אשרי המלך</t>
  </si>
  <si>
    <t>קונטרס אשריך - יבמות, כתובות</t>
  </si>
  <si>
    <t>קונטרס באר יצחק - תפילה</t>
  </si>
  <si>
    <t>קונטרס באר שלמה - גיטין</t>
  </si>
  <si>
    <t>כולל אלישטבע</t>
  </si>
  <si>
    <t>קונטרס בגדי לבן</t>
  </si>
  <si>
    <t>הלכה ומנהג, קבלה</t>
  </si>
  <si>
    <t>קונטרס בגדי שבת</t>
  </si>
  <si>
    <t>אפשטיין, אברהם בן ישעיהו</t>
  </si>
  <si>
    <t>קונטרס בדמייך חיי</t>
  </si>
  <si>
    <t>קונטרס בדרך המלך</t>
  </si>
  <si>
    <t>קונטרס בזקנינו נלך</t>
  </si>
  <si>
    <t>רוטנברג, שמואל בן הלל</t>
  </si>
  <si>
    <t>קונטרס בי מדרשא - 2 כר'</t>
  </si>
  <si>
    <t>קונטרס ביאורי ענינים - 3 כר'</t>
  </si>
  <si>
    <t>בן שלמה, שלמה מאיר בן אליהו</t>
  </si>
  <si>
    <t>קונטרס ביאורים - קובץ מר"מ - סנהדרין</t>
  </si>
  <si>
    <t>בן שלמה, מאיר</t>
  </si>
  <si>
    <t>קונטרס ביאורים - 3 כר'</t>
  </si>
  <si>
    <t>קונטרס ביאורים</t>
  </si>
  <si>
    <t>יאסילווסקי, אליהו</t>
  </si>
  <si>
    <t>קונטרס ביכורי אברהם</t>
  </si>
  <si>
    <t>דשייקאבס, אברהם צבי</t>
  </si>
  <si>
    <t>קונטרס בין תכלת ללבן</t>
  </si>
  <si>
    <t>קונטרס ביעור מעשרות</t>
  </si>
  <si>
    <t>דינקל, משה טוביה בן אכסנדר</t>
  </si>
  <si>
    <t>קונטרס בירורי הלכה - הלכות שבת</t>
  </si>
  <si>
    <t>קונטרס בירורים - 7 כר'</t>
  </si>
  <si>
    <t>הלפרין, חגי</t>
  </si>
  <si>
    <t>קונטרס בית אליעזר - 2 כר'</t>
  </si>
  <si>
    <t>קרביץ, אליעזר בן נחום זאב</t>
  </si>
  <si>
    <t>קונטרס בית האר"י</t>
  </si>
  <si>
    <t>מועדי ישראל, קבלה</t>
  </si>
  <si>
    <t>קונטרס בית קטן</t>
  </si>
  <si>
    <t>קטן, גבריאל</t>
  </si>
  <si>
    <t>קונטרס בכורי צבי - בכורות</t>
  </si>
  <si>
    <t>גולדברג, צבי בן ניסן</t>
  </si>
  <si>
    <t>קונטרס בנין חיים - בענין גזל</t>
  </si>
  <si>
    <t>קונטרס בספר חיי"ם</t>
  </si>
  <si>
    <t>מילר, יעקב יוסף</t>
  </si>
  <si>
    <t>קונטרס בעיות זמנינו - 2 כר'</t>
  </si>
  <si>
    <t>קונטרס בענייני אכילת מצה ולחם משנה</t>
  </si>
  <si>
    <t>קונטרס בענייני יחוד</t>
  </si>
  <si>
    <t>זלזניק</t>
  </si>
  <si>
    <t>קונטרס בענייני פורים</t>
  </si>
  <si>
    <t>ישיבת הדר התורה</t>
  </si>
  <si>
    <t>קונטרס בענין אחד מל והשני פורע</t>
  </si>
  <si>
    <t>שעיו, דניאל סואד</t>
  </si>
  <si>
    <t>קונטרס בענין הנחת תפילין דר"ת</t>
  </si>
  <si>
    <t>ווינר, משה ניסן</t>
  </si>
  <si>
    <t>קונטרס בענין הפרשת תרו"מ</t>
  </si>
  <si>
    <t>הופמן, אברהם יצחק</t>
  </si>
  <si>
    <t>קונטרס בענין זיקה</t>
  </si>
  <si>
    <t>קונטרס בענין ישמע אל נאקת העם ויענם</t>
  </si>
  <si>
    <t>ויסבקר, ברוך בן משה</t>
  </si>
  <si>
    <t>קונטרס בענין עישון סיגריות ביו"ט</t>
  </si>
  <si>
    <t>פעלדמאן, ישעיהו אשר זעליג</t>
  </si>
  <si>
    <t>קונטרס בענין קידוש מבעוד יום</t>
  </si>
  <si>
    <t>נקש, חיים בן יחזקאל</t>
  </si>
  <si>
    <t>קונטרס בענין קריאת שם לועזי</t>
  </si>
  <si>
    <t>קונטרס בעניני דיני ציבור ודבר שבקדושה</t>
  </si>
  <si>
    <t>שטרלינג, יצחק מאיר הכהן</t>
  </si>
  <si>
    <t>קונטרס בעניני המועדים</t>
  </si>
  <si>
    <t>קרפף, משה</t>
  </si>
  <si>
    <t>קונטרס בעניני יור"ד סי' קצ"ה</t>
  </si>
  <si>
    <t>קונטרס בעניני שליחות</t>
  </si>
  <si>
    <t>קונטרס בענינים שונים</t>
  </si>
  <si>
    <t>קונטרס בעקבי הצאן</t>
  </si>
  <si>
    <t>קונטרס בפי רבים אהללה</t>
  </si>
  <si>
    <t>שישא, יוסף הלוי</t>
  </si>
  <si>
    <t>קונטרס ברית שבת</t>
  </si>
  <si>
    <t>חשע"ד</t>
  </si>
  <si>
    <t>קונטרס ברך חילו</t>
  </si>
  <si>
    <t>קונטרס ברכה לישראל - פרק לא יחפור</t>
  </si>
  <si>
    <t>קונטרס ברכת הנהנין</t>
  </si>
  <si>
    <t>קונטרס ברכת יעקב - 2 כר'</t>
  </si>
  <si>
    <t>קונטרס ברכת ישע</t>
  </si>
  <si>
    <t>קונטרס ברכת שלמה</t>
  </si>
  <si>
    <t>פרידלנדר, דוד ליב בן שלמה</t>
  </si>
  <si>
    <t>קונטרס בשולי השולחן</t>
  </si>
  <si>
    <t>פליסקין, יוסף בן יחיאל מיכל</t>
  </si>
  <si>
    <t>קונטרס גחלים על ראשו</t>
  </si>
  <si>
    <t>קונטרס גידול הזקן - 2 כר'</t>
  </si>
  <si>
    <t>קונטרס גמולו בראשו</t>
  </si>
  <si>
    <t>קונטרס גער חית קנה</t>
  </si>
  <si>
    <t>קונטרס דבר הגורם לממון</t>
  </si>
  <si>
    <t>קונטרס דברי אותותיו - א</t>
  </si>
  <si>
    <t>עסיס, יעקב בן יוסף</t>
  </si>
  <si>
    <t>קונטרס דברי פז</t>
  </si>
  <si>
    <t>קונטרס דברי קדושה</t>
  </si>
  <si>
    <t>קאהן, אברהם יצחק</t>
  </si>
  <si>
    <t>קונטרס דברי שמואל - דיני ברכת התורה</t>
  </si>
  <si>
    <t>פרימן, שמואל מלאכי בן מאיר</t>
  </si>
  <si>
    <t>הלכה ומנהג, נושאים שונים, שלחן ערוך ומפרשיו</t>
  </si>
  <si>
    <t>קונטרס דברי שרגא - 2 כר'</t>
  </si>
  <si>
    <t>שטינברג, שרגא</t>
  </si>
  <si>
    <t>קונטרס דברי תורה</t>
  </si>
  <si>
    <t>ואזנר, שמואל בן יוסף צבי הלוי</t>
  </si>
  <si>
    <t>קונטרס דיני שביעית</t>
  </si>
  <si>
    <t>הורביץ, משה</t>
  </si>
  <si>
    <t>קונטרס דינים דקדוקים וחומרות בתפילין</t>
  </si>
  <si>
    <t>קונטרס דעת תורה</t>
  </si>
  <si>
    <t>קונטרס דצך עדש באחב</t>
  </si>
  <si>
    <t>קונטרס דרך חיים תוכחות מוסר</t>
  </si>
  <si>
    <t>ישיבת ויואל משה דסאטמר</t>
  </si>
  <si>
    <t>קונטרס דרך ישועות</t>
  </si>
  <si>
    <t>גינויער, צבי שלום הלוי - מלין, חיים</t>
  </si>
  <si>
    <t>קונטרס דרכי חיים - הערות על ספר חפץ חיים</t>
  </si>
  <si>
    <t>וויזנפלד, גרשון אברהם</t>
  </si>
  <si>
    <t>קונטרס דרכי חיים - ב</t>
  </si>
  <si>
    <t>עדס, אברהם חיים בן יהודה</t>
  </si>
  <si>
    <t>קונטרס דרש באוכלוסא</t>
  </si>
  <si>
    <t>הלפרין, ירחמיאל ישראל יצחק</t>
  </si>
  <si>
    <t>קונטרס האור החיים הקדוש</t>
  </si>
  <si>
    <t>קונטרס האזינו רוזנים</t>
  </si>
  <si>
    <t>רוזנר, שמואל</t>
  </si>
  <si>
    <t>קונטרס האם ערבה זו כשרה</t>
  </si>
  <si>
    <t>תאומים, דוד</t>
  </si>
  <si>
    <t>קונטרס הבוחר בתורה ובמשה עבדו</t>
  </si>
  <si>
    <t>ללוש, שמעון</t>
  </si>
  <si>
    <t>קונטרס הבורגנין של רמות</t>
  </si>
  <si>
    <t>אסתרזון, ח.</t>
  </si>
  <si>
    <t>קונטרס הברכה על המרור</t>
  </si>
  <si>
    <t>קונטרס הבת והלכותיה - סעודת בת מצוה</t>
  </si>
  <si>
    <t>קונטרס הגדול - א</t>
  </si>
  <si>
    <t>פרידמן, מרדכי בן נחום יואל</t>
  </si>
  <si>
    <t>קונטרס הגדת משה</t>
  </si>
  <si>
    <t>קונטרס הגירות</t>
  </si>
  <si>
    <t>ארגון נצח משפחת ישראל</t>
  </si>
  <si>
    <t>קונטרס הואיל משה</t>
  </si>
  <si>
    <t>דנחי, משה בן יוסף</t>
  </si>
  <si>
    <t>קונטרס הוד שבהוד</t>
  </si>
  <si>
    <t>בלושטיין, יהושע מנחם</t>
  </si>
  <si>
    <t>קונטרס הוצאה</t>
  </si>
  <si>
    <t>קונטרס החבורות מילי דנזיקין</t>
  </si>
  <si>
    <t>קונטרס הטהרות - כללי קרבנות</t>
  </si>
  <si>
    <t>פרידמן, בנימין בן יוסף</t>
  </si>
  <si>
    <t>קונטרס היא אוצרו</t>
  </si>
  <si>
    <t>קונטרס הלכות טריפות הריאה</t>
  </si>
  <si>
    <t>רלב"ג, אליעזר דן בן אריה ליב</t>
  </si>
  <si>
    <t>קונטרס הלכות מצויות - 2 כר'</t>
  </si>
  <si>
    <t>משה שניר, דוד</t>
  </si>
  <si>
    <t>קונטרס הלכות שתי הלחם</t>
  </si>
  <si>
    <t>קונטרס הלכות תקיעת שופר - 2 כר'</t>
  </si>
  <si>
    <t>מושקוביץ, מנחם בן ישעיהו הכהן</t>
  </si>
  <si>
    <t>קונטרס המאיר לארץ</t>
  </si>
  <si>
    <t>אביטל, משה</t>
  </si>
  <si>
    <t>קונטרס הנהגת התורה בספיקות</t>
  </si>
  <si>
    <t>רוט, אברהם ישעיהו</t>
  </si>
  <si>
    <t>קונטרס העיונים - 6 כר'</t>
  </si>
  <si>
    <t>רוטשטיין, יחזקאל בן יוסף ליב</t>
  </si>
  <si>
    <t>קונטרס העצות לתפילה בכוונה</t>
  </si>
  <si>
    <t>א.ב.נ</t>
  </si>
  <si>
    <t>קונטרס הערות וביאורים - 3 כר'</t>
  </si>
  <si>
    <t>גלינסקי, אריה בן בצלאל</t>
  </si>
  <si>
    <t>קונטרס הערות ועיונים</t>
  </si>
  <si>
    <t>מנדלבוים, דוד אברהם</t>
  </si>
  <si>
    <t>קונטרס הפיטם</t>
  </si>
  <si>
    <t>קונטרס הרועה בשושנים</t>
  </si>
  <si>
    <t>קונטרס הררים התלויים בשערה</t>
  </si>
  <si>
    <t>מחפוד, איתמר בן אהרן הלוי</t>
  </si>
  <si>
    <t>קונטרס השיבני שבת</t>
  </si>
  <si>
    <t>קונטרס התבוננות בברכת אשר יצר</t>
  </si>
  <si>
    <t>קונטרס התערובות</t>
  </si>
  <si>
    <t>קונטרס ובו קצת הערות בריש סנהדרין</t>
  </si>
  <si>
    <t>קונטרס ובחרת בחיים</t>
  </si>
  <si>
    <t>קונטרס ודברת בם</t>
  </si>
  <si>
    <t>קונטרס והבית בהבנותו</t>
  </si>
  <si>
    <t>מרגליות, אליעזר</t>
  </si>
  <si>
    <t>קונטרס והיה ברכה</t>
  </si>
  <si>
    <t>שישא, אברהם הלוי</t>
  </si>
  <si>
    <t>קונטרס והיה מחניך קדוש</t>
  </si>
  <si>
    <t>כהן, יוסף שלמה</t>
  </si>
  <si>
    <t>קונטרס והיו עיניך רואות</t>
  </si>
  <si>
    <t>אזולאי, דוד בן מקסים</t>
  </si>
  <si>
    <t>קונטרס והלכת בדרכיו</t>
  </si>
  <si>
    <t>קונטרס והערב נא</t>
  </si>
  <si>
    <t>קונטרס וידעת היום</t>
  </si>
  <si>
    <t>קונטרס וימצא יוסף חן</t>
  </si>
  <si>
    <t>קונטרס ומשפע מצות תפילין</t>
  </si>
  <si>
    <t>קונטרס ומתורתך תלמדני</t>
  </si>
  <si>
    <t>פרצוביץ, שמעון מרדכי</t>
  </si>
  <si>
    <t>קונטרס ונשמח במצותיך</t>
  </si>
  <si>
    <t>קונטרס ונשמרת מכל דבר רע</t>
  </si>
  <si>
    <t>קונטרס וקולי בא בדממה</t>
  </si>
  <si>
    <t>לוגאסי, אברהם</t>
  </si>
  <si>
    <t>קונטרס וקראת לשבת עונג</t>
  </si>
  <si>
    <t>קונטרס ורפא ירפא</t>
  </si>
  <si>
    <t>הרט, משולם בן נתן נטע - קנייבסקי, שמריהו יוסף חיים בן יעקב ישראל</t>
  </si>
  <si>
    <t>קונטרס ושמחתם לפני ה'</t>
  </si>
  <si>
    <t>קונטרס ושפני טמוני חול</t>
  </si>
  <si>
    <t>בן נון, יצחק בן משה</t>
  </si>
  <si>
    <t>קונטרס זה כל האדם</t>
  </si>
  <si>
    <t>קונטרס זהב המלאכה</t>
  </si>
  <si>
    <t>שטינברג, יואל בן  חיים מאיר יחיאל הלוי</t>
  </si>
  <si>
    <t>קונטרס זהב ולבונה</t>
  </si>
  <si>
    <t>קונטרס זהיר טפי</t>
  </si>
  <si>
    <t>זילבר, אברהם חיים</t>
  </si>
  <si>
    <t>קונטרס זיו שושנים</t>
  </si>
  <si>
    <t>קונטרס זכור זאת ליעקב</t>
  </si>
  <si>
    <t>הררי-רפול, יוסף בן שלמה</t>
  </si>
  <si>
    <t>קונטרס זכר דבר</t>
  </si>
  <si>
    <t>טולנפלד, דוד בן שמואל</t>
  </si>
  <si>
    <t>קונטרס זכר משה</t>
  </si>
  <si>
    <t>לזכר רבי משה טשינגל</t>
  </si>
  <si>
    <t>קונטרס זכרון הרב משה מרדכי</t>
  </si>
  <si>
    <t>ארנשטיין, משה מרדכי</t>
  </si>
  <si>
    <t>קונטרס זכרון להרבנית הצדקנית מרת שינא חיה אלישיב</t>
  </si>
  <si>
    <t>ישיבת הר"ן</t>
  </si>
  <si>
    <t>קונטרס זכרון ליום השנה העשרים לפטירת הרב מאיר שצרנסקי ז"ל</t>
  </si>
  <si>
    <t>קונטרס זכרון למורנו ורבנו הגה"צ רבי יחזקאל פרצוביץ</t>
  </si>
  <si>
    <t>תלמידי ישיבת תפארת צבי</t>
  </si>
  <si>
    <t>קונטרס זרע יעקב</t>
  </si>
  <si>
    <t>קונטרס חבורות והערות - זבחים</t>
  </si>
  <si>
    <t>ישיבת שערי שמחה</t>
  </si>
  <si>
    <t>קונטרס חדש בקרבי - תפילה</t>
  </si>
  <si>
    <t>ארגון יוצאי תימן</t>
  </si>
  <si>
    <t>קונטרס חודש ושבת</t>
  </si>
  <si>
    <t>קונטרס חוט המשולש</t>
  </si>
  <si>
    <t>קונטרס חוט השני</t>
  </si>
  <si>
    <t>זכותא, חיים בן אברהם</t>
  </si>
  <si>
    <t>קונטרס חוקת הפסח</t>
  </si>
  <si>
    <t>קונטרס חושן אהרן - 2 כר'</t>
  </si>
  <si>
    <t>קונטרס חזון ברוך</t>
  </si>
  <si>
    <t>טולידאנו, יעקב בן ברוך</t>
  </si>
  <si>
    <t>קונטרס חיבור בגדר קנין הקידושין</t>
  </si>
  <si>
    <t>גליק, יצחק</t>
  </si>
  <si>
    <t>קונטרס חיבור בענין קניני היבום</t>
  </si>
  <si>
    <t>קונטרס חמדת אברהם - 2 כר'</t>
  </si>
  <si>
    <t>דולני, חיים מרדכי הכהן</t>
  </si>
  <si>
    <t>קונטרס חנוך לנער</t>
  </si>
  <si>
    <t>קונטרס חנוניך חלץ ממסגרים</t>
  </si>
  <si>
    <t>קונטרס חרב פיפיות</t>
  </si>
  <si>
    <t>מקסימוב, אוריאל</t>
  </si>
  <si>
    <t>קונטרס טהרת המקוה</t>
  </si>
  <si>
    <t>גליק, יעקב</t>
  </si>
  <si>
    <t>קונטרס טיול בפרד"ס</t>
  </si>
  <si>
    <t>מלוביצקי, חיים</t>
  </si>
  <si>
    <t>קונטרס טעמי משה - הלכות קידוש</t>
  </si>
  <si>
    <t>בלוי, ישראל משה</t>
  </si>
  <si>
    <t>קונטרס י"ח שעות</t>
  </si>
  <si>
    <t>אדלר, מנחם</t>
  </si>
  <si>
    <t>קונטרס יאיר נרו</t>
  </si>
  <si>
    <t>חוברת זכרון על הרה"צ ר' יאיר דוידסון זצ"ל</t>
  </si>
  <si>
    <t>קונטרס יבמות</t>
  </si>
  <si>
    <t>קונטרס יד גד - בכורות</t>
  </si>
  <si>
    <t>רייס, גדליה</t>
  </si>
  <si>
    <t>קונטרס יד דוד</t>
  </si>
  <si>
    <t>קונטרס יד יוסף - בראשית</t>
  </si>
  <si>
    <t>דע יונג, יוסף בן צבי</t>
  </si>
  <si>
    <t>קונטרס יום חתונתו</t>
  </si>
  <si>
    <t>משפחת סקול</t>
  </si>
  <si>
    <t>קונטרס יוסף לקח</t>
  </si>
  <si>
    <t>ברזל, יוסף צבי</t>
  </si>
  <si>
    <t>קונטרס יושב תהלות ישראל</t>
  </si>
  <si>
    <t>סאסנע, מרדכי צבי בן יונה?</t>
  </si>
  <si>
    <t>קונטרס יחלק שלל</t>
  </si>
  <si>
    <t>שכטר, זאב</t>
  </si>
  <si>
    <t>קונטרס יין הרקח - ב"ק</t>
  </si>
  <si>
    <t>נוביק, יוסף חיים</t>
  </si>
  <si>
    <t>קונטרס ימי הרצון</t>
  </si>
  <si>
    <t>קונטרס ירח האיתנים</t>
  </si>
  <si>
    <t>קונטרס ישיבה על קברו - הערות בדברי התשב"ץ</t>
  </si>
  <si>
    <t>קונטרס ישיר ישראל</t>
  </si>
  <si>
    <t>סתהון דבאח, ישראל אליהו בנימין</t>
  </si>
  <si>
    <t>קונטרס ישמחו במלכותך</t>
  </si>
  <si>
    <t>קונטרס כי הם חיינו</t>
  </si>
  <si>
    <t>קונטרס כי שם ה' אקרא הבו גודל לאלוקינו</t>
  </si>
  <si>
    <t>פלמן, אהרן נפתלי</t>
  </si>
  <si>
    <t>קונטרס כיכר לאדן - אדני השדה</t>
  </si>
  <si>
    <t>קונטרס כצבי וכאיל</t>
  </si>
  <si>
    <t>קונטרס כשבת המלך</t>
  </si>
  <si>
    <t>קונטרס כתימרות אש</t>
  </si>
  <si>
    <t>קונטרס לא תעשה לך תמונה</t>
  </si>
  <si>
    <t>קונטרס לאוהבי יש</t>
  </si>
  <si>
    <t>שטיינהוז, יעקב ישראל בן יוסף חיים</t>
  </si>
  <si>
    <t>קונטרס לב ים - מלאכת מלבן</t>
  </si>
  <si>
    <t>קונטרס לבי בתורתך - ב"ק</t>
  </si>
  <si>
    <t>קונטרס לדופקי בתשובה</t>
  </si>
  <si>
    <t>קונטרס לה' הארץ ומלואה</t>
  </si>
  <si>
    <t>קונטרס לחם ויין - 5 כר'</t>
  </si>
  <si>
    <t>קונטרס לחם פנים</t>
  </si>
  <si>
    <t>קונטרס למעלה למשכיל &lt;ביאור תפילת שחרית - עדות מזרח&gt;</t>
  </si>
  <si>
    <t>קונטרס למעלה למשכיל &lt;על התורה&gt;</t>
  </si>
  <si>
    <t>קונטרס למעלה למשכיל &lt;שיר השירים&gt;</t>
  </si>
  <si>
    <t>קונטרס לעולם לא אשכח פקודיך</t>
  </si>
  <si>
    <t>קונטרס לעטר פתורא</t>
  </si>
  <si>
    <t>קונטרס מאור התרגום</t>
  </si>
  <si>
    <t>דינר, מאיר</t>
  </si>
  <si>
    <t>קונטרס מאורי אור</t>
  </si>
  <si>
    <t>בירדוגו, רפאל</t>
  </si>
  <si>
    <t>קונטרס מאמרי עולם ברור</t>
  </si>
  <si>
    <t>קונטרס מאמרי עולם הזה</t>
  </si>
  <si>
    <t>קונטרס מאתיים לנוטרים</t>
  </si>
  <si>
    <t>גולינסקי, מנחם מנדל (עורך)</t>
  </si>
  <si>
    <t>קונטרס מגילת רות עם ביאור כעץ שתול</t>
  </si>
  <si>
    <t>קונטרס מדרכי שמשון</t>
  </si>
  <si>
    <t>קונטרס מה נשתנה שן</t>
  </si>
  <si>
    <t>קונטרס מודה כהלכה</t>
  </si>
  <si>
    <t>בן אר"י, אלמונ"י</t>
  </si>
  <si>
    <t>קונטרס מזוזת ישע</t>
  </si>
  <si>
    <t>קונטרס מזקנים אתבונן</t>
  </si>
  <si>
    <t>מזקנים אתבונן</t>
  </si>
  <si>
    <t>יוהנסבורג</t>
  </si>
  <si>
    <t>קונטרס מיוחד</t>
  </si>
  <si>
    <t>המזרחי. ארצות הברית</t>
  </si>
  <si>
    <t>[תש"א,</t>
  </si>
  <si>
    <t>קונטרס מילה בסלע - מעילה</t>
  </si>
  <si>
    <t>יעקבזון, אברהם יעקב בן אהרן</t>
  </si>
  <si>
    <t>קונטרס מילי דנר</t>
  </si>
  <si>
    <t>לברון, אליהו</t>
  </si>
  <si>
    <t>קונטרס מים חיים</t>
  </si>
  <si>
    <t>קונטרס מימים ימימה</t>
  </si>
  <si>
    <t>קונטרס מימרא דרחמנא</t>
  </si>
  <si>
    <t>קונטרס מלאכת עבודה</t>
  </si>
  <si>
    <t>דונט, מיכאל</t>
  </si>
  <si>
    <t>קונטרס מלכי ארץ</t>
  </si>
  <si>
    <t>בוימל צבי אריה</t>
  </si>
  <si>
    <t>קונטרס מן הבאר - ד</t>
  </si>
  <si>
    <t>ישיבת באר ישראל</t>
  </si>
  <si>
    <t>קונטרס מנוחה שלימה</t>
  </si>
  <si>
    <t>ווייס, שלום</t>
  </si>
  <si>
    <t>קונטרס מנוחת אהבה - 2 כר'</t>
  </si>
  <si>
    <t>קונטרס מנחה בלולה</t>
  </si>
  <si>
    <t>מושקוביץ, יהושע נחום</t>
  </si>
  <si>
    <t>קונטרס מנחת ביכורים - מנחות</t>
  </si>
  <si>
    <t>קונטרס מנחת פנחס - 3 כר'</t>
  </si>
  <si>
    <t>קונטרס מנחת שמעון - בעניין הואיל דאישתרי אישתרי</t>
  </si>
  <si>
    <t>פלשניצקי, שמעון</t>
  </si>
  <si>
    <t>קונטרס מנחת תודה - ערלה, ביכורים</t>
  </si>
  <si>
    <t>כהן, נחום</t>
  </si>
  <si>
    <t>קונטרס מנחת תודה</t>
  </si>
  <si>
    <t>קונטרס מסילות</t>
  </si>
  <si>
    <t>קונטרס מסכת שביעית</t>
  </si>
  <si>
    <t>כולל דרך אמונה ובטחון</t>
  </si>
  <si>
    <t>קונטרס מספד חדש</t>
  </si>
  <si>
    <t>קונטרס מספר ארץ החדשה - שו"ת מהרא"ל - לקוטי שו"ת מהרא"ל - תפארת אריה</t>
  </si>
  <si>
    <t>שפירא, רפאל צבי - צינץ, אריה ליב בן משה</t>
  </si>
  <si>
    <t>קונטרס מעיין היוחסין</t>
  </si>
  <si>
    <t>קונטרס מעין גנים - ג (בראשית ד)</t>
  </si>
  <si>
    <t>אסולין, שלמה בן מאיר</t>
  </si>
  <si>
    <t>קונטרס מעמד קבלת פנים</t>
  </si>
  <si>
    <t>קונטרס מפורש בקרא</t>
  </si>
  <si>
    <t>קונטרס מפתחות הפרנסה</t>
  </si>
  <si>
    <t>קונטרס מצבת משה</t>
  </si>
  <si>
    <t>קופשיץ, משה פנחס הכהן</t>
  </si>
  <si>
    <t>קונטרס מצוה להקדיש בכור</t>
  </si>
  <si>
    <t>קונטרס מקור הברכה</t>
  </si>
  <si>
    <t>בעניין תוספת שבת</t>
  </si>
  <si>
    <t>קונטרס מראות צובאות</t>
  </si>
  <si>
    <t>בלכמן, צבי אריה בן מנחם מנדל</t>
  </si>
  <si>
    <t>קונטרס משביר זרע - פאה פרקים ה, ט</t>
  </si>
  <si>
    <t>קונטרס משביר ליוסף - 10 כר'</t>
  </si>
  <si>
    <t>קונטרס משה עבד נאמן</t>
  </si>
  <si>
    <t>שנדורף, יחיאל צבי</t>
  </si>
  <si>
    <t>קונטרס משכן גבריאל - 3 כר'</t>
  </si>
  <si>
    <t>כולל משכן גבריאל</t>
  </si>
  <si>
    <t>קונטרס משמח ציון בבניה</t>
  </si>
  <si>
    <t>קונטרס משנכנס אדר</t>
  </si>
  <si>
    <t>קונטרס משנת הגט</t>
  </si>
  <si>
    <t>קונטרס משנת הדיינים</t>
  </si>
  <si>
    <t>קונטרס משנת היבום</t>
  </si>
  <si>
    <t>קונטרס משנת מיטב</t>
  </si>
  <si>
    <t>קונטרס משנת סופרים חסדי דוד</t>
  </si>
  <si>
    <t>סלאטקי, אליהו דוד בן אהרן אברהם</t>
  </si>
  <si>
    <t>קונטרס משרשי החינוך</t>
  </si>
  <si>
    <t>עמר, אריה אליהו</t>
  </si>
  <si>
    <t>קונטרס מתורת חורב</t>
  </si>
  <si>
    <t>שטרנפלד, בן ציון בן גבריאל</t>
  </si>
  <si>
    <t>קונטרס מתיקות ימי הפסח</t>
  </si>
  <si>
    <t>יאווע, מנחם ברוך</t>
  </si>
  <si>
    <t>קונטרס מתנת חלקו</t>
  </si>
  <si>
    <t>שלאס, משה</t>
  </si>
  <si>
    <t>קונטרס מתנת יהודה - ב"ק</t>
  </si>
  <si>
    <t>רחמים, יהודה נתנאל בן יצחק</t>
  </si>
  <si>
    <t>קונטרס מתנת נתנאל</t>
  </si>
  <si>
    <t>טרבלסי, נתנאל בן משה</t>
  </si>
  <si>
    <t>קונטרס נאר אמונה</t>
  </si>
  <si>
    <t>לקט שיחות</t>
  </si>
  <si>
    <t>תשע"ג?</t>
  </si>
  <si>
    <t>קונטרס נוהג כצאן יוסף</t>
  </si>
  <si>
    <t>ליינר, מרדכי יוסף אלעזר בן גרשון חנוך</t>
  </si>
  <si>
    <t>קונטרס נחלת ה'</t>
  </si>
  <si>
    <t>כהן, יעקב משה בן יצחק</t>
  </si>
  <si>
    <t>קונטרס נחלת שי - ב"ק</t>
  </si>
  <si>
    <t>שוץ, יוסף בן גדליה נפתלי</t>
  </si>
  <si>
    <t>קונטרס נר ישראל</t>
  </si>
  <si>
    <t>קונטרס נתיבות דעת - קידושין</t>
  </si>
  <si>
    <t>ישיבת נתיבות התורה</t>
  </si>
  <si>
    <t>קונטרס סגולות אמרתך</t>
  </si>
  <si>
    <t>גיאת, מנחם</t>
  </si>
  <si>
    <t>קונטרס סדר היום</t>
  </si>
  <si>
    <t>קונטרס סדר הפרשת תרו"מ - סדר השביעית - תשכ"ב</t>
  </si>
  <si>
    <t>קונטרס סוגיא דשתי הלחם</t>
  </si>
  <si>
    <t>גרינבוים, ישראל אברהם בן יוסף הלוי</t>
  </si>
  <si>
    <t>קונטרס סוכת חיים</t>
  </si>
  <si>
    <t>קונטרס סופר וספר</t>
  </si>
  <si>
    <t>איחוד התלמידים דסאטמער</t>
  </si>
  <si>
    <t>הלכה ומנהג, חסידות, קבצים וכתבי עת, ספרי זכרון ויובל</t>
  </si>
  <si>
    <t>קונטרס סימן מאליהו - דגי הים - כנפי חגבים</t>
  </si>
  <si>
    <t>תמיר, רועי צבי</t>
  </si>
  <si>
    <t>קונטרס עד שיאמר רוצה אני</t>
  </si>
  <si>
    <t>קונטרס עדות נאמנה</t>
  </si>
  <si>
    <t>גולדשמידט, שמחה</t>
  </si>
  <si>
    <t>קונטרס עונג יום טוב - 2 כר'</t>
  </si>
  <si>
    <t>כולל עטרת זעלדא</t>
  </si>
  <si>
    <t>קונטרס עזרת אליעזר - 15 כר'</t>
  </si>
  <si>
    <t>קונטרס עטרת חכמים - בבא בתרא</t>
  </si>
  <si>
    <t>ישיבת עטרת ישראל לצעירים</t>
  </si>
  <si>
    <t>קונטרס עטרת יצחק</t>
  </si>
  <si>
    <t>קונטרס עטרת מלוכה</t>
  </si>
  <si>
    <t>לייטער, משה</t>
  </si>
  <si>
    <t>קונטרס עיוני דעת</t>
  </si>
  <si>
    <t>קונטרס על המלך טוב</t>
  </si>
  <si>
    <t>קונטרס על כנפי נשרים</t>
  </si>
  <si>
    <t>קונטרס על שלשה דברים האדם עומד</t>
  </si>
  <si>
    <t>מזרחי, אליהו</t>
  </si>
  <si>
    <t>קונטרס עניני בל תאחר</t>
  </si>
  <si>
    <t>קונטרס עניני מלאכת מחשבת</t>
  </si>
  <si>
    <t>קונטרס ענינים בפרק הדר</t>
  </si>
  <si>
    <t>קונטרס עסק עמהן</t>
  </si>
  <si>
    <t>כהן</t>
  </si>
  <si>
    <t>קונטרס עצה ותבונה</t>
  </si>
  <si>
    <t>קונטרס עשירית</t>
  </si>
  <si>
    <t>קונטרס עת רקוד</t>
  </si>
  <si>
    <t>מייזליש, יעקב יצחק אלעזר בן יהושע זאב</t>
  </si>
  <si>
    <t>קונטרס פאר מזוזה</t>
  </si>
  <si>
    <t>קונטרס פניני הלל</t>
  </si>
  <si>
    <t>קונטרס פניני יוסף</t>
  </si>
  <si>
    <t>שוירץ, יוסף</t>
  </si>
  <si>
    <t>קונטרס פסקי הלכות</t>
  </si>
  <si>
    <t>וגשל, אהרן מאיר</t>
  </si>
  <si>
    <t>קונטרס פרזות מרדכי</t>
  </si>
  <si>
    <t>אורדנטליך, מרדכי שלמה</t>
  </si>
  <si>
    <t>קונטרס פריסת שלומים</t>
  </si>
  <si>
    <t>לאבל, שלמה</t>
  </si>
  <si>
    <t>קונטרס פתורא חדתא</t>
  </si>
  <si>
    <t>קונטרס פתח הבית - שגגות</t>
  </si>
  <si>
    <t>טיקטין, אברהם בן גדליה - רייכמן, רפאל בן שניאור זלמן</t>
  </si>
  <si>
    <t>קונטרס פתחי מזוזה - ב</t>
  </si>
  <si>
    <t>גולדשטיין, עקיבא בן אליעזר</t>
  </si>
  <si>
    <t>קונטרס צעקת ישראל - 2 כר'</t>
  </si>
  <si>
    <t>קונטרס קבלות ומאמרים</t>
  </si>
  <si>
    <t>בדוש, אברהם בן מימון</t>
  </si>
  <si>
    <t>קונטרס קול אליהו</t>
  </si>
  <si>
    <t>ישיבת בית אליהו</t>
  </si>
  <si>
    <t>קונטרס קול חתן</t>
  </si>
  <si>
    <t>קונטרס קול מחצצים</t>
  </si>
  <si>
    <t>קונטרס קיבלו וקיימו - 4 כר'</t>
  </si>
  <si>
    <t>ישיבת כנסת יצחק</t>
  </si>
  <si>
    <t>קונטרס קידושא רבא</t>
  </si>
  <si>
    <t>קונטרס קנין סודר</t>
  </si>
  <si>
    <t>קונטרס קניני תורה - 2 כר'</t>
  </si>
  <si>
    <t>קונטרס קשר של קיימא</t>
  </si>
  <si>
    <t>בראנדר, שלום בן דוד הכהן</t>
  </si>
  <si>
    <t>?</t>
  </si>
  <si>
    <t>קונטרס ראש פנה</t>
  </si>
  <si>
    <t>קובץ דחסידי סלאנים "באר אברהם"</t>
  </si>
  <si>
    <t>קונטרס ראשי בשמים - 2 כר'</t>
  </si>
  <si>
    <t>מאיר, אשר בן מיכאל יצחק</t>
  </si>
  <si>
    <t>קונטרס ריבוע העיר</t>
  </si>
  <si>
    <t>פרקש, מנחם בן יוסף יחיאל</t>
  </si>
  <si>
    <t>קונטרס רנה וישועה</t>
  </si>
  <si>
    <t>ישיבת ויז'ניץ מונסי</t>
  </si>
  <si>
    <t>קונטרס רשב"י לשיטתו</t>
  </si>
  <si>
    <t>קונטרס שאו מנחה</t>
  </si>
  <si>
    <t>קונטרס שאלות מצויות ליולדת בשבת וביו"ט</t>
  </si>
  <si>
    <t>קונטרס שאלת חיים - מצוות השבת</t>
  </si>
  <si>
    <t>שטרנבוך, אליהו חיים בן אברהם</t>
  </si>
  <si>
    <t>קונטרס שבט אשר</t>
  </si>
  <si>
    <t>שולמן, אשר מאיר</t>
  </si>
  <si>
    <t>קונטרס שבילי הקבוע</t>
  </si>
  <si>
    <t>קונטרס שבת לה'</t>
  </si>
  <si>
    <t>קונטרס שבת לפני החתונה ועליה לתורה</t>
  </si>
  <si>
    <t>קונטרס שו"ת עזרת אליעזר - 7 כר'</t>
  </si>
  <si>
    <t>קונטרס שובה ישראל</t>
  </si>
  <si>
    <t>ישיבת ויז'ניץ</t>
  </si>
  <si>
    <t>קונטרס שופר של משיח</t>
  </si>
  <si>
    <t>יסודות מתורתו של בעל הסולם זי"ע</t>
  </si>
  <si>
    <t>קונטרס שופרא דשטרא</t>
  </si>
  <si>
    <t>וינברג, דוד אליהו</t>
  </si>
  <si>
    <t>קונטרס שושנת יעקב - ב</t>
  </si>
  <si>
    <t>רפפורט, יעקב מרדכי בן אברהם</t>
  </si>
  <si>
    <t>קונטרס שי למועדים - פסח</t>
  </si>
  <si>
    <t>גראוכר, ישעיהו יחיאל מאיר בן עודד דוד</t>
  </si>
  <si>
    <t>קונטרס שיעורי טלית קטן</t>
  </si>
  <si>
    <t>גולדשטיין, יעקב צבי</t>
  </si>
  <si>
    <t>קונטרס שיעורי רבנו ראש הישיבה - קידושין פ"ק</t>
  </si>
  <si>
    <t>וולפסון, דניאל</t>
  </si>
  <si>
    <t>קונטרס שיעורים במסכת קידושין</t>
  </si>
  <si>
    <t>וינברג, יוסף</t>
  </si>
  <si>
    <t>קונטרס שירת דודי</t>
  </si>
  <si>
    <t>קונטרס שירת הים - 7 כר'</t>
  </si>
  <si>
    <t>מרצבך, הלל יעקב</t>
  </si>
  <si>
    <t>קונטרס שכן טוב</t>
  </si>
  <si>
    <t>קונטרס של ברכה</t>
  </si>
  <si>
    <t>משפחות שטיינברגר יוסף</t>
  </si>
  <si>
    <t>קונטרס שלמי הזמן</t>
  </si>
  <si>
    <t>קונטרס שמחת משה וסדר זמירות לשבת קודש</t>
  </si>
  <si>
    <t>קליין, משה</t>
  </si>
  <si>
    <t>קונטרס שמירת דבורים</t>
  </si>
  <si>
    <t>הוניגסברג, ישראל יצחק</t>
  </si>
  <si>
    <t>קונטרס שמעתתא דכתובות ומכות</t>
  </si>
  <si>
    <t>טולידנו, ישי</t>
  </si>
  <si>
    <t>קונטרס שמש ינון - 2 כר'</t>
  </si>
  <si>
    <t>ניסן, ינון יוסף אליה</t>
  </si>
  <si>
    <t>קונטרס שמש צדקה</t>
  </si>
  <si>
    <t>חבושה, משה בן דוד</t>
  </si>
  <si>
    <t>קונטרס שער יוסף</t>
  </si>
  <si>
    <t>אביטבול, יוסף</t>
  </si>
  <si>
    <t>קונטרס שערי נחמה אהל שרה</t>
  </si>
  <si>
    <t>קונטרס שערי ציון</t>
  </si>
  <si>
    <t>כולל אמרי יושר - תורת כהנים</t>
  </si>
  <si>
    <t>קונטרס שש מצוות תמידיות</t>
  </si>
  <si>
    <t>קונטרס תומת ישרים</t>
  </si>
  <si>
    <t>שולביץ, ישראל</t>
  </si>
  <si>
    <t>קונטרס תורת המועדים</t>
  </si>
  <si>
    <t>קונטרס תורת המציאה</t>
  </si>
  <si>
    <t>כהן, יהודה</t>
  </si>
  <si>
    <t>קונטרס תורת הנקוד</t>
  </si>
  <si>
    <t>ילון, חנוך בן אברהם צבי</t>
  </si>
  <si>
    <t>קונטרס תורתך שעשועי</t>
  </si>
  <si>
    <t>קונטרס תיקוני שבת כהלכתו</t>
  </si>
  <si>
    <t>ברנד, יצחק</t>
  </si>
  <si>
    <t>קונטרס תמידים כסדרם - תמיד</t>
  </si>
  <si>
    <t>אלקיים, יעקב</t>
  </si>
  <si>
    <t>קונטרס תפארת אברהם - כיבוד הורים</t>
  </si>
  <si>
    <t>טיזאבי, אברהם</t>
  </si>
  <si>
    <t>קונטרס תפילת הדרך</t>
  </si>
  <si>
    <t>שטויבר, אהרון בן ברוך</t>
  </si>
  <si>
    <t>קונטרס - המקדש וכליו</t>
  </si>
  <si>
    <t>ברגר, ח.י</t>
  </si>
  <si>
    <t>קונטרס - לא תהא כהנת כפונדקית</t>
  </si>
  <si>
    <t>קוצותיו תלתלים</t>
  </si>
  <si>
    <t>פלאם, ישראל מאיר בן חיים משה</t>
  </si>
  <si>
    <t>קורות העתים - מורה דרך</t>
  </si>
  <si>
    <t>בוים, מנחם מנדל בן אהרן</t>
  </si>
  <si>
    <t>תרצ"א -?</t>
  </si>
  <si>
    <t>קטורת שילה</t>
  </si>
  <si>
    <t>עלון ישיבת שילה</t>
  </si>
  <si>
    <t>קטלוג גנזים - ה</t>
  </si>
  <si>
    <t>קטלוג יודאיקה</t>
  </si>
  <si>
    <t>קטלוג כתבי היד העבריים ומקומם</t>
  </si>
  <si>
    <t>פריימאן, אהרן בן ישראל מאיר</t>
  </si>
  <si>
    <t>קטלוג מורשת - 13 כר'</t>
  </si>
  <si>
    <t>מכירות פומביות</t>
  </si>
  <si>
    <t>קטלוג צפונות - 2 כר'</t>
  </si>
  <si>
    <t>קטלוג קדם - 15 כר'</t>
  </si>
  <si>
    <t>קדם בית מכירות פומביות</t>
  </si>
  <si>
    <t>קטלוג רפאלי - 8 כר'</t>
  </si>
  <si>
    <t>קינות המבוארות</t>
  </si>
  <si>
    <t>קיצור דיני שמיטת קרקעות</t>
  </si>
  <si>
    <t>קיצור הלכות זימון</t>
  </si>
  <si>
    <t>וועסט, גרשון יצחק בן חיים צבי</t>
  </si>
  <si>
    <t>ניו ג'רסי</t>
  </si>
  <si>
    <t>קיצור הלכות מזוזה</t>
  </si>
  <si>
    <t>בלוי, ישראל משה בן גדליה זאב</t>
  </si>
  <si>
    <t>קיצור הלכות משו"ע אדמו"ר הזקן - מורחב</t>
  </si>
  <si>
    <t>הורביץ, יעקב הלוי - אלאשווילי, אברהם</t>
  </si>
  <si>
    <t>קיצור הלכות רבית - א</t>
  </si>
  <si>
    <t>וינד, פנחס בן אליעזר</t>
  </si>
  <si>
    <t>קיצור הלכות - 5 כר'</t>
  </si>
  <si>
    <t>ליקבורניק, חיים בן יהושע זאב</t>
  </si>
  <si>
    <t>קיצור מלאכת המספר</t>
  </si>
  <si>
    <t>מזרחי, אליה</t>
  </si>
  <si>
    <t>שו</t>
  </si>
  <si>
    <t>בסיליאה</t>
  </si>
  <si>
    <t>קיצור מסילת ישרים</t>
  </si>
  <si>
    <t>קוק, אברהם יצחק בן שלמה זלמן - קוק, צבי יהודה הכהן, בן אברהם יצחק הכהן</t>
  </si>
  <si>
    <t>קיצור שלחן ערוך &lt;אורות חיים&gt;</t>
  </si>
  <si>
    <t>קיצור שלחן ערוך עם סיפורים חסידיים - הלכות אישות</t>
  </si>
  <si>
    <t>רוטר, יעקב חיים בן יחזקאל</t>
  </si>
  <si>
    <t>קיצור שלחן ערוך</t>
  </si>
  <si>
    <t>תרל"ט,</t>
  </si>
  <si>
    <t>קיצור שני לחות הברית</t>
  </si>
  <si>
    <t>עפשטיין, יחיאל מיכל בן אברהם</t>
  </si>
  <si>
    <t>תנ"ו</t>
  </si>
  <si>
    <t>פיורדא</t>
  </si>
  <si>
    <t>קלם - קלם עץ כרות</t>
  </si>
  <si>
    <t>קנאת ה' צבאות</t>
  </si>
  <si>
    <t>קנין חדש</t>
  </si>
  <si>
    <t>פורהאנד, מרדכי בן משה</t>
  </si>
  <si>
    <t>בודאפעשט,</t>
  </si>
  <si>
    <t>קצור אבן העזר</t>
  </si>
  <si>
    <t>שרעבי, זכריה אביגד</t>
  </si>
  <si>
    <t>קרבן אהרן &lt;מהדורת זכרון אהרן&gt; - 2 כר'</t>
  </si>
  <si>
    <t>אבן-חיים, אהרן בן אברהם</t>
  </si>
  <si>
    <t>קרבן מנחה, זכרון לבני ישראל, אורח מישור, פתיל תכלת</t>
  </si>
  <si>
    <t>קרוב אליך ה'</t>
  </si>
  <si>
    <t>הרבט, חנן</t>
  </si>
  <si>
    <t>קרית ארבע</t>
  </si>
  <si>
    <t>קליין, אלעזר בן שלמה זלמן</t>
  </si>
  <si>
    <t>קרן הצבי - א &lt;מצוות א-כג&gt;</t>
  </si>
  <si>
    <t>קרן, ירדן צבי</t>
  </si>
  <si>
    <t>קרני אור &lt;על הגה"צ ר' זונדל קרויזר&gt;</t>
  </si>
  <si>
    <t>פליסקין, משה מרדכי</t>
  </si>
  <si>
    <t>ר' יאיר חיים בכרך (גרמנית)</t>
  </si>
  <si>
    <t>קאופמן, ד</t>
  </si>
  <si>
    <t>טרייר</t>
  </si>
  <si>
    <t>ר' יוסף ששפורטש וספר תשובותיו</t>
  </si>
  <si>
    <t>ששפורטש, יוסף - עמינח, נח</t>
  </si>
  <si>
    <t>שאלות ותשובות, תולדות עם ישראל</t>
  </si>
  <si>
    <t>ר' מרדכי אהרן גינצבורג</t>
  </si>
  <si>
    <t>מגיד, דוד בן הילל נח</t>
  </si>
  <si>
    <t>תרנ"ז</t>
  </si>
  <si>
    <t>ס"ט פטרבורג,</t>
  </si>
  <si>
    <t>ר' שלמה - תולדות חייו ומשנתו של רבי שלמה פרייפלד</t>
  </si>
  <si>
    <t>בסר, ישראל</t>
  </si>
  <si>
    <t>ר' שמואל אליהו</t>
  </si>
  <si>
    <t>ראיה מהימנא</t>
  </si>
  <si>
    <t>שולמן, שמואל ברוך בן מנחם ישראל</t>
  </si>
  <si>
    <t>ראש אליהו - 2 כר'</t>
  </si>
  <si>
    <t>כ"ץ, אליהו בן אברהם שלמה</t>
  </si>
  <si>
    <t>ראש אשמורות &lt;מכון משנת רבי אהרן&gt;</t>
  </si>
  <si>
    <t>ניגרין, משה</t>
  </si>
  <si>
    <t>ראש השנה, עשרת ימי תשובה, יום כיפור, חנוכה</t>
  </si>
  <si>
    <t>תשי"ז</t>
  </si>
  <si>
    <t>ראש חודש טבת "ראש חודש אלבנאת"</t>
  </si>
  <si>
    <t>מלאכי, מיכל</t>
  </si>
  <si>
    <t>ראש יוסף</t>
  </si>
  <si>
    <t>יוסף, משה</t>
  </si>
  <si>
    <t>ראשית בכורים &lt;מהדורת זכרון אהרן&gt;</t>
  </si>
  <si>
    <t>חנוך בן אברהם</t>
  </si>
  <si>
    <t>פרנקפורט דמין Frankf</t>
  </si>
  <si>
    <t>דרושים, נושאים שונים, תנ"ך</t>
  </si>
  <si>
    <t>ראשית הישוב מחוץ לחומת ירושלם</t>
  </si>
  <si>
    <t>ריבלין, יוסף יואל בן ראובן</t>
  </si>
  <si>
    <t>רב ברכות - 3 כר'</t>
  </si>
  <si>
    <t>רב חסד - מעשה יג</t>
  </si>
  <si>
    <t>רב יוסף &lt;זכרון אהרן&gt;</t>
  </si>
  <si>
    <t>קצבי, יוסף</t>
  </si>
  <si>
    <t>רב רבנן</t>
  </si>
  <si>
    <t>אסבאג, יצחק</t>
  </si>
  <si>
    <t>רבבות אפרים - ליל הסדר</t>
  </si>
  <si>
    <t>גרינבלט, אפרים בן אברהם ברוך</t>
  </si>
  <si>
    <t>רבה אמנותך - שיר השירים רבה א</t>
  </si>
  <si>
    <t>רבי אברהם בן מאיר אבן עזרא</t>
  </si>
  <si>
    <t>רבי אברהם יצחק הכהן קוק ורעיון התחיה</t>
  </si>
  <si>
    <t>רמון, יוסף צבי</t>
  </si>
  <si>
    <t>רבי יוסלמן - 2 כר'</t>
  </si>
  <si>
    <t>רבי יוסף ראש הסדר</t>
  </si>
  <si>
    <t>גינת, ליפא</t>
  </si>
  <si>
    <t>רבי ישראל זאב גוסטמן זצ"ל</t>
  </si>
  <si>
    <t>לקט עיתונות</t>
  </si>
  <si>
    <t>רבי משה מרדכי - ב</t>
  </si>
  <si>
    <t>שולזינגר, אברהם חיים בן משה מרדכי הלוי</t>
  </si>
  <si>
    <t>רבי משולם מבדריש וחכמי פרובאנס הראשונים</t>
  </si>
  <si>
    <t>כץ, דניאל</t>
  </si>
  <si>
    <t>רבי צבי יהודה מלצר זצ"ל</t>
  </si>
  <si>
    <t>רבי שמואל מאהיליווער</t>
  </si>
  <si>
    <t>רבינו אור החיים הקדוש</t>
  </si>
  <si>
    <t>רבנו החזון איש, רבנו חיים עוזר זצ"ל</t>
  </si>
  <si>
    <t>סמינר בית יעקב</t>
  </si>
  <si>
    <t>רבנו משה בן מימון</t>
  </si>
  <si>
    <t>תרנ"ח,</t>
  </si>
  <si>
    <t>רגשת חצריה - תשע"ג</t>
  </si>
  <si>
    <t>יום בחצריך</t>
  </si>
  <si>
    <t>רווחא שמעתא - 2 כר'</t>
  </si>
  <si>
    <t>סולובייצ'יק, יצחק בן יוסף דובער הלוי</t>
  </si>
  <si>
    <t>רוח חיים</t>
  </si>
  <si>
    <t>חיים בן יצחק מוולוז'ין - יצחק בן חיים מוולוז'ין</t>
  </si>
  <si>
    <t>קאוונא</t>
  </si>
  <si>
    <t>משנה, קבלה</t>
  </si>
  <si>
    <t>רוח ממרום</t>
  </si>
  <si>
    <t>סטפנסקי, יעקב דוד בן רפאל</t>
  </si>
  <si>
    <t>רוחו של משיח</t>
  </si>
  <si>
    <t>רוחצות בחלב</t>
  </si>
  <si>
    <t>רוצים לחיות</t>
  </si>
  <si>
    <t>רזא דשבת - נשים</t>
  </si>
  <si>
    <t>ישיבת דעת חיים</t>
  </si>
  <si>
    <t>רזא דשבתא</t>
  </si>
  <si>
    <t>ברדה, רז</t>
  </si>
  <si>
    <t>רזא יקירא</t>
  </si>
  <si>
    <t>רזיאל המלאך</t>
  </si>
  <si>
    <t>רזיאל המלאך. תרל"ב</t>
  </si>
  <si>
    <t>תרל"ב</t>
  </si>
  <si>
    <t>יוזפוב Jozefow</t>
  </si>
  <si>
    <t>רחוב מאה שערים</t>
  </si>
  <si>
    <t>רחמי האב</t>
  </si>
  <si>
    <t>קטינא, יעקב בן יצחק מרדכי</t>
  </si>
  <si>
    <t>תרל"ג,</t>
  </si>
  <si>
    <t>רחשי יוסף - אם לבינה</t>
  </si>
  <si>
    <t>דייטש, יוסף ישעיהו הלוי</t>
  </si>
  <si>
    <t>רינת ציון - אור ציון</t>
  </si>
  <si>
    <t>רמב"ם על התורה - בראשית, שמות</t>
  </si>
  <si>
    <t>רמזים בתורה</t>
  </si>
  <si>
    <t>גולדפארב, שמואל דוד</t>
  </si>
  <si>
    <t>רנה וישועה - ב</t>
  </si>
  <si>
    <t>זרקא, שלמה בן שלום</t>
  </si>
  <si>
    <t>תרפ"ד-תרצ"א</t>
  </si>
  <si>
    <t>ליוורנו</t>
  </si>
  <si>
    <t>רנה של תורה - קידושין</t>
  </si>
  <si>
    <t>כולל נחלת הלוים</t>
  </si>
  <si>
    <t>רנו ליעקב שמחה - פורים</t>
  </si>
  <si>
    <t>רפואה בפרשה</t>
  </si>
  <si>
    <t>שלעבים</t>
  </si>
  <si>
    <t>רפתא דחיא</t>
  </si>
  <si>
    <t>טוויל, רפאל אליהו</t>
  </si>
  <si>
    <t>רשימה מיחידות כ"ק אדמו"ר מסדיגורא שליט"א אצל כ"ק אדמו"ר שליט"א</t>
  </si>
  <si>
    <t>רשימת כ"ק אדמו"ר יוסף יצחק - דברי ימיי חיי אדמו"ר הזקן</t>
  </si>
  <si>
    <t>שניאורסון, יוסף יצחק בן שלום בער</t>
  </si>
  <si>
    <t>רשימת כתבי היד של פירוש רש"י לתלמוד</t>
  </si>
  <si>
    <t>פיק,שלמה- מוניץ, שרה</t>
  </si>
  <si>
    <t>שאגת אריה</t>
  </si>
  <si>
    <t>[תרט"ו]</t>
  </si>
  <si>
    <t>יוזעפאף,</t>
  </si>
  <si>
    <t>וידוב, אריה</t>
  </si>
  <si>
    <t>לווינגר, יהודה אריה בן מרדכי הלוי</t>
  </si>
  <si>
    <t>[תרכ"ח,</t>
  </si>
  <si>
    <t>וויען,</t>
  </si>
  <si>
    <t>שאילת החיים</t>
  </si>
  <si>
    <t>שאילת חיים - 2 כר'</t>
  </si>
  <si>
    <t>אבערלאנדער, חיים</t>
  </si>
  <si>
    <t>שאל בני</t>
  </si>
  <si>
    <t>שאלה ותשובה להלכה למעשה - א</t>
  </si>
  <si>
    <t>אברמסקי, יחזקאל בן מרדכי זלמן</t>
  </si>
  <si>
    <t>שאלה של סמכות</t>
  </si>
  <si>
    <t>שפרן, יגאל</t>
  </si>
  <si>
    <t>שאלות ותשובות גאוני פדוואה - 2 כר'</t>
  </si>
  <si>
    <t>קובץ ספרים</t>
  </si>
  <si>
    <t>שאלות ותשובות הרשב"א המיוחסות להרמב"ן</t>
  </si>
  <si>
    <t>אבן-אדרת, שלמה בן אברהם (רשב"א)</t>
  </si>
  <si>
    <t>תקנ"ח</t>
  </si>
  <si>
    <t>שאלות חזרה</t>
  </si>
  <si>
    <t>רשת ישיבת בין הזמנים</t>
  </si>
  <si>
    <t>שאלת חכם - 2 כר'</t>
  </si>
  <si>
    <t>חכם, נתנאל</t>
  </si>
  <si>
    <t>שאלת שלום - ב</t>
  </si>
  <si>
    <t>מנחם, שלום</t>
  </si>
  <si>
    <t>שאר ישוב - ג ד</t>
  </si>
  <si>
    <t>שאר ישוב</t>
  </si>
  <si>
    <t>תרפ"א-תרפ"ב</t>
  </si>
  <si>
    <t>שארית יוסף &lt;זכרון אהרן&gt;</t>
  </si>
  <si>
    <t>יוסף בן מרדכי גרשון כ"ץ</t>
  </si>
  <si>
    <t>נושאים שונים, שאלות ותשובות</t>
  </si>
  <si>
    <t>שארית יעקב &lt;לעלוב-בראנוביץ'&gt; - תשס"ז</t>
  </si>
  <si>
    <t>קאפף, יעקב אשר</t>
  </si>
  <si>
    <t>שב שמעתתא &lt;קול דודי&gt; - 3 כר'</t>
  </si>
  <si>
    <t>הלר, אריה ליב בן יוסף הכהן - וולף, יאיר משה בן דוד זאב</t>
  </si>
  <si>
    <t>שבבי זכרונות</t>
  </si>
  <si>
    <t>הקשר, חנה (אודותיה)</t>
  </si>
  <si>
    <t>שבו ואחלמה - נדה</t>
  </si>
  <si>
    <t>מאמו, רפאל</t>
  </si>
  <si>
    <t>שבחו של אהרן</t>
  </si>
  <si>
    <t>שבחי הבעש"ט</t>
  </si>
  <si>
    <t>שבחי הבעש"ט. תקע"ה</t>
  </si>
  <si>
    <t>[תקע"ה,</t>
  </si>
  <si>
    <t>ברדיטשוב,</t>
  </si>
  <si>
    <t>שבחי צדיקים - 2 כר'</t>
  </si>
  <si>
    <t>שבחי הצדיקים</t>
  </si>
  <si>
    <t>[תשי"ח-תשי"ט],</t>
  </si>
  <si>
    <t>שביב אור - שבחה של תורה</t>
  </si>
  <si>
    <t>קסלר, שמחה בן יוסף</t>
  </si>
  <si>
    <t>שביבי - 7 כר'</t>
  </si>
  <si>
    <t>גרבוז, שלמה בן בנימין</t>
  </si>
  <si>
    <t>שבילי הספיקות</t>
  </si>
  <si>
    <t>שבילי טהרה</t>
  </si>
  <si>
    <t>טולידאנו, שמואל</t>
  </si>
  <si>
    <t>שבלי הלקט &lt;מהדורת זכרון אהרן&gt; - 2 כר'</t>
  </si>
  <si>
    <t>צדקיה בן אברהם הרופא</t>
  </si>
  <si>
    <t>שבעים פנים לתורה</t>
  </si>
  <si>
    <t>שברי לוחות</t>
  </si>
  <si>
    <t>יחיאל מיכל בן אליעזר מנמירוב</t>
  </si>
  <si>
    <t>שבת בהלכה</t>
  </si>
  <si>
    <t>מונייצר, אבישלום בן ניסים</t>
  </si>
  <si>
    <t>שבת בשבתו</t>
  </si>
  <si>
    <t>רחמנוב, אברהם</t>
  </si>
  <si>
    <t>שדה צופים &lt;ירושלמי&gt; - 2 כר'</t>
  </si>
  <si>
    <t>פרידמן, שמואל דוד בן יום טוב ליפא הכהן</t>
  </si>
  <si>
    <t>שהשמחה במעונו</t>
  </si>
  <si>
    <t>קליינר, דניאל בן יעקב אליעזר</t>
  </si>
  <si>
    <t>שו"ת בית דינו של שמואל - 2 כר'</t>
  </si>
  <si>
    <t>לאנייאדו, שמואל בן שלמה</t>
  </si>
  <si>
    <t>שו"ת דבר יוסף</t>
  </si>
  <si>
    <t>פישר, יוסף דוב</t>
  </si>
  <si>
    <t>שו"ת המבי"ט &lt;מהדורת זכרון אהרן&gt; - 2 כר'</t>
  </si>
  <si>
    <t>טראני, משה בן יוסף (מבי"ט)</t>
  </si>
  <si>
    <t>שו"ת הראנ"ח &lt;זכרון אהרן&gt; - א</t>
  </si>
  <si>
    <t>אבן-חיים, אליהו בן ברוך (ראנ"ח)</t>
  </si>
  <si>
    <t>שו"ת הרי"ף - כמה תשובות</t>
  </si>
  <si>
    <t>אלפאסי, יצחק בן יעקב (רי"ף)</t>
  </si>
  <si>
    <t>שו"ת השואל - ג</t>
  </si>
  <si>
    <t>ציון, מרדכי צבי הלוי</t>
  </si>
  <si>
    <t>ישוב נריה</t>
  </si>
  <si>
    <t>שו"ת התניא - ג</t>
  </si>
  <si>
    <t>אדרי, יהודה</t>
  </si>
  <si>
    <t>שו"ת ויען אברהם - יו"ד א</t>
  </si>
  <si>
    <t>מייזעלס, אברהם עמרם</t>
  </si>
  <si>
    <t>שו"ת מהר"י בירב &lt;מהדורת זכרון אהרן&gt;</t>
  </si>
  <si>
    <t>בירב, יעקב בן משה</t>
  </si>
  <si>
    <t>שו"ת מהר"י בן לב &lt;זכרון אהרן&gt; - 3 כר'</t>
  </si>
  <si>
    <t>בן לב, יוסף בן דוד</t>
  </si>
  <si>
    <t>שו"ת מהר"ם אל אשקר &lt;זכרון אהרן&gt;</t>
  </si>
  <si>
    <t>אלאשקאר, משה בן יצחק</t>
  </si>
  <si>
    <t>שו"ת מהר"ש הלוי &lt;זכרון אהרן&gt;</t>
  </si>
  <si>
    <t>הלוי, שלמה בן יצחק</t>
  </si>
  <si>
    <t>שו"ת מהרי"ל דיסקין &lt;מהדורת קרן רא"ם&gt;</t>
  </si>
  <si>
    <t>שו"ת מהריט"ץ &lt;זכרון אהרן&gt; - 2 כר'</t>
  </si>
  <si>
    <t>צהלון, יום טוב בן משה (מהריט"ץ)</t>
  </si>
  <si>
    <t>שו"ת מהרש"ך &lt;מהדורת זכרון אהרן&gt; - 3 כר'</t>
  </si>
  <si>
    <t>שלמה בן אברהם הכהן (מהרש"ך)</t>
  </si>
  <si>
    <t>שו"ת מהרש"ל &lt;זכרון אהרן&gt;</t>
  </si>
  <si>
    <t>שו"ת מהרשד"ם &lt;זכרון אהרן&gt; - 4 כר'</t>
  </si>
  <si>
    <t>די מדינה, שמואל בן משה</t>
  </si>
  <si>
    <t>שו"ת עומק הלכה - 2 כר'</t>
  </si>
  <si>
    <t>וויינשטאק, נחמן נתן</t>
  </si>
  <si>
    <t>שו"ת קול אליהו - ב</t>
  </si>
  <si>
    <t>שאלות ותשובות, תלמוד בבלי</t>
  </si>
  <si>
    <t>שו"ת רבי ברוך</t>
  </si>
  <si>
    <t>טולידאנו, רפאל ברוך בן יעקב</t>
  </si>
  <si>
    <t>שו"ת רבי יהושע אשכנזי</t>
  </si>
  <si>
    <t>אשכנזי, יהושע העשיל בן משולם זלמן</t>
  </si>
  <si>
    <t>שואל ומשיב &lt;מהדורה חדשה&gt; - קמא ג</t>
  </si>
  <si>
    <t>נתנזון, יוסף שאול בן אריה ליבוש הלוי</t>
  </si>
  <si>
    <t>שואל ומשיב - 3 כר'</t>
  </si>
  <si>
    <t>תרכ"ה - תר"נ</t>
  </si>
  <si>
    <t>שואלים בתשובה</t>
  </si>
  <si>
    <t>שואלים ודורשים בהלכות יום טוב</t>
  </si>
  <si>
    <t>שובו אלי</t>
  </si>
  <si>
    <t>אבינר, שלמה חיים הכהן</t>
  </si>
  <si>
    <t>שובו</t>
  </si>
  <si>
    <t>מנדלבוים, אלכסנדר אריה בן שמחה</t>
  </si>
  <si>
    <t>שובע שמחות</t>
  </si>
  <si>
    <t>לזר, מנחם מנדל בן משה אברהם דוד</t>
  </si>
  <si>
    <t>דרושים, קבלה, שאלות ותשובות, תנ"ך</t>
  </si>
  <si>
    <t>שולחן של תורה - 2 כר'</t>
  </si>
  <si>
    <t>שולחן שמואל - 4 כר'</t>
  </si>
  <si>
    <t>ירושלמי, שמואל בן שלום אהרן חיים</t>
  </si>
  <si>
    <t>שומר אמונים</t>
  </si>
  <si>
    <t>אירגאס, יוסף בן עמנואל</t>
  </si>
  <si>
    <t>תרל"ו,</t>
  </si>
  <si>
    <t>מחשבה ומוסר, שאלות ותשובות</t>
  </si>
  <si>
    <t>וויגודזקי, אליהו בן דוד</t>
  </si>
  <si>
    <t>שומר אמת - 3 כר'</t>
  </si>
  <si>
    <t>שטיגל, מאיר בן מתתיהו זאב</t>
  </si>
  <si>
    <t>שומרים הפקד לעירך</t>
  </si>
  <si>
    <t>שונה הלכה - מצוות התלויות בארץ</t>
  </si>
  <si>
    <t>פרקוביץ, משה</t>
  </si>
  <si>
    <t>שונה הלכות המבואר - מגילה ופורים</t>
  </si>
  <si>
    <t>קנייבסקי, שמריהו יוסף חיים בן יעקב ישראל - טורצין, אלעזר צדוק - בן ישי, ישראל בן</t>
  </si>
  <si>
    <t>שופריה דמיכאל</t>
  </si>
  <si>
    <t>אזולאי, חיים יוסף דוד בן מיכאל</t>
  </si>
  <si>
    <t>נשר</t>
  </si>
  <si>
    <t>שושנת העמקים</t>
  </si>
  <si>
    <t>פישל, אלימלך בן ישכר דב הלוי</t>
  </si>
  <si>
    <t>שושנת יעקב - ברכות</t>
  </si>
  <si>
    <t>גרנדש, יעקב בן דוב הלוי</t>
  </si>
  <si>
    <t>שותפות עם הנכרי</t>
  </si>
  <si>
    <t>שטרות והסכמים כמשקפים פתרונות לבעיית הריבית</t>
  </si>
  <si>
    <t>פרי, שי אברהם</t>
  </si>
  <si>
    <t>רמתגן</t>
  </si>
  <si>
    <t>שטרי הדיוטות בשבת</t>
  </si>
  <si>
    <t>שי למורא - שבת, עירובין</t>
  </si>
  <si>
    <t>גריינימן, ישראל בן יצחק דוד</t>
  </si>
  <si>
    <t>שיבת ציון - איכה</t>
  </si>
  <si>
    <t>אליאסי, שלום</t>
  </si>
  <si>
    <t>שיבת ציון</t>
  </si>
  <si>
    <t>שיח אברהם - 10 כר'</t>
  </si>
  <si>
    <t>בהרי"ר, אברהם בן טוביה</t>
  </si>
  <si>
    <t>שיח אליעזר</t>
  </si>
  <si>
    <t>רונין, אליעזר בן שמואל</t>
  </si>
  <si>
    <t>שיח בחוקיך - 2 כר'</t>
  </si>
  <si>
    <t>סנדומירסקי, שמעון</t>
  </si>
  <si>
    <t>שיח הלוי - 2 כר'</t>
  </si>
  <si>
    <t>רובין, ישעיה בן שמואל צבי</t>
  </si>
  <si>
    <t>שיח השדה &lt;מהדורה מחודשת&gt; - ב</t>
  </si>
  <si>
    <t>שיח השדה - ה</t>
  </si>
  <si>
    <t>פרג, יצחק אייזיק בן שמעון הלוי</t>
  </si>
  <si>
    <t>שיח התורה - ג</t>
  </si>
  <si>
    <t>תשובות הגר"ח קנייבסקי</t>
  </si>
  <si>
    <t>הלכה ומנהג, משנה, שלחן ערוך ומפרשיו, תלמוד בבלי, תנ"ך</t>
  </si>
  <si>
    <t>שיח חיים - ניסן, ספה"ע ושבועות</t>
  </si>
  <si>
    <t>יוסף חיים בן אליהו - מורד, מאיר</t>
  </si>
  <si>
    <t>שיח יהודה - 4 כר'</t>
  </si>
  <si>
    <t>רפפורט, יהודה אריה בן יצחק הכהן</t>
  </si>
  <si>
    <t>שיח יעקב - 2 כר'</t>
  </si>
  <si>
    <t>מרקביץ, יעקב בן שבתי</t>
  </si>
  <si>
    <t>שיח יצחק - 2 כר'</t>
  </si>
  <si>
    <t>ווייס, יצחק בן ישעיהו יששכר בר</t>
  </si>
  <si>
    <t>שיח יצחק - יבמות</t>
  </si>
  <si>
    <t>כולל שיח יצחק</t>
  </si>
  <si>
    <t>שיח מנחם - עניינים שונים</t>
  </si>
  <si>
    <t>עוזיאל, יעקב בן מנחם</t>
  </si>
  <si>
    <t>שיח נחלים</t>
  </si>
  <si>
    <t>מוסדות ביאלא</t>
  </si>
  <si>
    <t>נחלים</t>
  </si>
  <si>
    <t>שיח ספונים</t>
  </si>
  <si>
    <t>כהנא, אליעזר בן ראובן</t>
  </si>
  <si>
    <t>שיח ערב &lt;חידושי רבי שניאור&gt; - מנחת חינוך</t>
  </si>
  <si>
    <t>קוטלר, יוסף חיים שניאור</t>
  </si>
  <si>
    <t>שיח ציון</t>
  </si>
  <si>
    <t>שיח שלום - פורים</t>
  </si>
  <si>
    <t>ברוינר, שלום אליעזר</t>
  </si>
  <si>
    <t>שיח שמועות</t>
  </si>
  <si>
    <t>שיחות בנושא שלום בית וחינוך - 2 כר'</t>
  </si>
  <si>
    <t>שיחות בנושאי חינוך - 2 כר'</t>
  </si>
  <si>
    <t>שיחות הרב צבי יהודה - 2 כר'</t>
  </si>
  <si>
    <t>שיחות תלמידי חכמים - 2 כר'</t>
  </si>
  <si>
    <t>שוומר, שמואל בן דוד ליב</t>
  </si>
  <si>
    <t>תשי"א - תשט"ז</t>
  </si>
  <si>
    <t>שיחת קודש לכותבי הדא"ח</t>
  </si>
  <si>
    <t>שיטות חדישות כן או לא</t>
  </si>
  <si>
    <t>שיטתו של הרב קוק במחשבת היהדות</t>
  </si>
  <si>
    <t>שילוח הקן</t>
  </si>
  <si>
    <t>שים שלום - 2 כר'</t>
  </si>
  <si>
    <t>שימוש במקררים ומזגנים בשבת</t>
  </si>
  <si>
    <t>שימחת אברהם</t>
  </si>
  <si>
    <t>נחשון, אברהם (קופרמן)</t>
  </si>
  <si>
    <t>שינון המדרש</t>
  </si>
  <si>
    <t>פרידמן, פנחס שלום בן שלמה</t>
  </si>
  <si>
    <t>שינון עירובין</t>
  </si>
  <si>
    <t>שיעור בהיסטוריה מלחמת ששת הימים</t>
  </si>
  <si>
    <t>שיעור מרן בעל החזון איש וג' שיעורי מרן בעל הקהילות יעקב עמ"ס קידושין</t>
  </si>
  <si>
    <t>שיעורי בד קודש - פסחים</t>
  </si>
  <si>
    <t>פוברסקי, ברוך דוב בן דוד</t>
  </si>
  <si>
    <t>אירופה</t>
  </si>
  <si>
    <t>שיעורי ברכת כהן - בכורות</t>
  </si>
  <si>
    <t>שיעורי דרך חיים - קידושין ור"פ ידיעות הטומאה</t>
  </si>
  <si>
    <t>ברקוביץ, מאיר</t>
  </si>
  <si>
    <t>שיעורי הגדה של פסח</t>
  </si>
  <si>
    <t>בורודיאנסקי, יצחק ירוחם בן אפרים נחום</t>
  </si>
  <si>
    <t>שיעורי הגר"צ דרבקין - 10 כר'</t>
  </si>
  <si>
    <t>שיעורי הגרד"א - גיטין, מכות -שיחות מוסר</t>
  </si>
  <si>
    <t>איזיבי, דוד - וקסמן, אפרים</t>
  </si>
  <si>
    <t>שיעורי הפרשה לקראת שבת</t>
  </si>
  <si>
    <t>אייזנשטיין, דוד</t>
  </si>
  <si>
    <t>שיעורי ישיבה קטנה - מכות</t>
  </si>
  <si>
    <t>גולדשמידט, שלמה יהודה - הלוי, מאיר (עורך)</t>
  </si>
  <si>
    <t>שיעורי כתובות</t>
  </si>
  <si>
    <t>שמואלביץ, חיים ליב הלוי</t>
  </si>
  <si>
    <t>תשל"ד?</t>
  </si>
  <si>
    <t>שיעורי מבשר טוב - גיטין</t>
  </si>
  <si>
    <t>שיעורי מנוחת אמת - קידושין</t>
  </si>
  <si>
    <t>פישהוף, תנחום בן שמואל</t>
  </si>
  <si>
    <t>שיעורי נתיב בינה - 3 כר'</t>
  </si>
  <si>
    <t>שיעורי נתיבות אשר - 7 כר'</t>
  </si>
  <si>
    <t>שיעורי סבי דבי אתונא</t>
  </si>
  <si>
    <t>שיעורי עטרת צבי - 2 כר'</t>
  </si>
  <si>
    <t>דרבקין, צבי</t>
  </si>
  <si>
    <t>שיעורי ציון - 6 כר'</t>
  </si>
  <si>
    <t>שיעורי ראש הישיבה - בבא בתרא (השותפין)</t>
  </si>
  <si>
    <t>שטרנבוך, רפאל מרדכי</t>
  </si>
  <si>
    <t>שיעורי רבי אליהו ברוך - 7 כר'</t>
  </si>
  <si>
    <t>פינקל, אליהו ברוך בן משה</t>
  </si>
  <si>
    <t>שיעורי רבי רפאל - 3 כר'</t>
  </si>
  <si>
    <t>שמואלביץ, רפאל בן חיים הלוי</t>
  </si>
  <si>
    <t>שיעורי רבינו יהושע העשיל - כתובות</t>
  </si>
  <si>
    <t>אייכנשטיין, יהושע העשיל</t>
  </si>
  <si>
    <t>שיעורי רבנו יחיאל מיכל - יומא ב</t>
  </si>
  <si>
    <t>פיינשטיין, יחיאל מיכל</t>
  </si>
  <si>
    <t>שיעורי שבת</t>
  </si>
  <si>
    <t>אלטמן, יוסף מאיר בן שרגא צבי</t>
  </si>
  <si>
    <t>שיעורי שלמי תודה - 2 כר'</t>
  </si>
  <si>
    <t>שיעורים בהלכות כיבוד אב ואם</t>
  </si>
  <si>
    <t>קופמן, מאיר אשר</t>
  </si>
  <si>
    <t>שיעורים במסכת בבא בתרא</t>
  </si>
  <si>
    <t>שיעורים במסכת בבא קמא</t>
  </si>
  <si>
    <t>שיעורים במסכת הוריות</t>
  </si>
  <si>
    <t>שיעורים במסכת סוכה</t>
  </si>
  <si>
    <t>שיעורים במסכת עירובין</t>
  </si>
  <si>
    <t>שיעורים במסכת פאה</t>
  </si>
  <si>
    <t>היינמאן, יוסף בן יעקב</t>
  </si>
  <si>
    <t>שיעורים בספר סוד ה' ליראיו - 4 כר'</t>
  </si>
  <si>
    <t>תשע"א - תשע"ז</t>
  </si>
  <si>
    <t>שיעורים בפרק איזהו נשך</t>
  </si>
  <si>
    <t>איתן, משה זאב</t>
  </si>
  <si>
    <t>שיעורים בפרק המפקיד</t>
  </si>
  <si>
    <t>שיעורים והתוועדויות - 14 כר'</t>
  </si>
  <si>
    <t>תשע"ב - תשע"ה</t>
  </si>
  <si>
    <t>שיעורים וכתבים, זרעים - 9 כר'</t>
  </si>
  <si>
    <t>גריינימן, הראי"ש בן הגרח"ש</t>
  </si>
  <si>
    <t>שיעורים וכתבים, טהרות - 6 כר'</t>
  </si>
  <si>
    <t>שיעורים וכתבים, ליקוטים - 2 כר'</t>
  </si>
  <si>
    <t>שיעורים וכתבים, מוסר ואגדה - 19 כר'</t>
  </si>
  <si>
    <t>שיעורים וכתבים, מועד - 9 כר'</t>
  </si>
  <si>
    <t>שיעורים וכתבים, נזיקין - 8 כר'</t>
  </si>
  <si>
    <t>שיעורים וכתבים, נשים - 3 כר'</t>
  </si>
  <si>
    <t>שיעורים וכתבים, קדשים - 8 כר'</t>
  </si>
  <si>
    <t>שיעורים - ב"ק ארבע אבות</t>
  </si>
  <si>
    <t>אדלשטיין, צבי יהודה</t>
  </si>
  <si>
    <t>שיעורים - 2 כר'</t>
  </si>
  <si>
    <t>רוזן, יגאל</t>
  </si>
  <si>
    <t>שיר חדש - עירובין</t>
  </si>
  <si>
    <t>רוזן, שמואל יצחק בן יוסף חיים</t>
  </si>
  <si>
    <t>שיר חנוכת - בית האוצר</t>
  </si>
  <si>
    <t>שיר חנוכת</t>
  </si>
  <si>
    <t>שיר ידידות</t>
  </si>
  <si>
    <t>שירים ופיוטים</t>
  </si>
  <si>
    <t>שיר למעלות - ד</t>
  </si>
  <si>
    <t>ישיבת מעלה יעקב</t>
  </si>
  <si>
    <t>שירה ארגוה ידי רעיון</t>
  </si>
  <si>
    <t>לוין, ישראל</t>
  </si>
  <si>
    <t>שירה חדשה</t>
  </si>
  <si>
    <t>ישיבת אור אלחנן</t>
  </si>
  <si>
    <t>שירי הבקשות לשבת קודש &lt;עם ביאורים&gt;</t>
  </si>
  <si>
    <t>מועלם, ציון בן יהודה</t>
  </si>
  <si>
    <t>שירי החול לרבי שלמה אבן גבירול &lt;מהדורת ירדן&gt; - 2 כר'</t>
  </si>
  <si>
    <t>אבן-גבירול שלמה בן יהודה</t>
  </si>
  <si>
    <t>שירי החול של רבי אברהם אבן עזרא</t>
  </si>
  <si>
    <t>אברהם אבן עזרא</t>
  </si>
  <si>
    <t>שירי הלוי - מועדים</t>
  </si>
  <si>
    <t>קלאגסברוין, יואל הלוי</t>
  </si>
  <si>
    <t>מאנסי ניו יורק</t>
  </si>
  <si>
    <t>שירי הקודש לרבי יהודה הלוי &lt;מהדורת ירדן&gt; - 4 כר'</t>
  </si>
  <si>
    <t>שירי הקודש לרבי שלמה אבן גבירול &lt;מהדורת ירדן&gt; - 2 כר'</t>
  </si>
  <si>
    <t>שירים וחיזוקים &lt;מהדורה חדשה&gt;</t>
  </si>
  <si>
    <t>שירים חדשים לרבי אלעזר בן יעקב הבבלי</t>
  </si>
  <si>
    <t>אלעזר בן יעקב הבבלי</t>
  </si>
  <si>
    <t>שירת דוד</t>
  </si>
  <si>
    <t>רוטנברג -מזובצקי, דוד</t>
  </si>
  <si>
    <t>שירת הים - 7 כר'</t>
  </si>
  <si>
    <t>שירת מרים</t>
  </si>
  <si>
    <t>שכינה ביניהם</t>
  </si>
  <si>
    <t>שכר ועונש</t>
  </si>
  <si>
    <t>הכהן, ישעיהו בן אליעזר</t>
  </si>
  <si>
    <t>שלהבות גנוזות</t>
  </si>
  <si>
    <t>שלום באהליך</t>
  </si>
  <si>
    <t>קונסטנטין, אמיר</t>
  </si>
  <si>
    <t>שלום בוניך</t>
  </si>
  <si>
    <t>חשס"א</t>
  </si>
  <si>
    <t>שלום בניך</t>
  </si>
  <si>
    <t>משפחת קליין</t>
  </si>
  <si>
    <t>שלום ורעות</t>
  </si>
  <si>
    <t>שלום ירושלים &lt;מהדורה חדשה&gt;</t>
  </si>
  <si>
    <t>מורגנשטרן, חיים ישראל בן דוד</t>
  </si>
  <si>
    <t>שלחן אליהו</t>
  </si>
  <si>
    <t>קורט, חיים משה בן יששכר</t>
  </si>
  <si>
    <t>שלחן טהור</t>
  </si>
  <si>
    <t>אמסלם, אברהם</t>
  </si>
  <si>
    <t>שלחן טהרה - זהב טהור</t>
  </si>
  <si>
    <t>ספרין, יצחק אייזיק יהודה יחיאל בן אלכסנדר סנדר מקומרנא - קרויס ,ישעיהו מאיר</t>
  </si>
  <si>
    <t>שלחן ישראל</t>
  </si>
  <si>
    <t>כהן, ישראל</t>
  </si>
  <si>
    <t>שלחן ערוך הרב הל' שבת עם ביאור נימוקי שבת</t>
  </si>
  <si>
    <t>שלמי אהבה</t>
  </si>
  <si>
    <t>בסקין, אבשלום בן דוד צבי</t>
  </si>
  <si>
    <t>פלורידא</t>
  </si>
  <si>
    <t>מועדי ישראל, מחשבה ומוסר, תנ"ך</t>
  </si>
  <si>
    <t>שלמי בכורים - ב</t>
  </si>
  <si>
    <t>ישיבת הליכות שלמה</t>
  </si>
  <si>
    <t>שלמי בנימין - 2 כר'</t>
  </si>
  <si>
    <t>מישאלי, בנימין</t>
  </si>
  <si>
    <t>שלמי טוהר</t>
  </si>
  <si>
    <t>שלמי יוסף - 3 כר'</t>
  </si>
  <si>
    <t>אברכי כולל פוניבז'</t>
  </si>
  <si>
    <t>שלמי יחזקאל - 2 כר'</t>
  </si>
  <si>
    <t>סטפנסקי, יחזקאל בן אליעזר שלמה</t>
  </si>
  <si>
    <t>שלמי מרדכי - 4 כר'</t>
  </si>
  <si>
    <t>יהב, שלום מרדכי</t>
  </si>
  <si>
    <t>שלמי תודה - בבא בתרא</t>
  </si>
  <si>
    <t>ביטאן, שלום בן אליהו</t>
  </si>
  <si>
    <t>שלש מאות שנה של יהדות פולין</t>
  </si>
  <si>
    <t>הורודצקי, שמואל אבא בן יוסף משה</t>
  </si>
  <si>
    <t>שלש תשובות</t>
  </si>
  <si>
    <t>כפוסי, חיים</t>
  </si>
  <si>
    <t>תרס"ח</t>
  </si>
  <si>
    <t>שלשה המה נפלאו ממני</t>
  </si>
  <si>
    <t>צורבא, ישראל בן יהושע</t>
  </si>
  <si>
    <t>שלשה כתרים</t>
  </si>
  <si>
    <t>שלשה מאמרות</t>
  </si>
  <si>
    <t>גליקסון, משה יוסף בן אלחנן הכהן</t>
  </si>
  <si>
    <t>שלשה מזמורים חיצוניים ממדבר יהודה</t>
  </si>
  <si>
    <t>הברמן, אברהם מאיר בן אורי פייבל</t>
  </si>
  <si>
    <t>שם אבותי - בבא קמא</t>
  </si>
  <si>
    <t>אנגלדר, יעקב בן שלמה הכהו</t>
  </si>
  <si>
    <t>שם הגדולים החדש</t>
  </si>
  <si>
    <t>וואלדן, אהרן בן ישעיהו נתן</t>
  </si>
  <si>
    <t>שם יוסף &lt;מהדורה חדשה&gt;</t>
  </si>
  <si>
    <t>מועטי, יוסף</t>
  </si>
  <si>
    <t>שם משמעון - גיטין</t>
  </si>
  <si>
    <t>שם משמעון - 2 כר'</t>
  </si>
  <si>
    <t>שמועה טובה - שומע תפילה</t>
  </si>
  <si>
    <t>יעבץ, עובדיה שמחה בן יהודה אריה</t>
  </si>
  <si>
    <t>שמועת שמואל - חזקות</t>
  </si>
  <si>
    <t>קארפ, שמעון שמואל ברוך בן צבי משה</t>
  </si>
  <si>
    <t>שמות הצדיקים</t>
  </si>
  <si>
    <t>נחמן בן שמחה מבראסלאב</t>
  </si>
  <si>
    <t>[תשי"ח,</t>
  </si>
  <si>
    <t>שמח תשמח</t>
  </si>
  <si>
    <t>שמחת אבי</t>
  </si>
  <si>
    <t>קולנגי, יונתן בן אליעזר</t>
  </si>
  <si>
    <t>שמחת אפרים - א</t>
  </si>
  <si>
    <t>ליפסקי, אפרים יעקב בן מיכאל</t>
  </si>
  <si>
    <t>שמחת דן - 2 כר'</t>
  </si>
  <si>
    <t>נחום, דוד בן יחזקאל</t>
  </si>
  <si>
    <t>שמחת חכמים - קהלת</t>
  </si>
  <si>
    <t>מילר, בנימין זאב משה הכהן</t>
  </si>
  <si>
    <t>שמחת יום טוב</t>
  </si>
  <si>
    <t>תרפ"ג,</t>
  </si>
  <si>
    <t>שמחת משה - 4 כר'</t>
  </si>
  <si>
    <t>דרושים, תפלות בקשות פיוטים ושירה</t>
  </si>
  <si>
    <t>שמירת עינים כהלכה</t>
  </si>
  <si>
    <t>שמן הטוב &lt;מהדורת אהבת שלום&gt;</t>
  </si>
  <si>
    <t>יעקב בן יוסף הרופא</t>
  </si>
  <si>
    <t>שמן הטוב - 2 כר'</t>
  </si>
  <si>
    <t>טולידאנו, חביב מרדכי בן אהרון</t>
  </si>
  <si>
    <t>שמן המנחה - 5 כר'</t>
  </si>
  <si>
    <t>ורנר, מאיר שמעון בן שמואל ברוך</t>
  </si>
  <si>
    <t>שמן ראש - 14 כר'</t>
  </si>
  <si>
    <t>שמן רוקח - ביצה</t>
  </si>
  <si>
    <t>לוו, אלעזר בן אריה ליב</t>
  </si>
  <si>
    <t>שמעון בן זומא</t>
  </si>
  <si>
    <t>וואכסמאן, מאיר בן מרדכי</t>
  </si>
  <si>
    <t>סט. לואיס.</t>
  </si>
  <si>
    <t>שמעתא דשטרות</t>
  </si>
  <si>
    <t>שמעתא עמיקתא - גליונות</t>
  </si>
  <si>
    <t>בורגר, יוחנן דניאל</t>
  </si>
  <si>
    <t>שמעתתא דהלכתא - בשר בחלב</t>
  </si>
  <si>
    <t>עהרנרייך, יואל בן שלמה זלמן</t>
  </si>
  <si>
    <t>שמעתתא דמוקצה</t>
  </si>
  <si>
    <t>הלוי, מיכאל בן יצחק אייזיק</t>
  </si>
  <si>
    <t>ירולשים</t>
  </si>
  <si>
    <t>שמש צדקה &lt;מהדורה חדשה&gt;</t>
  </si>
  <si>
    <t>שני אדנים</t>
  </si>
  <si>
    <t>שנתים</t>
  </si>
  <si>
    <t>הפועל המזרחי</t>
  </si>
  <si>
    <t>שעורי הגרא"ז - 2 כר'</t>
  </si>
  <si>
    <t>גורביץ, אריה זאב</t>
  </si>
  <si>
    <t>שעורי הרה"ג ר' ברוך בער לייבאוויץ - ב"ק, ב"מ, חולין</t>
  </si>
  <si>
    <t>ליבוביץ, ברוך דוב בן שמואל דוד</t>
  </si>
  <si>
    <t>שעורי הרמי"ם - 4 כר'</t>
  </si>
  <si>
    <t>ראשי ישיבת פוניבז'</t>
  </si>
  <si>
    <t>תשל"ב?</t>
  </si>
  <si>
    <t>שעורי מורנו הגר"ש רוזובסקי - 6 כר'</t>
  </si>
  <si>
    <t>שעורי רבי צבי יהודה - כתובת</t>
  </si>
  <si>
    <t>גרשונוביץ, צבי יהודה</t>
  </si>
  <si>
    <t>שעורי רבנו משולם דוד הלוי - 2 כר'</t>
  </si>
  <si>
    <t>סולובייצ'יק, משולם דוד הלוי</t>
  </si>
  <si>
    <t>שעלי דעת - ה</t>
  </si>
  <si>
    <t>קובץ ישיבת שעלבים</t>
  </si>
  <si>
    <t>שער הפנימי</t>
  </si>
  <si>
    <t>אהרמן, אברהם בן משה חיים</t>
  </si>
  <si>
    <t>שער התורה - מדרש תנחומא פרשת נח - יקר מפז</t>
  </si>
  <si>
    <t>מנדלבסק'י, זאב פינחס בן יעקב צבי</t>
  </si>
  <si>
    <t>שערי אהבה ורצון</t>
  </si>
  <si>
    <t>שערי אורה - בכורות</t>
  </si>
  <si>
    <t>שטרנבוך, ישראל מאיר</t>
  </si>
  <si>
    <t>שערי אושר - חג השבועות</t>
  </si>
  <si>
    <t>זוננפלד, אשר</t>
  </si>
  <si>
    <t>שערי בינה &lt;זכרון אהרן&gt;</t>
  </si>
  <si>
    <t>מאטרסדורף, יואב בן ירמיהו</t>
  </si>
  <si>
    <t>שערי בינה</t>
  </si>
  <si>
    <t>קושלבסקי, צבי</t>
  </si>
  <si>
    <t>שערי דוד - נדה</t>
  </si>
  <si>
    <t>שערי האמונה - אבלות</t>
  </si>
  <si>
    <t>שמש, ליאור חיים</t>
  </si>
  <si>
    <t>שערי הזבח</t>
  </si>
  <si>
    <t>שפרונג, יצחק חיים בן זכריה</t>
  </si>
  <si>
    <t>שערי הזמנים - ראש השנה</t>
  </si>
  <si>
    <t>דסלר, אליהו אליעזר</t>
  </si>
  <si>
    <t>שערי הנישואין</t>
  </si>
  <si>
    <t>שטיצברג, שמואל יוסף</t>
  </si>
  <si>
    <t>שערי זבול - על התורה</t>
  </si>
  <si>
    <t>המבורגר, זבולון בן אברהם משה</t>
  </si>
  <si>
    <t>שערי חזקה</t>
  </si>
  <si>
    <t>האוט, אליעזר רפאל בן נפתלי הכהן</t>
  </si>
  <si>
    <t>שערי חיים - 3 כר'</t>
  </si>
  <si>
    <t>היילפרין, חיים אהרן צבי בן אלחנן</t>
  </si>
  <si>
    <t>שערי חיים - בבא בתרא</t>
  </si>
  <si>
    <t>שערי יושר - פורים</t>
  </si>
  <si>
    <t>חנניה, אשר בן יעקב</t>
  </si>
  <si>
    <t>שערי יצחק - 179 כר'</t>
  </si>
  <si>
    <t>רצאבי, יצחק בן ניסים</t>
  </si>
  <si>
    <t>שערי ישועה</t>
  </si>
  <si>
    <t>פיטוסי, ישועה פרג'י</t>
  </si>
  <si>
    <t>שערי ישיבה - 7 כר'</t>
  </si>
  <si>
    <t>שערי ישר מבואר - 3 כר'</t>
  </si>
  <si>
    <t>שקופ, שמעון יהודה בן יצחק שמואל הכהן - כהן, אהרן</t>
  </si>
  <si>
    <t>שערי מועד - חנוכה, ט"ו בשבט, פורים - קונטרס עמוד אש וענן</t>
  </si>
  <si>
    <t>היימן, עופר שמאי בן מנחם</t>
  </si>
  <si>
    <t>שערי משה - ב</t>
  </si>
  <si>
    <t>זילבר, משה מנחם בן יחיאל אברהם</t>
  </si>
  <si>
    <t>שערי נדה</t>
  </si>
  <si>
    <t>פרייס, משה בן ישכר הלוי</t>
  </si>
  <si>
    <t>שערי ערכין &lt;מהד"ב&gt;</t>
  </si>
  <si>
    <t>גינצבורג, צבי</t>
  </si>
  <si>
    <t>שערי צדק - חצר, דעת בקניינים</t>
  </si>
  <si>
    <t>שערי צדק - 9 כר'</t>
  </si>
  <si>
    <t>קובץ מאמרים בדיני ממונות הלכה למעשה</t>
  </si>
  <si>
    <t>קרית אונו</t>
  </si>
  <si>
    <t>שערי ציון - 2 כר'</t>
  </si>
  <si>
    <t>שערי ציון - אדר תשל"ח</t>
  </si>
  <si>
    <t>רבעון לחקר ההלכה</t>
  </si>
  <si>
    <t>שערי קדשים</t>
  </si>
  <si>
    <t>לאבנשטיין, אלימלך דוד</t>
  </si>
  <si>
    <t>שערי שבת</t>
  </si>
  <si>
    <t>עמנואל, שמעון</t>
  </si>
  <si>
    <t>שערי תורת הבית - ב</t>
  </si>
  <si>
    <t>טשזנר, יהודה</t>
  </si>
  <si>
    <t>שערי תשובה &lt;פתחי תשובה&gt;</t>
  </si>
  <si>
    <t>גירונדי, יונה בן אברהם - ורנר, מאיר שמעון בן שמואל ברוך</t>
  </si>
  <si>
    <t>שערי תשובה &lt;דרך תשובה&gt;</t>
  </si>
  <si>
    <t>גירונדי, יונה בן אברהם - ליפקין, חיים יצחק</t>
  </si>
  <si>
    <t>שערי תשובה המפורש והמבואר - שער ב חלק א</t>
  </si>
  <si>
    <t>גירונדי, יונה בן אברהם - שלזינגר, ישראל דוד</t>
  </si>
  <si>
    <t>שערים בעבודה</t>
  </si>
  <si>
    <t>אפללו, מרדכי משה בן שלמה</t>
  </si>
  <si>
    <t>שערים בצניעות</t>
  </si>
  <si>
    <t>שעשועי לשון - בראשית</t>
  </si>
  <si>
    <t>טוהר, מרדכי</t>
  </si>
  <si>
    <t>שעשועי תורה - 2 כר'</t>
  </si>
  <si>
    <t>שורצמן, יוסף מרדכי בן שמואל עוזיאל</t>
  </si>
  <si>
    <t>שעשועים יום יום - 3 כר'</t>
  </si>
  <si>
    <t>שפה ברורה</t>
  </si>
  <si>
    <t>ברסלר, יהושע עבדיה</t>
  </si>
  <si>
    <t>שפוני שירה</t>
  </si>
  <si>
    <t>ירדן, דב בן חיים</t>
  </si>
  <si>
    <t>שפע רב</t>
  </si>
  <si>
    <t>שפריר מצרים</t>
  </si>
  <si>
    <t>ברקת, אלינוער</t>
  </si>
  <si>
    <t>שפת אמת - ירח האיתנים</t>
  </si>
  <si>
    <t>היילפרין, משולם שרגא פייבוש בן נפתלי הירץ</t>
  </si>
  <si>
    <t>שפת השלחן - פסח יום טוב</t>
  </si>
  <si>
    <t>שפת חיים - 3 כר'</t>
  </si>
  <si>
    <t>גרוס, אברהם חיים אלימלך</t>
  </si>
  <si>
    <t>שפת שלום - 4 כר'</t>
  </si>
  <si>
    <t>גינסברגר, שלום בן שרגא</t>
  </si>
  <si>
    <t>שפתי אהרן - 2 כר'</t>
  </si>
  <si>
    <t>בערגסאז</t>
  </si>
  <si>
    <t>שפתי חיים &lt;על התורה&gt; - ה (דברים)</t>
  </si>
  <si>
    <t>פרידלנדר, חיים בן משה</t>
  </si>
  <si>
    <t>שפתי יצחק - 2 כר'</t>
  </si>
  <si>
    <t>גולדשטיין, יצחק מאיר</t>
  </si>
  <si>
    <t>שפתי ישנים - ב</t>
  </si>
  <si>
    <t>חברת תפארת בחורים</t>
  </si>
  <si>
    <t>שפתי ישעיהו - הסיעוד בראי היהדות</t>
  </si>
  <si>
    <t>מכון נחלת ישעיהו</t>
  </si>
  <si>
    <t>גבעת עדה</t>
  </si>
  <si>
    <t>שפתי צדיק</t>
  </si>
  <si>
    <t>חמו, אברהם</t>
  </si>
  <si>
    <t>שפתי צדק - א</t>
  </si>
  <si>
    <t>קובץ תורני ישיבת שפתי צדק</t>
  </si>
  <si>
    <t>שפתי רננות</t>
  </si>
  <si>
    <t>הלפרט, יעקב</t>
  </si>
  <si>
    <t>שקיעין - מדרשי תימן</t>
  </si>
  <si>
    <t>ליברמאן, שאול בן משה</t>
  </si>
  <si>
    <t>שר הלשון</t>
  </si>
  <si>
    <t>פרנקנהויז, אברהם שמואל בנימין</t>
  </si>
  <si>
    <t>שרידים</t>
  </si>
  <si>
    <t>חמיץ, יוסף בן יהודה</t>
  </si>
  <si>
    <t>שרשי המצות</t>
  </si>
  <si>
    <t>שרשים במולדת</t>
  </si>
  <si>
    <t>אורי, יעקב בן יהודה</t>
  </si>
  <si>
    <t>שש אנכי על אמרתך</t>
  </si>
  <si>
    <t>שש אנכי</t>
  </si>
  <si>
    <t>שש אנכי - שבת, עירובין</t>
  </si>
  <si>
    <t>שרייבר, שמעון בן פנחס</t>
  </si>
  <si>
    <t>ששה מאמרים</t>
  </si>
  <si>
    <t>ששה סדרי משנה &lt;עטרת שלמה&gt; - 16 כר'</t>
  </si>
  <si>
    <t>משניות עטרת שלמה</t>
  </si>
  <si>
    <t>שתי מורות משוחחות</t>
  </si>
  <si>
    <t>ארגון כתר מלכות</t>
  </si>
  <si>
    <t>תבונות כפיו - דניאל</t>
  </si>
  <si>
    <t>שרייבר, אשר זאב בן צבי</t>
  </si>
  <si>
    <t>תבונות שבת בשבתו ב</t>
  </si>
  <si>
    <t>תבונות - ב</t>
  </si>
  <si>
    <t>תבת נח</t>
  </si>
  <si>
    <t>באס, ליב נח בן שמואל יצחק אייזיק</t>
  </si>
  <si>
    <t>[תר"ע,</t>
  </si>
  <si>
    <t>תהיה רצויה מעשי - 3 כר'</t>
  </si>
  <si>
    <t>תהיין לראש יוסף</t>
  </si>
  <si>
    <t>איינהורן, חיים צבי בן יצחק נתן</t>
  </si>
  <si>
    <t>תהילה לאברהם</t>
  </si>
  <si>
    <t>צדקה, דוד בן אברהם</t>
  </si>
  <si>
    <t>תהילים &lt;ותשר דבורה&gt;</t>
  </si>
  <si>
    <t>גרינברג,</t>
  </si>
  <si>
    <t>תהילים &lt;תהלות אהרן&gt;</t>
  </si>
  <si>
    <t>צדיקי קרלין - רוזנפלד, אהרן בן יצחק מנשה הכהן (מפינסק קרלין)</t>
  </si>
  <si>
    <t>תהילים שדה יעקב - רחשי יוסף</t>
  </si>
  <si>
    <t>דייטש, יעקב שמריה הלוי - דייטש, יוסף ישעיה בן חיים יהודה הלוי</t>
  </si>
  <si>
    <t>תהילת אהרן</t>
  </si>
  <si>
    <t>כהן, אהרן יהושע בן אופיר</t>
  </si>
  <si>
    <t>תהילת יצחק על הש"ס</t>
  </si>
  <si>
    <t>אדלר, יהודה יצחק</t>
  </si>
  <si>
    <t>תהילת יצחק על התורה - 2 כר'</t>
  </si>
  <si>
    <t>תהלה לדוד</t>
  </si>
  <si>
    <t>תהלה ליעקב</t>
  </si>
  <si>
    <t>בן ארצי, עמנואל</t>
  </si>
  <si>
    <t>תהלות ישראל - פרקי תהלים לפי עניינים</t>
  </si>
  <si>
    <t>חסידה, ישראל יצחק</t>
  </si>
  <si>
    <t>תהלים &lt;אביר יעקב&gt;</t>
  </si>
  <si>
    <t>תהלים &lt;שדה יעקב - רחשי יוסף&gt;</t>
  </si>
  <si>
    <t>דייטש, יעקב שמריה בן חיים יהודה הלוי</t>
  </si>
  <si>
    <t>תהלים &lt;מקדש שלמה&gt; - 2 כר'</t>
  </si>
  <si>
    <t>פרלוב, שלמה חיים בן יעקב</t>
  </si>
  <si>
    <t>תרצ"ז - תשל"ו</t>
  </si>
  <si>
    <t>בילוגריי - ישראל</t>
  </si>
  <si>
    <t>תהלים &lt;עם ביאור לתלמידים&gt;</t>
  </si>
  <si>
    <t>קושטא, ישראל</t>
  </si>
  <si>
    <t>תרכ"ו</t>
  </si>
  <si>
    <t>תהלים רצון מלכים - אוצרות חכמי תימן</t>
  </si>
  <si>
    <t>תהלים  - ליקוטי דוד, תפלות דוד</t>
  </si>
  <si>
    <t>יעבץ, יוסף מאיר (מפרש)</t>
  </si>
  <si>
    <t>פיעטרקוב - וארשא</t>
  </si>
  <si>
    <t>תודיעיני אורח חיים - 2 כר'</t>
  </si>
  <si>
    <t>תודיעני חיים - ב</t>
  </si>
  <si>
    <t>ממו, חיים יוסף</t>
  </si>
  <si>
    <t>תולדות יעב"ץ</t>
  </si>
  <si>
    <t>וואגנה, אברהם חיים בן אברהם</t>
  </si>
  <si>
    <t>תולדות יעקב - אדמור"י הוסיאטין</t>
  </si>
  <si>
    <t>גרוזמן, מאיר צבי</t>
  </si>
  <si>
    <t>תולדות רבנו חיים מוואלוזין</t>
  </si>
  <si>
    <t>שפירא, משה שמואל בן ישעיהו</t>
  </si>
  <si>
    <t>תרס"ט</t>
  </si>
  <si>
    <t>תולדותיו של מורה</t>
  </si>
  <si>
    <t>תולדת אהרן</t>
  </si>
  <si>
    <t>אהרן מפיסארו</t>
  </si>
  <si>
    <t>[שנ"א]</t>
  </si>
  <si>
    <t>ויניציאה</t>
  </si>
  <si>
    <t>תום ודעת</t>
  </si>
  <si>
    <t>תומר דבורה - קנאת האמת</t>
  </si>
  <si>
    <t>קורדובירו, משה בן יעקב - רפאפורט, חיים יצחק אהרן בן יהודה ליב</t>
  </si>
  <si>
    <t>תוספות השלם - 2 כר'</t>
  </si>
  <si>
    <t>גליס, יעקב</t>
  </si>
  <si>
    <t>תוספת דברים - עירובין</t>
  </si>
  <si>
    <t>רצקר, אליהו בן יעקב</t>
  </si>
  <si>
    <t>תורה און לעבען - א</t>
  </si>
  <si>
    <t>מרגליות, יוסף מאיר</t>
  </si>
  <si>
    <t>תורה גאולה</t>
  </si>
  <si>
    <t>תורה ומדע - 2 כר'</t>
  </si>
  <si>
    <t>תורה לדעת - ה</t>
  </si>
  <si>
    <t>בלום, מתתיהו</t>
  </si>
  <si>
    <t>תורות ושיחות מבית רבותינו</t>
  </si>
  <si>
    <t>תורת אברהם - מעשר שני וערלה</t>
  </si>
  <si>
    <t>הלכה ומנהג, משנה, קבצים וכתבי עת, ספרי זכרון ויובל</t>
  </si>
  <si>
    <t>תורת אברהם</t>
  </si>
  <si>
    <t>קוך, אברהם עמרם</t>
  </si>
  <si>
    <t>תורת אדם</t>
  </si>
  <si>
    <t>אורליק, משה דוד</t>
  </si>
  <si>
    <t>תורת אמך - ב</t>
  </si>
  <si>
    <t>גשטטנר, אברהם שמואל יהודה בן נתן</t>
  </si>
  <si>
    <t>תורת אמך</t>
  </si>
  <si>
    <t>תורת אמת &lt;זכרון אהרן מהדורה מתוקנת&gt;</t>
  </si>
  <si>
    <t>ששון, אהרן בן יוסף</t>
  </si>
  <si>
    <t>תורת ארץ ישראל - 5 כר'</t>
  </si>
  <si>
    <t>תורת אש - נדה</t>
  </si>
  <si>
    <t>שרים, אלפונסו בן יעקב</t>
  </si>
  <si>
    <t>תורת האבולוציה בעולם החי והדומם לאור המדע המדויק החדיש</t>
  </si>
  <si>
    <t>עציון, יצחק רפאל הלוי</t>
  </si>
  <si>
    <t>תורת האנושות</t>
  </si>
  <si>
    <t>תורת הטהרה</t>
  </si>
  <si>
    <t>תורת הכיסוי</t>
  </si>
  <si>
    <t>תורת הכלי</t>
  </si>
  <si>
    <t>גוטפרב, פינחס בן ברוך יצחק</t>
  </si>
  <si>
    <t>תורת הלשון בהתפתחותה</t>
  </si>
  <si>
    <t>תורת המועד - בירורים בהלכות יום טוב - ב</t>
  </si>
  <si>
    <t>תורת המעילה</t>
  </si>
  <si>
    <t>פוס, בנימין יאיר בן אברהם מתתיהו</t>
  </si>
  <si>
    <t>תורת הראשונים - אהלות</t>
  </si>
  <si>
    <t>פישהוף, יחיאל בן שמואל</t>
  </si>
  <si>
    <t>תורת השירה הספרדית</t>
  </si>
  <si>
    <t>תורת השליחות</t>
  </si>
  <si>
    <t>הראל, אוריאל יצחק בן אריה יהודה</t>
  </si>
  <si>
    <t>תורת השמיטה</t>
  </si>
  <si>
    <t>גרוסברג, חנוך זונדל בן דוב בר</t>
  </si>
  <si>
    <t>תורת התלמוד עם מצא חן - א</t>
  </si>
  <si>
    <t>בוטה, יוגב בן שמואל</t>
  </si>
  <si>
    <t>תורת התערובות</t>
  </si>
  <si>
    <t>קארניאל, יהודה אריה בן יצחק</t>
  </si>
  <si>
    <t>תורת התפלה</t>
  </si>
  <si>
    <t>ירושלמי, שמעון</t>
  </si>
  <si>
    <t>תורת חובות הלבבות &lt;עם ביאור עומק הלב&gt; - שער עבודת האלקים</t>
  </si>
  <si>
    <t>אבן-פקודה, בחיי בן יוסף - זלמנוביץ, יהונתן</t>
  </si>
  <si>
    <t>תורת חטאת  - מנחת יעקב, תורת האשם &lt;זכרון אהרן&gt;</t>
  </si>
  <si>
    <t>איסרלש, משה בן ישראל (רמ"א)</t>
  </si>
  <si>
    <t>תורת חיים</t>
  </si>
  <si>
    <t>טאוב, נתנאל חיים</t>
  </si>
  <si>
    <t>תורת חיים - 4 כר'</t>
  </si>
  <si>
    <t>שבתי, חיים בן שבתי</t>
  </si>
  <si>
    <t>תורת חכם ברוך - 2 כר'</t>
  </si>
  <si>
    <t>בן חיים, ברוך</t>
  </si>
  <si>
    <t>תורת חמד</t>
  </si>
  <si>
    <t>וייסמנדל, חיים מיכאל דב</t>
  </si>
  <si>
    <t>תורת חסד &lt;מהדורה חדשה&gt;</t>
  </si>
  <si>
    <t>אברהם מרדכי מלוצקא</t>
  </si>
  <si>
    <t>תורת יומא - א</t>
  </si>
  <si>
    <t>וויסמן, חיים ישראל בן משה יצחק</t>
  </si>
  <si>
    <t>תורת יוסף</t>
  </si>
  <si>
    <t>פלשינצקי, יוסף</t>
  </si>
  <si>
    <t>תורת יערים</t>
  </si>
  <si>
    <t>חידו"ת של בני טלזסטון</t>
  </si>
  <si>
    <t>טלזסטון</t>
  </si>
  <si>
    <t>תורת ישראל</t>
  </si>
  <si>
    <t>רובין, ישראל</t>
  </si>
  <si>
    <t>תורת משה &lt;מהדורת אהבת שלום&gt;</t>
  </si>
  <si>
    <t>תורת נחום - קידושין</t>
  </si>
  <si>
    <t>לסמן, נחום - בני המשפחה</t>
  </si>
  <si>
    <t>תורת נחלת הר חב"ד - קפח</t>
  </si>
  <si>
    <t>קרית מלאכי</t>
  </si>
  <si>
    <t>תורת צבי - 8 כר'</t>
  </si>
  <si>
    <t>תורת רחובות - 4 כר'</t>
  </si>
  <si>
    <t>כולל אברכים רחובות</t>
  </si>
  <si>
    <t>תורתך שעשועי</t>
  </si>
  <si>
    <t>נוף איילון</t>
  </si>
  <si>
    <t>תורתך שעשועי - תורה ומועדים</t>
  </si>
  <si>
    <t>קרנברג, יהושע</t>
  </si>
  <si>
    <t>תחום שבת - עירובין</t>
  </si>
  <si>
    <t>רוזנר, יהודה</t>
  </si>
  <si>
    <t>תחל שנה מאמרי מוסר ודעת - 2 כר'</t>
  </si>
  <si>
    <t>תחת הסוכה</t>
  </si>
  <si>
    <t>זרביב, ישראל שם טוב בן שמואל דוד</t>
  </si>
  <si>
    <t>מועדי ישראל, שלחן ערוך ומפרשיו, תלמוד בבלי</t>
  </si>
  <si>
    <t>תיבת גמא &lt;זכרון אהרן&gt; - 2 כר'</t>
  </si>
  <si>
    <t>תיו יהושע - 3 כר'</t>
  </si>
  <si>
    <t>בריסקין, יהושע בן חיים ישראל</t>
  </si>
  <si>
    <t>קרקוב Cracow</t>
  </si>
  <si>
    <t>תיווך ושידוך בהלכה</t>
  </si>
  <si>
    <t>רוזין, אברהם - לויפר, חנוך</t>
  </si>
  <si>
    <t>תיכון תפילתי</t>
  </si>
  <si>
    <t>תיקון המדינה</t>
  </si>
  <si>
    <t>תיקון חצות המבואר</t>
  </si>
  <si>
    <t>תיקון סופרים לר' יצחק צבאח</t>
  </si>
  <si>
    <t>למדן, רות (מהדירה)</t>
  </si>
  <si>
    <t>תיקון עירובין</t>
  </si>
  <si>
    <t>יעקובזון, בנימין זאב בן שלמה</t>
  </si>
  <si>
    <t>[תרצ"ח,</t>
  </si>
  <si>
    <t>קופנהגן,</t>
  </si>
  <si>
    <t>תיקוני שבת כהלכתו</t>
  </si>
  <si>
    <t>תיקונים חדשים &lt;עם ביאור&gt;</t>
  </si>
  <si>
    <t>לוצאטו, משה חיים בן יעקב חי (רמח"ל) - חלפון, אליהו בן חיים</t>
  </si>
  <si>
    <t>תכלית חכמה - 3 כר'</t>
  </si>
  <si>
    <t>תכנית לחנוכת בית הכנסת בקבוצת יבנה</t>
  </si>
  <si>
    <t>יבנה (קבוצה)</t>
  </si>
  <si>
    <t>תכנת שבת</t>
  </si>
  <si>
    <t>תל תלפיות &lt;ירושלים&gt; - 4 כר'</t>
  </si>
  <si>
    <t>הלפרין, שמעון (עורך)</t>
  </si>
  <si>
    <t>תלמוד ירושלמי &lt;ברלין&gt; - 4 כר'</t>
  </si>
  <si>
    <t>תלמוד ירושלמי. ברלין. תרכ"ב</t>
  </si>
  <si>
    <t>תלמוד ירושלמי המבואר - פאה</t>
  </si>
  <si>
    <t>יחזקאל, משה - גרג'י, מרדכי</t>
  </si>
  <si>
    <t>תלמוד עשר הספירות</t>
  </si>
  <si>
    <t>[תש"ג]</t>
  </si>
  <si>
    <t>Brooklyn, N.Y.</t>
  </si>
  <si>
    <t>תלמידיהון ותלמידי תלמידיהון</t>
  </si>
  <si>
    <t>תמיד עיני ה' אלקיך בה</t>
  </si>
  <si>
    <t>תמצית השמועה</t>
  </si>
  <si>
    <t>כהן, דוד בן יוסף</t>
  </si>
  <si>
    <t>תמצית חולין</t>
  </si>
  <si>
    <t>תמצית סוגיות - ב"ב {מהדורה חדשה}</t>
  </si>
  <si>
    <t>קרלנשטיין, חיים זאב</t>
  </si>
  <si>
    <t>תנ"ך ע"פ דעת סופרים &lt;מהדורה ישנה&gt; - י ישעיהו</t>
  </si>
  <si>
    <t>תנ"ך עם המסורה - פרשת בראשית</t>
  </si>
  <si>
    <t>סיימן, צבי</t>
  </si>
  <si>
    <t>תנה הודך</t>
  </si>
  <si>
    <t>דיין, נסים בן שלמה</t>
  </si>
  <si>
    <t>תנו רבנן - 3 כר'</t>
  </si>
  <si>
    <t>ועד רבני בתי כנסיות של אגודת ישראל</t>
  </si>
  <si>
    <t>ארה"ב</t>
  </si>
  <si>
    <t>תנובת קציר</t>
  </si>
  <si>
    <t>שפיגל, יונה בן בצלאל קלמן</t>
  </si>
  <si>
    <t>תפארת אבות</t>
  </si>
  <si>
    <t>תפארת אבות - 2 כר'</t>
  </si>
  <si>
    <t>תפארת אברהם - גיטין, סוכה, נזיר, סנהדרין</t>
  </si>
  <si>
    <t>האגער, חיים יחזקאל</t>
  </si>
  <si>
    <t>תפארת אברהם - בבא קמא</t>
  </si>
  <si>
    <t>רובין, אברהם בן משה</t>
  </si>
  <si>
    <t>תפארת אדם - ברכות</t>
  </si>
  <si>
    <t>אסטרייכר, משה דוד בן יוסף שלמה זלמן</t>
  </si>
  <si>
    <t>תפארת אהרן</t>
  </si>
  <si>
    <t>לנדא, יעקב אהרן בן בצלאל</t>
  </si>
  <si>
    <t>תפארת אלעזר - מועדים</t>
  </si>
  <si>
    <t>מנדלביץ, יעקב אלעזר</t>
  </si>
  <si>
    <t>תפארת השולחן</t>
  </si>
  <si>
    <t>תפארת יגאל</t>
  </si>
  <si>
    <t>תפארת ירשלים - ב</t>
  </si>
  <si>
    <t>תפארת ישראל</t>
  </si>
  <si>
    <t>פשעמישל</t>
  </si>
  <si>
    <t>תפארת נפתלי - מועדים &lt;מהדורה חדשה&gt;</t>
  </si>
  <si>
    <t>הניג, נפתלי הירצקא</t>
  </si>
  <si>
    <t>תפארת עם ישראל - א</t>
  </si>
  <si>
    <t>תנעמי, זכריה</t>
  </si>
  <si>
    <t>תפארת רפאל - נשים-נזיקין</t>
  </si>
  <si>
    <t>כהן, רפאל בן חיים</t>
  </si>
  <si>
    <t>תפארת שאול</t>
  </si>
  <si>
    <t>שוחט, שאול ידידיה בן אברהם חיים</t>
  </si>
  <si>
    <t>תרנ"ט-תר"ס,</t>
  </si>
  <si>
    <t>תפארת שב"ת</t>
  </si>
  <si>
    <t>כולל תפארת שלום ושמש</t>
  </si>
  <si>
    <t>תפארת שמואל - ארחותיו ומשנתו של רבי שמואל אויערבך</t>
  </si>
  <si>
    <t>וינר, ישראל יהודה</t>
  </si>
  <si>
    <t>תפארת שרגא - גיטין</t>
  </si>
  <si>
    <t>קובץ ישיבת תפארת שרגא</t>
  </si>
  <si>
    <t>תפוח בעצי היער</t>
  </si>
  <si>
    <t>תפוחי זהב - 2 כר'</t>
  </si>
  <si>
    <t>גולדוסר, יצחק פנחס בן יהודה</t>
  </si>
  <si>
    <t>תפילה דיליה</t>
  </si>
  <si>
    <t>חנונו, אברהם בן דוד</t>
  </si>
  <si>
    <t>תפילה לשלמה</t>
  </si>
  <si>
    <t>תפילה מרבי ישמעאל כהן גדול</t>
  </si>
  <si>
    <t>תפילות וחיזוקים &lt;מהדורה חדשה&gt;</t>
  </si>
  <si>
    <t>תפילות ומאמרים לכלה</t>
  </si>
  <si>
    <t>תפילת ישרים</t>
  </si>
  <si>
    <t>תפלה זכה</t>
  </si>
  <si>
    <t>תפלה לדוד</t>
  </si>
  <si>
    <t>[תרמ"ז],</t>
  </si>
  <si>
    <t>קאלאמעא,</t>
  </si>
  <si>
    <t>תפלה למשה &lt;מהדורה ראשונה&gt;</t>
  </si>
  <si>
    <t>אייכנשטיין, משה בן יצחק איזיק</t>
  </si>
  <si>
    <t>[תרט"ז].</t>
  </si>
  <si>
    <t>תפלת הודיה ליום חג העצמאות</t>
  </si>
  <si>
    <t>תפילות. יום העצמאות. תשי"ז. מונטוידאו</t>
  </si>
  <si>
    <t>תשי"ז,</t>
  </si>
  <si>
    <t>מונטבידאו,</t>
  </si>
  <si>
    <t>תפקיד הבריאה והאנושות</t>
  </si>
  <si>
    <t>תפתה ערוך &lt;מהדורה חדשה&gt;</t>
  </si>
  <si>
    <t>תק"ן ליקוטים</t>
  </si>
  <si>
    <t>פאנו, מנחם עזריה בן יצחק ברכיה</t>
  </si>
  <si>
    <t>תקון ליל שבועות ותקון ליל הושענא רבה</t>
  </si>
  <si>
    <t>תיקונים. ליל שבועות. ת"ר. למברג</t>
  </si>
  <si>
    <t>לעמבערג</t>
  </si>
  <si>
    <t>תקונים ומלואים בתולדות הרופא טוביה כ"ץ ממיץ</t>
  </si>
  <si>
    <t>הלוי, מאיר</t>
  </si>
  <si>
    <t>תקנת הרבית - קיצור הלכות - ב</t>
  </si>
  <si>
    <t>לנדו, יעקב - שולם, עמוס</t>
  </si>
  <si>
    <t>תקנת השבים</t>
  </si>
  <si>
    <t>טרביס, דניאל יעקב בן פסח</t>
  </si>
  <si>
    <t>תקנת השבין</t>
  </si>
  <si>
    <t>רבינוביץ, צדוק בן יעקב הכהן</t>
  </si>
  <si>
    <t>תשובות ומענות בקשר ללימוד בכולל</t>
  </si>
  <si>
    <t>תשובות ישראל - ד</t>
  </si>
  <si>
    <t>תשובות מבי מדרשא - ב</t>
  </si>
  <si>
    <t>ליברמן, יצחק מאיר ברכיה בן שמחה בונם</t>
  </si>
  <si>
    <t>תשובות רד"ך &lt;זכרון אהרן&gt;</t>
  </si>
  <si>
    <t>דוד בן חיים הכהן מקורפו</t>
  </si>
  <si>
    <t>תשובות תרומת הדשן - נדה</t>
  </si>
  <si>
    <t>אמויאל, אהרן בן יוסף</t>
  </si>
  <si>
    <t>הלכה ומנהג, שאלות ותשובות, תלמוד בבלי</t>
  </si>
  <si>
    <t>תשובת השנה</t>
  </si>
  <si>
    <t>תשועה ברב יועץ - שבת</t>
  </si>
  <si>
    <t>גפן, יצחק</t>
  </si>
  <si>
    <t>תשורה - 31 כר'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</si>
</sst>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57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1"/>
      <color rgb="FF0070C0"/>
      <name val="Arial"/>
      <family val="2"/>
      <scheme val="minor"/>
    </font>
    <font>
      <sz val="11"/>
      <color rgb="FF0070C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53"/>
  <sheetViews>
    <sheetView rightToLeft="1" tabSelected="1" workbookViewId="0">
      <selection activeCell="H12" sqref="H12"/>
    </sheetView>
  </sheetViews>
  <sheetFormatPr defaultRowHeight="14.25" x14ac:dyDescent="0.2"/>
  <cols>
    <col min="1" max="1" width="38.5" customWidth="1"/>
    <col min="2" max="2" width="45.125" customWidth="1"/>
    <col min="3" max="3" width="13.75" customWidth="1"/>
    <col min="4" max="4" width="22.5" style="1" customWidth="1"/>
    <col min="5" max="5" width="29.75" customWidth="1"/>
    <col min="6" max="6" width="26.5" style="5" customWidth="1"/>
  </cols>
  <sheetData>
    <row r="1" spans="1:6" s="2" customFormat="1" ht="15" x14ac:dyDescent="0.2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x14ac:dyDescent="0.2">
      <c r="A2" t="s">
        <v>6</v>
      </c>
      <c r="B2" t="s">
        <v>7</v>
      </c>
      <c r="C2" t="s">
        <v>8</v>
      </c>
      <c r="D2" s="1" t="s">
        <v>9</v>
      </c>
      <c r="E2" t="s">
        <v>10</v>
      </c>
      <c r="F2" s="5" t="str">
        <f>HYPERLINK("http://www.otzar.org/book.asp?629878","אבות ובנים על פרקי אבות")</f>
        <v>אבות ובנים על פרקי אבות</v>
      </c>
    </row>
    <row r="3" spans="1:6" x14ac:dyDescent="0.2">
      <c r="A3" t="s">
        <v>11</v>
      </c>
      <c r="B3" t="s">
        <v>12</v>
      </c>
      <c r="C3" t="s">
        <v>13</v>
      </c>
      <c r="D3" s="1" t="s">
        <v>14</v>
      </c>
      <c r="E3" t="s">
        <v>10</v>
      </c>
      <c r="F3" s="5" t="str">
        <f>HYPERLINK("http://www.otzar.org/book.asp?630335","אבות של זמננו - 4 כר'")</f>
        <v>אבות של זמננו - 4 כר'</v>
      </c>
    </row>
    <row r="4" spans="1:6" x14ac:dyDescent="0.2">
      <c r="A4" t="s">
        <v>15</v>
      </c>
      <c r="B4" t="s">
        <v>16</v>
      </c>
      <c r="C4" t="s">
        <v>8</v>
      </c>
      <c r="D4" s="1" t="s">
        <v>9</v>
      </c>
      <c r="E4" t="s">
        <v>17</v>
      </c>
      <c r="F4" s="5" t="str">
        <f>HYPERLINK("http://www.otzar.org/book.asp?626347","אבי הנחל")</f>
        <v>אבי הנחל</v>
      </c>
    </row>
    <row r="5" spans="1:6" x14ac:dyDescent="0.2">
      <c r="A5" t="s">
        <v>18</v>
      </c>
      <c r="B5" t="s">
        <v>19</v>
      </c>
      <c r="C5" t="s">
        <v>20</v>
      </c>
      <c r="D5" s="1" t="s">
        <v>21</v>
      </c>
      <c r="E5" t="s">
        <v>22</v>
      </c>
      <c r="F5" s="5" t="str">
        <f>HYPERLINK("http://www.otzar.org/book.asp?630628","אבי הנחל - זבחים")</f>
        <v>אבי הנחל - זבחים</v>
      </c>
    </row>
    <row r="6" spans="1:6" x14ac:dyDescent="0.2">
      <c r="A6" t="s">
        <v>23</v>
      </c>
      <c r="B6" t="s">
        <v>24</v>
      </c>
      <c r="C6" t="s">
        <v>25</v>
      </c>
      <c r="D6" s="1" t="s">
        <v>9</v>
      </c>
      <c r="E6" t="s">
        <v>26</v>
      </c>
      <c r="F6" s="5" t="str">
        <f>HYPERLINK("http://www.otzar.org/book.asp?630465","אביב לה'")</f>
        <v>אביב לה'</v>
      </c>
    </row>
    <row r="7" spans="1:6" x14ac:dyDescent="0.2">
      <c r="A7" t="s">
        <v>27</v>
      </c>
      <c r="B7" t="s">
        <v>28</v>
      </c>
      <c r="C7" t="s">
        <v>13</v>
      </c>
      <c r="D7" s="1" t="s">
        <v>29</v>
      </c>
      <c r="E7" t="s">
        <v>30</v>
      </c>
      <c r="F7" s="5" t="str">
        <f>HYPERLINK("http://www.otzar.org/book.asp?627080","אבינו מלכנו - ראש השנה ב")</f>
        <v>אבינו מלכנו - ראש השנה ב</v>
      </c>
    </row>
    <row r="8" spans="1:6" x14ac:dyDescent="0.2">
      <c r="A8" t="s">
        <v>31</v>
      </c>
      <c r="B8" t="s">
        <v>32</v>
      </c>
      <c r="C8" t="s">
        <v>20</v>
      </c>
      <c r="D8" s="1" t="s">
        <v>33</v>
      </c>
      <c r="E8" t="s">
        <v>34</v>
      </c>
      <c r="F8" s="5" t="str">
        <f>HYPERLINK("http://www.otzar.org/book.asp?625809","אביר יעקב - 8 כר'")</f>
        <v>אביר יעקב - 8 כר'</v>
      </c>
    </row>
    <row r="9" spans="1:6" x14ac:dyDescent="0.2">
      <c r="A9" t="s">
        <v>35</v>
      </c>
      <c r="B9" t="s">
        <v>36</v>
      </c>
      <c r="C9" t="s">
        <v>25</v>
      </c>
      <c r="D9" s="1" t="s">
        <v>9</v>
      </c>
      <c r="E9" t="s">
        <v>37</v>
      </c>
      <c r="F9" s="5" t="str">
        <f>HYPERLINK("http://www.otzar.org/book.asp?630339","אבלות וטעמיה")</f>
        <v>אבלות וטעמיה</v>
      </c>
    </row>
    <row r="10" spans="1:6" x14ac:dyDescent="0.2">
      <c r="A10" t="s">
        <v>38</v>
      </c>
      <c r="B10" t="s">
        <v>39</v>
      </c>
      <c r="C10" t="s">
        <v>40</v>
      </c>
      <c r="D10" s="1" t="s">
        <v>9</v>
      </c>
      <c r="E10" t="s">
        <v>41</v>
      </c>
      <c r="F10" s="5" t="str">
        <f>HYPERLINK("http://www.otzar.org/book.asp?627676","אבן השהם &lt;זכרון אהרן&gt;")</f>
        <v>אבן השהם &lt;זכרון אהרן&gt;</v>
      </c>
    </row>
    <row r="11" spans="1:6" x14ac:dyDescent="0.2">
      <c r="A11" t="s">
        <v>42</v>
      </c>
      <c r="B11" t="s">
        <v>43</v>
      </c>
      <c r="C11" t="s">
        <v>13</v>
      </c>
      <c r="D11" s="1" t="s">
        <v>9</v>
      </c>
      <c r="E11" t="s">
        <v>44</v>
      </c>
      <c r="F11" s="5" t="str">
        <f>HYPERLINK("http://www.otzar.org/book.asp?626710","אבן השהם &lt;אבן למלאת&gt;")</f>
        <v>אבן השהם &lt;אבן למלאת&gt;</v>
      </c>
    </row>
    <row r="12" spans="1:6" x14ac:dyDescent="0.2">
      <c r="A12" t="s">
        <v>45</v>
      </c>
      <c r="B12" t="s">
        <v>46</v>
      </c>
      <c r="C12" t="s">
        <v>47</v>
      </c>
      <c r="D12" s="1" t="s">
        <v>48</v>
      </c>
      <c r="E12" t="s">
        <v>49</v>
      </c>
      <c r="F12" s="5" t="str">
        <f>HYPERLINK("http://www.otzar.org/book.asp?625987","אבן השעות")</f>
        <v>אבן השעות</v>
      </c>
    </row>
    <row r="13" spans="1:6" x14ac:dyDescent="0.2">
      <c r="A13" t="s">
        <v>50</v>
      </c>
      <c r="B13" t="s">
        <v>51</v>
      </c>
      <c r="C13" t="s">
        <v>8</v>
      </c>
      <c r="D13" s="1" t="s">
        <v>52</v>
      </c>
      <c r="E13" t="s">
        <v>53</v>
      </c>
      <c r="F13" s="5" t="str">
        <f>HYPERLINK("http://www.otzar.org/book.asp?626421","אבן יחזקאל")</f>
        <v>אבן יחזקאל</v>
      </c>
    </row>
    <row r="14" spans="1:6" x14ac:dyDescent="0.2">
      <c r="A14" t="s">
        <v>54</v>
      </c>
      <c r="B14" t="s">
        <v>55</v>
      </c>
      <c r="C14" t="s">
        <v>13</v>
      </c>
      <c r="D14" s="1" t="s">
        <v>9</v>
      </c>
      <c r="E14" t="s">
        <v>56</v>
      </c>
      <c r="F14" s="5" t="str">
        <f>HYPERLINK("http://www.otzar.org/book.asp?627814","אבן עוזר - עירובין &lt;מהדורה חדשה&gt;")</f>
        <v>אבן עוזר - עירובין &lt;מהדורה חדשה&gt;</v>
      </c>
    </row>
    <row r="15" spans="1:6" x14ac:dyDescent="0.2">
      <c r="A15" t="s">
        <v>57</v>
      </c>
      <c r="B15" t="s">
        <v>58</v>
      </c>
      <c r="C15" t="s">
        <v>59</v>
      </c>
      <c r="D15" s="1" t="s">
        <v>60</v>
      </c>
      <c r="E15" t="s">
        <v>61</v>
      </c>
      <c r="F15" s="5" t="str">
        <f>HYPERLINK("http://www.otzar.org/book.asp?625943","אבן פינה")</f>
        <v>אבן פינה</v>
      </c>
    </row>
    <row r="16" spans="1:6" x14ac:dyDescent="0.2">
      <c r="A16" t="s">
        <v>62</v>
      </c>
      <c r="B16" t="s">
        <v>63</v>
      </c>
      <c r="C16" t="s">
        <v>20</v>
      </c>
      <c r="D16" s="1" t="s">
        <v>64</v>
      </c>
      <c r="E16" t="s">
        <v>61</v>
      </c>
      <c r="F16" s="5" t="str">
        <f>HYPERLINK("http://www.otzar.org/book.asp?625487","אבני אליהו")</f>
        <v>אבני אליהו</v>
      </c>
    </row>
    <row r="17" spans="1:6" x14ac:dyDescent="0.2">
      <c r="A17" t="s">
        <v>65</v>
      </c>
      <c r="B17" t="s">
        <v>66</v>
      </c>
      <c r="C17" t="s">
        <v>67</v>
      </c>
      <c r="D17" s="1" t="s">
        <v>68</v>
      </c>
      <c r="F17" s="5" t="str">
        <f>HYPERLINK("http://www.otzar.org/book.asp?624809","אבני גזית")</f>
        <v>אבני גזית</v>
      </c>
    </row>
    <row r="18" spans="1:6" x14ac:dyDescent="0.2">
      <c r="A18" t="s">
        <v>69</v>
      </c>
      <c r="B18" t="s">
        <v>70</v>
      </c>
      <c r="C18" t="s">
        <v>13</v>
      </c>
      <c r="D18" s="1" t="s">
        <v>9</v>
      </c>
      <c r="E18" t="s">
        <v>41</v>
      </c>
      <c r="F18" s="5" t="str">
        <f>HYPERLINK("http://www.otzar.org/book.asp?627510","אבני דרך - יד")</f>
        <v>אבני דרך - יד</v>
      </c>
    </row>
    <row r="19" spans="1:6" x14ac:dyDescent="0.2">
      <c r="A19" t="s">
        <v>71</v>
      </c>
      <c r="B19" t="s">
        <v>72</v>
      </c>
      <c r="C19" t="s">
        <v>73</v>
      </c>
      <c r="D19" s="1" t="s">
        <v>14</v>
      </c>
      <c r="E19" t="s">
        <v>22</v>
      </c>
      <c r="F19" s="5" t="str">
        <f>HYPERLINK("http://www.otzar.org/book.asp?622878","אבני הסוגיות - 14 כר'")</f>
        <v>אבני הסוגיות - 14 כר'</v>
      </c>
    </row>
    <row r="20" spans="1:6" x14ac:dyDescent="0.2">
      <c r="A20" t="s">
        <v>74</v>
      </c>
      <c r="B20" t="s">
        <v>75</v>
      </c>
      <c r="C20" t="s">
        <v>76</v>
      </c>
      <c r="D20" s="1" t="s">
        <v>9</v>
      </c>
      <c r="E20" t="s">
        <v>77</v>
      </c>
      <c r="F20" s="5" t="str">
        <f>HYPERLINK("http://www.otzar.org/book.asp?628031","אבני חושן - א")</f>
        <v>אבני חושן - א</v>
      </c>
    </row>
    <row r="21" spans="1:6" x14ac:dyDescent="0.2">
      <c r="A21" t="s">
        <v>78</v>
      </c>
      <c r="B21" t="s">
        <v>79</v>
      </c>
      <c r="C21" t="s">
        <v>73</v>
      </c>
      <c r="D21" s="1" t="s">
        <v>21</v>
      </c>
      <c r="E21" t="s">
        <v>41</v>
      </c>
      <c r="F21" s="5" t="str">
        <f>HYPERLINK("http://www.otzar.org/book.asp?625841","אבני לוי - ב")</f>
        <v>אבני לוי - ב</v>
      </c>
    </row>
    <row r="22" spans="1:6" x14ac:dyDescent="0.2">
      <c r="A22" t="s">
        <v>80</v>
      </c>
      <c r="B22" t="s">
        <v>81</v>
      </c>
      <c r="C22" t="s">
        <v>20</v>
      </c>
      <c r="D22" s="1" t="s">
        <v>9</v>
      </c>
      <c r="E22" t="s">
        <v>82</v>
      </c>
      <c r="F22" s="5" t="str">
        <f>HYPERLINK("http://www.otzar.org/book.asp?626022","אבני מחצב")</f>
        <v>אבני מחצב</v>
      </c>
    </row>
    <row r="23" spans="1:6" x14ac:dyDescent="0.2">
      <c r="A23" t="s">
        <v>83</v>
      </c>
      <c r="B23" t="s">
        <v>84</v>
      </c>
      <c r="C23" t="s">
        <v>40</v>
      </c>
      <c r="D23" s="1" t="s">
        <v>14</v>
      </c>
      <c r="E23" t="s">
        <v>22</v>
      </c>
      <c r="F23" s="5" t="str">
        <f>HYPERLINK("http://www.otzar.org/book.asp?626179","אבני מסילה - סוטה")</f>
        <v>אבני מסילה - סוטה</v>
      </c>
    </row>
    <row r="24" spans="1:6" x14ac:dyDescent="0.2">
      <c r="A24" t="s">
        <v>85</v>
      </c>
      <c r="B24" t="s">
        <v>86</v>
      </c>
      <c r="C24" t="s">
        <v>73</v>
      </c>
      <c r="D24" s="1" t="s">
        <v>9</v>
      </c>
      <c r="E24" t="s">
        <v>22</v>
      </c>
      <c r="F24" s="5" t="str">
        <f>HYPERLINK("http://www.otzar.org/book.asp?629433","אבני פנה - ב")</f>
        <v>אבני פנה - ב</v>
      </c>
    </row>
    <row r="25" spans="1:6" x14ac:dyDescent="0.2">
      <c r="A25" t="s">
        <v>87</v>
      </c>
      <c r="B25" t="s">
        <v>79</v>
      </c>
      <c r="C25" t="s">
        <v>88</v>
      </c>
      <c r="D25" s="1" t="s">
        <v>21</v>
      </c>
      <c r="E25" t="s">
        <v>89</v>
      </c>
      <c r="F25" s="5" t="str">
        <f>HYPERLINK("http://www.otzar.org/book.asp?625843","אבני קודש")</f>
        <v>אבני קודש</v>
      </c>
    </row>
    <row r="26" spans="1:6" x14ac:dyDescent="0.2">
      <c r="A26" t="s">
        <v>90</v>
      </c>
      <c r="B26" t="s">
        <v>91</v>
      </c>
      <c r="C26" t="s">
        <v>92</v>
      </c>
      <c r="D26" s="1" t="s">
        <v>9</v>
      </c>
      <c r="E26" t="s">
        <v>22</v>
      </c>
      <c r="F26" s="5" t="str">
        <f>HYPERLINK("http://www.otzar.org/book.asp?624550","אבני שהם - נדה")</f>
        <v>אבני שהם - נדה</v>
      </c>
    </row>
    <row r="27" spans="1:6" x14ac:dyDescent="0.2">
      <c r="A27" t="s">
        <v>93</v>
      </c>
      <c r="B27" t="s">
        <v>94</v>
      </c>
      <c r="C27" t="s">
        <v>13</v>
      </c>
      <c r="D27" s="1" t="s">
        <v>9</v>
      </c>
      <c r="E27" t="s">
        <v>49</v>
      </c>
      <c r="F27" s="5" t="str">
        <f>HYPERLINK("http://www.otzar.org/book.asp?628715","אבני שלמה - מלך ונשיא")</f>
        <v>אבני שלמה - מלך ונשיא</v>
      </c>
    </row>
    <row r="28" spans="1:6" x14ac:dyDescent="0.2">
      <c r="A28" t="s">
        <v>95</v>
      </c>
      <c r="B28" t="s">
        <v>96</v>
      </c>
      <c r="C28" t="s">
        <v>73</v>
      </c>
      <c r="D28" s="1" t="s">
        <v>9</v>
      </c>
      <c r="E28" t="s">
        <v>41</v>
      </c>
      <c r="F28" s="5" t="str">
        <f>HYPERLINK("http://www.otzar.org/book.asp?627566","אבקת רוכל &lt;זכרון אהרן&gt;")</f>
        <v>אבקת רוכל &lt;זכרון אהרן&gt;</v>
      </c>
    </row>
    <row r="29" spans="1:6" x14ac:dyDescent="0.2">
      <c r="A29" t="s">
        <v>97</v>
      </c>
      <c r="B29" t="s">
        <v>98</v>
      </c>
      <c r="C29" t="s">
        <v>99</v>
      </c>
      <c r="D29" s="1" t="s">
        <v>100</v>
      </c>
      <c r="E29" t="s">
        <v>49</v>
      </c>
      <c r="F29" s="5" t="str">
        <f>HYPERLINK("http://www.otzar.org/book.asp?627333","אבקת רוכל")</f>
        <v>אבקת רוכל</v>
      </c>
    </row>
    <row r="30" spans="1:6" x14ac:dyDescent="0.2">
      <c r="A30" t="s">
        <v>101</v>
      </c>
      <c r="B30" t="s">
        <v>102</v>
      </c>
      <c r="C30" t="s">
        <v>103</v>
      </c>
      <c r="D30" s="1" t="s">
        <v>29</v>
      </c>
      <c r="F30" s="5" t="str">
        <f>HYPERLINK("http://www.otzar.org/book.asp?628742","אגודת ישראל קאנווענשאן בוך (31)")</f>
        <v>אגודת ישראל קאנווענשאן בוך (31)</v>
      </c>
    </row>
    <row r="31" spans="1:6" x14ac:dyDescent="0.2">
      <c r="A31" t="s">
        <v>104</v>
      </c>
      <c r="B31" t="s">
        <v>105</v>
      </c>
      <c r="C31" t="s">
        <v>106</v>
      </c>
      <c r="D31" s="1" t="s">
        <v>107</v>
      </c>
      <c r="E31" t="s">
        <v>108</v>
      </c>
      <c r="F31" s="5" t="str">
        <f>HYPERLINK("http://www.otzar.org/book.asp?626074","אגודת מאמרים - מתינות")</f>
        <v>אגודת מאמרים - מתינות</v>
      </c>
    </row>
    <row r="32" spans="1:6" x14ac:dyDescent="0.2">
      <c r="A32" t="s">
        <v>109</v>
      </c>
      <c r="B32" t="s">
        <v>110</v>
      </c>
      <c r="C32" t="s">
        <v>13</v>
      </c>
      <c r="D32" s="1" t="s">
        <v>52</v>
      </c>
      <c r="E32" t="s">
        <v>22</v>
      </c>
      <c r="F32" s="5" t="str">
        <f>HYPERLINK("http://www.otzar.org/book.asp?631569","אגלי בכרה")</f>
        <v>אגלי בכרה</v>
      </c>
    </row>
    <row r="33" spans="1:6" x14ac:dyDescent="0.2">
      <c r="A33" t="s">
        <v>111</v>
      </c>
      <c r="B33" t="s">
        <v>112</v>
      </c>
      <c r="C33" t="s">
        <v>113</v>
      </c>
      <c r="D33" s="1" t="s">
        <v>114</v>
      </c>
      <c r="E33" t="s">
        <v>49</v>
      </c>
      <c r="F33" s="5" t="str">
        <f>HYPERLINK("http://www.otzar.org/book.asp?627025","אגרות הראיה - 2 כר'")</f>
        <v>אגרות הראיה - 2 כר'</v>
      </c>
    </row>
    <row r="34" spans="1:6" x14ac:dyDescent="0.2">
      <c r="A34" t="s">
        <v>115</v>
      </c>
      <c r="B34" t="s">
        <v>116</v>
      </c>
      <c r="C34" t="s">
        <v>20</v>
      </c>
      <c r="D34" s="1" t="s">
        <v>14</v>
      </c>
      <c r="E34" t="s">
        <v>49</v>
      </c>
      <c r="F34" s="5" t="str">
        <f>HYPERLINK("http://www.otzar.org/book.asp?629732","אגרות ורשימות קה""י - ו")</f>
        <v>אגרות ורשימות קה"י - ו</v>
      </c>
    </row>
    <row r="35" spans="1:6" x14ac:dyDescent="0.2">
      <c r="A35" t="s">
        <v>117</v>
      </c>
      <c r="B35" t="s">
        <v>118</v>
      </c>
      <c r="C35" t="s">
        <v>119</v>
      </c>
      <c r="D35" s="1" t="s">
        <v>120</v>
      </c>
      <c r="E35" t="s">
        <v>121</v>
      </c>
      <c r="F35" s="5" t="str">
        <f>HYPERLINK("http://www.otzar.org/book.asp?623447","אגרת המדות")</f>
        <v>אגרת המדות</v>
      </c>
    </row>
    <row r="36" spans="1:6" x14ac:dyDescent="0.2">
      <c r="A36" t="s">
        <v>122</v>
      </c>
      <c r="B36" t="s">
        <v>118</v>
      </c>
      <c r="C36" t="s">
        <v>123</v>
      </c>
      <c r="D36" s="1" t="s">
        <v>64</v>
      </c>
      <c r="E36" t="s">
        <v>34</v>
      </c>
      <c r="F36" s="5" t="str">
        <f>HYPERLINK("http://www.otzar.org/book.asp?623446","אגרת המוסר")</f>
        <v>אגרת המוסר</v>
      </c>
    </row>
    <row r="37" spans="1:6" x14ac:dyDescent="0.2">
      <c r="A37" t="s">
        <v>122</v>
      </c>
      <c r="B37" t="s">
        <v>124</v>
      </c>
      <c r="E37" t="s">
        <v>34</v>
      </c>
      <c r="F37" s="5" t="str">
        <f>HYPERLINK("http://www.otzar.org/book.asp?624591","אגרת המוסר")</f>
        <v>אגרת המוסר</v>
      </c>
    </row>
    <row r="38" spans="1:6" x14ac:dyDescent="0.2">
      <c r="A38" t="s">
        <v>125</v>
      </c>
      <c r="B38" t="s">
        <v>118</v>
      </c>
      <c r="C38" t="s">
        <v>126</v>
      </c>
      <c r="D38" s="1" t="s">
        <v>120</v>
      </c>
      <c r="E38" t="s">
        <v>89</v>
      </c>
      <c r="F38" s="5" t="str">
        <f>HYPERLINK("http://www.otzar.org/book.asp?623451","אגרת המועדים")</f>
        <v>אגרת המועדים</v>
      </c>
    </row>
    <row r="39" spans="1:6" x14ac:dyDescent="0.2">
      <c r="A39" t="s">
        <v>127</v>
      </c>
      <c r="B39" t="s">
        <v>118</v>
      </c>
      <c r="C39" t="s">
        <v>106</v>
      </c>
      <c r="D39" s="1" t="s">
        <v>120</v>
      </c>
      <c r="E39" t="s">
        <v>128</v>
      </c>
      <c r="F39" s="5" t="str">
        <f>HYPERLINK("http://www.otzar.org/book.asp?623449","אגרת הקדושה והטהרה")</f>
        <v>אגרת הקדושה והטהרה</v>
      </c>
    </row>
    <row r="40" spans="1:6" x14ac:dyDescent="0.2">
      <c r="A40" t="s">
        <v>129</v>
      </c>
      <c r="B40" t="s">
        <v>130</v>
      </c>
      <c r="C40" t="s">
        <v>8</v>
      </c>
      <c r="D40" s="1" t="s">
        <v>9</v>
      </c>
      <c r="E40" t="s">
        <v>34</v>
      </c>
      <c r="F40" s="5" t="str">
        <f>HYPERLINK("http://www.otzar.org/book.asp?626133","אגרת הקדש &lt;מהדורה חדשה&gt;")</f>
        <v>אגרת הקדש &lt;מהדורה חדשה&gt;</v>
      </c>
    </row>
    <row r="41" spans="1:6" x14ac:dyDescent="0.2">
      <c r="A41" t="s">
        <v>131</v>
      </c>
      <c r="B41" t="s">
        <v>132</v>
      </c>
      <c r="C41" t="s">
        <v>133</v>
      </c>
      <c r="D41" s="1" t="s">
        <v>14</v>
      </c>
      <c r="E41" t="s">
        <v>34</v>
      </c>
      <c r="F41" s="5" t="str">
        <f>HYPERLINK("http://www.otzar.org/book.asp?625838","אגרת הרמב""ן &lt;פתח אליהו&gt;")</f>
        <v>אגרת הרמב"ן &lt;פתח אליהו&gt;</v>
      </c>
    </row>
    <row r="42" spans="1:6" x14ac:dyDescent="0.2">
      <c r="A42" t="s">
        <v>134</v>
      </c>
      <c r="B42" t="s">
        <v>135</v>
      </c>
      <c r="C42" t="s">
        <v>136</v>
      </c>
      <c r="D42" s="1" t="s">
        <v>14</v>
      </c>
      <c r="F42" s="5" t="str">
        <f>HYPERLINK("http://www.otzar.org/book.asp?630754","אגרת הרמב""ן עם ביאור חמדת יחזקאל")</f>
        <v>אגרת הרמב"ן עם ביאור חמדת יחזקאל</v>
      </c>
    </row>
    <row r="43" spans="1:6" x14ac:dyDescent="0.2">
      <c r="A43" t="s">
        <v>137</v>
      </c>
      <c r="B43" t="s">
        <v>138</v>
      </c>
      <c r="C43" t="s">
        <v>20</v>
      </c>
      <c r="D43" s="1" t="s">
        <v>52</v>
      </c>
      <c r="E43" t="s">
        <v>34</v>
      </c>
      <c r="F43" s="5" t="str">
        <f>HYPERLINK("http://www.otzar.org/book.asp?629659","אגרת הרמב""ן עם ביאור")</f>
        <v>אגרת הרמב"ן עם ביאור</v>
      </c>
    </row>
    <row r="44" spans="1:6" x14ac:dyDescent="0.2">
      <c r="A44" t="s">
        <v>139</v>
      </c>
      <c r="E44" t="s">
        <v>34</v>
      </c>
      <c r="F44" s="5" t="str">
        <f>HYPERLINK("http://www.otzar.org/book.asp?623949","אגרת לבן דורנו")</f>
        <v>אגרת לבן דורנו</v>
      </c>
    </row>
    <row r="45" spans="1:6" x14ac:dyDescent="0.2">
      <c r="A45" t="s">
        <v>140</v>
      </c>
      <c r="B45" t="s">
        <v>118</v>
      </c>
      <c r="C45" t="s">
        <v>126</v>
      </c>
      <c r="D45" s="1" t="s">
        <v>120</v>
      </c>
      <c r="E45" t="s">
        <v>34</v>
      </c>
      <c r="F45" s="5" t="str">
        <f>HYPERLINK("http://www.otzar.org/book.asp?623450","אגרת לבר מצוה")</f>
        <v>אגרת לבר מצוה</v>
      </c>
    </row>
    <row r="46" spans="1:6" x14ac:dyDescent="0.2">
      <c r="A46" t="s">
        <v>141</v>
      </c>
      <c r="B46" t="s">
        <v>142</v>
      </c>
      <c r="C46" t="s">
        <v>143</v>
      </c>
      <c r="D46" s="1" t="s">
        <v>144</v>
      </c>
      <c r="E46" t="s">
        <v>49</v>
      </c>
      <c r="F46" s="5" t="str">
        <f>HYPERLINK("http://www.otzar.org/book.asp?627373","אגרת רבי יהודה בן קוריש")</f>
        <v>אגרת רבי יהודה בן קוריש</v>
      </c>
    </row>
    <row r="47" spans="1:6" x14ac:dyDescent="0.2">
      <c r="A47" t="s">
        <v>145</v>
      </c>
      <c r="B47" t="s">
        <v>118</v>
      </c>
      <c r="C47" t="s">
        <v>126</v>
      </c>
      <c r="D47" s="1" t="s">
        <v>120</v>
      </c>
      <c r="E47" t="s">
        <v>89</v>
      </c>
      <c r="F47" s="5" t="str">
        <f>HYPERLINK("http://www.otzar.org/book.asp?623448","אגרת שבת")</f>
        <v>אגרת שבת</v>
      </c>
    </row>
    <row r="48" spans="1:6" x14ac:dyDescent="0.2">
      <c r="A48" t="s">
        <v>146</v>
      </c>
      <c r="B48" t="s">
        <v>147</v>
      </c>
      <c r="C48" t="s">
        <v>148</v>
      </c>
      <c r="D48" s="1" t="s">
        <v>14</v>
      </c>
      <c r="E48" t="s">
        <v>49</v>
      </c>
      <c r="F48" s="5" t="str">
        <f>HYPERLINK("http://www.otzar.org/book.asp?626315","אגרת תימן")</f>
        <v>אגרת תימן</v>
      </c>
    </row>
    <row r="49" spans="1:6" x14ac:dyDescent="0.2">
      <c r="A49" t="s">
        <v>149</v>
      </c>
      <c r="B49" t="s">
        <v>150</v>
      </c>
      <c r="C49" t="s">
        <v>13</v>
      </c>
      <c r="D49" s="1" t="s">
        <v>151</v>
      </c>
      <c r="E49" t="s">
        <v>128</v>
      </c>
      <c r="F49" s="5" t="str">
        <f>HYPERLINK("http://www.otzar.org/book.asp?628601","אגרתא דחדוותא - לח")</f>
        <v>אגרתא דחדוותא - לח</v>
      </c>
    </row>
    <row r="50" spans="1:6" x14ac:dyDescent="0.2">
      <c r="A50" t="s">
        <v>152</v>
      </c>
      <c r="B50" t="s">
        <v>153</v>
      </c>
      <c r="C50" t="s">
        <v>13</v>
      </c>
      <c r="D50" s="1" t="s">
        <v>9</v>
      </c>
      <c r="E50" t="s">
        <v>154</v>
      </c>
      <c r="F50" s="5" t="str">
        <f>HYPERLINK("http://www.otzar.org/book.asp?623539","אדברה בעדותיך")</f>
        <v>אדברה בעדותיך</v>
      </c>
    </row>
    <row r="51" spans="1:6" x14ac:dyDescent="0.2">
      <c r="A51" t="s">
        <v>155</v>
      </c>
      <c r="B51" t="s">
        <v>156</v>
      </c>
      <c r="C51" t="s">
        <v>157</v>
      </c>
      <c r="D51" s="1" t="s">
        <v>158</v>
      </c>
      <c r="E51" t="s">
        <v>49</v>
      </c>
      <c r="F51" s="5" t="str">
        <f>HYPERLINK("http://www.otzar.org/book.asp?626819","אדמה שמים ותהום")</f>
        <v>אדמה שמים ותהום</v>
      </c>
    </row>
    <row r="52" spans="1:6" x14ac:dyDescent="0.2">
      <c r="A52" t="s">
        <v>159</v>
      </c>
      <c r="B52" t="s">
        <v>160</v>
      </c>
      <c r="C52" t="s">
        <v>136</v>
      </c>
      <c r="D52" s="1" t="s">
        <v>9</v>
      </c>
      <c r="E52" t="s">
        <v>49</v>
      </c>
      <c r="F52" s="5" t="str">
        <f>HYPERLINK("http://www.otzar.org/book.asp?630187","אדני הבית")</f>
        <v>אדני הבית</v>
      </c>
    </row>
    <row r="53" spans="1:6" x14ac:dyDescent="0.2">
      <c r="A53" t="s">
        <v>161</v>
      </c>
      <c r="B53" t="s">
        <v>153</v>
      </c>
      <c r="C53" t="s">
        <v>133</v>
      </c>
      <c r="D53" s="1" t="s">
        <v>9</v>
      </c>
      <c r="E53" t="s">
        <v>61</v>
      </c>
      <c r="F53" s="5" t="str">
        <f>HYPERLINK("http://www.otzar.org/book.asp?623540","אדני המשפט - א")</f>
        <v>אדני המשפט - א</v>
      </c>
    </row>
    <row r="54" spans="1:6" x14ac:dyDescent="0.2">
      <c r="A54" t="s">
        <v>162</v>
      </c>
      <c r="B54" t="s">
        <v>163</v>
      </c>
      <c r="C54" t="s">
        <v>73</v>
      </c>
      <c r="D54" s="1" t="s">
        <v>9</v>
      </c>
      <c r="E54" t="s">
        <v>61</v>
      </c>
      <c r="F54" s="5" t="str">
        <f>HYPERLINK("http://www.otzar.org/book.asp?627138","אדני זהב - 7 כר'")</f>
        <v>אדני זהב - 7 כר'</v>
      </c>
    </row>
    <row r="55" spans="1:6" x14ac:dyDescent="0.2">
      <c r="A55" t="s">
        <v>164</v>
      </c>
      <c r="B55" t="s">
        <v>165</v>
      </c>
      <c r="C55" t="s">
        <v>13</v>
      </c>
      <c r="D55" s="1" t="s">
        <v>14</v>
      </c>
      <c r="E55" t="s">
        <v>22</v>
      </c>
      <c r="F55" s="5" t="str">
        <f>HYPERLINK("http://www.otzar.org/book.asp?624881","אדני פז")</f>
        <v>אדני פז</v>
      </c>
    </row>
    <row r="56" spans="1:6" x14ac:dyDescent="0.2">
      <c r="A56" t="s">
        <v>166</v>
      </c>
      <c r="B56" t="s">
        <v>167</v>
      </c>
      <c r="C56" t="s">
        <v>13</v>
      </c>
      <c r="D56" s="1" t="s">
        <v>52</v>
      </c>
      <c r="E56" t="s">
        <v>168</v>
      </c>
      <c r="F56" s="5" t="str">
        <f>HYPERLINK("http://www.otzar.org/book.asp?628602","אדנים וקרסים")</f>
        <v>אדנים וקרסים</v>
      </c>
    </row>
    <row r="57" spans="1:6" x14ac:dyDescent="0.2">
      <c r="A57" t="s">
        <v>169</v>
      </c>
      <c r="B57" t="s">
        <v>170</v>
      </c>
      <c r="C57" t="s">
        <v>13</v>
      </c>
      <c r="D57" s="1" t="s">
        <v>9</v>
      </c>
      <c r="E57" t="s">
        <v>171</v>
      </c>
      <c r="F57" s="5" t="str">
        <f>HYPERLINK("http://www.otzar.org/book.asp?630341","אדר והוד")</f>
        <v>אדר והוד</v>
      </c>
    </row>
    <row r="58" spans="1:6" x14ac:dyDescent="0.2">
      <c r="A58" t="s">
        <v>172</v>
      </c>
      <c r="B58" t="s">
        <v>173</v>
      </c>
      <c r="C58" t="s">
        <v>174</v>
      </c>
      <c r="D58" s="1" t="s">
        <v>9</v>
      </c>
      <c r="E58" t="s">
        <v>22</v>
      </c>
      <c r="F58" s="5" t="str">
        <f>HYPERLINK("http://www.otzar.org/book.asp?60214","אדרת אליהו - 4 כר'")</f>
        <v>אדרת אליהו - 4 כר'</v>
      </c>
    </row>
    <row r="59" spans="1:6" x14ac:dyDescent="0.2">
      <c r="A59" t="s">
        <v>175</v>
      </c>
      <c r="B59" t="s">
        <v>176</v>
      </c>
      <c r="D59" s="1" t="s">
        <v>114</v>
      </c>
      <c r="E59" t="s">
        <v>34</v>
      </c>
      <c r="F59" s="5" t="str">
        <f>HYPERLINK("http://www.otzar.org/book.asp?626053","אהבת ישראל &lt;מהדורה חדשה&gt;")</f>
        <v>אהבת ישראל &lt;מהדורה חדשה&gt;</v>
      </c>
    </row>
    <row r="60" spans="1:6" x14ac:dyDescent="0.2">
      <c r="A60" t="s">
        <v>177</v>
      </c>
      <c r="B60" t="s">
        <v>138</v>
      </c>
      <c r="C60" t="s">
        <v>13</v>
      </c>
      <c r="D60" s="1" t="s">
        <v>52</v>
      </c>
      <c r="E60" t="s">
        <v>34</v>
      </c>
      <c r="F60" s="5" t="str">
        <f>HYPERLINK("http://www.otzar.org/book.asp?629678","אהבת עולם")</f>
        <v>אהבת עולם</v>
      </c>
    </row>
    <row r="61" spans="1:6" x14ac:dyDescent="0.2">
      <c r="A61" t="s">
        <v>178</v>
      </c>
      <c r="B61" t="s">
        <v>179</v>
      </c>
      <c r="C61" t="s">
        <v>180</v>
      </c>
      <c r="D61" s="1" t="s">
        <v>144</v>
      </c>
      <c r="E61" t="s">
        <v>49</v>
      </c>
      <c r="F61" s="5" t="str">
        <f>HYPERLINK("http://www.otzar.org/book.asp?625654","אהבת ציון וירושלים")</f>
        <v>אהבת ציון וירושלים</v>
      </c>
    </row>
    <row r="62" spans="1:6" x14ac:dyDescent="0.2">
      <c r="A62" t="s">
        <v>181</v>
      </c>
      <c r="B62" t="s">
        <v>182</v>
      </c>
      <c r="C62" t="s">
        <v>136</v>
      </c>
      <c r="D62" s="1" t="s">
        <v>9</v>
      </c>
      <c r="E62" t="s">
        <v>168</v>
      </c>
      <c r="F62" s="5" t="str">
        <f>HYPERLINK("http://www.otzar.org/book.asp?626718","אהבת שי")</f>
        <v>אהבת שי</v>
      </c>
    </row>
    <row r="63" spans="1:6" x14ac:dyDescent="0.2">
      <c r="A63" t="s">
        <v>183</v>
      </c>
      <c r="B63" t="s">
        <v>184</v>
      </c>
      <c r="C63" t="s">
        <v>185</v>
      </c>
      <c r="D63" s="1" t="s">
        <v>186</v>
      </c>
      <c r="E63" t="s">
        <v>187</v>
      </c>
      <c r="F63" s="5" t="str">
        <f>HYPERLINK("http://www.otzar.org/book.asp?625624","אהבת שלום &lt;מהדורה ראשונה&gt;")</f>
        <v>אהבת שלום &lt;מהדורה ראשונה&gt;</v>
      </c>
    </row>
    <row r="64" spans="1:6" x14ac:dyDescent="0.2">
      <c r="A64" t="s">
        <v>188</v>
      </c>
      <c r="B64" t="s">
        <v>189</v>
      </c>
      <c r="C64" t="s">
        <v>190</v>
      </c>
      <c r="D64" s="1" t="s">
        <v>191</v>
      </c>
      <c r="E64" t="s">
        <v>192</v>
      </c>
      <c r="F64" s="5" t="str">
        <f>HYPERLINK("http://www.otzar.org/book.asp?625772","אהל אברהם - 2 כר'")</f>
        <v>אהל אברהם - 2 כר'</v>
      </c>
    </row>
    <row r="65" spans="1:6" x14ac:dyDescent="0.2">
      <c r="A65" t="s">
        <v>193</v>
      </c>
      <c r="B65" t="s">
        <v>194</v>
      </c>
      <c r="C65" t="s">
        <v>13</v>
      </c>
      <c r="D65" s="1" t="s">
        <v>29</v>
      </c>
      <c r="E65" t="s">
        <v>168</v>
      </c>
      <c r="F65" s="5" t="str">
        <f>HYPERLINK("http://www.otzar.org/book.asp?627265","אהל דוד - ט")</f>
        <v>אהל דוד - ט</v>
      </c>
    </row>
    <row r="66" spans="1:6" x14ac:dyDescent="0.2">
      <c r="A66" t="s">
        <v>195</v>
      </c>
      <c r="B66" t="s">
        <v>196</v>
      </c>
      <c r="C66" t="s">
        <v>8</v>
      </c>
      <c r="D66" s="1" t="s">
        <v>9</v>
      </c>
      <c r="E66" t="s">
        <v>22</v>
      </c>
      <c r="F66" s="5" t="str">
        <f>HYPERLINK("http://www.otzar.org/book.asp?628603","אהל הראשונים - ערכין")</f>
        <v>אהל הראשונים - ערכין</v>
      </c>
    </row>
    <row r="67" spans="1:6" x14ac:dyDescent="0.2">
      <c r="A67" t="s">
        <v>197</v>
      </c>
      <c r="B67" t="s">
        <v>198</v>
      </c>
      <c r="C67" t="s">
        <v>20</v>
      </c>
      <c r="D67" s="1" t="s">
        <v>9</v>
      </c>
      <c r="E67" t="s">
        <v>199</v>
      </c>
      <c r="F67" s="5" t="str">
        <f>HYPERLINK("http://www.otzar.org/book.asp?626935","אהל יעקב - 2 כר'")</f>
        <v>אהל יעקב - 2 כר'</v>
      </c>
    </row>
    <row r="68" spans="1:6" x14ac:dyDescent="0.2">
      <c r="A68" t="s">
        <v>200</v>
      </c>
      <c r="B68" t="s">
        <v>201</v>
      </c>
      <c r="C68" t="s">
        <v>202</v>
      </c>
      <c r="D68" s="1" t="s">
        <v>203</v>
      </c>
      <c r="E68" t="s">
        <v>168</v>
      </c>
      <c r="F68" s="5" t="str">
        <f>HYPERLINK("http://www.otzar.org/book.asp?623522","אהל יעקב - בראשית")</f>
        <v>אהל יעקב - בראשית</v>
      </c>
    </row>
    <row r="69" spans="1:6" x14ac:dyDescent="0.2">
      <c r="A69" t="s">
        <v>204</v>
      </c>
      <c r="B69" t="s">
        <v>205</v>
      </c>
      <c r="C69" t="s">
        <v>206</v>
      </c>
      <c r="D69" s="1" t="s">
        <v>9</v>
      </c>
      <c r="E69" t="s">
        <v>22</v>
      </c>
      <c r="F69" s="5" t="str">
        <f>HYPERLINK("http://www.otzar.org/book.asp?628721","אהל ישעיהו - ב""ק")</f>
        <v>אהל ישעיהו - ב"ק</v>
      </c>
    </row>
    <row r="70" spans="1:6" x14ac:dyDescent="0.2">
      <c r="A70" t="s">
        <v>207</v>
      </c>
      <c r="B70" t="s">
        <v>208</v>
      </c>
      <c r="C70" t="s">
        <v>174</v>
      </c>
      <c r="E70" t="s">
        <v>171</v>
      </c>
      <c r="F70" s="5" t="str">
        <f>HYPERLINK("http://www.otzar.org/book.asp?628212","אהל משה - 2 כר'")</f>
        <v>אהל משה - 2 כר'</v>
      </c>
    </row>
    <row r="71" spans="1:6" x14ac:dyDescent="0.2">
      <c r="A71" t="s">
        <v>209</v>
      </c>
      <c r="B71" t="s">
        <v>210</v>
      </c>
      <c r="C71" t="s">
        <v>20</v>
      </c>
      <c r="D71" s="1" t="s">
        <v>9</v>
      </c>
      <c r="E71" t="s">
        <v>89</v>
      </c>
      <c r="F71" s="5" t="str">
        <f>HYPERLINK("http://www.otzar.org/book.asp?626229","אהל רחל - בין המצרים")</f>
        <v>אהל רחל - בין המצרים</v>
      </c>
    </row>
    <row r="72" spans="1:6" x14ac:dyDescent="0.2">
      <c r="A72" t="s">
        <v>211</v>
      </c>
      <c r="B72" t="s">
        <v>212</v>
      </c>
      <c r="C72" t="s">
        <v>126</v>
      </c>
      <c r="D72" s="1" t="s">
        <v>213</v>
      </c>
      <c r="E72" t="s">
        <v>214</v>
      </c>
      <c r="F72" s="5" t="str">
        <f>HYPERLINK("http://www.otzar.org/book.asp?626378","אהלה של תורה - יט - כ")</f>
        <v>אהלה של תורה - יט - כ</v>
      </c>
    </row>
    <row r="73" spans="1:6" x14ac:dyDescent="0.2">
      <c r="A73" t="s">
        <v>215</v>
      </c>
      <c r="B73" t="s">
        <v>216</v>
      </c>
      <c r="C73" t="s">
        <v>73</v>
      </c>
      <c r="D73" s="1" t="s">
        <v>14</v>
      </c>
      <c r="E73" t="s">
        <v>214</v>
      </c>
      <c r="F73" s="5" t="str">
        <f>HYPERLINK("http://www.otzar.org/book.asp?629704","אהלה של תורה - 4 כר'")</f>
        <v>אהלה של תורה - 4 כר'</v>
      </c>
    </row>
    <row r="74" spans="1:6" x14ac:dyDescent="0.2">
      <c r="A74" t="s">
        <v>217</v>
      </c>
      <c r="B74" t="s">
        <v>218</v>
      </c>
      <c r="C74" t="s">
        <v>13</v>
      </c>
      <c r="D74" s="1" t="s">
        <v>52</v>
      </c>
      <c r="E74" t="s">
        <v>22</v>
      </c>
      <c r="F74" s="5" t="str">
        <f>HYPERLINK("http://www.otzar.org/book.asp?630999","אהלי צבי - זבחים")</f>
        <v>אהלי צבי - זבחים</v>
      </c>
    </row>
    <row r="75" spans="1:6" x14ac:dyDescent="0.2">
      <c r="A75" t="s">
        <v>219</v>
      </c>
      <c r="B75" t="s">
        <v>220</v>
      </c>
      <c r="C75" t="s">
        <v>73</v>
      </c>
      <c r="D75" s="1" t="s">
        <v>29</v>
      </c>
      <c r="E75" t="s">
        <v>37</v>
      </c>
      <c r="F75" s="5" t="str">
        <f>HYPERLINK("http://www.otzar.org/book.asp?625331","אהלי שם &lt;מהדורה חדשה עם מסגרת השם&gt;")</f>
        <v>אהלי שם &lt;מהדורה חדשה עם מסגרת השם&gt;</v>
      </c>
    </row>
    <row r="76" spans="1:6" x14ac:dyDescent="0.2">
      <c r="A76" t="s">
        <v>221</v>
      </c>
      <c r="B76" t="s">
        <v>222</v>
      </c>
      <c r="C76" t="s">
        <v>190</v>
      </c>
      <c r="D76" s="1" t="s">
        <v>223</v>
      </c>
      <c r="E76" t="s">
        <v>61</v>
      </c>
      <c r="F76" s="5" t="str">
        <f>HYPERLINK("http://www.otzar.org/book.asp?630117","אהלי שם &lt;שו""ע&gt; - 2 כר'")</f>
        <v>אהלי שם &lt;שו"ע&gt; - 2 כר'</v>
      </c>
    </row>
    <row r="77" spans="1:6" x14ac:dyDescent="0.2">
      <c r="A77" t="s">
        <v>224</v>
      </c>
      <c r="B77" t="s">
        <v>225</v>
      </c>
      <c r="C77" t="s">
        <v>226</v>
      </c>
      <c r="D77" s="1" t="s">
        <v>9</v>
      </c>
      <c r="E77" t="s">
        <v>227</v>
      </c>
      <c r="F77" s="5" t="str">
        <f>HYPERLINK("http://www.otzar.org/book.asp?627015","אהלי שם - נטעי אשל")</f>
        <v>אהלי שם - נטעי אשל</v>
      </c>
    </row>
    <row r="78" spans="1:6" x14ac:dyDescent="0.2">
      <c r="A78" t="s">
        <v>228</v>
      </c>
      <c r="B78" t="s">
        <v>222</v>
      </c>
      <c r="C78" t="s">
        <v>136</v>
      </c>
      <c r="D78" s="1" t="s">
        <v>229</v>
      </c>
      <c r="E78" t="s">
        <v>168</v>
      </c>
      <c r="F78" s="5" t="str">
        <f>HYPERLINK("http://www.otzar.org/book.asp?630885","אהלי שם - 5 כר'")</f>
        <v>אהלי שם - 5 כר'</v>
      </c>
    </row>
    <row r="79" spans="1:6" x14ac:dyDescent="0.2">
      <c r="A79" t="s">
        <v>230</v>
      </c>
      <c r="B79" t="s">
        <v>231</v>
      </c>
      <c r="C79" t="s">
        <v>13</v>
      </c>
      <c r="D79" s="1" t="s">
        <v>14</v>
      </c>
      <c r="E79" t="s">
        <v>37</v>
      </c>
      <c r="F79" s="5" t="str">
        <f>HYPERLINK("http://www.otzar.org/book.asp?623127","אהלי שם")</f>
        <v>אהלי שם</v>
      </c>
    </row>
    <row r="80" spans="1:6" x14ac:dyDescent="0.2">
      <c r="A80" t="s">
        <v>232</v>
      </c>
      <c r="B80" t="s">
        <v>233</v>
      </c>
      <c r="C80" t="s">
        <v>25</v>
      </c>
      <c r="D80" s="1" t="s">
        <v>9</v>
      </c>
      <c r="E80" t="s">
        <v>234</v>
      </c>
      <c r="F80" s="5" t="str">
        <f>HYPERLINK("http://www.otzar.org/book.asp?631111","אהלי שמעון - או""ח")</f>
        <v>אהלי שמעון - או"ח</v>
      </c>
    </row>
    <row r="81" spans="1:6" x14ac:dyDescent="0.2">
      <c r="A81" t="s">
        <v>235</v>
      </c>
      <c r="B81" t="s">
        <v>236</v>
      </c>
      <c r="C81" t="s">
        <v>106</v>
      </c>
      <c r="D81" s="1" t="s">
        <v>9</v>
      </c>
      <c r="E81" t="s">
        <v>214</v>
      </c>
      <c r="F81" s="5" t="str">
        <f>HYPERLINK("http://www.otzar.org/book.asp?624560","אהליך יעקב  - ה")</f>
        <v>אהליך יעקב  - ה</v>
      </c>
    </row>
    <row r="82" spans="1:6" x14ac:dyDescent="0.2">
      <c r="A82" t="s">
        <v>237</v>
      </c>
      <c r="B82" t="s">
        <v>238</v>
      </c>
      <c r="C82" t="s">
        <v>20</v>
      </c>
      <c r="D82" s="1" t="s">
        <v>239</v>
      </c>
      <c r="F82" s="5" t="str">
        <f>HYPERLINK("http://www.otzar.org/book.asp?632036","אהלים - 2 כר'")</f>
        <v>אהלים - 2 כר'</v>
      </c>
    </row>
    <row r="83" spans="1:6" x14ac:dyDescent="0.2">
      <c r="A83" t="s">
        <v>240</v>
      </c>
      <c r="B83" t="s">
        <v>241</v>
      </c>
      <c r="E83" t="s">
        <v>242</v>
      </c>
      <c r="F83" s="5" t="str">
        <f>HYPERLINK("http://www.otzar.org/book.asp?624590","אודות קבורה במשטחים בקומות")</f>
        <v>אודות קבורה במשטחים בקומות</v>
      </c>
    </row>
    <row r="84" spans="1:6" x14ac:dyDescent="0.2">
      <c r="A84" t="s">
        <v>243</v>
      </c>
      <c r="B84" t="s">
        <v>244</v>
      </c>
      <c r="C84" t="s">
        <v>245</v>
      </c>
      <c r="D84" s="1" t="s">
        <v>14</v>
      </c>
      <c r="E84" t="s">
        <v>34</v>
      </c>
      <c r="F84" s="5" t="str">
        <f>HYPERLINK("http://www.otzar.org/book.asp?623326","אוהב מוסר &lt;מהדורה חדשה&gt;")</f>
        <v>אוהב מוסר &lt;מהדורה חדשה&gt;</v>
      </c>
    </row>
    <row r="85" spans="1:6" x14ac:dyDescent="0.2">
      <c r="A85" t="s">
        <v>246</v>
      </c>
      <c r="B85" t="s">
        <v>247</v>
      </c>
      <c r="C85" t="s">
        <v>248</v>
      </c>
      <c r="D85" s="1" t="s">
        <v>29</v>
      </c>
      <c r="E85" t="s">
        <v>108</v>
      </c>
      <c r="F85" s="5" t="str">
        <f>HYPERLINK("http://www.otzar.org/book.asp?148678","אוהבי יש")</f>
        <v>אוהבי יש</v>
      </c>
    </row>
    <row r="86" spans="1:6" x14ac:dyDescent="0.2">
      <c r="A86" t="s">
        <v>249</v>
      </c>
      <c r="B86" t="s">
        <v>250</v>
      </c>
      <c r="C86" t="s">
        <v>13</v>
      </c>
      <c r="D86" s="1" t="s">
        <v>8</v>
      </c>
      <c r="E86" t="s">
        <v>37</v>
      </c>
      <c r="F86" s="5" t="str">
        <f>HYPERLINK("http://www.otzar.org/book.asp?627196","אוזן עבדך")</f>
        <v>אוזן עבדך</v>
      </c>
    </row>
    <row r="87" spans="1:6" x14ac:dyDescent="0.2">
      <c r="A87" t="s">
        <v>251</v>
      </c>
      <c r="B87" t="s">
        <v>252</v>
      </c>
      <c r="C87" t="s">
        <v>73</v>
      </c>
      <c r="D87" s="1" t="s">
        <v>9</v>
      </c>
      <c r="E87" t="s">
        <v>242</v>
      </c>
      <c r="F87" s="5" t="str">
        <f>HYPERLINK("http://www.otzar.org/book.asp?630319","אולטראסאונד לאור ההלכה")</f>
        <v>אולטראסאונד לאור ההלכה</v>
      </c>
    </row>
    <row r="88" spans="1:6" x14ac:dyDescent="0.2">
      <c r="A88" t="s">
        <v>253</v>
      </c>
      <c r="B88" t="s">
        <v>254</v>
      </c>
      <c r="C88" t="s">
        <v>255</v>
      </c>
      <c r="D88" s="1" t="s">
        <v>9</v>
      </c>
      <c r="E88" t="s">
        <v>214</v>
      </c>
      <c r="F88" s="5" t="str">
        <f>HYPERLINK("http://www.otzar.org/book.asp?631176","אולפן חד""ת - ג")</f>
        <v>אולפן חד"ת - ג</v>
      </c>
    </row>
    <row r="89" spans="1:6" x14ac:dyDescent="0.2">
      <c r="A89" t="s">
        <v>256</v>
      </c>
      <c r="B89" t="s">
        <v>257</v>
      </c>
      <c r="C89" t="s">
        <v>258</v>
      </c>
      <c r="D89" s="1" t="s">
        <v>114</v>
      </c>
      <c r="E89" t="s">
        <v>214</v>
      </c>
      <c r="F89" s="5" t="str">
        <f>HYPERLINK("http://www.otzar.org/book.asp?623418","אום אני חומה - ד")</f>
        <v>אום אני חומה - ד</v>
      </c>
    </row>
    <row r="90" spans="1:6" x14ac:dyDescent="0.2">
      <c r="A90" t="s">
        <v>259</v>
      </c>
      <c r="B90" t="s">
        <v>260</v>
      </c>
      <c r="C90" t="s">
        <v>20</v>
      </c>
      <c r="D90" s="1" t="s">
        <v>9</v>
      </c>
      <c r="E90" t="s">
        <v>261</v>
      </c>
      <c r="F90" s="5" t="str">
        <f>HYPERLINK("http://www.otzar.org/book.asp?627616","אוסף מדרשים &lt;זכרון אהרן&gt; - 2 כר'")</f>
        <v>אוסף מדרשים &lt;זכרון אהרן&gt; - 2 כר'</v>
      </c>
    </row>
    <row r="91" spans="1:6" x14ac:dyDescent="0.2">
      <c r="A91" t="s">
        <v>262</v>
      </c>
      <c r="B91" t="s">
        <v>263</v>
      </c>
      <c r="C91" t="s">
        <v>264</v>
      </c>
      <c r="D91" s="1" t="s">
        <v>9</v>
      </c>
      <c r="E91" t="s">
        <v>265</v>
      </c>
      <c r="F91" s="5" t="str">
        <f>HYPERLINK("http://www.otzar.org/book.asp?624580","אוצר אגדות החסידים - 4 כר'")</f>
        <v>אוצר אגדות החסידים - 4 כר'</v>
      </c>
    </row>
    <row r="92" spans="1:6" x14ac:dyDescent="0.2">
      <c r="A92" t="s">
        <v>266</v>
      </c>
      <c r="B92" t="s">
        <v>267</v>
      </c>
      <c r="C92" t="s">
        <v>40</v>
      </c>
      <c r="D92" s="1" t="s">
        <v>268</v>
      </c>
      <c r="E92" t="s">
        <v>49</v>
      </c>
      <c r="F92" s="5" t="str">
        <f>HYPERLINK("http://www.otzar.org/book.asp?629516","אוצר אגרות קודש")</f>
        <v>אוצר אגרות קודש</v>
      </c>
    </row>
    <row r="93" spans="1:6" x14ac:dyDescent="0.2">
      <c r="A93" t="s">
        <v>269</v>
      </c>
      <c r="B93" t="s">
        <v>270</v>
      </c>
      <c r="C93" t="s">
        <v>13</v>
      </c>
      <c r="D93" s="1" t="s">
        <v>14</v>
      </c>
      <c r="E93" t="s">
        <v>89</v>
      </c>
      <c r="F93" s="5" t="str">
        <f>HYPERLINK("http://www.otzar.org/book.asp?630208","אוצר אפרים - 2 כר'")</f>
        <v>אוצר אפרים - 2 כר'</v>
      </c>
    </row>
    <row r="94" spans="1:6" x14ac:dyDescent="0.2">
      <c r="A94" t="s">
        <v>271</v>
      </c>
      <c r="B94" t="s">
        <v>272</v>
      </c>
      <c r="C94" t="s">
        <v>13</v>
      </c>
      <c r="D94" s="1" t="s">
        <v>14</v>
      </c>
      <c r="E94" t="s">
        <v>242</v>
      </c>
      <c r="F94" s="5" t="str">
        <f>HYPERLINK("http://www.otzar.org/book.asp?628514","אוצר דינים תורת הקרבנות - 5 כר'")</f>
        <v>אוצר דינים תורת הקרבנות - 5 כר'</v>
      </c>
    </row>
    <row r="95" spans="1:6" x14ac:dyDescent="0.2">
      <c r="A95" t="s">
        <v>273</v>
      </c>
      <c r="B95" t="s">
        <v>274</v>
      </c>
      <c r="C95" t="s">
        <v>136</v>
      </c>
      <c r="D95" s="1" t="s">
        <v>120</v>
      </c>
      <c r="E95" t="s">
        <v>22</v>
      </c>
      <c r="F95" s="5" t="str">
        <f>HYPERLINK("http://www.otzar.org/book.asp?625878","אוצר הגאונים - מסכת עבודה זרה")</f>
        <v>אוצר הגאונים - מסכת עבודה זרה</v>
      </c>
    </row>
    <row r="96" spans="1:6" x14ac:dyDescent="0.2">
      <c r="A96" t="s">
        <v>275</v>
      </c>
      <c r="B96" t="s">
        <v>276</v>
      </c>
      <c r="C96" t="s">
        <v>20</v>
      </c>
      <c r="D96" s="1" t="s">
        <v>277</v>
      </c>
      <c r="E96" t="s">
        <v>49</v>
      </c>
      <c r="F96" s="5" t="str">
        <f>HYPERLINK("http://www.otzar.org/book.asp?627749","אוצר ההודיה לבת המצוה")</f>
        <v>אוצר ההודיה לבת המצוה</v>
      </c>
    </row>
    <row r="97" spans="1:6" x14ac:dyDescent="0.2">
      <c r="A97" t="s">
        <v>278</v>
      </c>
      <c r="B97" t="s">
        <v>279</v>
      </c>
      <c r="C97" t="s">
        <v>13</v>
      </c>
      <c r="D97" s="1" t="s">
        <v>9</v>
      </c>
      <c r="E97" t="s">
        <v>199</v>
      </c>
      <c r="F97" s="5" t="str">
        <f>HYPERLINK("http://www.otzar.org/book.asp?628374","אוצר הלכות רבית א")</f>
        <v>אוצר הלכות רבית א</v>
      </c>
    </row>
    <row r="98" spans="1:6" x14ac:dyDescent="0.2">
      <c r="A98" t="s">
        <v>280</v>
      </c>
      <c r="B98" t="s">
        <v>279</v>
      </c>
      <c r="C98" t="s">
        <v>13</v>
      </c>
      <c r="D98" s="1" t="s">
        <v>9</v>
      </c>
      <c r="E98" t="s">
        <v>199</v>
      </c>
      <c r="F98" s="5" t="str">
        <f>HYPERLINK("http://www.otzar.org/book.asp?628375","אוצר הלכות רבית ב")</f>
        <v>אוצר הלכות רבית ב</v>
      </c>
    </row>
    <row r="99" spans="1:6" x14ac:dyDescent="0.2">
      <c r="A99" t="s">
        <v>281</v>
      </c>
      <c r="B99" t="s">
        <v>282</v>
      </c>
      <c r="C99" t="s">
        <v>283</v>
      </c>
      <c r="D99" s="1" t="s">
        <v>284</v>
      </c>
      <c r="E99" t="s">
        <v>108</v>
      </c>
      <c r="F99" s="5" t="str">
        <f>HYPERLINK("http://www.otzar.org/book.asp?103999","אוצר המונחים הפלוסופיים ואנתולוגיה פלוסופית - 4 כר'")</f>
        <v>אוצר המונחים הפלוסופיים ואנתולוגיה פלוסופית - 4 כר'</v>
      </c>
    </row>
    <row r="100" spans="1:6" x14ac:dyDescent="0.2">
      <c r="A100" t="s">
        <v>285</v>
      </c>
      <c r="B100" t="s">
        <v>156</v>
      </c>
      <c r="C100" t="s">
        <v>88</v>
      </c>
      <c r="D100" s="1" t="s">
        <v>158</v>
      </c>
      <c r="E100" t="s">
        <v>17</v>
      </c>
      <c r="F100" s="5" t="str">
        <f>HYPERLINK("http://www.otzar.org/book.asp?626820","אוצר הנפש - 3 כר'")</f>
        <v>אוצר הנפש - 3 כר'</v>
      </c>
    </row>
    <row r="101" spans="1:6" x14ac:dyDescent="0.2">
      <c r="A101" t="s">
        <v>286</v>
      </c>
      <c r="B101" t="s">
        <v>287</v>
      </c>
      <c r="C101" t="s">
        <v>20</v>
      </c>
      <c r="D101" s="1" t="s">
        <v>14</v>
      </c>
      <c r="E101" t="s">
        <v>56</v>
      </c>
      <c r="F101" s="5" t="str">
        <f>HYPERLINK("http://www.otzar.org/book.asp?629850","אוצר העיון - 5 כר'")</f>
        <v>אוצר העיון - 5 כר'</v>
      </c>
    </row>
    <row r="102" spans="1:6" x14ac:dyDescent="0.2">
      <c r="A102" t="s">
        <v>288</v>
      </c>
      <c r="B102" t="s">
        <v>289</v>
      </c>
      <c r="C102" t="s">
        <v>290</v>
      </c>
      <c r="D102" s="1" t="s">
        <v>9</v>
      </c>
      <c r="E102" t="s">
        <v>199</v>
      </c>
      <c r="F102" s="5" t="str">
        <f>HYPERLINK("http://www.otzar.org/book.asp?626102","אוצר השבת - ב")</f>
        <v>אוצר השבת - ב</v>
      </c>
    </row>
    <row r="103" spans="1:6" x14ac:dyDescent="0.2">
      <c r="A103" t="s">
        <v>291</v>
      </c>
      <c r="B103" t="s">
        <v>292</v>
      </c>
      <c r="C103" t="s">
        <v>293</v>
      </c>
      <c r="D103" s="1" t="s">
        <v>294</v>
      </c>
      <c r="E103" t="s">
        <v>295</v>
      </c>
      <c r="F103" s="5" t="str">
        <f>HYPERLINK("http://www.otzar.org/book.asp?627712","אוצר השירה והפיוט - הוספות לכל החלקים")</f>
        <v>אוצר השירה והפיוט - הוספות לכל החלקים</v>
      </c>
    </row>
    <row r="104" spans="1:6" x14ac:dyDescent="0.2">
      <c r="A104" t="s">
        <v>296</v>
      </c>
      <c r="B104" t="s">
        <v>297</v>
      </c>
      <c r="C104" t="s">
        <v>298</v>
      </c>
      <c r="D104" s="1" t="s">
        <v>29</v>
      </c>
      <c r="E104" t="s">
        <v>168</v>
      </c>
      <c r="F104" s="5" t="str">
        <f>HYPERLINK("http://www.otzar.org/book.asp?630811","אוצר טעמי המלך")</f>
        <v>אוצר טעמי המלך</v>
      </c>
    </row>
    <row r="105" spans="1:6" x14ac:dyDescent="0.2">
      <c r="A105" t="s">
        <v>299</v>
      </c>
      <c r="B105" t="s">
        <v>300</v>
      </c>
      <c r="C105" t="s">
        <v>73</v>
      </c>
      <c r="D105" s="1" t="s">
        <v>114</v>
      </c>
      <c r="F105" s="5" t="str">
        <f>HYPERLINK("http://www.otzar.org/book.asp?632617","אוצר יראת שמים")</f>
        <v>אוצר יראת שמים</v>
      </c>
    </row>
    <row r="106" spans="1:6" x14ac:dyDescent="0.2">
      <c r="A106" t="s">
        <v>301</v>
      </c>
      <c r="B106" t="s">
        <v>302</v>
      </c>
      <c r="C106" t="s">
        <v>303</v>
      </c>
      <c r="D106" s="1" t="s">
        <v>120</v>
      </c>
      <c r="E106" t="s">
        <v>242</v>
      </c>
      <c r="F106" s="5" t="str">
        <f>HYPERLINK("http://www.otzar.org/book.asp?627387","אוצר לשון הרמב""ם - 4 כר'")</f>
        <v>אוצר לשון הרמב"ם - 4 כר'</v>
      </c>
    </row>
    <row r="107" spans="1:6" x14ac:dyDescent="0.2">
      <c r="A107" t="s">
        <v>304</v>
      </c>
      <c r="B107" t="s">
        <v>260</v>
      </c>
      <c r="C107" t="s">
        <v>136</v>
      </c>
      <c r="D107" s="1" t="s">
        <v>9</v>
      </c>
      <c r="E107" t="s">
        <v>305</v>
      </c>
      <c r="F107" s="5" t="str">
        <f>HYPERLINK("http://www.otzar.org/book.asp?627608","אוצר מדרשי איכה - איכה רבה, נוסח כת""י, מדרש זוטא, מדרש לקח טוב")</f>
        <v>אוצר מדרשי איכה - איכה רבה, נוסח כת"י, מדרש זוטא, מדרש לקח טוב</v>
      </c>
    </row>
    <row r="108" spans="1:6" x14ac:dyDescent="0.2">
      <c r="A108" t="s">
        <v>306</v>
      </c>
      <c r="B108" t="s">
        <v>260</v>
      </c>
      <c r="C108" t="s">
        <v>307</v>
      </c>
      <c r="D108" s="1" t="s">
        <v>9</v>
      </c>
      <c r="E108" t="s">
        <v>305</v>
      </c>
      <c r="F108" s="5" t="str">
        <f>HYPERLINK("http://www.otzar.org/book.asp?627611","אוצר מדרשי אסתר - אסתר רבה, אבא גוריון, פנים אחרים, מגילת אסתר, לקח טוב")</f>
        <v>אוצר מדרשי אסתר - אסתר רבה, אבא גוריון, פנים אחרים, מגילת אסתר, לקח טוב</v>
      </c>
    </row>
    <row r="109" spans="1:6" x14ac:dyDescent="0.2">
      <c r="A109" t="s">
        <v>308</v>
      </c>
      <c r="B109" t="s">
        <v>260</v>
      </c>
      <c r="C109" t="s">
        <v>20</v>
      </c>
      <c r="D109" s="1" t="s">
        <v>9</v>
      </c>
      <c r="E109" t="s">
        <v>305</v>
      </c>
      <c r="F109" s="5" t="str">
        <f>HYPERLINK("http://www.otzar.org/book.asp?627613","אוצר מדרשי קהלת - קהלת רבה, מדרש זוטא, לקח טוב")</f>
        <v>אוצר מדרשי קהלת - קהלת רבה, מדרש זוטא, לקח טוב</v>
      </c>
    </row>
    <row r="110" spans="1:6" x14ac:dyDescent="0.2">
      <c r="A110" t="s">
        <v>309</v>
      </c>
      <c r="B110" t="s">
        <v>260</v>
      </c>
      <c r="C110" t="s">
        <v>307</v>
      </c>
      <c r="D110" s="1" t="s">
        <v>9</v>
      </c>
      <c r="E110" t="s">
        <v>305</v>
      </c>
      <c r="F110" s="5" t="str">
        <f>HYPERLINK("http://www.otzar.org/book.asp?627612","אוצר מדרשי רות - רות רבה, מדרש זוטא, לקח טוב - משיב נפש, חתם סופר")</f>
        <v>אוצר מדרשי רות - רות רבה, מדרש זוטא, לקח טוב - משיב נפש, חתם סופר</v>
      </c>
    </row>
    <row r="111" spans="1:6" x14ac:dyDescent="0.2">
      <c r="A111" t="s">
        <v>310</v>
      </c>
      <c r="B111" t="s">
        <v>260</v>
      </c>
      <c r="C111" t="s">
        <v>136</v>
      </c>
      <c r="D111" s="1" t="s">
        <v>9</v>
      </c>
      <c r="E111" t="s">
        <v>305</v>
      </c>
      <c r="F111" s="5" t="str">
        <f>HYPERLINK("http://www.otzar.org/book.asp?627609","אוצר מדרשי שיר השירים - 2 כר'")</f>
        <v>אוצר מדרשי שיר השירים - 2 כר'</v>
      </c>
    </row>
    <row r="112" spans="1:6" x14ac:dyDescent="0.2">
      <c r="A112" t="s">
        <v>311</v>
      </c>
      <c r="B112" t="s">
        <v>312</v>
      </c>
      <c r="C112" t="s">
        <v>136</v>
      </c>
      <c r="D112" s="1" t="s">
        <v>9</v>
      </c>
      <c r="E112" t="s">
        <v>295</v>
      </c>
      <c r="F112" s="5" t="str">
        <f>HYPERLINK("http://www.otzar.org/book.asp?628803","אוצר ממעונות אריות - 2 כר'")</f>
        <v>אוצר ממעונות אריות - 2 כר'</v>
      </c>
    </row>
    <row r="113" spans="1:6" x14ac:dyDescent="0.2">
      <c r="A113" t="s">
        <v>313</v>
      </c>
      <c r="B113" t="s">
        <v>314</v>
      </c>
      <c r="C113" t="s">
        <v>13</v>
      </c>
      <c r="D113" s="1" t="s">
        <v>64</v>
      </c>
      <c r="F113" s="5" t="str">
        <f>HYPERLINK("http://www.otzar.org/book.asp?633153","אוצר מפרשי התורה - ג (שמות א)")</f>
        <v>אוצר מפרשי התורה - ג (שמות א)</v>
      </c>
    </row>
    <row r="114" spans="1:6" x14ac:dyDescent="0.2">
      <c r="A114" t="s">
        <v>315</v>
      </c>
      <c r="B114" t="s">
        <v>316</v>
      </c>
      <c r="C114" t="s">
        <v>136</v>
      </c>
      <c r="D114" s="1" t="s">
        <v>317</v>
      </c>
      <c r="E114" t="s">
        <v>49</v>
      </c>
      <c r="F114" s="5" t="str">
        <f>HYPERLINK("http://www.otzar.org/book.asp?629574","אוצר פרקי אבות")</f>
        <v>אוצר פרקי אבות</v>
      </c>
    </row>
    <row r="115" spans="1:6" x14ac:dyDescent="0.2">
      <c r="A115" t="s">
        <v>318</v>
      </c>
      <c r="B115" t="s">
        <v>319</v>
      </c>
      <c r="C115" t="s">
        <v>8</v>
      </c>
      <c r="D115" s="1" t="s">
        <v>14</v>
      </c>
      <c r="E115" t="s">
        <v>22</v>
      </c>
      <c r="F115" s="5" t="str">
        <f>HYPERLINK("http://www.otzar.org/book.asp?627020","אוצר קובץ מפרשים - 4 כר'")</f>
        <v>אוצר קובץ מפרשים - 4 כר'</v>
      </c>
    </row>
    <row r="116" spans="1:6" x14ac:dyDescent="0.2">
      <c r="A116" t="s">
        <v>320</v>
      </c>
      <c r="B116" t="s">
        <v>321</v>
      </c>
      <c r="C116" t="s">
        <v>25</v>
      </c>
      <c r="D116" s="1" t="s">
        <v>14</v>
      </c>
      <c r="E116" t="s">
        <v>168</v>
      </c>
      <c r="F116" s="5" t="str">
        <f>HYPERLINK("http://www.otzar.org/book.asp?630098","אוצרות דרך ישרה - 13 כר'")</f>
        <v>אוצרות דרך ישרה - 13 כר'</v>
      </c>
    </row>
    <row r="117" spans="1:6" x14ac:dyDescent="0.2">
      <c r="A117" t="s">
        <v>322</v>
      </c>
      <c r="B117" t="s">
        <v>323</v>
      </c>
      <c r="C117" t="s">
        <v>20</v>
      </c>
      <c r="E117" t="s">
        <v>37</v>
      </c>
      <c r="F117" s="5" t="str">
        <f>HYPERLINK("http://www.otzar.org/book.asp?625030","אוצרות היחוד")</f>
        <v>אוצרות היחוד</v>
      </c>
    </row>
    <row r="118" spans="1:6" x14ac:dyDescent="0.2">
      <c r="A118" t="s">
        <v>324</v>
      </c>
      <c r="B118" t="s">
        <v>325</v>
      </c>
      <c r="C118" t="s">
        <v>8</v>
      </c>
      <c r="D118" s="1" t="s">
        <v>120</v>
      </c>
      <c r="E118" t="s">
        <v>199</v>
      </c>
      <c r="F118" s="5" t="str">
        <f>HYPERLINK("http://www.otzar.org/book.asp?624685","אוצרות הפוסקים - שחיטה")</f>
        <v>אוצרות הפוסקים - שחיטה</v>
      </c>
    </row>
    <row r="119" spans="1:6" x14ac:dyDescent="0.2">
      <c r="A119" t="s">
        <v>326</v>
      </c>
      <c r="B119" t="s">
        <v>327</v>
      </c>
      <c r="C119" t="s">
        <v>73</v>
      </c>
      <c r="D119" s="1" t="s">
        <v>29</v>
      </c>
      <c r="E119" t="s">
        <v>44</v>
      </c>
      <c r="F119" s="5" t="str">
        <f>HYPERLINK("http://www.otzar.org/book.asp?627276","אוצרות חיים &lt;בריש גלי&gt;")</f>
        <v>אוצרות חיים &lt;בריש גלי&gt;</v>
      </c>
    </row>
    <row r="120" spans="1:6" x14ac:dyDescent="0.2">
      <c r="A120" t="s">
        <v>328</v>
      </c>
      <c r="B120" t="s">
        <v>329</v>
      </c>
      <c r="C120" t="s">
        <v>73</v>
      </c>
      <c r="D120" s="1" t="s">
        <v>9</v>
      </c>
      <c r="E120" t="s">
        <v>44</v>
      </c>
      <c r="F120" s="5" t="str">
        <f>HYPERLINK("http://www.otzar.org/book.asp?630024","אוצרות חיים &lt;השלם - מהדורת אהבת שלום&gt;")</f>
        <v>אוצרות חיים &lt;השלם - מהדורת אהבת שלום&gt;</v>
      </c>
    </row>
    <row r="121" spans="1:6" x14ac:dyDescent="0.2">
      <c r="A121" t="s">
        <v>330</v>
      </c>
      <c r="B121" t="s">
        <v>331</v>
      </c>
      <c r="C121" t="s">
        <v>307</v>
      </c>
      <c r="D121" s="1" t="s">
        <v>14</v>
      </c>
      <c r="E121" t="s">
        <v>44</v>
      </c>
      <c r="F121" s="5" t="str">
        <f>HYPERLINK("http://www.otzar.org/book.asp?627023","אוצרות חיים &lt;פתח לאוצר&gt;")</f>
        <v>אוצרות חיים &lt;פתח לאוצר&gt;</v>
      </c>
    </row>
    <row r="122" spans="1:6" x14ac:dyDescent="0.2">
      <c r="A122" t="s">
        <v>332</v>
      </c>
      <c r="B122" t="s">
        <v>333</v>
      </c>
      <c r="C122" t="s">
        <v>334</v>
      </c>
      <c r="D122" s="1" t="s">
        <v>114</v>
      </c>
      <c r="E122" t="s">
        <v>214</v>
      </c>
      <c r="F122" s="5" t="str">
        <f>HYPERLINK("http://www.otzar.org/book.asp?626640","אוצרות ירושלים - שכ")</f>
        <v>אוצרות ירושלים - שכ</v>
      </c>
    </row>
    <row r="123" spans="1:6" x14ac:dyDescent="0.2">
      <c r="A123" t="s">
        <v>335</v>
      </c>
      <c r="B123" t="s">
        <v>336</v>
      </c>
      <c r="C123" t="s">
        <v>25</v>
      </c>
      <c r="D123" s="1" t="s">
        <v>9</v>
      </c>
      <c r="E123" t="s">
        <v>337</v>
      </c>
      <c r="F123" s="5" t="str">
        <f>HYPERLINK("http://www.otzar.org/book.asp?629764","אוצרות - 1")</f>
        <v>אוצרות - 1</v>
      </c>
    </row>
    <row r="124" spans="1:6" x14ac:dyDescent="0.2">
      <c r="A124" t="s">
        <v>338</v>
      </c>
      <c r="B124" t="s">
        <v>339</v>
      </c>
      <c r="C124" t="s">
        <v>248</v>
      </c>
      <c r="D124" s="1" t="s">
        <v>9</v>
      </c>
      <c r="E124" t="s">
        <v>49</v>
      </c>
      <c r="F124" s="5" t="str">
        <f>HYPERLINK("http://www.otzar.org/book.asp?625447","אור אליעזר")</f>
        <v>אור אליעזר</v>
      </c>
    </row>
    <row r="125" spans="1:6" x14ac:dyDescent="0.2">
      <c r="A125" t="s">
        <v>340</v>
      </c>
      <c r="B125" t="s">
        <v>341</v>
      </c>
      <c r="C125" t="s">
        <v>73</v>
      </c>
      <c r="D125" s="1" t="s">
        <v>9</v>
      </c>
      <c r="E125" t="s">
        <v>22</v>
      </c>
      <c r="F125" s="5" t="str">
        <f>HYPERLINK("http://www.otzar.org/book.asp?622603","אור דוד - 4 כר'")</f>
        <v>אור דוד - 4 כר'</v>
      </c>
    </row>
    <row r="126" spans="1:6" x14ac:dyDescent="0.2">
      <c r="A126" t="s">
        <v>342</v>
      </c>
      <c r="B126" t="s">
        <v>343</v>
      </c>
      <c r="C126" t="s">
        <v>344</v>
      </c>
      <c r="D126" s="1" t="s">
        <v>345</v>
      </c>
      <c r="E126" t="s">
        <v>168</v>
      </c>
      <c r="F126" s="5" t="str">
        <f>HYPERLINK("http://www.otzar.org/book.asp?626452","אור הבקר - עולת הבקר ב")</f>
        <v>אור הבקר - עולת הבקר ב</v>
      </c>
    </row>
    <row r="127" spans="1:6" x14ac:dyDescent="0.2">
      <c r="A127" t="s">
        <v>346</v>
      </c>
      <c r="B127" t="s">
        <v>347</v>
      </c>
      <c r="C127" t="s">
        <v>348</v>
      </c>
      <c r="D127" s="1" t="s">
        <v>349</v>
      </c>
      <c r="F127" s="5" t="str">
        <f>HYPERLINK("http://www.otzar.org/book.asp?625629","אור הגנוז לצדיקים &lt;מהדורה ראשונה&gt;")</f>
        <v>אור הגנוז לצדיקים &lt;מהדורה ראשונה&gt;</v>
      </c>
    </row>
    <row r="128" spans="1:6" x14ac:dyDescent="0.2">
      <c r="A128" t="s">
        <v>350</v>
      </c>
      <c r="B128" t="s">
        <v>351</v>
      </c>
      <c r="C128" t="s">
        <v>8</v>
      </c>
      <c r="D128" s="1" t="s">
        <v>52</v>
      </c>
      <c r="E128" t="s">
        <v>61</v>
      </c>
      <c r="F128" s="5" t="str">
        <f>HYPERLINK("http://www.otzar.org/book.asp?628086","אור החושן - 3 כר'")</f>
        <v>אור החושן - 3 כר'</v>
      </c>
    </row>
    <row r="129" spans="1:6" x14ac:dyDescent="0.2">
      <c r="A129" t="s">
        <v>352</v>
      </c>
      <c r="B129" t="s">
        <v>353</v>
      </c>
      <c r="C129" t="s">
        <v>354</v>
      </c>
      <c r="D129" s="1" t="s">
        <v>355</v>
      </c>
      <c r="E129" t="s">
        <v>168</v>
      </c>
      <c r="F129" s="5" t="str">
        <f>HYPERLINK("http://www.otzar.org/book.asp?623517","אור היהדות")</f>
        <v>אור היהדות</v>
      </c>
    </row>
    <row r="130" spans="1:6" x14ac:dyDescent="0.2">
      <c r="A130" t="s">
        <v>356</v>
      </c>
      <c r="B130" t="s">
        <v>357</v>
      </c>
      <c r="C130" t="s">
        <v>190</v>
      </c>
      <c r="D130" s="1" t="s">
        <v>9</v>
      </c>
      <c r="F130" s="5" t="str">
        <f>HYPERLINK("http://www.otzar.org/book.asp?632009","אור המערב - 4 כר'")</f>
        <v>אור המערב - 4 כר'</v>
      </c>
    </row>
    <row r="131" spans="1:6" x14ac:dyDescent="0.2">
      <c r="A131" t="s">
        <v>358</v>
      </c>
      <c r="B131" t="s">
        <v>359</v>
      </c>
      <c r="C131" t="s">
        <v>13</v>
      </c>
      <c r="D131" s="1" t="s">
        <v>9</v>
      </c>
      <c r="E131" t="s">
        <v>168</v>
      </c>
      <c r="F131" s="5" t="str">
        <f>HYPERLINK("http://www.otzar.org/book.asp?626178","אור הפרשה")</f>
        <v>אור הפרשה</v>
      </c>
    </row>
    <row r="132" spans="1:6" x14ac:dyDescent="0.2">
      <c r="A132" t="s">
        <v>360</v>
      </c>
      <c r="B132" t="s">
        <v>361</v>
      </c>
      <c r="C132" t="s">
        <v>13</v>
      </c>
      <c r="D132" s="1" t="s">
        <v>362</v>
      </c>
      <c r="E132" t="s">
        <v>89</v>
      </c>
      <c r="F132" s="5" t="str">
        <f>HYPERLINK("http://www.otzar.org/book.asp?626687","אור הרשב""י")</f>
        <v>אור הרשב"י</v>
      </c>
    </row>
    <row r="133" spans="1:6" x14ac:dyDescent="0.2">
      <c r="A133" t="s">
        <v>363</v>
      </c>
      <c r="B133" t="s">
        <v>364</v>
      </c>
      <c r="C133" t="s">
        <v>248</v>
      </c>
      <c r="D133" s="1" t="s">
        <v>29</v>
      </c>
      <c r="E133" t="s">
        <v>214</v>
      </c>
      <c r="F133" s="5" t="str">
        <f>HYPERLINK("http://www.otzar.org/book.asp?624538","אור השבת - 5 כר'")</f>
        <v>אור השבת - 5 כר'</v>
      </c>
    </row>
    <row r="134" spans="1:6" x14ac:dyDescent="0.2">
      <c r="A134" t="s">
        <v>365</v>
      </c>
      <c r="B134" t="s">
        <v>366</v>
      </c>
      <c r="E134" t="s">
        <v>37</v>
      </c>
      <c r="F134" s="5" t="str">
        <f>HYPERLINK("http://www.otzar.org/book.asp?622531","אור התפילין")</f>
        <v>אור התפילין</v>
      </c>
    </row>
    <row r="135" spans="1:6" x14ac:dyDescent="0.2">
      <c r="A135" t="s">
        <v>367</v>
      </c>
      <c r="B135" t="s">
        <v>368</v>
      </c>
      <c r="C135" t="s">
        <v>369</v>
      </c>
      <c r="D135" s="1" t="s">
        <v>370</v>
      </c>
      <c r="E135" t="s">
        <v>371</v>
      </c>
      <c r="F135" s="5" t="str">
        <f>HYPERLINK("http://www.otzar.org/book.asp?624563","אור חדש על ציון")</f>
        <v>אור חדש על ציון</v>
      </c>
    </row>
    <row r="136" spans="1:6" x14ac:dyDescent="0.2">
      <c r="A136" t="s">
        <v>372</v>
      </c>
      <c r="B136" t="s">
        <v>373</v>
      </c>
      <c r="C136" t="s">
        <v>206</v>
      </c>
      <c r="D136" s="1" t="s">
        <v>14</v>
      </c>
      <c r="E136" t="s">
        <v>89</v>
      </c>
      <c r="F136" s="5" t="str">
        <f>HYPERLINK("http://www.otzar.org/book.asp?626326","אור חיה - מועדים")</f>
        <v>אור חיה - מועדים</v>
      </c>
    </row>
    <row r="137" spans="1:6" x14ac:dyDescent="0.2">
      <c r="A137" t="s">
        <v>374</v>
      </c>
      <c r="B137" t="s">
        <v>351</v>
      </c>
      <c r="C137" t="s">
        <v>307</v>
      </c>
      <c r="D137" s="1" t="s">
        <v>52</v>
      </c>
      <c r="E137" t="s">
        <v>375</v>
      </c>
      <c r="F137" s="5" t="str">
        <f>HYPERLINK("http://www.otzar.org/book.asp?628083","אור יום טוב")</f>
        <v>אור יום טוב</v>
      </c>
    </row>
    <row r="138" spans="1:6" x14ac:dyDescent="0.2">
      <c r="A138" t="s">
        <v>376</v>
      </c>
      <c r="B138" t="s">
        <v>182</v>
      </c>
      <c r="C138" t="s">
        <v>20</v>
      </c>
      <c r="D138" s="1" t="s">
        <v>9</v>
      </c>
      <c r="E138" t="s">
        <v>49</v>
      </c>
      <c r="F138" s="5" t="str">
        <f>HYPERLINK("http://www.otzar.org/book.asp?626717","אור ישראל וקדושו")</f>
        <v>אור ישראל וקדושו</v>
      </c>
    </row>
    <row r="139" spans="1:6" x14ac:dyDescent="0.2">
      <c r="A139" t="s">
        <v>377</v>
      </c>
      <c r="B139" t="s">
        <v>378</v>
      </c>
      <c r="C139" t="s">
        <v>379</v>
      </c>
      <c r="D139" s="1" t="s">
        <v>380</v>
      </c>
      <c r="E139" t="s">
        <v>381</v>
      </c>
      <c r="F139" s="5" t="str">
        <f>HYPERLINK("http://www.otzar.org/book.asp?625974","אור למאיר")</f>
        <v>אור למאיר</v>
      </c>
    </row>
    <row r="140" spans="1:6" x14ac:dyDescent="0.2">
      <c r="A140" t="s">
        <v>382</v>
      </c>
      <c r="B140" t="s">
        <v>351</v>
      </c>
      <c r="C140" t="s">
        <v>383</v>
      </c>
      <c r="D140" s="1" t="s">
        <v>9</v>
      </c>
      <c r="E140" t="s">
        <v>37</v>
      </c>
      <c r="F140" s="5" t="str">
        <f>HYPERLINK("http://www.otzar.org/book.asp?628090","אור לשמינית")</f>
        <v>אור לשמינית</v>
      </c>
    </row>
    <row r="141" spans="1:6" x14ac:dyDescent="0.2">
      <c r="A141" t="s">
        <v>384</v>
      </c>
      <c r="B141" t="s">
        <v>385</v>
      </c>
      <c r="C141" t="s">
        <v>386</v>
      </c>
      <c r="D141" s="1" t="s">
        <v>52</v>
      </c>
      <c r="E141" t="s">
        <v>89</v>
      </c>
      <c r="F141" s="5" t="str">
        <f>HYPERLINK("http://www.otzar.org/book.asp?623685","אור מופלא")</f>
        <v>אור מופלא</v>
      </c>
    </row>
    <row r="142" spans="1:6" x14ac:dyDescent="0.2">
      <c r="A142" t="s">
        <v>387</v>
      </c>
      <c r="B142" t="s">
        <v>388</v>
      </c>
      <c r="C142" t="s">
        <v>136</v>
      </c>
      <c r="D142" s="1" t="s">
        <v>52</v>
      </c>
      <c r="E142" t="s">
        <v>49</v>
      </c>
      <c r="F142" s="5" t="str">
        <f>HYPERLINK("http://www.otzar.org/book.asp?629896","אור מיכאל")</f>
        <v>אור מיכאל</v>
      </c>
    </row>
    <row r="143" spans="1:6" x14ac:dyDescent="0.2">
      <c r="A143" t="s">
        <v>389</v>
      </c>
      <c r="B143" t="s">
        <v>364</v>
      </c>
      <c r="C143" t="s">
        <v>25</v>
      </c>
      <c r="D143" s="1" t="s">
        <v>14</v>
      </c>
      <c r="E143" t="s">
        <v>214</v>
      </c>
      <c r="F143" s="5" t="str">
        <f>HYPERLINK("http://www.otzar.org/book.asp?631122","אור מרדכי")</f>
        <v>אור מרדכי</v>
      </c>
    </row>
    <row r="144" spans="1:6" x14ac:dyDescent="0.2">
      <c r="A144" t="s">
        <v>390</v>
      </c>
      <c r="B144" t="s">
        <v>391</v>
      </c>
      <c r="C144" t="s">
        <v>174</v>
      </c>
      <c r="D144" s="1" t="s">
        <v>268</v>
      </c>
      <c r="E144" t="s">
        <v>49</v>
      </c>
      <c r="F144" s="5" t="str">
        <f>HYPERLINK("http://www.otzar.org/book.asp?624755","אור משה מאיר ושירת רינה")</f>
        <v>אור משה מאיר ושירת רינה</v>
      </c>
    </row>
    <row r="145" spans="1:6" x14ac:dyDescent="0.2">
      <c r="A145" t="s">
        <v>392</v>
      </c>
      <c r="B145" t="s">
        <v>393</v>
      </c>
      <c r="C145" t="s">
        <v>119</v>
      </c>
      <c r="D145" s="1" t="s">
        <v>394</v>
      </c>
      <c r="E145" t="s">
        <v>17</v>
      </c>
      <c r="F145" s="5" t="str">
        <f>HYPERLINK("http://www.otzar.org/book.asp?624594","אור נצח")</f>
        <v>אור נצח</v>
      </c>
    </row>
    <row r="146" spans="1:6" x14ac:dyDescent="0.2">
      <c r="A146" t="s">
        <v>395</v>
      </c>
      <c r="B146" t="s">
        <v>396</v>
      </c>
      <c r="C146" t="s">
        <v>397</v>
      </c>
      <c r="D146" s="1" t="s">
        <v>29</v>
      </c>
      <c r="E146" t="s">
        <v>154</v>
      </c>
      <c r="F146" s="5" t="str">
        <f>HYPERLINK("http://www.otzar.org/book.asp?627280","אור נתנאל")</f>
        <v>אור נתנאל</v>
      </c>
    </row>
    <row r="147" spans="1:6" x14ac:dyDescent="0.2">
      <c r="A147" t="s">
        <v>398</v>
      </c>
      <c r="B147" t="s">
        <v>399</v>
      </c>
      <c r="C147" t="s">
        <v>13</v>
      </c>
      <c r="D147" s="1" t="s">
        <v>400</v>
      </c>
      <c r="E147" t="s">
        <v>401</v>
      </c>
      <c r="F147" s="5" t="str">
        <f>HYPERLINK("http://www.otzar.org/book.asp?628096","אור פני משה - ב (תשע""ח, תשע""ט)")</f>
        <v>אור פני משה - ב (תשע"ח, תשע"ט)</v>
      </c>
    </row>
    <row r="148" spans="1:6" x14ac:dyDescent="0.2">
      <c r="A148" t="s">
        <v>402</v>
      </c>
      <c r="B148" t="s">
        <v>403</v>
      </c>
      <c r="C148" t="s">
        <v>13</v>
      </c>
      <c r="D148" s="1" t="s">
        <v>14</v>
      </c>
      <c r="E148" t="s">
        <v>22</v>
      </c>
      <c r="F148" s="5" t="str">
        <f>HYPERLINK("http://www.otzar.org/book.asp?629524","אור צבי - ר""ה, סוכה")</f>
        <v>אור צבי - ר"ה, סוכה</v>
      </c>
    </row>
    <row r="149" spans="1:6" x14ac:dyDescent="0.2">
      <c r="A149" t="s">
        <v>404</v>
      </c>
      <c r="B149" t="s">
        <v>405</v>
      </c>
      <c r="C149" t="s">
        <v>386</v>
      </c>
      <c r="D149" s="1" t="s">
        <v>9</v>
      </c>
      <c r="E149" t="s">
        <v>406</v>
      </c>
      <c r="F149" s="5" t="str">
        <f>HYPERLINK("http://www.otzar.org/book.asp?625652","אור ציון")</f>
        <v>אור ציון</v>
      </c>
    </row>
    <row r="150" spans="1:6" x14ac:dyDescent="0.2">
      <c r="A150" t="s">
        <v>407</v>
      </c>
      <c r="B150" t="s">
        <v>408</v>
      </c>
      <c r="C150" t="s">
        <v>13</v>
      </c>
      <c r="D150" s="1" t="s">
        <v>9</v>
      </c>
      <c r="E150" t="s">
        <v>26</v>
      </c>
      <c r="F150" s="5" t="str">
        <f>HYPERLINK("http://www.otzar.org/book.asp?628007","אור שלמה ומשה - פרק כיצד הרגל")</f>
        <v>אור שלמה ומשה - פרק כיצד הרגל</v>
      </c>
    </row>
    <row r="151" spans="1:6" x14ac:dyDescent="0.2">
      <c r="A151" t="s">
        <v>409</v>
      </c>
      <c r="B151" t="s">
        <v>410</v>
      </c>
      <c r="C151" t="s">
        <v>411</v>
      </c>
      <c r="D151" s="1" t="s">
        <v>412</v>
      </c>
      <c r="E151" t="s">
        <v>214</v>
      </c>
      <c r="F151" s="5" t="str">
        <f>HYPERLINK("http://www.otzar.org/book.asp?624529","אור שמואל - 5 כר'")</f>
        <v>אור שמואל - 5 כר'</v>
      </c>
    </row>
    <row r="152" spans="1:6" x14ac:dyDescent="0.2">
      <c r="A152" t="s">
        <v>413</v>
      </c>
      <c r="B152" t="s">
        <v>414</v>
      </c>
      <c r="C152" t="s">
        <v>13</v>
      </c>
      <c r="D152" s="1" t="s">
        <v>14</v>
      </c>
      <c r="E152" t="s">
        <v>37</v>
      </c>
      <c r="F152" s="5" t="str">
        <f>HYPERLINK("http://www.otzar.org/book.asp?630125","אור שמח &lt;אור הבינה&gt; - נזיקין א")</f>
        <v>אור שמח &lt;אור הבינה&gt; - נזיקין א</v>
      </c>
    </row>
    <row r="153" spans="1:6" x14ac:dyDescent="0.2">
      <c r="A153" t="s">
        <v>415</v>
      </c>
      <c r="B153" t="s">
        <v>416</v>
      </c>
      <c r="C153" t="s">
        <v>25</v>
      </c>
      <c r="D153" s="1" t="s">
        <v>9</v>
      </c>
      <c r="F153" s="5" t="str">
        <f>HYPERLINK("http://www.otzar.org/book.asp?632018","אור תורה - 16 כר'")</f>
        <v>אור תורה - 16 כר'</v>
      </c>
    </row>
    <row r="154" spans="1:6" x14ac:dyDescent="0.2">
      <c r="A154" t="s">
        <v>417</v>
      </c>
      <c r="B154" t="s">
        <v>418</v>
      </c>
      <c r="C154" t="s">
        <v>20</v>
      </c>
      <c r="D154" s="1" t="s">
        <v>14</v>
      </c>
      <c r="E154" t="s">
        <v>168</v>
      </c>
      <c r="F154" s="5" t="str">
        <f>HYPERLINK("http://www.otzar.org/book.asp?623836","אורה זו תורה - וישב ב")</f>
        <v>אורה זו תורה - וישב ב</v>
      </c>
    </row>
    <row r="155" spans="1:6" x14ac:dyDescent="0.2">
      <c r="A155" t="s">
        <v>419</v>
      </c>
      <c r="B155" t="s">
        <v>420</v>
      </c>
      <c r="C155" t="s">
        <v>421</v>
      </c>
      <c r="D155" s="1" t="s">
        <v>14</v>
      </c>
      <c r="E155" t="s">
        <v>108</v>
      </c>
      <c r="F155" s="5" t="str">
        <f>HYPERLINK("http://www.otzar.org/book.asp?629615","אורות אמונים - 4 כר'")</f>
        <v>אורות אמונים - 4 כר'</v>
      </c>
    </row>
    <row r="156" spans="1:6" x14ac:dyDescent="0.2">
      <c r="A156" t="s">
        <v>422</v>
      </c>
      <c r="B156" t="s">
        <v>364</v>
      </c>
      <c r="C156" t="s">
        <v>190</v>
      </c>
      <c r="D156" s="1" t="s">
        <v>52</v>
      </c>
      <c r="E156" t="s">
        <v>214</v>
      </c>
      <c r="F156" s="5" t="str">
        <f>HYPERLINK("http://www.otzar.org/book.asp?627825","אורות בין הזמנים - שומע כעונה")</f>
        <v>אורות בין הזמנים - שומע כעונה</v>
      </c>
    </row>
    <row r="157" spans="1:6" x14ac:dyDescent="0.2">
      <c r="A157" t="s">
        <v>423</v>
      </c>
      <c r="B157" t="s">
        <v>424</v>
      </c>
      <c r="C157" t="s">
        <v>40</v>
      </c>
      <c r="D157" s="1" t="s">
        <v>425</v>
      </c>
      <c r="E157" t="s">
        <v>34</v>
      </c>
      <c r="F157" s="5" t="str">
        <f>HYPERLINK("http://www.otzar.org/book.asp?625595","אורות הקודש &lt;חכמת הקודש&gt;")</f>
        <v>אורות הקודש &lt;חכמת הקודש&gt;</v>
      </c>
    </row>
    <row r="158" spans="1:6" x14ac:dyDescent="0.2">
      <c r="A158" t="s">
        <v>426</v>
      </c>
      <c r="B158" t="s">
        <v>112</v>
      </c>
      <c r="C158" t="s">
        <v>427</v>
      </c>
      <c r="D158" s="1" t="s">
        <v>114</v>
      </c>
      <c r="E158" t="s">
        <v>108</v>
      </c>
      <c r="F158" s="5" t="str">
        <f>HYPERLINK("http://www.otzar.org/book.asp?625493","אורות התורה")</f>
        <v>אורות התורה</v>
      </c>
    </row>
    <row r="159" spans="1:6" x14ac:dyDescent="0.2">
      <c r="A159" t="s">
        <v>428</v>
      </c>
      <c r="B159" t="s">
        <v>424</v>
      </c>
      <c r="C159" t="s">
        <v>20</v>
      </c>
      <c r="D159" s="1" t="s">
        <v>429</v>
      </c>
      <c r="E159" t="s">
        <v>34</v>
      </c>
      <c r="F159" s="5" t="str">
        <f>HYPERLINK("http://www.otzar.org/book.asp?625596","אורות התחיה - א")</f>
        <v>אורות התחיה - א</v>
      </c>
    </row>
    <row r="160" spans="1:6" x14ac:dyDescent="0.2">
      <c r="A160" t="s">
        <v>430</v>
      </c>
      <c r="B160" t="s">
        <v>431</v>
      </c>
      <c r="C160" t="s">
        <v>8</v>
      </c>
      <c r="D160" s="1" t="s">
        <v>432</v>
      </c>
      <c r="E160" t="s">
        <v>49</v>
      </c>
      <c r="F160" s="5" t="str">
        <f>HYPERLINK("http://www.otzar.org/book.asp?626240","אורות חיים - שער הפרנסה")</f>
        <v>אורות חיים - שער הפרנסה</v>
      </c>
    </row>
    <row r="161" spans="1:6" x14ac:dyDescent="0.2">
      <c r="A161" t="s">
        <v>433</v>
      </c>
      <c r="B161" t="s">
        <v>434</v>
      </c>
      <c r="C161" t="s">
        <v>435</v>
      </c>
      <c r="D161" s="1" t="s">
        <v>436</v>
      </c>
      <c r="E161" t="s">
        <v>214</v>
      </c>
      <c r="F161" s="5" t="str">
        <f>HYPERLINK("http://www.otzar.org/book.asp?629734","אורות עמנואל")</f>
        <v>אורות עמנואל</v>
      </c>
    </row>
    <row r="162" spans="1:6" x14ac:dyDescent="0.2">
      <c r="A162" t="s">
        <v>437</v>
      </c>
      <c r="B162" t="s">
        <v>438</v>
      </c>
      <c r="C162" t="s">
        <v>136</v>
      </c>
      <c r="E162" t="s">
        <v>439</v>
      </c>
      <c r="F162" s="5" t="str">
        <f>HYPERLINK("http://www.otzar.org/book.asp?628221","אורות - יב")</f>
        <v>אורות - יב</v>
      </c>
    </row>
    <row r="163" spans="1:6" x14ac:dyDescent="0.2">
      <c r="A163" t="s">
        <v>440</v>
      </c>
      <c r="B163" t="s">
        <v>424</v>
      </c>
      <c r="C163" t="s">
        <v>190</v>
      </c>
      <c r="D163" s="1" t="s">
        <v>429</v>
      </c>
      <c r="E163" t="s">
        <v>34</v>
      </c>
      <c r="F163" s="5" t="str">
        <f>HYPERLINK("http://www.otzar.org/book.asp?625594","אורות")</f>
        <v>אורות</v>
      </c>
    </row>
    <row r="164" spans="1:6" x14ac:dyDescent="0.2">
      <c r="A164" t="s">
        <v>441</v>
      </c>
      <c r="B164" t="s">
        <v>442</v>
      </c>
      <c r="C164" t="s">
        <v>88</v>
      </c>
      <c r="D164" s="1" t="s">
        <v>14</v>
      </c>
      <c r="E164" t="s">
        <v>61</v>
      </c>
      <c r="F164" s="5" t="str">
        <f>HYPERLINK("http://www.otzar.org/book.asp?629434","אורח מישור - או""ח קע-קפא")</f>
        <v>אורח מישור - או"ח קע-קפא</v>
      </c>
    </row>
    <row r="165" spans="1:6" x14ac:dyDescent="0.2">
      <c r="A165" t="s">
        <v>443</v>
      </c>
      <c r="B165" t="s">
        <v>444</v>
      </c>
      <c r="C165" t="s">
        <v>25</v>
      </c>
      <c r="D165" s="1" t="s">
        <v>64</v>
      </c>
      <c r="E165" t="s">
        <v>108</v>
      </c>
      <c r="F165" s="5" t="str">
        <f>HYPERLINK("http://www.otzar.org/book.asp?631163","אורי וישעי - שמות א שובבי""ם")</f>
        <v>אורי וישעי - שמות א שובבי"ם</v>
      </c>
    </row>
    <row r="166" spans="1:6" x14ac:dyDescent="0.2">
      <c r="A166" t="s">
        <v>445</v>
      </c>
      <c r="B166" t="s">
        <v>446</v>
      </c>
      <c r="C166" t="s">
        <v>190</v>
      </c>
      <c r="D166" s="1" t="s">
        <v>14</v>
      </c>
      <c r="E166" t="s">
        <v>447</v>
      </c>
      <c r="F166" s="5" t="str">
        <f>HYPERLINK("http://www.otzar.org/book.asp?628784","אורי וישעי")</f>
        <v>אורי וישעי</v>
      </c>
    </row>
    <row r="167" spans="1:6" x14ac:dyDescent="0.2">
      <c r="A167" t="s">
        <v>448</v>
      </c>
      <c r="B167" t="s">
        <v>449</v>
      </c>
      <c r="C167" t="s">
        <v>290</v>
      </c>
      <c r="D167" s="1" t="s">
        <v>9</v>
      </c>
      <c r="F167" s="5" t="str">
        <f>HYPERLINK("http://www.otzar.org/book.asp?630381","אושר הנישואין באותיות ומילים")</f>
        <v>אושר הנישואין באותיות ומילים</v>
      </c>
    </row>
    <row r="168" spans="1:6" x14ac:dyDescent="0.2">
      <c r="A168" t="s">
        <v>450</v>
      </c>
      <c r="B168" t="s">
        <v>451</v>
      </c>
      <c r="C168" t="s">
        <v>13</v>
      </c>
      <c r="D168" s="1" t="s">
        <v>9</v>
      </c>
      <c r="E168" t="s">
        <v>89</v>
      </c>
      <c r="F168" s="5" t="str">
        <f>HYPERLINK("http://www.otzar.org/book.asp?630345","אותות ומופתים")</f>
        <v>אותות ומופתים</v>
      </c>
    </row>
    <row r="169" spans="1:6" x14ac:dyDescent="0.2">
      <c r="A169" t="s">
        <v>452</v>
      </c>
      <c r="B169" t="s">
        <v>453</v>
      </c>
      <c r="C169" t="s">
        <v>454</v>
      </c>
      <c r="D169" s="1" t="s">
        <v>9</v>
      </c>
      <c r="E169" t="s">
        <v>44</v>
      </c>
      <c r="F169" s="5" t="str">
        <f>HYPERLINK("http://www.otzar.org/book.asp?625938","אותיות דר' יצחק &lt;מהדורה חדשה&gt;")</f>
        <v>אותיות דר' יצחק &lt;מהדורה חדשה&gt;</v>
      </c>
    </row>
    <row r="170" spans="1:6" x14ac:dyDescent="0.2">
      <c r="A170" t="s">
        <v>455</v>
      </c>
      <c r="B170" t="s">
        <v>156</v>
      </c>
      <c r="C170" t="s">
        <v>397</v>
      </c>
      <c r="D170" s="1" t="s">
        <v>158</v>
      </c>
      <c r="E170" t="s">
        <v>49</v>
      </c>
      <c r="F170" s="5" t="str">
        <f>HYPERLINK("http://www.otzar.org/book.asp?626863","אותיות לשון הקודש")</f>
        <v>אותיות לשון הקודש</v>
      </c>
    </row>
    <row r="171" spans="1:6" x14ac:dyDescent="0.2">
      <c r="A171" t="s">
        <v>456</v>
      </c>
      <c r="B171" t="s">
        <v>457</v>
      </c>
      <c r="C171" t="s">
        <v>88</v>
      </c>
      <c r="D171" s="1" t="s">
        <v>29</v>
      </c>
      <c r="E171" t="s">
        <v>439</v>
      </c>
      <c r="F171" s="5" t="str">
        <f>HYPERLINK("http://www.otzar.org/book.asp?628604","אז נדברו - 5 כר'")</f>
        <v>אז נדברו - 5 כר'</v>
      </c>
    </row>
    <row r="172" spans="1:6" x14ac:dyDescent="0.2">
      <c r="A172" t="s">
        <v>458</v>
      </c>
      <c r="B172" t="s">
        <v>459</v>
      </c>
      <c r="C172" t="s">
        <v>460</v>
      </c>
      <c r="D172" s="1" t="s">
        <v>14</v>
      </c>
      <c r="E172" t="s">
        <v>17</v>
      </c>
      <c r="F172" s="5" t="str">
        <f>HYPERLINK("http://www.otzar.org/book.asp?623600","אז נדברו - 3 כר'")</f>
        <v>אז נדברו - 3 כר'</v>
      </c>
    </row>
    <row r="173" spans="1:6" x14ac:dyDescent="0.2">
      <c r="A173" t="s">
        <v>461</v>
      </c>
      <c r="B173" t="s">
        <v>462</v>
      </c>
      <c r="C173" t="s">
        <v>463</v>
      </c>
      <c r="D173" s="1" t="s">
        <v>114</v>
      </c>
      <c r="F173" s="5" t="str">
        <f>HYPERLINK("http://www.otzar.org/book.asp?631535","אזן אהרן &lt;מהדורה חדשה&gt;")</f>
        <v>אזן אהרן &lt;מהדורה חדשה&gt;</v>
      </c>
    </row>
    <row r="174" spans="1:6" x14ac:dyDescent="0.2">
      <c r="A174" t="s">
        <v>464</v>
      </c>
      <c r="B174" t="s">
        <v>465</v>
      </c>
      <c r="C174" t="s">
        <v>8</v>
      </c>
      <c r="D174" s="1" t="s">
        <v>52</v>
      </c>
      <c r="E174" t="s">
        <v>187</v>
      </c>
      <c r="F174" s="5" t="str">
        <f>HYPERLINK("http://www.otzar.org/book.asp?625646","אזני יהושע &lt;מהדורה חדשה&gt; - ד")</f>
        <v>אזני יהושע &lt;מהדורה חדשה&gt; - ד</v>
      </c>
    </row>
    <row r="175" spans="1:6" x14ac:dyDescent="0.2">
      <c r="A175" t="s">
        <v>466</v>
      </c>
      <c r="B175" t="s">
        <v>467</v>
      </c>
      <c r="C175" t="s">
        <v>8</v>
      </c>
      <c r="D175" s="1" t="s">
        <v>14</v>
      </c>
      <c r="E175" t="s">
        <v>34</v>
      </c>
      <c r="F175" s="5" t="str">
        <f>HYPERLINK("http://www.otzar.org/book.asp?623304","אזעקת אמת")</f>
        <v>אזעקת אמת</v>
      </c>
    </row>
    <row r="176" spans="1:6" x14ac:dyDescent="0.2">
      <c r="A176" t="s">
        <v>468</v>
      </c>
      <c r="B176" t="s">
        <v>469</v>
      </c>
      <c r="C176" t="s">
        <v>470</v>
      </c>
      <c r="D176" s="1" t="s">
        <v>471</v>
      </c>
      <c r="E176" t="s">
        <v>214</v>
      </c>
      <c r="F176" s="5" t="str">
        <f>HYPERLINK("http://www.otzar.org/book.asp?624607","אחדות ישראל - 5 כר'")</f>
        <v>אחדות ישראל - 5 כר'</v>
      </c>
    </row>
    <row r="177" spans="1:6" x14ac:dyDescent="0.2">
      <c r="A177" t="s">
        <v>472</v>
      </c>
      <c r="B177" t="s">
        <v>473</v>
      </c>
      <c r="C177" t="s">
        <v>13</v>
      </c>
      <c r="D177" s="1" t="s">
        <v>229</v>
      </c>
      <c r="E177" t="s">
        <v>41</v>
      </c>
      <c r="F177" s="5" t="str">
        <f>HYPERLINK("http://www.otzar.org/book.asp?627923","אחות קטנה")</f>
        <v>אחות קטנה</v>
      </c>
    </row>
    <row r="178" spans="1:6" x14ac:dyDescent="0.2">
      <c r="A178" t="s">
        <v>474</v>
      </c>
      <c r="B178" t="s">
        <v>475</v>
      </c>
      <c r="C178" t="s">
        <v>8</v>
      </c>
      <c r="D178" s="1" t="s">
        <v>476</v>
      </c>
      <c r="E178" t="s">
        <v>477</v>
      </c>
      <c r="F178" s="5" t="str">
        <f>HYPERLINK("http://www.otzar.org/book.asp?623380","אחזת הלויים")</f>
        <v>אחזת הלויים</v>
      </c>
    </row>
    <row r="179" spans="1:6" x14ac:dyDescent="0.2">
      <c r="A179" t="s">
        <v>478</v>
      </c>
      <c r="B179" t="s">
        <v>479</v>
      </c>
      <c r="C179" t="s">
        <v>13</v>
      </c>
      <c r="D179" s="1" t="s">
        <v>9</v>
      </c>
      <c r="E179" t="s">
        <v>480</v>
      </c>
      <c r="F179" s="5" t="str">
        <f>HYPERLINK("http://www.otzar.org/book.asp?630431","אחלקם ביעקב")</f>
        <v>אחלקם ביעקב</v>
      </c>
    </row>
    <row r="180" spans="1:6" x14ac:dyDescent="0.2">
      <c r="A180" t="s">
        <v>481</v>
      </c>
      <c r="B180" t="s">
        <v>482</v>
      </c>
      <c r="C180" t="s">
        <v>8</v>
      </c>
      <c r="D180" s="1" t="s">
        <v>9</v>
      </c>
      <c r="E180" t="s">
        <v>49</v>
      </c>
      <c r="F180" s="5" t="str">
        <f>HYPERLINK("http://www.otzar.org/book.asp?625799","אחרית האדם בעולם הזה")</f>
        <v>אחרית האדם בעולם הזה</v>
      </c>
    </row>
    <row r="181" spans="1:6" x14ac:dyDescent="0.2">
      <c r="A181" t="s">
        <v>483</v>
      </c>
      <c r="B181" t="s">
        <v>484</v>
      </c>
      <c r="C181" t="s">
        <v>13</v>
      </c>
      <c r="D181" s="1" t="s">
        <v>14</v>
      </c>
      <c r="E181" t="s">
        <v>168</v>
      </c>
      <c r="F181" s="5" t="str">
        <f>HYPERLINK("http://www.otzar.org/book.asp?622731","אטה למשל - פרשיות התורה")</f>
        <v>אטה למשל - פרשיות התורה</v>
      </c>
    </row>
    <row r="182" spans="1:6" x14ac:dyDescent="0.2">
      <c r="A182" t="s">
        <v>485</v>
      </c>
      <c r="B182" t="s">
        <v>486</v>
      </c>
      <c r="C182" t="s">
        <v>460</v>
      </c>
      <c r="D182" s="1" t="s">
        <v>14</v>
      </c>
      <c r="E182" t="s">
        <v>487</v>
      </c>
      <c r="F182" s="5" t="str">
        <f>HYPERLINK("http://www.otzar.org/book.asp?623596","איגרת פורים")</f>
        <v>איגרת פורים</v>
      </c>
    </row>
    <row r="183" spans="1:6" x14ac:dyDescent="0.2">
      <c r="A183" t="s">
        <v>488</v>
      </c>
      <c r="B183" t="s">
        <v>489</v>
      </c>
      <c r="C183" t="s">
        <v>136</v>
      </c>
      <c r="D183" s="1" t="s">
        <v>29</v>
      </c>
      <c r="E183" t="s">
        <v>37</v>
      </c>
      <c r="F183" s="5" t="str">
        <f>HYPERLINK("http://www.otzar.org/book.asp?629826","איזהו רשות הרבים")</f>
        <v>איזהו רשות הרבים</v>
      </c>
    </row>
    <row r="184" spans="1:6" x14ac:dyDescent="0.2">
      <c r="A184" t="s">
        <v>490</v>
      </c>
      <c r="B184" t="s">
        <v>491</v>
      </c>
      <c r="C184" t="s">
        <v>13</v>
      </c>
      <c r="D184" s="1" t="s">
        <v>492</v>
      </c>
      <c r="E184" t="s">
        <v>168</v>
      </c>
      <c r="F184" s="5" t="str">
        <f>HYPERLINK("http://www.otzar.org/book.asp?627289","איי הים - שמואל ב")</f>
        <v>איי הים - שמואל ב</v>
      </c>
    </row>
    <row r="185" spans="1:6" x14ac:dyDescent="0.2">
      <c r="A185" t="s">
        <v>493</v>
      </c>
      <c r="B185" t="s">
        <v>494</v>
      </c>
      <c r="C185" t="s">
        <v>157</v>
      </c>
      <c r="D185" s="1" t="s">
        <v>495</v>
      </c>
      <c r="E185" t="s">
        <v>22</v>
      </c>
      <c r="F185" s="5" t="str">
        <f>HYPERLINK("http://www.otzar.org/book.asp?625031","אילו של אברהם - ביצה")</f>
        <v>אילו של אברהם - ביצה</v>
      </c>
    </row>
    <row r="186" spans="1:6" x14ac:dyDescent="0.2">
      <c r="A186" t="s">
        <v>496</v>
      </c>
      <c r="B186" t="s">
        <v>497</v>
      </c>
      <c r="C186" t="s">
        <v>8</v>
      </c>
      <c r="D186" s="1" t="s">
        <v>52</v>
      </c>
      <c r="E186" t="s">
        <v>44</v>
      </c>
      <c r="F186" s="5" t="str">
        <f>HYPERLINK("http://www.otzar.org/book.asp?629706","אילת אהבים - 5 כר'")</f>
        <v>אילת אהבים - 5 כר'</v>
      </c>
    </row>
    <row r="187" spans="1:6" x14ac:dyDescent="0.2">
      <c r="A187" t="s">
        <v>498</v>
      </c>
      <c r="B187" t="s">
        <v>482</v>
      </c>
      <c r="C187" t="s">
        <v>20</v>
      </c>
      <c r="D187" s="1" t="s">
        <v>9</v>
      </c>
      <c r="E187" t="s">
        <v>49</v>
      </c>
      <c r="F187" s="5" t="str">
        <f>HYPERLINK("http://www.otzar.org/book.asp?623490","אילת השחר - כאיל תערוג")</f>
        <v>אילת השחר - כאיל תערוג</v>
      </c>
    </row>
    <row r="188" spans="1:6" x14ac:dyDescent="0.2">
      <c r="A188" t="s">
        <v>499</v>
      </c>
      <c r="B188" t="s">
        <v>500</v>
      </c>
      <c r="C188" t="s">
        <v>8</v>
      </c>
      <c r="D188" s="1" t="s">
        <v>9</v>
      </c>
      <c r="E188" t="s">
        <v>37</v>
      </c>
      <c r="F188" s="5" t="str">
        <f>HYPERLINK("http://www.otzar.org/book.asp?627291","אימורים משלחן גבוה")</f>
        <v>אימורים משלחן גבוה</v>
      </c>
    </row>
    <row r="189" spans="1:6" x14ac:dyDescent="0.2">
      <c r="A189" t="s">
        <v>501</v>
      </c>
      <c r="B189" t="s">
        <v>502</v>
      </c>
      <c r="C189" t="s">
        <v>126</v>
      </c>
      <c r="D189" s="1" t="s">
        <v>9</v>
      </c>
      <c r="F189" s="5" t="str">
        <f>HYPERLINK("http://www.otzar.org/book.asp?629229","אין אויסגעבענקטן לאנד")</f>
        <v>אין אויסגעבענקטן לאנד</v>
      </c>
    </row>
    <row r="190" spans="1:6" x14ac:dyDescent="0.2">
      <c r="A190" t="s">
        <v>503</v>
      </c>
      <c r="B190" t="s">
        <v>504</v>
      </c>
      <c r="C190" t="s">
        <v>25</v>
      </c>
      <c r="D190" s="1" t="s">
        <v>14</v>
      </c>
      <c r="E190" t="s">
        <v>49</v>
      </c>
      <c r="F190" s="5" t="str">
        <f>HYPERLINK("http://www.otzar.org/book.asp?629404","אין גדולה כתורה")</f>
        <v>אין גדולה כתורה</v>
      </c>
    </row>
    <row r="191" spans="1:6" x14ac:dyDescent="0.2">
      <c r="A191" t="s">
        <v>505</v>
      </c>
      <c r="B191" t="s">
        <v>506</v>
      </c>
      <c r="C191" t="s">
        <v>8</v>
      </c>
      <c r="D191" s="1" t="s">
        <v>14</v>
      </c>
      <c r="E191" t="s">
        <v>34</v>
      </c>
      <c r="F191" s="5" t="str">
        <f>HYPERLINK("http://www.otzar.org/book.asp?629376","אין עוד מלבדו")</f>
        <v>אין עוד מלבדו</v>
      </c>
    </row>
    <row r="192" spans="1:6" x14ac:dyDescent="0.2">
      <c r="A192" t="s">
        <v>507</v>
      </c>
      <c r="B192" t="s">
        <v>156</v>
      </c>
      <c r="C192" t="s">
        <v>383</v>
      </c>
      <c r="D192" s="1" t="s">
        <v>158</v>
      </c>
      <c r="E192" t="s">
        <v>508</v>
      </c>
      <c r="F192" s="5" t="str">
        <f>HYPERLINK("http://www.otzar.org/book.asp?628516","איסור נגיעה ותיקונו")</f>
        <v>איסור נגיעה ותיקונו</v>
      </c>
    </row>
    <row r="193" spans="1:6" x14ac:dyDescent="0.2">
      <c r="A193" t="s">
        <v>509</v>
      </c>
      <c r="B193" t="s">
        <v>510</v>
      </c>
      <c r="E193" t="s">
        <v>22</v>
      </c>
      <c r="F193" s="5" t="str">
        <f>HYPERLINK("http://www.otzar.org/book.asp?629294","איש הלוי - חזקת הבתים")</f>
        <v>איש הלוי - חזקת הבתים</v>
      </c>
    </row>
    <row r="194" spans="1:6" x14ac:dyDescent="0.2">
      <c r="A194" t="s">
        <v>511</v>
      </c>
      <c r="B194" t="s">
        <v>512</v>
      </c>
      <c r="C194" t="s">
        <v>513</v>
      </c>
      <c r="D194" s="1" t="s">
        <v>144</v>
      </c>
      <c r="E194" t="s">
        <v>371</v>
      </c>
      <c r="F194" s="5" t="str">
        <f>HYPERLINK("http://www.otzar.org/book.asp?623651","איש הרוח")</f>
        <v>איש הרוח</v>
      </c>
    </row>
    <row r="195" spans="1:6" x14ac:dyDescent="0.2">
      <c r="A195" t="s">
        <v>514</v>
      </c>
      <c r="B195" t="s">
        <v>515</v>
      </c>
      <c r="C195" t="s">
        <v>190</v>
      </c>
      <c r="D195" s="1" t="s">
        <v>9</v>
      </c>
      <c r="E195" t="s">
        <v>41</v>
      </c>
      <c r="F195" s="5" t="str">
        <f>HYPERLINK("http://www.otzar.org/book.asp?628144","איתן האזרחי &lt;זכרון אהרן&gt;")</f>
        <v>איתן האזרחי &lt;זכרון אהרן&gt;</v>
      </c>
    </row>
    <row r="196" spans="1:6" x14ac:dyDescent="0.2">
      <c r="A196" t="s">
        <v>516</v>
      </c>
      <c r="B196" t="s">
        <v>517</v>
      </c>
      <c r="C196" t="s">
        <v>40</v>
      </c>
      <c r="D196" s="1" t="s">
        <v>518</v>
      </c>
      <c r="E196" t="s">
        <v>37</v>
      </c>
      <c r="F196" s="5" t="str">
        <f>HYPERLINK("http://www.otzar.org/book.asp?629234","אך טוב וחסד - יו""ד")</f>
        <v>אך טוב וחסד - יו"ד</v>
      </c>
    </row>
    <row r="197" spans="1:6" x14ac:dyDescent="0.2">
      <c r="A197" t="s">
        <v>519</v>
      </c>
      <c r="B197" t="s">
        <v>94</v>
      </c>
      <c r="C197" t="s">
        <v>8</v>
      </c>
      <c r="D197" s="1" t="s">
        <v>52</v>
      </c>
      <c r="E197" t="s">
        <v>242</v>
      </c>
      <c r="F197" s="5" t="str">
        <f>HYPERLINK("http://www.otzar.org/book.asp?629564","אל תהי צדיק הרבה")</f>
        <v>אל תהי צדיק הרבה</v>
      </c>
    </row>
    <row r="198" spans="1:6" x14ac:dyDescent="0.2">
      <c r="A198" t="s">
        <v>520</v>
      </c>
      <c r="B198" t="s">
        <v>521</v>
      </c>
      <c r="E198" t="s">
        <v>49</v>
      </c>
      <c r="F198" s="5" t="str">
        <f>HYPERLINK("http://www.otzar.org/book.asp?629135","אל תחטאו בילד")</f>
        <v>אל תחטאו בילד</v>
      </c>
    </row>
    <row r="199" spans="1:6" x14ac:dyDescent="0.2">
      <c r="A199" t="s">
        <v>522</v>
      </c>
      <c r="B199" t="s">
        <v>523</v>
      </c>
      <c r="C199" t="s">
        <v>397</v>
      </c>
      <c r="D199" s="1" t="s">
        <v>9</v>
      </c>
      <c r="E199" t="s">
        <v>199</v>
      </c>
      <c r="F199" s="5" t="str">
        <f>HYPERLINK("http://www.otzar.org/book.asp?629172","אלה המשפטים")</f>
        <v>אלה המשפטים</v>
      </c>
    </row>
    <row r="200" spans="1:6" x14ac:dyDescent="0.2">
      <c r="A200" t="s">
        <v>524</v>
      </c>
      <c r="B200" t="s">
        <v>525</v>
      </c>
      <c r="C200" t="s">
        <v>25</v>
      </c>
      <c r="D200" s="1" t="s">
        <v>526</v>
      </c>
      <c r="E200" t="s">
        <v>30</v>
      </c>
      <c r="F200" s="5" t="str">
        <f>HYPERLINK("http://www.otzar.org/book.asp?630543","אלה תולדות ר' אברהם")</f>
        <v>אלה תולדות ר' אברהם</v>
      </c>
    </row>
    <row r="201" spans="1:6" x14ac:dyDescent="0.2">
      <c r="A201" t="s">
        <v>527</v>
      </c>
      <c r="B201" t="s">
        <v>528</v>
      </c>
      <c r="C201" t="s">
        <v>40</v>
      </c>
      <c r="D201" s="1" t="s">
        <v>529</v>
      </c>
      <c r="E201" t="s">
        <v>214</v>
      </c>
      <c r="F201" s="5" t="str">
        <f>HYPERLINK("http://www.otzar.org/book.asp?626322","אלומות - תשרי תשע""ד")</f>
        <v>אלומות - תשרי תשע"ד</v>
      </c>
    </row>
    <row r="202" spans="1:6" x14ac:dyDescent="0.2">
      <c r="A202" t="s">
        <v>530</v>
      </c>
      <c r="B202" t="s">
        <v>531</v>
      </c>
      <c r="C202" t="s">
        <v>8</v>
      </c>
      <c r="D202" s="1" t="s">
        <v>52</v>
      </c>
      <c r="E202" t="s">
        <v>242</v>
      </c>
      <c r="F202" s="5" t="str">
        <f>HYPERLINK("http://www.otzar.org/book.asp?629969","אלי""ה תמימה")</f>
        <v>אלי"ה תמימה</v>
      </c>
    </row>
    <row r="203" spans="1:6" x14ac:dyDescent="0.2">
      <c r="A203" t="s">
        <v>532</v>
      </c>
      <c r="B203" t="s">
        <v>533</v>
      </c>
      <c r="C203" t="s">
        <v>13</v>
      </c>
      <c r="D203" s="1" t="s">
        <v>9</v>
      </c>
      <c r="E203" t="s">
        <v>37</v>
      </c>
      <c r="F203" s="5" t="str">
        <f>HYPERLINK("http://www.otzar.org/book.asp?625486","אליבא דהלכתא - 4 כר'")</f>
        <v>אליבא דהלכתא - 4 כר'</v>
      </c>
    </row>
    <row r="204" spans="1:6" x14ac:dyDescent="0.2">
      <c r="A204" t="s">
        <v>534</v>
      </c>
      <c r="B204" t="s">
        <v>535</v>
      </c>
      <c r="C204" t="s">
        <v>536</v>
      </c>
      <c r="D204" s="1" t="s">
        <v>537</v>
      </c>
      <c r="E204" t="s">
        <v>538</v>
      </c>
      <c r="F204" s="5" t="str">
        <f>HYPERLINK("http://www.otzar.org/book.asp?624780","אליהו הנביא")</f>
        <v>אליהו הנביא</v>
      </c>
    </row>
    <row r="205" spans="1:6" x14ac:dyDescent="0.2">
      <c r="A205" t="s">
        <v>539</v>
      </c>
      <c r="B205" t="s">
        <v>540</v>
      </c>
      <c r="C205" t="s">
        <v>541</v>
      </c>
      <c r="D205" s="1" t="s">
        <v>29</v>
      </c>
      <c r="E205" t="s">
        <v>22</v>
      </c>
      <c r="F205" s="5" t="str">
        <f>HYPERLINK("http://www.otzar.org/book.asp?624734","אלע אגדות פון תלמוד")</f>
        <v>אלע אגדות פון תלמוד</v>
      </c>
    </row>
    <row r="206" spans="1:6" x14ac:dyDescent="0.2">
      <c r="A206" t="s">
        <v>542</v>
      </c>
      <c r="B206" t="s">
        <v>543</v>
      </c>
      <c r="C206" t="s">
        <v>13</v>
      </c>
      <c r="D206" s="1" t="s">
        <v>14</v>
      </c>
      <c r="E206" t="s">
        <v>22</v>
      </c>
      <c r="F206" s="5" t="str">
        <f>HYPERLINK("http://www.otzar.org/book.asp?628046","אם לבינה - קידושין")</f>
        <v>אם לבינה - קידושין</v>
      </c>
    </row>
    <row r="207" spans="1:6" x14ac:dyDescent="0.2">
      <c r="A207" t="s">
        <v>544</v>
      </c>
      <c r="B207" t="s">
        <v>545</v>
      </c>
      <c r="C207" t="s">
        <v>546</v>
      </c>
      <c r="D207" s="1" t="s">
        <v>547</v>
      </c>
      <c r="E207" t="s">
        <v>548</v>
      </c>
      <c r="F207" s="5" t="str">
        <f>HYPERLINK("http://www.otzar.org/book.asp?624676","אם לבינה")</f>
        <v>אם לבינה</v>
      </c>
    </row>
    <row r="208" spans="1:6" x14ac:dyDescent="0.2">
      <c r="A208" t="s">
        <v>549</v>
      </c>
      <c r="B208" t="s">
        <v>550</v>
      </c>
      <c r="C208" t="s">
        <v>245</v>
      </c>
      <c r="D208" s="1" t="s">
        <v>52</v>
      </c>
      <c r="E208" t="s">
        <v>538</v>
      </c>
      <c r="F208" s="5" t="str">
        <f>HYPERLINK("http://www.otzar.org/book.asp?629897","אמ""ת ואמונה - ב")</f>
        <v>אמ"ת ואמונה - ב</v>
      </c>
    </row>
    <row r="209" spans="1:6" x14ac:dyDescent="0.2">
      <c r="A209" t="s">
        <v>551</v>
      </c>
      <c r="B209" t="s">
        <v>156</v>
      </c>
      <c r="C209" t="s">
        <v>157</v>
      </c>
      <c r="D209" s="1" t="s">
        <v>158</v>
      </c>
      <c r="E209" t="s">
        <v>552</v>
      </c>
      <c r="F209" s="5" t="str">
        <f>HYPERLINK("http://www.otzar.org/book.asp?628518","אמונה ומודעות")</f>
        <v>אמונה ומודעות</v>
      </c>
    </row>
    <row r="210" spans="1:6" x14ac:dyDescent="0.2">
      <c r="A210" t="s">
        <v>553</v>
      </c>
      <c r="B210" t="s">
        <v>554</v>
      </c>
      <c r="C210" t="s">
        <v>190</v>
      </c>
      <c r="D210" s="1" t="s">
        <v>9</v>
      </c>
      <c r="F210" s="5" t="str">
        <f>HYPERLINK("http://www.otzar.org/book.asp?630737","אמונת אליעזר - חג הפסח")</f>
        <v>אמונת אליעזר - חג הפסח</v>
      </c>
    </row>
    <row r="211" spans="1:6" x14ac:dyDescent="0.2">
      <c r="A211" t="s">
        <v>555</v>
      </c>
      <c r="B211" t="s">
        <v>556</v>
      </c>
      <c r="C211" t="s">
        <v>133</v>
      </c>
      <c r="D211" s="1" t="s">
        <v>557</v>
      </c>
      <c r="E211" t="s">
        <v>89</v>
      </c>
      <c r="F211" s="5" t="str">
        <f>HYPERLINK("http://www.otzar.org/book.asp?630457","אמונת חיים - שבת קודש")</f>
        <v>אמונת חיים - שבת קודש</v>
      </c>
    </row>
    <row r="212" spans="1:6" x14ac:dyDescent="0.2">
      <c r="A212" t="s">
        <v>558</v>
      </c>
      <c r="B212" t="s">
        <v>559</v>
      </c>
      <c r="C212" t="s">
        <v>136</v>
      </c>
      <c r="D212" s="1" t="s">
        <v>9</v>
      </c>
      <c r="E212" t="s">
        <v>44</v>
      </c>
      <c r="F212" s="5" t="str">
        <f>HYPERLINK("http://www.otzar.org/book.asp?627573","אמונת חכמים &lt;זכרון אהרן&gt;")</f>
        <v>אמונת חכמים &lt;זכרון אהרן&gt;</v>
      </c>
    </row>
    <row r="213" spans="1:6" x14ac:dyDescent="0.2">
      <c r="A213" t="s">
        <v>560</v>
      </c>
      <c r="B213" t="s">
        <v>561</v>
      </c>
      <c r="C213" t="s">
        <v>13</v>
      </c>
      <c r="D213" s="1" t="s">
        <v>9</v>
      </c>
      <c r="E213" t="s">
        <v>10</v>
      </c>
      <c r="F213" s="5" t="str">
        <f>HYPERLINK("http://www.otzar.org/book.asp?630458","אמונת עז")</f>
        <v>אמונת עז</v>
      </c>
    </row>
    <row r="214" spans="1:6" x14ac:dyDescent="0.2">
      <c r="A214" t="s">
        <v>562</v>
      </c>
      <c r="B214" t="s">
        <v>563</v>
      </c>
      <c r="C214" t="s">
        <v>20</v>
      </c>
      <c r="D214" s="1" t="s">
        <v>564</v>
      </c>
      <c r="E214" t="s">
        <v>565</v>
      </c>
      <c r="F214" s="5" t="str">
        <f>HYPERLINK("http://www.otzar.org/book.asp?626927","אמונת עתיך - 7 כר'")</f>
        <v>אמונת עתיך - 7 כר'</v>
      </c>
    </row>
    <row r="215" spans="1:6" x14ac:dyDescent="0.2">
      <c r="A215" t="s">
        <v>566</v>
      </c>
      <c r="B215" t="s">
        <v>567</v>
      </c>
      <c r="C215" t="s">
        <v>13</v>
      </c>
      <c r="D215" s="1" t="s">
        <v>29</v>
      </c>
      <c r="E215" t="s">
        <v>22</v>
      </c>
      <c r="F215" s="5" t="str">
        <f>HYPERLINK("http://www.otzar.org/book.asp?628705","אמירה כתיבה - כתובות")</f>
        <v>אמירה כתיבה - כתובות</v>
      </c>
    </row>
    <row r="216" spans="1:6" x14ac:dyDescent="0.2">
      <c r="A216" t="s">
        <v>568</v>
      </c>
      <c r="B216" t="s">
        <v>569</v>
      </c>
      <c r="C216" t="s">
        <v>245</v>
      </c>
      <c r="D216" s="1" t="s">
        <v>9</v>
      </c>
      <c r="E216" t="s">
        <v>89</v>
      </c>
      <c r="F216" s="5" t="str">
        <f>HYPERLINK("http://www.otzar.org/book.asp?630176","אמרות חכמה - הגדה של פסח")</f>
        <v>אמרות חכמה - הגדה של פסח</v>
      </c>
    </row>
    <row r="217" spans="1:6" x14ac:dyDescent="0.2">
      <c r="A217" t="s">
        <v>570</v>
      </c>
      <c r="B217" t="s">
        <v>571</v>
      </c>
      <c r="C217" t="s">
        <v>572</v>
      </c>
      <c r="D217" s="1" t="s">
        <v>9</v>
      </c>
      <c r="E217" t="s">
        <v>49</v>
      </c>
      <c r="F217" s="5" t="str">
        <f>HYPERLINK("http://www.otzar.org/book.asp?624587","אמרות טהורות - ב")</f>
        <v>אמרות טהורות - ב</v>
      </c>
    </row>
    <row r="218" spans="1:6" x14ac:dyDescent="0.2">
      <c r="A218" t="s">
        <v>573</v>
      </c>
      <c r="B218" t="s">
        <v>574</v>
      </c>
      <c r="C218">
        <v>1903</v>
      </c>
      <c r="D218" s="1" t="s">
        <v>29</v>
      </c>
      <c r="E218" t="s">
        <v>187</v>
      </c>
      <c r="F218" s="5" t="str">
        <f>HYPERLINK("http://www.otzar.org/book.asp?626409","אמרות טהורות - אוצרות התורה")</f>
        <v>אמרות טהורות - אוצרות התורה</v>
      </c>
    </row>
    <row r="219" spans="1:6" x14ac:dyDescent="0.2">
      <c r="A219" t="s">
        <v>575</v>
      </c>
      <c r="B219" t="s">
        <v>576</v>
      </c>
      <c r="C219" t="s">
        <v>20</v>
      </c>
      <c r="D219" s="1" t="s">
        <v>577</v>
      </c>
      <c r="E219" t="s">
        <v>168</v>
      </c>
      <c r="F219" s="5" t="str">
        <f>HYPERLINK("http://www.otzar.org/book.asp?629789","אמרות משה - תורה")</f>
        <v>אמרות משה - תורה</v>
      </c>
    </row>
    <row r="220" spans="1:6" x14ac:dyDescent="0.2">
      <c r="A220" t="s">
        <v>578</v>
      </c>
      <c r="B220" t="s">
        <v>579</v>
      </c>
      <c r="C220" t="s">
        <v>20</v>
      </c>
      <c r="D220" s="1" t="s">
        <v>151</v>
      </c>
      <c r="E220" t="s">
        <v>22</v>
      </c>
      <c r="F220" s="5" t="str">
        <f>HYPERLINK("http://www.otzar.org/book.asp?626214","אמרות משה - גיטין")</f>
        <v>אמרות משה - גיטין</v>
      </c>
    </row>
    <row r="221" spans="1:6" x14ac:dyDescent="0.2">
      <c r="A221" t="s">
        <v>580</v>
      </c>
      <c r="B221" t="s">
        <v>581</v>
      </c>
      <c r="C221" t="s">
        <v>264</v>
      </c>
      <c r="D221" s="1" t="s">
        <v>29</v>
      </c>
      <c r="E221" t="s">
        <v>22</v>
      </c>
      <c r="F221" s="5" t="str">
        <f>HYPERLINK("http://www.otzar.org/book.asp?626353","אמרי אביגדור - גיטין")</f>
        <v>אמרי אביגדור - גיטין</v>
      </c>
    </row>
    <row r="222" spans="1:6" x14ac:dyDescent="0.2">
      <c r="A222" t="s">
        <v>582</v>
      </c>
      <c r="B222" t="s">
        <v>583</v>
      </c>
      <c r="C222" t="s">
        <v>584</v>
      </c>
      <c r="D222" s="1" t="s">
        <v>29</v>
      </c>
      <c r="E222" t="s">
        <v>22</v>
      </c>
      <c r="F222" s="5" t="str">
        <f>HYPERLINK("http://www.otzar.org/book.asp?626514","אמרי אליעזר - ג")</f>
        <v>אמרי אליעזר - ג</v>
      </c>
    </row>
    <row r="223" spans="1:6" x14ac:dyDescent="0.2">
      <c r="A223" t="s">
        <v>585</v>
      </c>
      <c r="B223" t="s">
        <v>586</v>
      </c>
      <c r="C223" t="s">
        <v>383</v>
      </c>
      <c r="D223" s="1" t="s">
        <v>14</v>
      </c>
      <c r="E223" t="s">
        <v>10</v>
      </c>
      <c r="F223" s="5" t="str">
        <f>HYPERLINK("http://www.otzar.org/book.asp?629154","אמרי אש - תרומות")</f>
        <v>אמרי אש - תרומות</v>
      </c>
    </row>
    <row r="224" spans="1:6" x14ac:dyDescent="0.2">
      <c r="A224" t="s">
        <v>587</v>
      </c>
      <c r="B224" t="s">
        <v>588</v>
      </c>
      <c r="C224" t="s">
        <v>589</v>
      </c>
      <c r="D224" s="1" t="s">
        <v>590</v>
      </c>
      <c r="E224" t="s">
        <v>61</v>
      </c>
      <c r="F224" s="5" t="str">
        <f>HYPERLINK("http://www.otzar.org/book.asp?623627","אמרי בינה - ד אבהע""ז")</f>
        <v>אמרי בינה - ד אבהע"ז</v>
      </c>
    </row>
    <row r="225" spans="1:6" x14ac:dyDescent="0.2">
      <c r="A225" t="s">
        <v>591</v>
      </c>
      <c r="B225" t="s">
        <v>592</v>
      </c>
      <c r="C225" t="s">
        <v>593</v>
      </c>
      <c r="D225" s="1" t="s">
        <v>48</v>
      </c>
      <c r="E225" t="s">
        <v>594</v>
      </c>
      <c r="F225" s="5" t="str">
        <f>HYPERLINK("http://www.otzar.org/book.asp?625995","אמרי בינה")</f>
        <v>אמרי בינה</v>
      </c>
    </row>
    <row r="226" spans="1:6" x14ac:dyDescent="0.2">
      <c r="A226" t="s">
        <v>591</v>
      </c>
      <c r="B226" t="s">
        <v>595</v>
      </c>
      <c r="C226" t="s">
        <v>596</v>
      </c>
      <c r="D226" s="1" t="s">
        <v>597</v>
      </c>
      <c r="E226" t="s">
        <v>49</v>
      </c>
      <c r="F226" s="5" t="str">
        <f>HYPERLINK("http://www.otzar.org/book.asp?626472","אמרי בינה")</f>
        <v>אמרי בינה</v>
      </c>
    </row>
    <row r="227" spans="1:6" x14ac:dyDescent="0.2">
      <c r="A227" t="s">
        <v>598</v>
      </c>
      <c r="B227" t="s">
        <v>599</v>
      </c>
      <c r="E227" t="s">
        <v>168</v>
      </c>
      <c r="F227" s="5" t="str">
        <f>HYPERLINK("http://www.otzar.org/book.asp?623838","אמרי ברוך - בראשית")</f>
        <v>אמרי ברוך - בראשית</v>
      </c>
    </row>
    <row r="228" spans="1:6" x14ac:dyDescent="0.2">
      <c r="A228" t="s">
        <v>600</v>
      </c>
      <c r="B228" t="s">
        <v>601</v>
      </c>
      <c r="C228" t="s">
        <v>148</v>
      </c>
      <c r="D228" s="1" t="s">
        <v>14</v>
      </c>
      <c r="E228" t="s">
        <v>22</v>
      </c>
      <c r="F228" s="5" t="str">
        <f>HYPERLINK("http://www.otzar.org/book.asp?624635","אמרי דב - כריתות")</f>
        <v>אמרי דב - כריתות</v>
      </c>
    </row>
    <row r="229" spans="1:6" x14ac:dyDescent="0.2">
      <c r="A229" t="s">
        <v>602</v>
      </c>
      <c r="B229" t="s">
        <v>603</v>
      </c>
      <c r="C229" t="s">
        <v>13</v>
      </c>
      <c r="D229" s="1" t="s">
        <v>52</v>
      </c>
      <c r="E229" t="s">
        <v>295</v>
      </c>
      <c r="F229" s="5" t="str">
        <f>HYPERLINK("http://www.otzar.org/book.asp?629800","אמרי דבש - ביאור על נשמת")</f>
        <v>אמרי דבש - ביאור על נשמת</v>
      </c>
    </row>
    <row r="230" spans="1:6" x14ac:dyDescent="0.2">
      <c r="A230" t="s">
        <v>604</v>
      </c>
      <c r="B230" t="s">
        <v>605</v>
      </c>
      <c r="C230" t="s">
        <v>606</v>
      </c>
      <c r="D230" s="1" t="s">
        <v>607</v>
      </c>
      <c r="E230" t="s">
        <v>22</v>
      </c>
      <c r="F230" s="5" t="str">
        <f>HYPERLINK("http://www.otzar.org/book.asp?629325","אמרי חן ושפר")</f>
        <v>אמרי חן ושפר</v>
      </c>
    </row>
    <row r="231" spans="1:6" x14ac:dyDescent="0.2">
      <c r="A231" t="s">
        <v>608</v>
      </c>
      <c r="B231" t="s">
        <v>609</v>
      </c>
      <c r="C231" t="s">
        <v>73</v>
      </c>
      <c r="D231" s="1" t="s">
        <v>9</v>
      </c>
      <c r="E231" t="s">
        <v>168</v>
      </c>
      <c r="F231" s="5" t="str">
        <f>HYPERLINK("http://www.otzar.org/book.asp?630112","אמרי יוסף - 3 כר'")</f>
        <v>אמרי יוסף - 3 כר'</v>
      </c>
    </row>
    <row r="232" spans="1:6" x14ac:dyDescent="0.2">
      <c r="A232" t="s">
        <v>610</v>
      </c>
      <c r="B232" t="s">
        <v>611</v>
      </c>
      <c r="C232" t="s">
        <v>133</v>
      </c>
      <c r="D232" s="1" t="s">
        <v>14</v>
      </c>
      <c r="E232" t="s">
        <v>22</v>
      </c>
      <c r="F232" s="5" t="str">
        <f>HYPERLINK("http://www.otzar.org/book.asp?628236","אמרי יושר - עבודה זרה")</f>
        <v>אמרי יושר - עבודה זרה</v>
      </c>
    </row>
    <row r="233" spans="1:6" x14ac:dyDescent="0.2">
      <c r="A233" t="s">
        <v>612</v>
      </c>
      <c r="B233" t="s">
        <v>613</v>
      </c>
      <c r="C233" t="s">
        <v>206</v>
      </c>
      <c r="D233" s="1" t="s">
        <v>9</v>
      </c>
      <c r="F233" s="5" t="str">
        <f>HYPERLINK("http://www.otzar.org/book.asp?630740","אמרי יצחק -מועדים - פורים פסח")</f>
        <v>אמרי יצחק -מועדים - פורים פסח</v>
      </c>
    </row>
    <row r="234" spans="1:6" x14ac:dyDescent="0.2">
      <c r="A234" t="s">
        <v>614</v>
      </c>
      <c r="B234" t="s">
        <v>615</v>
      </c>
      <c r="C234" t="s">
        <v>13</v>
      </c>
      <c r="D234" s="1" t="s">
        <v>21</v>
      </c>
      <c r="E234" t="s">
        <v>22</v>
      </c>
      <c r="F234" s="5" t="str">
        <f>HYPERLINK("http://www.otzar.org/book.asp?629987","אמרי ישראל")</f>
        <v>אמרי ישראל</v>
      </c>
    </row>
    <row r="235" spans="1:6" x14ac:dyDescent="0.2">
      <c r="A235" t="s">
        <v>616</v>
      </c>
      <c r="B235" t="s">
        <v>617</v>
      </c>
      <c r="C235" t="s">
        <v>606</v>
      </c>
      <c r="D235" s="1" t="s">
        <v>618</v>
      </c>
      <c r="E235" t="s">
        <v>37</v>
      </c>
      <c r="F235" s="5" t="str">
        <f>HYPERLINK("http://www.otzar.org/book.asp?628239","אמרי מאיר")</f>
        <v>אמרי מאיר</v>
      </c>
    </row>
    <row r="236" spans="1:6" x14ac:dyDescent="0.2">
      <c r="A236" t="s">
        <v>619</v>
      </c>
      <c r="B236" t="s">
        <v>620</v>
      </c>
      <c r="C236" t="s">
        <v>13</v>
      </c>
      <c r="D236" s="1" t="s">
        <v>9</v>
      </c>
      <c r="E236" t="s">
        <v>49</v>
      </c>
      <c r="F236" s="5" t="str">
        <f>HYPERLINK("http://www.otzar.org/book.asp?625968","אמרי מרדכי - ב")</f>
        <v>אמרי מרדכי - ב</v>
      </c>
    </row>
    <row r="237" spans="1:6" x14ac:dyDescent="0.2">
      <c r="A237" t="s">
        <v>619</v>
      </c>
      <c r="B237" t="s">
        <v>621</v>
      </c>
      <c r="C237" t="s">
        <v>13</v>
      </c>
      <c r="D237" s="1" t="s">
        <v>9</v>
      </c>
      <c r="E237" t="s">
        <v>41</v>
      </c>
      <c r="F237" s="5" t="str">
        <f>HYPERLINK("http://www.otzar.org/book.asp?629258","אמרי מרדכי - ב")</f>
        <v>אמרי מרדכי - ב</v>
      </c>
    </row>
    <row r="238" spans="1:6" x14ac:dyDescent="0.2">
      <c r="A238" t="s">
        <v>622</v>
      </c>
      <c r="B238" t="s">
        <v>623</v>
      </c>
      <c r="C238" t="s">
        <v>88</v>
      </c>
      <c r="D238" s="1" t="s">
        <v>9</v>
      </c>
      <c r="F238" s="5" t="str">
        <f>HYPERLINK("http://www.otzar.org/book.asp?630459","אמרי משה - 2 כר'")</f>
        <v>אמרי משה - 2 כר'</v>
      </c>
    </row>
    <row r="239" spans="1:6" x14ac:dyDescent="0.2">
      <c r="A239" t="s">
        <v>624</v>
      </c>
      <c r="B239" t="s">
        <v>625</v>
      </c>
      <c r="C239" t="s">
        <v>20</v>
      </c>
      <c r="E239" t="s">
        <v>37</v>
      </c>
      <c r="F239" s="5" t="str">
        <f>HYPERLINK("http://www.otzar.org/book.asp?622555","אמרי משה")</f>
        <v>אמרי משה</v>
      </c>
    </row>
    <row r="240" spans="1:6" x14ac:dyDescent="0.2">
      <c r="A240" t="s">
        <v>626</v>
      </c>
      <c r="B240" t="s">
        <v>627</v>
      </c>
      <c r="C240" t="s">
        <v>628</v>
      </c>
      <c r="D240" s="1" t="s">
        <v>355</v>
      </c>
      <c r="E240" t="s">
        <v>242</v>
      </c>
      <c r="F240" s="5" t="str">
        <f>HYPERLINK("http://www.otzar.org/book.asp?624701","אמרי נועם")</f>
        <v>אמרי נועם</v>
      </c>
    </row>
    <row r="241" spans="1:6" x14ac:dyDescent="0.2">
      <c r="A241" t="s">
        <v>626</v>
      </c>
      <c r="B241" t="s">
        <v>629</v>
      </c>
      <c r="C241" t="s">
        <v>630</v>
      </c>
      <c r="D241" s="1" t="s">
        <v>355</v>
      </c>
      <c r="E241" t="s">
        <v>631</v>
      </c>
      <c r="F241" s="5" t="str">
        <f>HYPERLINK("http://www.otzar.org/book.asp?624782","אמרי נועם")</f>
        <v>אמרי נועם</v>
      </c>
    </row>
    <row r="242" spans="1:6" x14ac:dyDescent="0.2">
      <c r="A242" t="s">
        <v>632</v>
      </c>
      <c r="B242" t="s">
        <v>633</v>
      </c>
      <c r="C242" t="s">
        <v>634</v>
      </c>
      <c r="D242" s="1" t="s">
        <v>48</v>
      </c>
      <c r="E242" t="s">
        <v>168</v>
      </c>
      <c r="F242" s="5" t="str">
        <f>HYPERLINK("http://www.otzar.org/book.asp?626473","אמרי נעם")</f>
        <v>אמרי נעם</v>
      </c>
    </row>
    <row r="243" spans="1:6" x14ac:dyDescent="0.2">
      <c r="A243" t="s">
        <v>635</v>
      </c>
      <c r="B243" t="s">
        <v>636</v>
      </c>
      <c r="C243" t="s">
        <v>13</v>
      </c>
      <c r="D243" s="1" t="s">
        <v>14</v>
      </c>
      <c r="E243" t="s">
        <v>22</v>
      </c>
      <c r="F243" s="5" t="str">
        <f>HYPERLINK("http://www.otzar.org/book.asp?629997","אמרי רבית")</f>
        <v>אמרי רבית</v>
      </c>
    </row>
    <row r="244" spans="1:6" x14ac:dyDescent="0.2">
      <c r="A244" t="s">
        <v>637</v>
      </c>
      <c r="B244" t="s">
        <v>638</v>
      </c>
      <c r="C244" t="s">
        <v>639</v>
      </c>
      <c r="D244" s="1" t="s">
        <v>9</v>
      </c>
      <c r="E244" t="s">
        <v>22</v>
      </c>
      <c r="F244" s="5" t="str">
        <f>HYPERLINK("http://www.otzar.org/book.asp?628237","אמרי שי - כתובות")</f>
        <v>אמרי שי - כתובות</v>
      </c>
    </row>
    <row r="245" spans="1:6" x14ac:dyDescent="0.2">
      <c r="A245" t="s">
        <v>640</v>
      </c>
      <c r="B245" t="s">
        <v>641</v>
      </c>
      <c r="C245" t="s">
        <v>13</v>
      </c>
      <c r="D245" s="1" t="s">
        <v>9</v>
      </c>
      <c r="E245" t="s">
        <v>49</v>
      </c>
      <c r="F245" s="5" t="str">
        <f>HYPERLINK("http://www.otzar.org/book.asp?625895","אמרי שמואל - 2 כר'")</f>
        <v>אמרי שמואל - 2 כר'</v>
      </c>
    </row>
    <row r="246" spans="1:6" x14ac:dyDescent="0.2">
      <c r="A246" t="s">
        <v>642</v>
      </c>
      <c r="B246" t="s">
        <v>643</v>
      </c>
      <c r="C246" t="s">
        <v>25</v>
      </c>
      <c r="D246" s="1" t="s">
        <v>9</v>
      </c>
      <c r="E246" t="s">
        <v>22</v>
      </c>
      <c r="F246" s="5" t="str">
        <f>HYPERLINK("http://www.otzar.org/book.asp?631123","אמרי שמועה - שבת")</f>
        <v>אמרי שמועה - שבת</v>
      </c>
    </row>
    <row r="247" spans="1:6" x14ac:dyDescent="0.2">
      <c r="A247" t="s">
        <v>644</v>
      </c>
      <c r="B247" t="s">
        <v>645</v>
      </c>
      <c r="C247" t="s">
        <v>245</v>
      </c>
      <c r="D247" s="1" t="s">
        <v>9</v>
      </c>
      <c r="E247" t="s">
        <v>22</v>
      </c>
      <c r="F247" s="5" t="str">
        <f>HYPERLINK("http://www.otzar.org/book.asp?628746","אמרי שפר - ברכות")</f>
        <v>אמרי שפר - ברכות</v>
      </c>
    </row>
    <row r="248" spans="1:6" x14ac:dyDescent="0.2">
      <c r="A248" t="s">
        <v>646</v>
      </c>
      <c r="B248" t="s">
        <v>647</v>
      </c>
      <c r="C248" t="s">
        <v>20</v>
      </c>
      <c r="D248" s="1" t="s">
        <v>52</v>
      </c>
      <c r="E248" t="s">
        <v>22</v>
      </c>
      <c r="F248" s="5" t="str">
        <f>HYPERLINK("http://www.otzar.org/book.asp?629458","אמרי שפר")</f>
        <v>אמרי שפר</v>
      </c>
    </row>
    <row r="249" spans="1:6" x14ac:dyDescent="0.2">
      <c r="A249" t="s">
        <v>648</v>
      </c>
      <c r="B249" t="s">
        <v>649</v>
      </c>
      <c r="C249" t="s">
        <v>13</v>
      </c>
      <c r="D249" s="1" t="s">
        <v>400</v>
      </c>
      <c r="E249" t="s">
        <v>37</v>
      </c>
      <c r="F249" s="5" t="str">
        <f>HYPERLINK("http://www.otzar.org/book.asp?629173","אמרתו ארץ")</f>
        <v>אמרתו ארץ</v>
      </c>
    </row>
    <row r="250" spans="1:6" x14ac:dyDescent="0.2">
      <c r="A250" t="s">
        <v>650</v>
      </c>
      <c r="B250" t="s">
        <v>651</v>
      </c>
      <c r="C250" t="s">
        <v>157</v>
      </c>
      <c r="D250" s="1" t="s">
        <v>14</v>
      </c>
      <c r="E250" t="s">
        <v>37</v>
      </c>
      <c r="F250" s="5" t="str">
        <f>HYPERLINK("http://www.otzar.org/book.asp?625618","אמת לדוד")</f>
        <v>אמת לדוד</v>
      </c>
    </row>
    <row r="251" spans="1:6" x14ac:dyDescent="0.2">
      <c r="A251" t="s">
        <v>652</v>
      </c>
      <c r="B251" t="s">
        <v>653</v>
      </c>
      <c r="C251" t="s">
        <v>8</v>
      </c>
      <c r="D251" s="1" t="s">
        <v>52</v>
      </c>
      <c r="E251" t="s">
        <v>654</v>
      </c>
      <c r="F251" s="5" t="str">
        <f>HYPERLINK("http://www.otzar.org/book.asp?624912","אמת ליעקב - קבלת התורה")</f>
        <v>אמת ליעקב - קבלת התורה</v>
      </c>
    </row>
    <row r="252" spans="1:6" x14ac:dyDescent="0.2">
      <c r="A252" t="s">
        <v>655</v>
      </c>
      <c r="B252" t="s">
        <v>656</v>
      </c>
      <c r="C252" t="s">
        <v>174</v>
      </c>
      <c r="D252" s="1" t="s">
        <v>9</v>
      </c>
      <c r="E252" t="s">
        <v>34</v>
      </c>
      <c r="F252" s="5" t="str">
        <f>HYPERLINK("http://www.otzar.org/book.asp?629131","אמת ליעקב")</f>
        <v>אמת ליעקב</v>
      </c>
    </row>
    <row r="253" spans="1:6" x14ac:dyDescent="0.2">
      <c r="A253" t="s">
        <v>657</v>
      </c>
      <c r="B253" t="s">
        <v>658</v>
      </c>
      <c r="C253" t="s">
        <v>13</v>
      </c>
      <c r="D253" s="1" t="s">
        <v>659</v>
      </c>
      <c r="E253" t="s">
        <v>660</v>
      </c>
      <c r="F253" s="5" t="str">
        <f>HYPERLINK("http://www.otzar.org/book.asp?626146","אמת ליעקב - 3 כר'")</f>
        <v>אמת ליעקב - 3 כר'</v>
      </c>
    </row>
    <row r="254" spans="1:6" x14ac:dyDescent="0.2">
      <c r="A254" t="s">
        <v>661</v>
      </c>
      <c r="B254" t="s">
        <v>156</v>
      </c>
      <c r="C254" t="s">
        <v>383</v>
      </c>
      <c r="D254" s="1" t="s">
        <v>158</v>
      </c>
      <c r="E254" t="s">
        <v>17</v>
      </c>
      <c r="F254" s="5" t="str">
        <f>HYPERLINK("http://www.otzar.org/book.asp?628519","אמת למד פיך")</f>
        <v>אמת למד פיך</v>
      </c>
    </row>
    <row r="255" spans="1:6" x14ac:dyDescent="0.2">
      <c r="A255" t="s">
        <v>662</v>
      </c>
      <c r="B255" t="s">
        <v>663</v>
      </c>
      <c r="C255" t="s">
        <v>25</v>
      </c>
      <c r="D255" s="1" t="s">
        <v>268</v>
      </c>
      <c r="F255" s="5" t="str">
        <f>HYPERLINK("http://www.otzar.org/book.asp?632235","אמת צרופה")</f>
        <v>אמת צרופה</v>
      </c>
    </row>
    <row r="256" spans="1:6" x14ac:dyDescent="0.2">
      <c r="A256" t="s">
        <v>664</v>
      </c>
      <c r="B256" t="s">
        <v>665</v>
      </c>
      <c r="C256" t="s">
        <v>666</v>
      </c>
      <c r="D256" s="1" t="s">
        <v>667</v>
      </c>
      <c r="E256" t="s">
        <v>168</v>
      </c>
      <c r="F256" s="5" t="str">
        <f>HYPERLINK("http://www.otzar.org/book.asp?626459","אמתחת בנימין")</f>
        <v>אמתחת בנימין</v>
      </c>
    </row>
    <row r="257" spans="1:6" x14ac:dyDescent="0.2">
      <c r="A257" t="s">
        <v>668</v>
      </c>
      <c r="B257" t="s">
        <v>669</v>
      </c>
      <c r="C257" t="s">
        <v>25</v>
      </c>
      <c r="D257" s="1" t="s">
        <v>52</v>
      </c>
      <c r="E257" t="s">
        <v>168</v>
      </c>
      <c r="F257" s="5" t="str">
        <f>HYPERLINK("http://www.otzar.org/book.asp?630061","אנא רחם - יהושע, שופטים")</f>
        <v>אנא רחם - יהושע, שופטים</v>
      </c>
    </row>
    <row r="258" spans="1:6" x14ac:dyDescent="0.2">
      <c r="A258" t="s">
        <v>670</v>
      </c>
      <c r="B258" t="s">
        <v>156</v>
      </c>
      <c r="C258" t="s">
        <v>386</v>
      </c>
      <c r="D258" s="1" t="s">
        <v>158</v>
      </c>
      <c r="E258" t="s">
        <v>671</v>
      </c>
      <c r="F258" s="5" t="str">
        <f>HYPERLINK("http://www.otzar.org/book.asp?628520","אני לדודי ודודי לי")</f>
        <v>אני לדודי ודודי לי</v>
      </c>
    </row>
    <row r="259" spans="1:6" x14ac:dyDescent="0.2">
      <c r="A259" t="s">
        <v>670</v>
      </c>
      <c r="B259" t="s">
        <v>672</v>
      </c>
      <c r="C259" t="s">
        <v>40</v>
      </c>
      <c r="D259" s="1" t="s">
        <v>9</v>
      </c>
      <c r="F259" s="5" t="str">
        <f>HYPERLINK("http://www.otzar.org/book.asp?630765","אני לדודי ודודי לי")</f>
        <v>אני לדודי ודודי לי</v>
      </c>
    </row>
    <row r="260" spans="1:6" x14ac:dyDescent="0.2">
      <c r="A260" t="s">
        <v>673</v>
      </c>
      <c r="B260" t="s">
        <v>674</v>
      </c>
      <c r="C260" t="s">
        <v>40</v>
      </c>
      <c r="D260" s="1" t="s">
        <v>9</v>
      </c>
      <c r="E260" t="s">
        <v>675</v>
      </c>
      <c r="F260" s="5" t="str">
        <f>HYPERLINK("http://www.otzar.org/book.asp?623580","אני מאמין - ה (תמים תהיה)")</f>
        <v>אני מאמין - ה (תמים תהיה)</v>
      </c>
    </row>
    <row r="261" spans="1:6" x14ac:dyDescent="0.2">
      <c r="A261" t="s">
        <v>676</v>
      </c>
      <c r="B261" t="s">
        <v>677</v>
      </c>
      <c r="C261" t="s">
        <v>40</v>
      </c>
      <c r="D261" s="1" t="s">
        <v>9</v>
      </c>
      <c r="E261" t="s">
        <v>128</v>
      </c>
      <c r="F261" s="5" t="str">
        <f>HYPERLINK("http://www.otzar.org/book.asp?630189","אני תפילה (יידיש)")</f>
        <v>אני תפילה (יידיש)</v>
      </c>
    </row>
    <row r="262" spans="1:6" x14ac:dyDescent="0.2">
      <c r="A262" t="s">
        <v>678</v>
      </c>
      <c r="B262" t="s">
        <v>677</v>
      </c>
      <c r="C262" t="s">
        <v>190</v>
      </c>
      <c r="D262" s="1" t="s">
        <v>29</v>
      </c>
      <c r="E262" t="s">
        <v>128</v>
      </c>
      <c r="F262" s="5" t="str">
        <f>HYPERLINK("http://www.otzar.org/book.asp?625600","אני תפילה")</f>
        <v>אני תפילה</v>
      </c>
    </row>
    <row r="263" spans="1:6" x14ac:dyDescent="0.2">
      <c r="A263" t="s">
        <v>679</v>
      </c>
      <c r="B263" t="s">
        <v>680</v>
      </c>
      <c r="D263" s="1" t="s">
        <v>681</v>
      </c>
      <c r="E263" t="s">
        <v>295</v>
      </c>
      <c r="F263" s="5" t="str">
        <f>HYPERLINK("http://www.otzar.org/book.asp?624706","אנייע ש""ס תחנה")</f>
        <v>אנייע ש"ס תחנה</v>
      </c>
    </row>
    <row r="264" spans="1:6" x14ac:dyDescent="0.2">
      <c r="A264" t="s">
        <v>682</v>
      </c>
      <c r="B264" t="s">
        <v>156</v>
      </c>
      <c r="C264" t="s">
        <v>157</v>
      </c>
      <c r="D264" s="1" t="s">
        <v>400</v>
      </c>
      <c r="E264" t="s">
        <v>683</v>
      </c>
      <c r="F264" s="5" t="str">
        <f>HYPERLINK("http://www.otzar.org/book.asp?628521","אנכי והילדים")</f>
        <v>אנכי והילדים</v>
      </c>
    </row>
    <row r="265" spans="1:6" x14ac:dyDescent="0.2">
      <c r="A265" t="s">
        <v>684</v>
      </c>
      <c r="B265" t="s">
        <v>685</v>
      </c>
      <c r="C265" t="s">
        <v>13</v>
      </c>
      <c r="D265" s="1" t="s">
        <v>114</v>
      </c>
      <c r="E265" t="s">
        <v>49</v>
      </c>
      <c r="F265" s="5" t="str">
        <f>HYPERLINK("http://www.otzar.org/book.asp?629760","אנציקלופדיה תלמודית - 2 כר'")</f>
        <v>אנציקלופדיה תלמודית - 2 כר'</v>
      </c>
    </row>
    <row r="266" spans="1:6" x14ac:dyDescent="0.2">
      <c r="A266" t="s">
        <v>686</v>
      </c>
      <c r="B266" t="s">
        <v>482</v>
      </c>
      <c r="C266" t="s">
        <v>136</v>
      </c>
      <c r="D266" s="1" t="s">
        <v>9</v>
      </c>
      <c r="E266" t="s">
        <v>49</v>
      </c>
      <c r="F266" s="5" t="str">
        <f>HYPERLINK("http://www.otzar.org/book.asp?625791","אסופה בעניני עם וארצו")</f>
        <v>אסופה בעניני עם וארצו</v>
      </c>
    </row>
    <row r="267" spans="1:6" x14ac:dyDescent="0.2">
      <c r="A267" t="s">
        <v>687</v>
      </c>
      <c r="B267" t="s">
        <v>688</v>
      </c>
      <c r="C267" t="s">
        <v>136</v>
      </c>
      <c r="D267" s="1" t="s">
        <v>21</v>
      </c>
      <c r="E267" t="s">
        <v>214</v>
      </c>
      <c r="F267" s="5" t="str">
        <f>HYPERLINK("http://www.otzar.org/book.asp?628049","אסופת חידושי תורה ומאמרים")</f>
        <v>אסופת חידושי תורה ומאמרים</v>
      </c>
    </row>
    <row r="268" spans="1:6" x14ac:dyDescent="0.2">
      <c r="A268" t="s">
        <v>689</v>
      </c>
      <c r="B268" t="s">
        <v>482</v>
      </c>
      <c r="C268" t="s">
        <v>73</v>
      </c>
      <c r="D268" s="1" t="s">
        <v>9</v>
      </c>
      <c r="E268" t="s">
        <v>49</v>
      </c>
      <c r="F268" s="5" t="str">
        <f>HYPERLINK("http://www.otzar.org/book.asp?625776","אסופת מאמרים בענייני חברה")</f>
        <v>אסופת מאמרים בענייני חברה</v>
      </c>
    </row>
    <row r="269" spans="1:6" x14ac:dyDescent="0.2">
      <c r="A269" t="s">
        <v>690</v>
      </c>
      <c r="B269" t="s">
        <v>482</v>
      </c>
      <c r="C269" t="s">
        <v>8</v>
      </c>
      <c r="D269" s="1" t="s">
        <v>9</v>
      </c>
      <c r="E269" t="s">
        <v>37</v>
      </c>
      <c r="F269" s="5" t="str">
        <f>HYPERLINK("http://www.otzar.org/book.asp?625784","אסופת מאמרים והלכות בעניין שמירת איכות הסביבה ואיסור בל תשחית")</f>
        <v>אסופת מאמרים והלכות בעניין שמירת איכות הסביבה ואיסור בל תשחית</v>
      </c>
    </row>
    <row r="270" spans="1:6" x14ac:dyDescent="0.2">
      <c r="A270" t="s">
        <v>691</v>
      </c>
      <c r="B270" t="s">
        <v>482</v>
      </c>
      <c r="C270" t="s">
        <v>136</v>
      </c>
      <c r="D270" s="1" t="s">
        <v>9</v>
      </c>
      <c r="E270" t="s">
        <v>49</v>
      </c>
      <c r="F270" s="5" t="str">
        <f>HYPERLINK("http://www.otzar.org/book.asp?625785","אסופת מאמרים")</f>
        <v>אסופת מאמרים</v>
      </c>
    </row>
    <row r="271" spans="1:6" x14ac:dyDescent="0.2">
      <c r="A271" t="s">
        <v>692</v>
      </c>
      <c r="B271" t="s">
        <v>693</v>
      </c>
      <c r="C271" t="s">
        <v>694</v>
      </c>
      <c r="D271" s="1" t="s">
        <v>9</v>
      </c>
      <c r="F271" s="5" t="str">
        <f>HYPERLINK("http://www.otzar.org/book.asp?630750","אסיא - 6 כר'")</f>
        <v>אסיא - 6 כר'</v>
      </c>
    </row>
    <row r="272" spans="1:6" x14ac:dyDescent="0.2">
      <c r="A272" t="s">
        <v>695</v>
      </c>
      <c r="B272" t="s">
        <v>696</v>
      </c>
      <c r="D272" s="1" t="s">
        <v>9</v>
      </c>
      <c r="E272" t="s">
        <v>17</v>
      </c>
      <c r="F272" s="5" t="str">
        <f>HYPERLINK("http://www.otzar.org/book.asp?626054","אסיפת דברי חכמים")</f>
        <v>אסיפת דברי חכמים</v>
      </c>
    </row>
    <row r="273" spans="1:6" x14ac:dyDescent="0.2">
      <c r="A273" t="s">
        <v>697</v>
      </c>
      <c r="B273" t="s">
        <v>698</v>
      </c>
      <c r="C273" t="s">
        <v>25</v>
      </c>
      <c r="D273" s="1" t="s">
        <v>52</v>
      </c>
      <c r="E273" t="s">
        <v>214</v>
      </c>
      <c r="F273" s="5" t="str">
        <f>HYPERLINK("http://www.otzar.org/book.asp?630908","אספקלריא - 256 &lt;ויחי-תשע""ט&gt;")</f>
        <v>אספקלריא - 256 &lt;ויחי-תשע"ט&gt;</v>
      </c>
    </row>
    <row r="274" spans="1:6" x14ac:dyDescent="0.2">
      <c r="A274" t="s">
        <v>699</v>
      </c>
      <c r="B274" t="s">
        <v>700</v>
      </c>
      <c r="C274" t="s">
        <v>133</v>
      </c>
      <c r="D274" s="1" t="s">
        <v>21</v>
      </c>
      <c r="E274" t="s">
        <v>34</v>
      </c>
      <c r="F274" s="5" t="str">
        <f>HYPERLINK("http://www.otzar.org/book.asp?622690","אסתכל באורייתא")</f>
        <v>אסתכל באורייתא</v>
      </c>
    </row>
    <row r="275" spans="1:6" x14ac:dyDescent="0.2">
      <c r="A275" t="s">
        <v>701</v>
      </c>
      <c r="B275" t="s">
        <v>702</v>
      </c>
      <c r="C275" t="s">
        <v>20</v>
      </c>
      <c r="D275" s="1" t="s">
        <v>52</v>
      </c>
      <c r="E275" t="s">
        <v>37</v>
      </c>
      <c r="F275" s="5" t="str">
        <f>HYPERLINK("http://www.otzar.org/book.asp?630462","אעלה בתמר - 2 כר'")</f>
        <v>אעלה בתמר - 2 כר'</v>
      </c>
    </row>
    <row r="276" spans="1:6" x14ac:dyDescent="0.2">
      <c r="A276" t="s">
        <v>703</v>
      </c>
      <c r="B276" t="s">
        <v>94</v>
      </c>
      <c r="C276" t="s">
        <v>13</v>
      </c>
      <c r="D276" s="1" t="s">
        <v>52</v>
      </c>
      <c r="E276" t="s">
        <v>49</v>
      </c>
      <c r="F276" s="5" t="str">
        <f>HYPERLINK("http://www.otzar.org/book.asp?629661","אפיקי מים - ג")</f>
        <v>אפיקי מים - ג</v>
      </c>
    </row>
    <row r="277" spans="1:6" x14ac:dyDescent="0.2">
      <c r="A277" t="s">
        <v>704</v>
      </c>
      <c r="B277" t="s">
        <v>705</v>
      </c>
      <c r="C277" t="s">
        <v>13</v>
      </c>
      <c r="D277" s="1" t="s">
        <v>9</v>
      </c>
      <c r="E277" t="s">
        <v>22</v>
      </c>
      <c r="F277" s="5" t="str">
        <f>HYPERLINK("http://www.otzar.org/book.asp?629568","אפיקי מים - קידושין")</f>
        <v>אפיקי מים - קידושין</v>
      </c>
    </row>
    <row r="278" spans="1:6" x14ac:dyDescent="0.2">
      <c r="A278" t="s">
        <v>706</v>
      </c>
      <c r="B278" t="s">
        <v>707</v>
      </c>
      <c r="C278" t="s">
        <v>40</v>
      </c>
      <c r="D278" s="1" t="s">
        <v>9</v>
      </c>
      <c r="E278" t="s">
        <v>49</v>
      </c>
      <c r="F278" s="5" t="str">
        <f>HYPERLINK("http://www.otzar.org/book.asp?626569","אפיקי מים - 6 כר'")</f>
        <v>אפיקי מים - 6 כר'</v>
      </c>
    </row>
    <row r="279" spans="1:6" x14ac:dyDescent="0.2">
      <c r="A279" t="s">
        <v>708</v>
      </c>
      <c r="B279" t="s">
        <v>94</v>
      </c>
      <c r="C279" t="s">
        <v>13</v>
      </c>
      <c r="D279" s="1" t="s">
        <v>52</v>
      </c>
      <c r="E279" t="s">
        <v>17</v>
      </c>
      <c r="F279" s="5" t="str">
        <f>HYPERLINK("http://www.otzar.org/book.asp?629662","אפיקי נחל")</f>
        <v>אפיקי נחל</v>
      </c>
    </row>
    <row r="280" spans="1:6" x14ac:dyDescent="0.2">
      <c r="A280" t="s">
        <v>709</v>
      </c>
      <c r="B280" t="s">
        <v>710</v>
      </c>
      <c r="C280" t="s">
        <v>584</v>
      </c>
      <c r="D280" s="1" t="s">
        <v>52</v>
      </c>
      <c r="E280" t="s">
        <v>168</v>
      </c>
      <c r="F280" s="5" t="str">
        <f>HYPERLINK("http://www.otzar.org/book.asp?625663","אפיקי תורה - בראשית")</f>
        <v>אפיקי תורה - בראשית</v>
      </c>
    </row>
    <row r="281" spans="1:6" x14ac:dyDescent="0.2">
      <c r="A281" t="s">
        <v>711</v>
      </c>
      <c r="B281" t="s">
        <v>712</v>
      </c>
      <c r="C281" t="s">
        <v>13</v>
      </c>
      <c r="D281" s="1" t="s">
        <v>713</v>
      </c>
      <c r="E281" t="s">
        <v>22</v>
      </c>
      <c r="F281" s="5" t="str">
        <f>HYPERLINK("http://www.otzar.org/book.asp?629091","אפיקי תלמוד")</f>
        <v>אפיקי תלמוד</v>
      </c>
    </row>
    <row r="282" spans="1:6" x14ac:dyDescent="0.2">
      <c r="A282" t="s">
        <v>714</v>
      </c>
      <c r="B282" t="s">
        <v>715</v>
      </c>
      <c r="C282" t="s">
        <v>25</v>
      </c>
      <c r="D282" s="1" t="s">
        <v>716</v>
      </c>
      <c r="E282" t="s">
        <v>22</v>
      </c>
      <c r="F282" s="5" t="str">
        <f>HYPERLINK("http://www.otzar.org/book.asp?629553","אפיתחא דבבא - בבא בתרא ב")</f>
        <v>אפיתחא דבבא - בבא בתרא ב</v>
      </c>
    </row>
    <row r="283" spans="1:6" x14ac:dyDescent="0.2">
      <c r="A283" t="s">
        <v>717</v>
      </c>
      <c r="B283" t="s">
        <v>718</v>
      </c>
      <c r="C283" t="s">
        <v>13</v>
      </c>
      <c r="D283" s="1" t="s">
        <v>21</v>
      </c>
      <c r="E283" t="s">
        <v>37</v>
      </c>
      <c r="F283" s="5" t="str">
        <f>HYPERLINK("http://www.otzar.org/book.asp?623576","אפריון יוסף - שילוח הקן")</f>
        <v>אפריון יוסף - שילוח הקן</v>
      </c>
    </row>
    <row r="284" spans="1:6" x14ac:dyDescent="0.2">
      <c r="A284" t="s">
        <v>719</v>
      </c>
      <c r="C284" t="s">
        <v>13</v>
      </c>
      <c r="D284" s="1" t="s">
        <v>9</v>
      </c>
      <c r="E284" t="s">
        <v>49</v>
      </c>
      <c r="F284" s="5" t="str">
        <f>HYPERLINK("http://www.otzar.org/book.asp?628135","אקשיבה - א")</f>
        <v>אקשיבה - א</v>
      </c>
    </row>
    <row r="285" spans="1:6" x14ac:dyDescent="0.2">
      <c r="A285" t="s">
        <v>720</v>
      </c>
      <c r="B285" t="s">
        <v>721</v>
      </c>
      <c r="C285" t="s">
        <v>722</v>
      </c>
      <c r="D285" s="1" t="s">
        <v>723</v>
      </c>
      <c r="E285" t="s">
        <v>724</v>
      </c>
      <c r="F285" s="5" t="str">
        <f>HYPERLINK("http://www.otzar.org/book.asp?627965","ארבעה חרשים")</f>
        <v>ארבעה חרשים</v>
      </c>
    </row>
    <row r="286" spans="1:6" x14ac:dyDescent="0.2">
      <c r="A286" t="s">
        <v>725</v>
      </c>
      <c r="B286" t="s">
        <v>726</v>
      </c>
      <c r="C286" t="s">
        <v>13</v>
      </c>
      <c r="D286" s="1" t="s">
        <v>557</v>
      </c>
      <c r="E286" t="s">
        <v>154</v>
      </c>
      <c r="F286" s="5" t="str">
        <f>HYPERLINK("http://www.otzar.org/book.asp?630464","ארבעת המינים המהודרים")</f>
        <v>ארבעת המינים המהודרים</v>
      </c>
    </row>
    <row r="287" spans="1:6" x14ac:dyDescent="0.2">
      <c r="A287" t="s">
        <v>727</v>
      </c>
      <c r="B287" t="s">
        <v>728</v>
      </c>
      <c r="C287" t="s">
        <v>174</v>
      </c>
      <c r="D287" s="1" t="s">
        <v>9</v>
      </c>
      <c r="E287" t="s">
        <v>214</v>
      </c>
      <c r="F287" s="5" t="str">
        <f>HYPERLINK("http://www.otzar.org/book.asp?628038","ארוממך - 3 כר'")</f>
        <v>ארוממך - 3 כר'</v>
      </c>
    </row>
    <row r="288" spans="1:6" x14ac:dyDescent="0.2">
      <c r="A288" t="s">
        <v>729</v>
      </c>
      <c r="B288" t="s">
        <v>730</v>
      </c>
      <c r="C288" t="s">
        <v>136</v>
      </c>
      <c r="D288" s="1" t="s">
        <v>52</v>
      </c>
      <c r="E288" t="s">
        <v>731</v>
      </c>
      <c r="F288" s="5" t="str">
        <f>HYPERLINK("http://www.otzar.org/book.asp?629783","ארון הברית - 2 כר'")</f>
        <v>ארון הברית - 2 כר'</v>
      </c>
    </row>
    <row r="289" spans="1:6" x14ac:dyDescent="0.2">
      <c r="A289" t="s">
        <v>732</v>
      </c>
      <c r="E289" t="s">
        <v>168</v>
      </c>
      <c r="F289" s="5" t="str">
        <f>HYPERLINK("http://www.otzar.org/book.asp?625383","ארזי התורה - תשס""ו")</f>
        <v>ארזי התורה - תשס"ו</v>
      </c>
    </row>
    <row r="290" spans="1:6" x14ac:dyDescent="0.2">
      <c r="A290" t="s">
        <v>733</v>
      </c>
      <c r="B290" t="s">
        <v>734</v>
      </c>
      <c r="C290" t="s">
        <v>136</v>
      </c>
      <c r="D290" s="1" t="s">
        <v>14</v>
      </c>
      <c r="E290" t="s">
        <v>89</v>
      </c>
      <c r="F290" s="5" t="str">
        <f>HYPERLINK("http://www.otzar.org/book.asp?628609","ארח יצחק - 4 כר'")</f>
        <v>ארח יצחק - 4 כר'</v>
      </c>
    </row>
    <row r="291" spans="1:6" x14ac:dyDescent="0.2">
      <c r="A291" t="s">
        <v>735</v>
      </c>
      <c r="B291" t="s">
        <v>736</v>
      </c>
      <c r="C291" t="s">
        <v>20</v>
      </c>
      <c r="D291" s="1" t="s">
        <v>9</v>
      </c>
      <c r="E291" t="s">
        <v>737</v>
      </c>
      <c r="F291" s="5" t="str">
        <f>HYPERLINK("http://www.otzar.org/book.asp?627027","ארח משפט - 2 כר'")</f>
        <v>ארח משפט - 2 כר'</v>
      </c>
    </row>
    <row r="292" spans="1:6" x14ac:dyDescent="0.2">
      <c r="A292" t="s">
        <v>738</v>
      </c>
      <c r="B292" t="s">
        <v>739</v>
      </c>
      <c r="C292" t="s">
        <v>40</v>
      </c>
      <c r="D292" s="1" t="s">
        <v>9</v>
      </c>
      <c r="E292" t="s">
        <v>17</v>
      </c>
      <c r="F292" s="5" t="str">
        <f>HYPERLINK("http://www.otzar.org/book.asp?630785","ארחות אהרן - 3 כר'")</f>
        <v>ארחות אהרן - 3 כר'</v>
      </c>
    </row>
    <row r="293" spans="1:6" x14ac:dyDescent="0.2">
      <c r="A293" t="s">
        <v>740</v>
      </c>
      <c r="B293" t="s">
        <v>260</v>
      </c>
      <c r="C293" t="s">
        <v>136</v>
      </c>
      <c r="D293" s="1" t="s">
        <v>9</v>
      </c>
      <c r="E293" t="s">
        <v>261</v>
      </c>
      <c r="F293" s="5" t="str">
        <f>HYPERLINK("http://www.otzar.org/book.asp?627664","ארחות חיים - צוואת רבי אליעזר הגדול")</f>
        <v>ארחות חיים - צוואת רבי אליעזר הגדול</v>
      </c>
    </row>
    <row r="294" spans="1:6" x14ac:dyDescent="0.2">
      <c r="A294" t="s">
        <v>741</v>
      </c>
      <c r="B294" t="s">
        <v>742</v>
      </c>
      <c r="C294" t="s">
        <v>13</v>
      </c>
      <c r="D294" s="1" t="s">
        <v>229</v>
      </c>
      <c r="F294" s="5" t="str">
        <f>HYPERLINK("http://www.otzar.org/book.asp?629921","ארחות יהודה - ערבי פסחים")</f>
        <v>ארחות יהודה - ערבי פסחים</v>
      </c>
    </row>
    <row r="295" spans="1:6" x14ac:dyDescent="0.2">
      <c r="A295" t="s">
        <v>743</v>
      </c>
      <c r="B295" t="s">
        <v>744</v>
      </c>
      <c r="C295" t="s">
        <v>13</v>
      </c>
      <c r="D295" s="1" t="s">
        <v>52</v>
      </c>
      <c r="E295" t="s">
        <v>37</v>
      </c>
      <c r="F295" s="5" t="str">
        <f>HYPERLINK("http://www.otzar.org/book.asp?628069","ארחות צדקה")</f>
        <v>ארחות צדקה</v>
      </c>
    </row>
    <row r="296" spans="1:6" x14ac:dyDescent="0.2">
      <c r="A296" t="s">
        <v>745</v>
      </c>
      <c r="B296" t="s">
        <v>94</v>
      </c>
      <c r="C296" t="s">
        <v>20</v>
      </c>
      <c r="D296" s="1" t="s">
        <v>9</v>
      </c>
      <c r="E296" t="s">
        <v>41</v>
      </c>
      <c r="F296" s="5" t="str">
        <f>HYPERLINK("http://www.otzar.org/book.asp?627026","ארחותיך למדני - 2 כר'")</f>
        <v>ארחותיך למדני - 2 כר'</v>
      </c>
    </row>
    <row r="297" spans="1:6" x14ac:dyDescent="0.2">
      <c r="A297" t="s">
        <v>746</v>
      </c>
      <c r="B297" t="s">
        <v>747</v>
      </c>
      <c r="C297" t="s">
        <v>73</v>
      </c>
      <c r="D297" s="1" t="s">
        <v>9</v>
      </c>
      <c r="E297" t="s">
        <v>34</v>
      </c>
      <c r="F297" s="5" t="str">
        <f>HYPERLINK("http://www.otzar.org/book.asp?628617","אריה ישאג - 5 כר'")</f>
        <v>אריה ישאג - 5 כר'</v>
      </c>
    </row>
    <row r="298" spans="1:6" x14ac:dyDescent="0.2">
      <c r="A298" t="s">
        <v>748</v>
      </c>
      <c r="B298" t="s">
        <v>749</v>
      </c>
      <c r="C298" t="s">
        <v>307</v>
      </c>
      <c r="D298" s="1" t="s">
        <v>14</v>
      </c>
      <c r="E298" t="s">
        <v>34</v>
      </c>
      <c r="F298" s="5" t="str">
        <f>HYPERLINK("http://www.otzar.org/book.asp?623924","אריה שאג - ט")</f>
        <v>אריה שאג - ט</v>
      </c>
    </row>
    <row r="299" spans="1:6" x14ac:dyDescent="0.2">
      <c r="A299" t="s">
        <v>750</v>
      </c>
      <c r="B299" t="s">
        <v>751</v>
      </c>
      <c r="C299" t="s">
        <v>463</v>
      </c>
      <c r="E299" t="s">
        <v>752</v>
      </c>
      <c r="F299" s="5" t="str">
        <f>HYPERLINK("http://www.otzar.org/book.asp?625604","אריתי מורי")</f>
        <v>אריתי מורי</v>
      </c>
    </row>
    <row r="300" spans="1:6" x14ac:dyDescent="0.2">
      <c r="A300" t="s">
        <v>753</v>
      </c>
      <c r="B300" t="s">
        <v>94</v>
      </c>
      <c r="C300" t="s">
        <v>606</v>
      </c>
      <c r="D300" s="1" t="s">
        <v>9</v>
      </c>
      <c r="E300" t="s">
        <v>108</v>
      </c>
      <c r="F300" s="5" t="str">
        <f>HYPERLINK("http://www.otzar.org/book.asp?627813","ארץ זבת חלב ודבש")</f>
        <v>ארץ זבת חלב ודבש</v>
      </c>
    </row>
    <row r="301" spans="1:6" x14ac:dyDescent="0.2">
      <c r="A301" t="s">
        <v>754</v>
      </c>
      <c r="B301" t="s">
        <v>755</v>
      </c>
      <c r="D301" s="1" t="s">
        <v>756</v>
      </c>
      <c r="E301" t="s">
        <v>49</v>
      </c>
      <c r="F301" s="5" t="str">
        <f>HYPERLINK("http://www.otzar.org/book.asp?626083","ארץ חיים")</f>
        <v>ארץ חיים</v>
      </c>
    </row>
    <row r="302" spans="1:6" x14ac:dyDescent="0.2">
      <c r="A302" t="s">
        <v>757</v>
      </c>
      <c r="B302" t="s">
        <v>758</v>
      </c>
      <c r="C302" t="s">
        <v>73</v>
      </c>
      <c r="D302" s="1" t="s">
        <v>9</v>
      </c>
      <c r="E302" t="s">
        <v>49</v>
      </c>
      <c r="F302" s="5" t="str">
        <f>HYPERLINK("http://www.otzar.org/book.asp?627952","ארץ חמדה - נחלה לישראל")</f>
        <v>ארץ חמדה - נחלה לישראל</v>
      </c>
    </row>
    <row r="303" spans="1:6" x14ac:dyDescent="0.2">
      <c r="A303" t="s">
        <v>759</v>
      </c>
      <c r="B303" t="s">
        <v>760</v>
      </c>
      <c r="C303" t="s">
        <v>383</v>
      </c>
      <c r="D303" s="1" t="s">
        <v>120</v>
      </c>
      <c r="E303" t="s">
        <v>49</v>
      </c>
      <c r="F303" s="5" t="str">
        <f>HYPERLINK("http://www.otzar.org/book.asp?625875","ארץ חמדתנו")</f>
        <v>ארץ חמדתנו</v>
      </c>
    </row>
    <row r="304" spans="1:6" x14ac:dyDescent="0.2">
      <c r="A304" t="s">
        <v>761</v>
      </c>
      <c r="B304" t="s">
        <v>762</v>
      </c>
      <c r="C304" t="s">
        <v>763</v>
      </c>
      <c r="D304" s="1" t="s">
        <v>144</v>
      </c>
      <c r="E304" t="s">
        <v>49</v>
      </c>
      <c r="F304" s="5" t="str">
        <f>HYPERLINK("http://www.otzar.org/book.asp?626071","ארץ ישראל")</f>
        <v>ארץ ישראל</v>
      </c>
    </row>
    <row r="305" spans="1:6" x14ac:dyDescent="0.2">
      <c r="A305" t="s">
        <v>764</v>
      </c>
      <c r="B305" t="s">
        <v>765</v>
      </c>
      <c r="C305" t="s">
        <v>13</v>
      </c>
      <c r="D305" s="1" t="s">
        <v>14</v>
      </c>
      <c r="F305" s="5" t="str">
        <f>HYPERLINK("http://www.otzar.org/book.asp?630255","ארץ צבי &lt;מהדורה מחודשת&gt; - 2 כר'")</f>
        <v>ארץ צבי &lt;מהדורה מחודשת&gt; - 2 כר'</v>
      </c>
    </row>
    <row r="306" spans="1:6" x14ac:dyDescent="0.2">
      <c r="A306" t="s">
        <v>766</v>
      </c>
      <c r="B306" t="s">
        <v>489</v>
      </c>
      <c r="C306" t="s">
        <v>136</v>
      </c>
      <c r="D306" s="1" t="s">
        <v>29</v>
      </c>
      <c r="E306" t="s">
        <v>22</v>
      </c>
      <c r="F306" s="5" t="str">
        <f>HYPERLINK("http://www.otzar.org/book.asp?629825","ארץ צבי")</f>
        <v>ארץ צבי</v>
      </c>
    </row>
    <row r="307" spans="1:6" x14ac:dyDescent="0.2">
      <c r="A307" t="s">
        <v>767</v>
      </c>
      <c r="B307" t="s">
        <v>768</v>
      </c>
      <c r="C307" t="s">
        <v>136</v>
      </c>
      <c r="D307" s="1" t="s">
        <v>9</v>
      </c>
      <c r="E307" t="s">
        <v>214</v>
      </c>
      <c r="F307" s="5" t="str">
        <f>HYPERLINK("http://www.otzar.org/book.asp?629546","ארשת שפתיים - 8 כר'")</f>
        <v>ארשת שפתיים - 8 כר'</v>
      </c>
    </row>
    <row r="308" spans="1:6" x14ac:dyDescent="0.2">
      <c r="A308" t="s">
        <v>769</v>
      </c>
      <c r="B308" t="s">
        <v>156</v>
      </c>
      <c r="C308" t="s">
        <v>463</v>
      </c>
      <c r="D308" s="1" t="s">
        <v>400</v>
      </c>
      <c r="E308" t="s">
        <v>17</v>
      </c>
      <c r="F308" s="5" t="str">
        <f>HYPERLINK("http://www.otzar.org/book.asp?628540","אשא עיני")</f>
        <v>אשא עיני</v>
      </c>
    </row>
    <row r="309" spans="1:6" x14ac:dyDescent="0.2">
      <c r="A309" t="s">
        <v>770</v>
      </c>
      <c r="B309" t="s">
        <v>771</v>
      </c>
      <c r="C309" t="s">
        <v>383</v>
      </c>
      <c r="D309" s="1" t="s">
        <v>9</v>
      </c>
      <c r="E309" t="s">
        <v>22</v>
      </c>
      <c r="F309" s="5" t="str">
        <f>HYPERLINK("http://www.otzar.org/book.asp?629976","אשי אברהם - שבת")</f>
        <v>אשי אברהם - שבת</v>
      </c>
    </row>
    <row r="310" spans="1:6" x14ac:dyDescent="0.2">
      <c r="A310" t="s">
        <v>772</v>
      </c>
      <c r="B310" t="s">
        <v>773</v>
      </c>
      <c r="C310" t="s">
        <v>8</v>
      </c>
      <c r="D310" s="1" t="s">
        <v>774</v>
      </c>
      <c r="E310" t="s">
        <v>37</v>
      </c>
      <c r="F310" s="5" t="str">
        <f>HYPERLINK("http://www.otzar.org/book.asp?630916","אשיחה בחקיך &lt;בהלכה&gt; - 44 כר'")</f>
        <v>אשיחה בחקיך &lt;בהלכה&gt; - 44 כר'</v>
      </c>
    </row>
    <row r="311" spans="1:6" x14ac:dyDescent="0.2">
      <c r="A311" t="s">
        <v>775</v>
      </c>
      <c r="B311" t="s">
        <v>773</v>
      </c>
      <c r="C311" t="s">
        <v>8</v>
      </c>
      <c r="D311" s="1" t="s">
        <v>774</v>
      </c>
      <c r="F311" s="5" t="str">
        <f>HYPERLINK("http://www.otzar.org/book.asp?630931","אשיחה בחקיך - 41 כר'")</f>
        <v>אשיחה בחקיך - 41 כר'</v>
      </c>
    </row>
    <row r="312" spans="1:6" x14ac:dyDescent="0.2">
      <c r="A312" t="s">
        <v>776</v>
      </c>
      <c r="B312" t="s">
        <v>777</v>
      </c>
      <c r="C312" t="s">
        <v>25</v>
      </c>
      <c r="D312" s="1" t="s">
        <v>9</v>
      </c>
      <c r="E312" t="s">
        <v>187</v>
      </c>
      <c r="F312" s="5" t="str">
        <f>HYPERLINK("http://www.otzar.org/book.asp?631201","אשכבתיה דבן מלך")</f>
        <v>אשכבתיה דבן מלך</v>
      </c>
    </row>
    <row r="313" spans="1:6" x14ac:dyDescent="0.2">
      <c r="A313" t="s">
        <v>778</v>
      </c>
      <c r="B313" t="s">
        <v>779</v>
      </c>
      <c r="C313" t="s">
        <v>25</v>
      </c>
      <c r="D313" s="1" t="s">
        <v>14</v>
      </c>
      <c r="E313" t="s">
        <v>187</v>
      </c>
      <c r="F313" s="5" t="str">
        <f>HYPERLINK("http://www.otzar.org/book.asp?628681","אשכבתיה דרבינו")</f>
        <v>אשכבתיה דרבינו</v>
      </c>
    </row>
    <row r="314" spans="1:6" x14ac:dyDescent="0.2">
      <c r="A314" t="s">
        <v>780</v>
      </c>
      <c r="B314" t="s">
        <v>781</v>
      </c>
      <c r="C314" t="s">
        <v>383</v>
      </c>
      <c r="D314" s="1" t="s">
        <v>782</v>
      </c>
      <c r="E314" t="s">
        <v>22</v>
      </c>
      <c r="F314" s="5" t="str">
        <f>HYPERLINK("http://www.otzar.org/book.asp?627798","אשל אברהם - 8 כר'")</f>
        <v>אשל אברהם - 8 כר'</v>
      </c>
    </row>
    <row r="315" spans="1:6" x14ac:dyDescent="0.2">
      <c r="A315" t="s">
        <v>783</v>
      </c>
      <c r="B315" t="s">
        <v>784</v>
      </c>
      <c r="C315" t="s">
        <v>73</v>
      </c>
      <c r="D315" s="1" t="s">
        <v>14</v>
      </c>
      <c r="E315" t="s">
        <v>22</v>
      </c>
      <c r="F315" s="5" t="str">
        <f>HYPERLINK("http://www.otzar.org/book.asp?630466","אשל ברמה - 2 כר'")</f>
        <v>אשל ברמה - 2 כר'</v>
      </c>
    </row>
    <row r="316" spans="1:6" x14ac:dyDescent="0.2">
      <c r="A316" t="s">
        <v>785</v>
      </c>
      <c r="B316" t="s">
        <v>786</v>
      </c>
      <c r="C316" t="s">
        <v>787</v>
      </c>
      <c r="D316" s="1" t="s">
        <v>9</v>
      </c>
      <c r="E316" t="s">
        <v>154</v>
      </c>
      <c r="F316" s="5" t="str">
        <f>HYPERLINK("http://www.otzar.org/book.asp?625456","אשפרת בטון בשבת")</f>
        <v>אשפרת בטון בשבת</v>
      </c>
    </row>
    <row r="317" spans="1:6" x14ac:dyDescent="0.2">
      <c r="A317" t="s">
        <v>788</v>
      </c>
      <c r="B317" t="s">
        <v>789</v>
      </c>
      <c r="C317" t="s">
        <v>13</v>
      </c>
      <c r="D317" s="1" t="s">
        <v>21</v>
      </c>
      <c r="E317" t="s">
        <v>49</v>
      </c>
      <c r="F317" s="5" t="str">
        <f>HYPERLINK("http://www.otzar.org/book.asp?628001","אשר יבחר")</f>
        <v>אשר יבחר</v>
      </c>
    </row>
    <row r="318" spans="1:6" x14ac:dyDescent="0.2">
      <c r="A318" t="s">
        <v>790</v>
      </c>
      <c r="B318" t="s">
        <v>789</v>
      </c>
      <c r="C318" t="s">
        <v>13</v>
      </c>
      <c r="D318" s="1" t="s">
        <v>21</v>
      </c>
      <c r="E318" t="s">
        <v>49</v>
      </c>
      <c r="F318" s="5" t="str">
        <f>HYPERLINK("http://www.otzar.org/book.asp?630310","אשר קדשנו")</f>
        <v>אשר קדשנו</v>
      </c>
    </row>
    <row r="319" spans="1:6" x14ac:dyDescent="0.2">
      <c r="A319" t="s">
        <v>791</v>
      </c>
      <c r="B319" t="s">
        <v>792</v>
      </c>
      <c r="C319" t="s">
        <v>20</v>
      </c>
      <c r="D319" s="1" t="s">
        <v>9</v>
      </c>
      <c r="E319" t="s">
        <v>168</v>
      </c>
      <c r="F319" s="5" t="str">
        <f>HYPERLINK("http://www.otzar.org/book.asp?627295","אשת חיל מבואר ומפורש")</f>
        <v>אשת חיל מבואר ומפורש</v>
      </c>
    </row>
    <row r="320" spans="1:6" x14ac:dyDescent="0.2">
      <c r="A320" t="s">
        <v>793</v>
      </c>
      <c r="B320" t="s">
        <v>794</v>
      </c>
      <c r="C320" t="s">
        <v>133</v>
      </c>
      <c r="D320" s="1" t="s">
        <v>795</v>
      </c>
      <c r="E320" t="s">
        <v>108</v>
      </c>
      <c r="F320" s="5" t="str">
        <f>HYPERLINK("http://www.otzar.org/book.asp?626321","אתה בחרתו")</f>
        <v>אתה בחרתו</v>
      </c>
    </row>
    <row r="321" spans="1:6" x14ac:dyDescent="0.2">
      <c r="A321" t="s">
        <v>796</v>
      </c>
      <c r="B321" t="s">
        <v>418</v>
      </c>
      <c r="C321" t="s">
        <v>25</v>
      </c>
      <c r="D321" s="1" t="s">
        <v>9</v>
      </c>
      <c r="E321" t="s">
        <v>89</v>
      </c>
      <c r="F321" s="5" t="str">
        <f>HYPERLINK("http://www.otzar.org/book.asp?627398","אתה בחרתנו - סוכות תש""פ")</f>
        <v>אתה בחרתנו - סוכות תש"פ</v>
      </c>
    </row>
    <row r="322" spans="1:6" x14ac:dyDescent="0.2">
      <c r="A322" t="s">
        <v>797</v>
      </c>
      <c r="B322" t="s">
        <v>798</v>
      </c>
      <c r="C322" t="s">
        <v>13</v>
      </c>
      <c r="D322" s="1" t="s">
        <v>9</v>
      </c>
      <c r="E322" t="s">
        <v>89</v>
      </c>
      <c r="F322" s="5" t="str">
        <f>HYPERLINK("http://www.otzar.org/book.asp?628133","אתקינו סעודתא - סעודות חנוכה")</f>
        <v>אתקינו סעודתא - סעודות חנוכה</v>
      </c>
    </row>
    <row r="323" spans="1:6" x14ac:dyDescent="0.2">
      <c r="A323" t="s">
        <v>799</v>
      </c>
      <c r="B323" t="s">
        <v>800</v>
      </c>
      <c r="C323" t="s">
        <v>73</v>
      </c>
      <c r="D323" s="1" t="s">
        <v>213</v>
      </c>
      <c r="E323" t="s">
        <v>89</v>
      </c>
      <c r="F323" s="5" t="str">
        <f>HYPERLINK("http://www.otzar.org/book.asp?627286","אתרוג למינו - 2 כר'")</f>
        <v>אתרוג למינו - 2 כר'</v>
      </c>
    </row>
    <row r="324" spans="1:6" x14ac:dyDescent="0.2">
      <c r="A324" t="s">
        <v>801</v>
      </c>
      <c r="B324" t="s">
        <v>802</v>
      </c>
      <c r="C324" t="s">
        <v>8</v>
      </c>
      <c r="D324" s="1" t="s">
        <v>803</v>
      </c>
      <c r="E324" t="s">
        <v>49</v>
      </c>
      <c r="F324" s="5" t="str">
        <f>HYPERLINK("http://www.otzar.org/book.asp?627297","באופן מיוחד")</f>
        <v>באופן מיוחד</v>
      </c>
    </row>
    <row r="325" spans="1:6" x14ac:dyDescent="0.2">
      <c r="A325" t="s">
        <v>804</v>
      </c>
      <c r="B325" t="s">
        <v>805</v>
      </c>
      <c r="C325" t="s">
        <v>13</v>
      </c>
      <c r="D325" s="1" t="s">
        <v>9</v>
      </c>
      <c r="E325" t="s">
        <v>22</v>
      </c>
      <c r="F325" s="5" t="str">
        <f>HYPERLINK("http://www.otzar.org/book.asp?628624","באור פניך - שומרים")</f>
        <v>באור פניך - שומרים</v>
      </c>
    </row>
    <row r="326" spans="1:6" x14ac:dyDescent="0.2">
      <c r="A326" t="s">
        <v>806</v>
      </c>
      <c r="B326" t="s">
        <v>807</v>
      </c>
      <c r="C326" t="s">
        <v>20</v>
      </c>
      <c r="D326" s="1" t="s">
        <v>9</v>
      </c>
      <c r="E326" t="s">
        <v>61</v>
      </c>
      <c r="F326" s="5" t="str">
        <f>HYPERLINK("http://www.otzar.org/book.asp?625965","באורח משפט")</f>
        <v>באורח משפט</v>
      </c>
    </row>
    <row r="327" spans="1:6" x14ac:dyDescent="0.2">
      <c r="A327" t="s">
        <v>808</v>
      </c>
      <c r="B327" t="s">
        <v>809</v>
      </c>
      <c r="C327" t="s">
        <v>20</v>
      </c>
      <c r="E327" t="s">
        <v>108</v>
      </c>
      <c r="F327" s="5" t="str">
        <f>HYPERLINK("http://www.otzar.org/book.asp?627478","באורח צדיקים - גלות וגאולה")</f>
        <v>באורח צדיקים - גלות וגאולה</v>
      </c>
    </row>
    <row r="328" spans="1:6" x14ac:dyDescent="0.2">
      <c r="A328" t="s">
        <v>810</v>
      </c>
      <c r="B328" t="s">
        <v>811</v>
      </c>
      <c r="C328" t="s">
        <v>812</v>
      </c>
      <c r="D328" s="1" t="s">
        <v>14</v>
      </c>
      <c r="E328" t="s">
        <v>295</v>
      </c>
      <c r="F328" s="5" t="str">
        <f>HYPERLINK("http://www.otzar.org/book.asp?624711","באורי תפלה")</f>
        <v>באורי תפלה</v>
      </c>
    </row>
    <row r="329" spans="1:6" x14ac:dyDescent="0.2">
      <c r="A329" t="s">
        <v>813</v>
      </c>
      <c r="B329" t="s">
        <v>814</v>
      </c>
      <c r="C329" t="s">
        <v>606</v>
      </c>
      <c r="E329" t="s">
        <v>815</v>
      </c>
      <c r="F329" s="5" t="str">
        <f>HYPERLINK("http://www.otzar.org/book.asp?624939","באורך נראה אור")</f>
        <v>באורך נראה אור</v>
      </c>
    </row>
    <row r="330" spans="1:6" x14ac:dyDescent="0.2">
      <c r="A330" t="s">
        <v>816</v>
      </c>
      <c r="B330" t="s">
        <v>817</v>
      </c>
      <c r="C330" t="s">
        <v>818</v>
      </c>
      <c r="D330" s="1" t="s">
        <v>9</v>
      </c>
      <c r="E330" t="s">
        <v>49</v>
      </c>
      <c r="F330" s="5" t="str">
        <f>HYPERLINK("http://www.otzar.org/book.asp?623952","באמונה ננצח")</f>
        <v>באמונה ננצח</v>
      </c>
    </row>
    <row r="331" spans="1:6" x14ac:dyDescent="0.2">
      <c r="A331" t="s">
        <v>819</v>
      </c>
      <c r="E331" t="s">
        <v>128</v>
      </c>
      <c r="F331" s="5" t="str">
        <f>HYPERLINK("http://www.otzar.org/book.asp?622530","באמונתו יחיה")</f>
        <v>באמונתו יחיה</v>
      </c>
    </row>
    <row r="332" spans="1:6" x14ac:dyDescent="0.2">
      <c r="A332" t="s">
        <v>820</v>
      </c>
      <c r="B332" t="s">
        <v>821</v>
      </c>
      <c r="C332" t="s">
        <v>20</v>
      </c>
      <c r="D332" s="1" t="s">
        <v>9</v>
      </c>
      <c r="E332" t="s">
        <v>22</v>
      </c>
      <c r="F332" s="5" t="str">
        <f>HYPERLINK("http://www.otzar.org/book.asp?626235","באר אברהם - עירובין")</f>
        <v>באר אברהם - עירובין</v>
      </c>
    </row>
    <row r="333" spans="1:6" x14ac:dyDescent="0.2">
      <c r="A333" t="s">
        <v>822</v>
      </c>
      <c r="B333" t="s">
        <v>823</v>
      </c>
      <c r="C333" t="s">
        <v>694</v>
      </c>
      <c r="D333" s="1" t="s">
        <v>52</v>
      </c>
      <c r="E333" t="s">
        <v>41</v>
      </c>
      <c r="F333" s="5" t="str">
        <f>HYPERLINK("http://www.otzar.org/book.asp?629175","באר אברהם - 2 כר'")</f>
        <v>באר אברהם - 2 כר'</v>
      </c>
    </row>
    <row r="334" spans="1:6" x14ac:dyDescent="0.2">
      <c r="A334" t="s">
        <v>824</v>
      </c>
      <c r="B334" t="s">
        <v>825</v>
      </c>
      <c r="C334" t="s">
        <v>133</v>
      </c>
      <c r="D334" s="1" t="s">
        <v>9</v>
      </c>
      <c r="E334" t="s">
        <v>154</v>
      </c>
      <c r="F334" s="5" t="str">
        <f>HYPERLINK("http://www.otzar.org/book.asp?627829","באר אליהו - השבתת חמץ")</f>
        <v>באר אליהו - השבתת חמץ</v>
      </c>
    </row>
    <row r="335" spans="1:6" x14ac:dyDescent="0.2">
      <c r="A335" t="s">
        <v>826</v>
      </c>
      <c r="B335" t="s">
        <v>827</v>
      </c>
      <c r="C335" t="s">
        <v>190</v>
      </c>
      <c r="D335" s="1" t="s">
        <v>21</v>
      </c>
      <c r="E335" t="s">
        <v>22</v>
      </c>
      <c r="F335" s="5" t="str">
        <f>HYPERLINK("http://www.otzar.org/book.asp?625355","באר בצלאל - 2 כר'")</f>
        <v>באר בצלאל - 2 כר'</v>
      </c>
    </row>
    <row r="336" spans="1:6" x14ac:dyDescent="0.2">
      <c r="A336" t="s">
        <v>828</v>
      </c>
      <c r="B336" t="s">
        <v>829</v>
      </c>
      <c r="C336" t="s">
        <v>383</v>
      </c>
      <c r="D336" s="1" t="s">
        <v>9</v>
      </c>
      <c r="E336" t="s">
        <v>89</v>
      </c>
      <c r="F336" s="5" t="str">
        <f>HYPERLINK("http://www.otzar.org/book.asp?628167","באר ההגדה")</f>
        <v>באר ההגדה</v>
      </c>
    </row>
    <row r="337" spans="1:6" x14ac:dyDescent="0.2">
      <c r="A337" t="s">
        <v>830</v>
      </c>
      <c r="B337" t="s">
        <v>831</v>
      </c>
      <c r="C337" t="s">
        <v>13</v>
      </c>
      <c r="D337" s="1" t="s">
        <v>52</v>
      </c>
      <c r="E337" t="s">
        <v>22</v>
      </c>
      <c r="F337" s="5" t="str">
        <f>HYPERLINK("http://www.otzar.org/book.asp?629802","באר המים - ב""ק")</f>
        <v>באר המים - ב"ק</v>
      </c>
    </row>
    <row r="338" spans="1:6" x14ac:dyDescent="0.2">
      <c r="A338" t="s">
        <v>832</v>
      </c>
      <c r="B338" t="s">
        <v>833</v>
      </c>
      <c r="C338" t="s">
        <v>463</v>
      </c>
      <c r="D338" s="1" t="s">
        <v>9</v>
      </c>
      <c r="E338" t="s">
        <v>214</v>
      </c>
      <c r="F338" s="5" t="str">
        <f>HYPERLINK("http://www.otzar.org/book.asp?627819","באר יצחק - ביצה")</f>
        <v>באר יצחק - ביצה</v>
      </c>
    </row>
    <row r="339" spans="1:6" x14ac:dyDescent="0.2">
      <c r="A339" t="s">
        <v>834</v>
      </c>
      <c r="B339" t="s">
        <v>835</v>
      </c>
      <c r="C339" t="s">
        <v>25</v>
      </c>
      <c r="D339" s="1" t="s">
        <v>29</v>
      </c>
      <c r="E339" t="s">
        <v>836</v>
      </c>
      <c r="F339" s="5" t="str">
        <f>HYPERLINK("http://www.otzar.org/book.asp?631162","באר יצחק")</f>
        <v>באר יצחק</v>
      </c>
    </row>
    <row r="340" spans="1:6" x14ac:dyDescent="0.2">
      <c r="A340" t="s">
        <v>834</v>
      </c>
      <c r="B340" t="s">
        <v>837</v>
      </c>
      <c r="C340" t="s">
        <v>133</v>
      </c>
      <c r="D340" s="1" t="s">
        <v>838</v>
      </c>
      <c r="E340" t="s">
        <v>261</v>
      </c>
      <c r="F340" s="5" t="str">
        <f>HYPERLINK("http://www.otzar.org/book.asp?623302","באר יצחק")</f>
        <v>באר יצחק</v>
      </c>
    </row>
    <row r="341" spans="1:6" x14ac:dyDescent="0.2">
      <c r="A341" t="s">
        <v>839</v>
      </c>
      <c r="B341" t="s">
        <v>840</v>
      </c>
      <c r="C341" t="s">
        <v>13</v>
      </c>
      <c r="D341" s="1" t="s">
        <v>841</v>
      </c>
      <c r="E341" t="s">
        <v>168</v>
      </c>
      <c r="F341" s="5" t="str">
        <f>HYPERLINK("http://www.otzar.org/book.asp?627523","באר לחי")</f>
        <v>באר לחי</v>
      </c>
    </row>
    <row r="342" spans="1:6" x14ac:dyDescent="0.2">
      <c r="A342" t="s">
        <v>839</v>
      </c>
      <c r="B342" t="s">
        <v>842</v>
      </c>
      <c r="C342" t="s">
        <v>843</v>
      </c>
      <c r="D342" s="1" t="s">
        <v>844</v>
      </c>
      <c r="E342" t="s">
        <v>845</v>
      </c>
      <c r="F342" s="5" t="str">
        <f>HYPERLINK("http://www.otzar.org/book.asp?623443","באר לחי")</f>
        <v>באר לחי</v>
      </c>
    </row>
    <row r="343" spans="1:6" x14ac:dyDescent="0.2">
      <c r="A343" t="s">
        <v>846</v>
      </c>
      <c r="B343" t="s">
        <v>847</v>
      </c>
      <c r="C343" t="s">
        <v>20</v>
      </c>
      <c r="D343" s="1" t="s">
        <v>9</v>
      </c>
      <c r="F343" s="5" t="str">
        <f>HYPERLINK("http://www.otzar.org/book.asp?629641","באר מים - מקוואות")</f>
        <v>באר מים - מקוואות</v>
      </c>
    </row>
    <row r="344" spans="1:6" x14ac:dyDescent="0.2">
      <c r="A344" t="s">
        <v>848</v>
      </c>
      <c r="B344" t="s">
        <v>849</v>
      </c>
      <c r="C344" t="s">
        <v>541</v>
      </c>
      <c r="D344" s="1" t="s">
        <v>850</v>
      </c>
      <c r="F344" s="5" t="str">
        <f>HYPERLINK("http://www.otzar.org/book.asp?626441","באר מים")</f>
        <v>באר מים</v>
      </c>
    </row>
    <row r="345" spans="1:6" x14ac:dyDescent="0.2">
      <c r="A345" t="s">
        <v>851</v>
      </c>
      <c r="B345" t="s">
        <v>852</v>
      </c>
      <c r="C345" t="s">
        <v>190</v>
      </c>
      <c r="D345" s="1" t="s">
        <v>9</v>
      </c>
      <c r="E345" t="s">
        <v>853</v>
      </c>
      <c r="F345" s="5" t="str">
        <f>HYPERLINK("http://www.otzar.org/book.asp?628150","באר שבע &lt;זכרון אהרן מהדורה מתוקנת&gt; ב (הוריות, תמיד, כריתות, סוטה, סנהדרין, חולין, שו""ת, באר מים חיים)")</f>
        <v>באר שבע &lt;זכרון אהרן מהדורה מתוקנת&gt; ב (הוריות, תמיד, כריתות, סוטה, סנהדרין, חולין, שו"ת, באר מים חיים)</v>
      </c>
    </row>
    <row r="346" spans="1:6" x14ac:dyDescent="0.2">
      <c r="A346" t="s">
        <v>854</v>
      </c>
      <c r="B346" t="s">
        <v>855</v>
      </c>
      <c r="C346" t="s">
        <v>20</v>
      </c>
      <c r="D346" s="1" t="s">
        <v>29</v>
      </c>
      <c r="E346" t="s">
        <v>89</v>
      </c>
      <c r="F346" s="5" t="str">
        <f>HYPERLINK("http://www.otzar.org/book.asp?627296","באר שלמה")</f>
        <v>באר שלמה</v>
      </c>
    </row>
    <row r="347" spans="1:6" x14ac:dyDescent="0.2">
      <c r="A347" t="s">
        <v>856</v>
      </c>
      <c r="B347" t="s">
        <v>857</v>
      </c>
      <c r="C347" t="s">
        <v>8</v>
      </c>
      <c r="D347" s="1" t="s">
        <v>52</v>
      </c>
      <c r="E347" t="s">
        <v>22</v>
      </c>
      <c r="F347" s="5" t="str">
        <f>HYPERLINK("http://www.otzar.org/book.asp?631470","באר שמואל - גניבה וגזילה")</f>
        <v>באר שמואל - גניבה וגזילה</v>
      </c>
    </row>
    <row r="348" spans="1:6" x14ac:dyDescent="0.2">
      <c r="A348" t="s">
        <v>858</v>
      </c>
      <c r="B348" t="s">
        <v>859</v>
      </c>
      <c r="C348" t="s">
        <v>13</v>
      </c>
      <c r="D348" s="1" t="s">
        <v>9</v>
      </c>
      <c r="E348" t="s">
        <v>168</v>
      </c>
      <c r="F348" s="5" t="str">
        <f>HYPERLINK("http://www.otzar.org/book.asp?632828","באר שמחה")</f>
        <v>באר שמחה</v>
      </c>
    </row>
    <row r="349" spans="1:6" x14ac:dyDescent="0.2">
      <c r="A349" t="s">
        <v>860</v>
      </c>
      <c r="B349" t="s">
        <v>861</v>
      </c>
      <c r="C349" t="s">
        <v>174</v>
      </c>
      <c r="D349" s="1" t="s">
        <v>774</v>
      </c>
      <c r="E349" t="s">
        <v>37</v>
      </c>
      <c r="F349" s="5" t="str">
        <f>HYPERLINK("http://www.otzar.org/book.asp?624861","בארה שבע")</f>
        <v>בארה שבע</v>
      </c>
    </row>
    <row r="350" spans="1:6" x14ac:dyDescent="0.2">
      <c r="A350" t="s">
        <v>862</v>
      </c>
      <c r="B350" t="s">
        <v>863</v>
      </c>
      <c r="C350" t="s">
        <v>73</v>
      </c>
      <c r="D350" s="1" t="s">
        <v>864</v>
      </c>
      <c r="E350" t="s">
        <v>836</v>
      </c>
      <c r="F350" s="5" t="str">
        <f>HYPERLINK("http://www.otzar.org/book.asp?625444","בארות המים - ג")</f>
        <v>בארות המים - ג</v>
      </c>
    </row>
    <row r="351" spans="1:6" x14ac:dyDescent="0.2">
      <c r="A351" t="s">
        <v>865</v>
      </c>
      <c r="B351" t="s">
        <v>866</v>
      </c>
      <c r="C351" t="s">
        <v>20</v>
      </c>
      <c r="D351" s="1" t="s">
        <v>8</v>
      </c>
      <c r="E351" t="s">
        <v>867</v>
      </c>
      <c r="F351" s="5" t="str">
        <f>HYPERLINK("http://www.otzar.org/book.asp?624926","בארות יצחק וברכה")</f>
        <v>בארות יצחק וברכה</v>
      </c>
    </row>
    <row r="352" spans="1:6" x14ac:dyDescent="0.2">
      <c r="A352" t="s">
        <v>868</v>
      </c>
      <c r="B352" t="s">
        <v>869</v>
      </c>
      <c r="C352" t="s">
        <v>8</v>
      </c>
      <c r="D352" s="1" t="s">
        <v>52</v>
      </c>
      <c r="E352" t="s">
        <v>22</v>
      </c>
      <c r="F352" s="5" t="str">
        <f>HYPERLINK("http://www.otzar.org/book.asp?626803","בגבורות ישע - עירובין")</f>
        <v>בגבורות ישע - עירובין</v>
      </c>
    </row>
    <row r="353" spans="1:6" x14ac:dyDescent="0.2">
      <c r="A353" t="s">
        <v>870</v>
      </c>
      <c r="B353" t="s">
        <v>871</v>
      </c>
      <c r="C353" t="s">
        <v>13</v>
      </c>
      <c r="D353" s="1" t="s">
        <v>14</v>
      </c>
      <c r="E353" t="s">
        <v>867</v>
      </c>
      <c r="F353" s="5" t="str">
        <f>HYPERLINK("http://www.otzar.org/book.asp?629435","בגדי ישע &lt;מהדורה חדשה&gt;")</f>
        <v>בגדי ישע &lt;מהדורה חדשה&gt;</v>
      </c>
    </row>
    <row r="354" spans="1:6" x14ac:dyDescent="0.2">
      <c r="A354" t="s">
        <v>872</v>
      </c>
      <c r="B354" t="s">
        <v>873</v>
      </c>
      <c r="C354" t="s">
        <v>20</v>
      </c>
      <c r="D354" s="1" t="s">
        <v>874</v>
      </c>
      <c r="E354" t="s">
        <v>168</v>
      </c>
      <c r="F354" s="5" t="str">
        <f>HYPERLINK("http://www.otzar.org/book.asp?631188","בגדי ישע")</f>
        <v>בגדי ישע</v>
      </c>
    </row>
    <row r="355" spans="1:6" x14ac:dyDescent="0.2">
      <c r="A355" t="s">
        <v>875</v>
      </c>
      <c r="B355" t="s">
        <v>876</v>
      </c>
      <c r="C355" t="s">
        <v>13</v>
      </c>
      <c r="D355" s="1" t="s">
        <v>64</v>
      </c>
      <c r="E355" t="s">
        <v>61</v>
      </c>
      <c r="F355" s="5" t="str">
        <f>HYPERLINK("http://www.otzar.org/book.asp?623541","בגדי קודש - קונטרס שמעו בני")</f>
        <v>בגדי קודש - קונטרס שמעו בני</v>
      </c>
    </row>
    <row r="356" spans="1:6" x14ac:dyDescent="0.2">
      <c r="A356" t="s">
        <v>877</v>
      </c>
      <c r="B356" t="s">
        <v>878</v>
      </c>
      <c r="C356" t="s">
        <v>126</v>
      </c>
      <c r="D356" s="1" t="s">
        <v>29</v>
      </c>
      <c r="E356" t="s">
        <v>37</v>
      </c>
      <c r="F356" s="5" t="str">
        <f>HYPERLINK("http://www.otzar.org/book.asp?627828","בדבר מלך - ג")</f>
        <v>בדבר מלך - ג</v>
      </c>
    </row>
    <row r="357" spans="1:6" x14ac:dyDescent="0.2">
      <c r="A357" t="s">
        <v>879</v>
      </c>
      <c r="B357" t="s">
        <v>880</v>
      </c>
      <c r="C357" t="s">
        <v>20</v>
      </c>
      <c r="D357" s="1" t="s">
        <v>9</v>
      </c>
      <c r="E357" t="s">
        <v>22</v>
      </c>
      <c r="F357" s="5" t="str">
        <f>HYPERLINK("http://www.otzar.org/book.asp?626688","בדי אהרן - חולין")</f>
        <v>בדי אהרן - חולין</v>
      </c>
    </row>
    <row r="358" spans="1:6" x14ac:dyDescent="0.2">
      <c r="A358" t="s">
        <v>881</v>
      </c>
      <c r="B358" t="s">
        <v>882</v>
      </c>
      <c r="C358" t="s">
        <v>136</v>
      </c>
      <c r="D358" s="1" t="s">
        <v>362</v>
      </c>
      <c r="E358" t="s">
        <v>44</v>
      </c>
      <c r="F358" s="5" t="str">
        <f>HYPERLINK("http://www.otzar.org/book.asp?629405","בדי האילן - 2 כר'")</f>
        <v>בדי האילן - 2 כר'</v>
      </c>
    </row>
    <row r="359" spans="1:6" x14ac:dyDescent="0.2">
      <c r="A359" t="s">
        <v>883</v>
      </c>
      <c r="B359" t="s">
        <v>884</v>
      </c>
      <c r="C359" t="s">
        <v>40</v>
      </c>
      <c r="D359" s="1" t="s">
        <v>14</v>
      </c>
      <c r="E359" t="s">
        <v>37</v>
      </c>
      <c r="F359" s="5" t="str">
        <f>HYPERLINK("http://www.otzar.org/book.asp?624914","בדיני כלי שמלאכתו לאיסור")</f>
        <v>בדיני כלי שמלאכתו לאיסור</v>
      </c>
    </row>
    <row r="360" spans="1:6" x14ac:dyDescent="0.2">
      <c r="A360" t="s">
        <v>885</v>
      </c>
      <c r="B360" t="s">
        <v>886</v>
      </c>
      <c r="C360" t="s">
        <v>8</v>
      </c>
      <c r="D360" s="1" t="s">
        <v>52</v>
      </c>
      <c r="E360" t="s">
        <v>22</v>
      </c>
      <c r="F360" s="5" t="str">
        <f>HYPERLINK("http://www.otzar.org/book.asp?627448","בדקדוק חברים - 7 כר'")</f>
        <v>בדקדוק חברים - 7 כר'</v>
      </c>
    </row>
    <row r="361" spans="1:6" x14ac:dyDescent="0.2">
      <c r="A361" t="s">
        <v>887</v>
      </c>
      <c r="B361" t="s">
        <v>888</v>
      </c>
      <c r="C361" t="s">
        <v>8</v>
      </c>
      <c r="D361" s="1" t="s">
        <v>52</v>
      </c>
      <c r="E361" t="s">
        <v>49</v>
      </c>
      <c r="F361" s="5" t="str">
        <f>HYPERLINK("http://www.otzar.org/book.asp?627511","בדרך המלך נלך")</f>
        <v>בדרך המלך נלך</v>
      </c>
    </row>
    <row r="362" spans="1:6" x14ac:dyDescent="0.2">
      <c r="A362" t="s">
        <v>889</v>
      </c>
      <c r="B362" t="s">
        <v>890</v>
      </c>
      <c r="C362" t="s">
        <v>8</v>
      </c>
      <c r="D362" s="1" t="s">
        <v>52</v>
      </c>
      <c r="E362" t="s">
        <v>61</v>
      </c>
      <c r="F362" s="5" t="str">
        <f>HYPERLINK("http://www.otzar.org/book.asp?630468","בדרך לימוד")</f>
        <v>בדרך לימוד</v>
      </c>
    </row>
    <row r="363" spans="1:6" x14ac:dyDescent="0.2">
      <c r="A363" t="s">
        <v>891</v>
      </c>
      <c r="B363" t="s">
        <v>892</v>
      </c>
      <c r="C363" t="s">
        <v>20</v>
      </c>
      <c r="D363" s="1" t="s">
        <v>9</v>
      </c>
      <c r="E363" t="s">
        <v>49</v>
      </c>
      <c r="F363" s="5" t="str">
        <f>HYPERLINK("http://www.otzar.org/book.asp?623511","בדרכי אבות - ב")</f>
        <v>בדרכי אבות - ב</v>
      </c>
    </row>
    <row r="364" spans="1:6" x14ac:dyDescent="0.2">
      <c r="A364" t="s">
        <v>893</v>
      </c>
      <c r="B364" t="s">
        <v>894</v>
      </c>
      <c r="C364" t="s">
        <v>13</v>
      </c>
      <c r="D364" s="1" t="s">
        <v>895</v>
      </c>
      <c r="E364" t="s">
        <v>836</v>
      </c>
      <c r="F364" s="5" t="str">
        <f>HYPERLINK("http://www.otzar.org/book.asp?627628","בהר יראה - תורה ומועדים")</f>
        <v>בהר יראה - תורה ומועדים</v>
      </c>
    </row>
    <row r="365" spans="1:6" x14ac:dyDescent="0.2">
      <c r="A365" t="s">
        <v>896</v>
      </c>
      <c r="B365" t="s">
        <v>897</v>
      </c>
      <c r="C365" t="s">
        <v>13</v>
      </c>
      <c r="D365" s="1" t="s">
        <v>9</v>
      </c>
      <c r="E365" t="s">
        <v>214</v>
      </c>
      <c r="F365" s="5" t="str">
        <f>HYPERLINK("http://www.otzar.org/book.asp?624851","בהתאסף - 6 כר'")</f>
        <v>בהתאסף - 6 כר'</v>
      </c>
    </row>
    <row r="366" spans="1:6" x14ac:dyDescent="0.2">
      <c r="A366" t="s">
        <v>898</v>
      </c>
      <c r="B366" t="s">
        <v>899</v>
      </c>
      <c r="C366" t="s">
        <v>13</v>
      </c>
      <c r="D366" s="1" t="s">
        <v>9</v>
      </c>
      <c r="E366" t="s">
        <v>37</v>
      </c>
      <c r="F366" s="5" t="str">
        <f>HYPERLINK("http://www.otzar.org/book.asp?630578","בורא מיני בשמים")</f>
        <v>בורא מיני בשמים</v>
      </c>
    </row>
    <row r="367" spans="1:6" x14ac:dyDescent="0.2">
      <c r="A367" t="s">
        <v>900</v>
      </c>
      <c r="B367" t="s">
        <v>901</v>
      </c>
      <c r="C367" t="s">
        <v>245</v>
      </c>
      <c r="D367" s="1" t="s">
        <v>9</v>
      </c>
      <c r="E367" t="s">
        <v>49</v>
      </c>
      <c r="F367" s="5" t="str">
        <f>HYPERLINK("http://www.otzar.org/book.asp?624717","בזכות ונשמרתם")</f>
        <v>בזכות ונשמרתם</v>
      </c>
    </row>
    <row r="368" spans="1:6" x14ac:dyDescent="0.2">
      <c r="A368" t="s">
        <v>902</v>
      </c>
      <c r="B368" t="s">
        <v>903</v>
      </c>
      <c r="C368" t="s">
        <v>386</v>
      </c>
      <c r="D368" s="1" t="s">
        <v>14</v>
      </c>
      <c r="E368" t="s">
        <v>89</v>
      </c>
      <c r="F368" s="5" t="str">
        <f>HYPERLINK("http://www.otzar.org/book.asp?623293","בזכותא דבר יוחאי")</f>
        <v>בזכותא דבר יוחאי</v>
      </c>
    </row>
    <row r="369" spans="1:6" x14ac:dyDescent="0.2">
      <c r="A369" t="s">
        <v>904</v>
      </c>
      <c r="B369" t="s">
        <v>905</v>
      </c>
      <c r="C369" t="s">
        <v>397</v>
      </c>
      <c r="D369" s="1" t="s">
        <v>803</v>
      </c>
      <c r="E369" t="s">
        <v>49</v>
      </c>
      <c r="F369" s="5" t="str">
        <f>HYPERLINK("http://www.otzar.org/book.asp?623778","בחוקותיך אשתעשע")</f>
        <v>בחוקותיך אשתעשע</v>
      </c>
    </row>
    <row r="370" spans="1:6" x14ac:dyDescent="0.2">
      <c r="A370" t="s">
        <v>906</v>
      </c>
      <c r="B370" t="s">
        <v>907</v>
      </c>
      <c r="C370" t="s">
        <v>908</v>
      </c>
      <c r="D370" s="1" t="s">
        <v>355</v>
      </c>
      <c r="F370" s="5" t="str">
        <f>HYPERLINK("http://www.otzar.org/book.asp?626592","בחינות עולם &lt;מגדנות  אלעזר - המליץ - המזכיר&gt;")</f>
        <v>בחינות עולם &lt;מגדנות  אלעזר - המליץ - המזכיר&gt;</v>
      </c>
    </row>
    <row r="371" spans="1:6" x14ac:dyDescent="0.2">
      <c r="A371" t="s">
        <v>909</v>
      </c>
      <c r="B371" t="s">
        <v>910</v>
      </c>
      <c r="C371" t="s">
        <v>386</v>
      </c>
      <c r="D371" s="1" t="s">
        <v>911</v>
      </c>
      <c r="E371" t="s">
        <v>439</v>
      </c>
      <c r="F371" s="5" t="str">
        <f>HYPERLINK("http://www.otzar.org/book.asp?628220","בחצרות החיים - ל")</f>
        <v>בחצרות החיים - ל</v>
      </c>
    </row>
    <row r="372" spans="1:6" x14ac:dyDescent="0.2">
      <c r="A372" t="s">
        <v>912</v>
      </c>
      <c r="B372" t="s">
        <v>94</v>
      </c>
      <c r="E372" t="s">
        <v>49</v>
      </c>
      <c r="F372" s="5" t="str">
        <f>HYPERLINK("http://www.otzar.org/book.asp?627839","בחר ה' בציון")</f>
        <v>בחר ה' בציון</v>
      </c>
    </row>
    <row r="373" spans="1:6" x14ac:dyDescent="0.2">
      <c r="A373" t="s">
        <v>913</v>
      </c>
      <c r="B373" t="s">
        <v>914</v>
      </c>
      <c r="C373" t="s">
        <v>73</v>
      </c>
      <c r="D373" s="1" t="s">
        <v>52</v>
      </c>
      <c r="E373" t="s">
        <v>89</v>
      </c>
      <c r="F373" s="5" t="str">
        <f>HYPERLINK("http://www.otzar.org/book.asp?623354","בחשק משה - 6 כר'")</f>
        <v>בחשק משה - 6 כר'</v>
      </c>
    </row>
    <row r="374" spans="1:6" x14ac:dyDescent="0.2">
      <c r="A374" t="s">
        <v>915</v>
      </c>
      <c r="B374" t="s">
        <v>916</v>
      </c>
      <c r="C374" t="s">
        <v>818</v>
      </c>
      <c r="D374" s="1" t="s">
        <v>14</v>
      </c>
      <c r="E374" t="s">
        <v>439</v>
      </c>
      <c r="F374" s="5" t="str">
        <f>HYPERLINK("http://www.otzar.org/book.asp?623680","בטאון צעירי ויז'ניץ - 5 כר'")</f>
        <v>בטאון צעירי ויז'ניץ - 5 כר'</v>
      </c>
    </row>
    <row r="375" spans="1:6" x14ac:dyDescent="0.2">
      <c r="A375" t="s">
        <v>917</v>
      </c>
      <c r="B375" t="s">
        <v>918</v>
      </c>
      <c r="C375" t="s">
        <v>13</v>
      </c>
      <c r="D375" s="1" t="s">
        <v>9</v>
      </c>
      <c r="E375" t="s">
        <v>168</v>
      </c>
      <c r="F375" s="5" t="str">
        <f>HYPERLINK("http://www.otzar.org/book.asp?626570","ביאור חמש מגילות")</f>
        <v>ביאור חמש מגילות</v>
      </c>
    </row>
    <row r="376" spans="1:6" x14ac:dyDescent="0.2">
      <c r="A376" t="s">
        <v>919</v>
      </c>
      <c r="B376" t="s">
        <v>918</v>
      </c>
      <c r="C376" t="s">
        <v>25</v>
      </c>
      <c r="D376" s="1" t="s">
        <v>9</v>
      </c>
      <c r="F376" s="5" t="str">
        <f>HYPERLINK("http://www.otzar.org/book.asp?632850","ביאור מגילת אסתר תליתאה")</f>
        <v>ביאור מגילת אסתר תליתאה</v>
      </c>
    </row>
    <row r="377" spans="1:6" x14ac:dyDescent="0.2">
      <c r="A377" t="s">
        <v>920</v>
      </c>
      <c r="B377" t="s">
        <v>921</v>
      </c>
      <c r="C377" t="s">
        <v>8</v>
      </c>
      <c r="D377" s="1" t="s">
        <v>52</v>
      </c>
      <c r="E377" t="s">
        <v>168</v>
      </c>
      <c r="F377" s="5" t="str">
        <f>HYPERLINK("http://www.otzar.org/book.asp?627846","ביאור עניני הנבואות וביאור המקראות בספר ירמיהו")</f>
        <v>ביאור עניני הנבואות וביאור המקראות בספר ירמיהו</v>
      </c>
    </row>
    <row r="378" spans="1:6" x14ac:dyDescent="0.2">
      <c r="A378" t="s">
        <v>922</v>
      </c>
      <c r="B378" t="s">
        <v>923</v>
      </c>
      <c r="C378" t="s">
        <v>206</v>
      </c>
      <c r="D378" s="1" t="s">
        <v>14</v>
      </c>
      <c r="E378" t="s">
        <v>49</v>
      </c>
      <c r="F378" s="5" t="str">
        <f>HYPERLINK("http://www.otzar.org/book.asp?623220","ביאור קצר על שלושים מצוות בני נח")</f>
        <v>ביאור קצר על שלושים מצוות בני נח</v>
      </c>
    </row>
    <row r="379" spans="1:6" x14ac:dyDescent="0.2">
      <c r="A379" t="s">
        <v>924</v>
      </c>
      <c r="B379" t="s">
        <v>925</v>
      </c>
      <c r="C379" t="s">
        <v>13</v>
      </c>
      <c r="D379" s="1" t="s">
        <v>21</v>
      </c>
      <c r="E379" t="s">
        <v>61</v>
      </c>
      <c r="F379" s="5" t="str">
        <f>HYPERLINK("http://www.otzar.org/book.asp?627469","ביאורי משפט - 2 כר'")</f>
        <v>ביאורי משפט - 2 כר'</v>
      </c>
    </row>
    <row r="380" spans="1:6" x14ac:dyDescent="0.2">
      <c r="A380" t="s">
        <v>926</v>
      </c>
      <c r="B380" t="s">
        <v>364</v>
      </c>
      <c r="C380" t="s">
        <v>639</v>
      </c>
      <c r="D380" s="1" t="s">
        <v>9</v>
      </c>
      <c r="E380" t="s">
        <v>214</v>
      </c>
      <c r="F380" s="5" t="str">
        <f>HYPERLINK("http://www.otzar.org/book.asp?627735","ביאורי סוגיות אהל דוד - פסחים")</f>
        <v>ביאורי סוגיות אהל דוד - פסחים</v>
      </c>
    </row>
    <row r="381" spans="1:6" x14ac:dyDescent="0.2">
      <c r="A381" t="s">
        <v>927</v>
      </c>
      <c r="B381" t="s">
        <v>94</v>
      </c>
      <c r="C381" t="s">
        <v>8</v>
      </c>
      <c r="D381" s="1" t="s">
        <v>52</v>
      </c>
      <c r="E381" t="s">
        <v>22</v>
      </c>
      <c r="F381" s="5" t="str">
        <f>HYPERLINK("http://www.otzar.org/book.asp?627294","ביאורי סוגיות - 2 כר'")</f>
        <v>ביאורי סוגיות - 2 כר'</v>
      </c>
    </row>
    <row r="382" spans="1:6" x14ac:dyDescent="0.2">
      <c r="A382" t="s">
        <v>928</v>
      </c>
      <c r="B382" t="s">
        <v>929</v>
      </c>
      <c r="C382" t="s">
        <v>13</v>
      </c>
      <c r="D382" s="1" t="s">
        <v>21</v>
      </c>
      <c r="E382" t="s">
        <v>22</v>
      </c>
      <c r="F382" s="5" t="str">
        <f>HYPERLINK("http://www.otzar.org/book.asp?629819","ביאורי סוגיות - ב""ק")</f>
        <v>ביאורי סוגיות - ב"ק</v>
      </c>
    </row>
    <row r="383" spans="1:6" x14ac:dyDescent="0.2">
      <c r="A383" t="s">
        <v>930</v>
      </c>
      <c r="B383" t="s">
        <v>931</v>
      </c>
      <c r="C383" t="s">
        <v>13</v>
      </c>
      <c r="D383" s="1" t="s">
        <v>9</v>
      </c>
      <c r="E383" t="s">
        <v>89</v>
      </c>
      <c r="F383" s="5" t="str">
        <f>HYPERLINK("http://www.otzar.org/book.asp?630470","ביאורים במועדים - 5 כר'")</f>
        <v>ביאורים במועדים - 5 כר'</v>
      </c>
    </row>
    <row r="384" spans="1:6" x14ac:dyDescent="0.2">
      <c r="A384" t="s">
        <v>932</v>
      </c>
      <c r="B384" t="s">
        <v>933</v>
      </c>
      <c r="C384" t="s">
        <v>13</v>
      </c>
      <c r="D384" s="1" t="s">
        <v>14</v>
      </c>
      <c r="E384" t="s">
        <v>22</v>
      </c>
      <c r="F384" s="5" t="str">
        <f>HYPERLINK("http://www.otzar.org/book.asp?628491","ביאורים וחידושים - חולין")</f>
        <v>ביאורים וחידושים - חולין</v>
      </c>
    </row>
    <row r="385" spans="1:6" x14ac:dyDescent="0.2">
      <c r="A385" t="s">
        <v>934</v>
      </c>
      <c r="B385" t="s">
        <v>935</v>
      </c>
      <c r="C385" t="s">
        <v>20</v>
      </c>
      <c r="D385" s="1" t="s">
        <v>14</v>
      </c>
      <c r="F385" s="5" t="str">
        <f>HYPERLINK("http://www.otzar.org/book.asp?632067","ביאורים וליקוטים - 3 כר'")</f>
        <v>ביאורים וליקוטים - 3 כר'</v>
      </c>
    </row>
    <row r="386" spans="1:6" x14ac:dyDescent="0.2">
      <c r="A386" t="s">
        <v>936</v>
      </c>
      <c r="B386" t="s">
        <v>937</v>
      </c>
      <c r="E386" t="s">
        <v>214</v>
      </c>
      <c r="F386" s="5" t="str">
        <f>HYPERLINK("http://www.otzar.org/book.asp?626087","ביבליאטעק אידישע וויסענשאפט")</f>
        <v>ביבליאטעק אידישע וויסענשאפט</v>
      </c>
    </row>
    <row r="387" spans="1:6" x14ac:dyDescent="0.2">
      <c r="A387" t="s">
        <v>938</v>
      </c>
      <c r="B387" t="s">
        <v>939</v>
      </c>
      <c r="C387" t="s">
        <v>136</v>
      </c>
      <c r="D387" s="1" t="s">
        <v>14</v>
      </c>
      <c r="E387" t="s">
        <v>22</v>
      </c>
      <c r="F387" s="5" t="str">
        <f>HYPERLINK("http://www.otzar.org/book.asp?631726","ביום קדשי - עירובין")</f>
        <v>ביום קדשי - עירובין</v>
      </c>
    </row>
    <row r="388" spans="1:6" x14ac:dyDescent="0.2">
      <c r="A388" t="s">
        <v>940</v>
      </c>
      <c r="B388" t="s">
        <v>941</v>
      </c>
      <c r="C388" t="s">
        <v>8</v>
      </c>
      <c r="D388" s="1" t="s">
        <v>9</v>
      </c>
      <c r="E388" t="s">
        <v>942</v>
      </c>
      <c r="F388" s="5" t="str">
        <f>HYPERLINK("http://www.otzar.org/book.asp?626741","ביכורי שדי - 2 כר'")</f>
        <v>ביכורי שדי - 2 כר'</v>
      </c>
    </row>
    <row r="389" spans="1:6" x14ac:dyDescent="0.2">
      <c r="A389" t="s">
        <v>943</v>
      </c>
      <c r="B389" t="s">
        <v>944</v>
      </c>
      <c r="C389" t="s">
        <v>73</v>
      </c>
      <c r="D389" s="1" t="s">
        <v>9</v>
      </c>
      <c r="E389" t="s">
        <v>10</v>
      </c>
      <c r="F389" s="5" t="str">
        <f>HYPERLINK("http://www.otzar.org/book.asp?624825","ביכורי שלמה")</f>
        <v>ביכורי שלמה</v>
      </c>
    </row>
    <row r="390" spans="1:6" x14ac:dyDescent="0.2">
      <c r="A390" t="s">
        <v>945</v>
      </c>
      <c r="B390" t="s">
        <v>364</v>
      </c>
      <c r="C390" t="s">
        <v>76</v>
      </c>
      <c r="D390" s="1" t="s">
        <v>795</v>
      </c>
      <c r="F390" s="5" t="str">
        <f>HYPERLINK("http://www.otzar.org/book.asp?630399","ביכורים בכרם - תשנ""ו")</f>
        <v>ביכורים בכרם - תשנ"ו</v>
      </c>
    </row>
    <row r="391" spans="1:6" x14ac:dyDescent="0.2">
      <c r="A391" t="s">
        <v>946</v>
      </c>
      <c r="B391" t="s">
        <v>760</v>
      </c>
      <c r="C391" t="s">
        <v>383</v>
      </c>
      <c r="D391" s="1" t="s">
        <v>120</v>
      </c>
      <c r="E391" t="s">
        <v>538</v>
      </c>
      <c r="F391" s="5" t="str">
        <f>HYPERLINK("http://www.otzar.org/book.asp?625876","בין השמשות דר""ת וזמן הדלקת נרות חנוכה")</f>
        <v>בין השמשות דר"ת וזמן הדלקת נרות חנוכה</v>
      </c>
    </row>
    <row r="392" spans="1:6" x14ac:dyDescent="0.2">
      <c r="A392" t="s">
        <v>947</v>
      </c>
      <c r="B392" t="s">
        <v>948</v>
      </c>
      <c r="D392" s="1" t="s">
        <v>949</v>
      </c>
      <c r="F392" s="5" t="str">
        <f>HYPERLINK("http://www.otzar.org/book.asp?630412","בין התחברות למחויבות")</f>
        <v>בין התחברות למחויבות</v>
      </c>
    </row>
    <row r="393" spans="1:6" x14ac:dyDescent="0.2">
      <c r="A393" t="s">
        <v>950</v>
      </c>
      <c r="B393" t="s">
        <v>950</v>
      </c>
      <c r="C393" t="s">
        <v>951</v>
      </c>
      <c r="D393" s="1" t="s">
        <v>952</v>
      </c>
      <c r="F393" s="5" t="str">
        <f>HYPERLINK("http://www.otzar.org/book.asp?628253","בינה לעתים")</f>
        <v>בינה לעתים</v>
      </c>
    </row>
    <row r="394" spans="1:6" x14ac:dyDescent="0.2">
      <c r="A394" t="s">
        <v>953</v>
      </c>
      <c r="B394" t="s">
        <v>954</v>
      </c>
      <c r="C394" t="s">
        <v>463</v>
      </c>
      <c r="D394" s="1" t="s">
        <v>14</v>
      </c>
      <c r="E394" t="s">
        <v>89</v>
      </c>
      <c r="F394" s="5" t="str">
        <f>HYPERLINK("http://www.otzar.org/book.asp?627832","בינה לעתים - פורים")</f>
        <v>בינה לעתים - פורים</v>
      </c>
    </row>
    <row r="395" spans="1:6" x14ac:dyDescent="0.2">
      <c r="A395" t="s">
        <v>955</v>
      </c>
      <c r="B395" t="s">
        <v>956</v>
      </c>
      <c r="C395" t="s">
        <v>245</v>
      </c>
      <c r="D395" s="1" t="s">
        <v>14</v>
      </c>
      <c r="E395" t="s">
        <v>214</v>
      </c>
      <c r="F395" s="5" t="str">
        <f>HYPERLINK("http://www.otzar.org/book.asp?626309","ביני עמודי - 2 כר'")</f>
        <v>ביני עמודי - 2 כר'</v>
      </c>
    </row>
    <row r="396" spans="1:6" x14ac:dyDescent="0.2">
      <c r="A396" t="s">
        <v>957</v>
      </c>
      <c r="B396" t="s">
        <v>958</v>
      </c>
      <c r="C396" t="s">
        <v>8</v>
      </c>
      <c r="D396" s="1" t="s">
        <v>52</v>
      </c>
      <c r="E396" t="s">
        <v>22</v>
      </c>
      <c r="F396" s="5" t="str">
        <f>HYPERLINK("http://www.otzar.org/book.asp?626758","ביני עמודי - עירובין")</f>
        <v>ביני עמודי - עירובין</v>
      </c>
    </row>
    <row r="397" spans="1:6" x14ac:dyDescent="0.2">
      <c r="A397" t="s">
        <v>959</v>
      </c>
      <c r="B397" t="s">
        <v>960</v>
      </c>
      <c r="C397" t="s">
        <v>133</v>
      </c>
      <c r="D397" s="1" t="s">
        <v>9</v>
      </c>
      <c r="E397" t="s">
        <v>22</v>
      </c>
      <c r="F397" s="5" t="str">
        <f>HYPERLINK("http://www.otzar.org/book.asp?630887","בינת הלב &lt;מהדורה חדשה&gt;")</f>
        <v>בינת הלב &lt;מהדורה חדשה&gt;</v>
      </c>
    </row>
    <row r="398" spans="1:6" x14ac:dyDescent="0.2">
      <c r="A398" t="s">
        <v>961</v>
      </c>
      <c r="B398" t="s">
        <v>962</v>
      </c>
      <c r="C398" t="s">
        <v>13</v>
      </c>
      <c r="D398" s="1" t="s">
        <v>14</v>
      </c>
      <c r="E398" t="s">
        <v>963</v>
      </c>
      <c r="F398" s="5" t="str">
        <f>HYPERLINK("http://www.otzar.org/book.asp?630807","בינת המשפט - ז")</f>
        <v>בינת המשפט - ז</v>
      </c>
    </row>
    <row r="399" spans="1:6" x14ac:dyDescent="0.2">
      <c r="A399" t="s">
        <v>964</v>
      </c>
      <c r="B399" t="s">
        <v>965</v>
      </c>
      <c r="C399" t="s">
        <v>73</v>
      </c>
      <c r="D399" s="1" t="s">
        <v>471</v>
      </c>
      <c r="E399" t="s">
        <v>37</v>
      </c>
      <c r="F399" s="5" t="str">
        <f>HYPERLINK("http://www.otzar.org/book.asp?626734","בינת טהרה")</f>
        <v>בינת טהרה</v>
      </c>
    </row>
    <row r="400" spans="1:6" x14ac:dyDescent="0.2">
      <c r="A400" t="s">
        <v>966</v>
      </c>
      <c r="B400" t="s">
        <v>967</v>
      </c>
      <c r="C400" t="s">
        <v>13</v>
      </c>
      <c r="D400" s="1" t="s">
        <v>9</v>
      </c>
      <c r="F400" s="5" t="str">
        <f>HYPERLINK("http://www.otzar.org/book.asp?631719","בינת עתים - בין השמשות וזמני היום")</f>
        <v>בינת עתים - בין השמשות וזמני היום</v>
      </c>
    </row>
    <row r="401" spans="1:6" x14ac:dyDescent="0.2">
      <c r="A401" t="s">
        <v>968</v>
      </c>
      <c r="B401" t="s">
        <v>965</v>
      </c>
      <c r="C401" t="s">
        <v>383</v>
      </c>
      <c r="D401" s="1" t="s">
        <v>471</v>
      </c>
      <c r="E401" t="s">
        <v>154</v>
      </c>
      <c r="F401" s="5" t="str">
        <f>HYPERLINK("http://www.otzar.org/book.asp?626735","בינת שבת")</f>
        <v>בינת שבת</v>
      </c>
    </row>
    <row r="402" spans="1:6" x14ac:dyDescent="0.2">
      <c r="A402" t="s">
        <v>969</v>
      </c>
      <c r="B402" t="s">
        <v>970</v>
      </c>
      <c r="C402" t="s">
        <v>13</v>
      </c>
      <c r="D402" s="1" t="s">
        <v>14</v>
      </c>
      <c r="E402" t="s">
        <v>22</v>
      </c>
      <c r="F402" s="5" t="str">
        <f>HYPERLINK("http://www.otzar.org/book.asp?627160","בירורי החזקה")</f>
        <v>בירורי החזקה</v>
      </c>
    </row>
    <row r="403" spans="1:6" x14ac:dyDescent="0.2">
      <c r="A403" t="s">
        <v>971</v>
      </c>
      <c r="B403" t="s">
        <v>972</v>
      </c>
      <c r="E403" t="s">
        <v>37</v>
      </c>
      <c r="F403" s="5" t="str">
        <f>HYPERLINK("http://www.otzar.org/book.asp?622724","בירורי הלכה בשאלות מצויות בין לחש לחזרה")</f>
        <v>בירורי הלכה בשאלות מצויות בין לחש לחזרה</v>
      </c>
    </row>
    <row r="404" spans="1:6" x14ac:dyDescent="0.2">
      <c r="A404" t="s">
        <v>973</v>
      </c>
      <c r="B404" t="s">
        <v>974</v>
      </c>
      <c r="C404" t="s">
        <v>20</v>
      </c>
      <c r="D404" s="1" t="s">
        <v>52</v>
      </c>
      <c r="E404" t="s">
        <v>375</v>
      </c>
      <c r="F404" s="5" t="str">
        <f>HYPERLINK("http://www.otzar.org/book.asp?627007","בירורי הלכה - 4 כר'")</f>
        <v>בירורי הלכה - 4 כר'</v>
      </c>
    </row>
    <row r="405" spans="1:6" x14ac:dyDescent="0.2">
      <c r="A405" t="s">
        <v>975</v>
      </c>
      <c r="E405" t="s">
        <v>37</v>
      </c>
      <c r="F405" s="5" t="str">
        <f>HYPERLINK("http://www.otzar.org/book.asp?630448","בירורי השיטות - מלאכת יום טוב")</f>
        <v>בירורי השיטות - מלאכת יום טוב</v>
      </c>
    </row>
    <row r="406" spans="1:6" x14ac:dyDescent="0.2">
      <c r="A406" t="s">
        <v>976</v>
      </c>
      <c r="B406" t="s">
        <v>977</v>
      </c>
      <c r="C406" t="s">
        <v>190</v>
      </c>
      <c r="D406" s="1" t="s">
        <v>64</v>
      </c>
      <c r="E406" t="s">
        <v>22</v>
      </c>
      <c r="F406" s="5" t="str">
        <f>HYPERLINK("http://www.otzar.org/book.asp?627824","בירורי סוגיות - ריבית")</f>
        <v>בירורי סוגיות - ריבית</v>
      </c>
    </row>
    <row r="407" spans="1:6" x14ac:dyDescent="0.2">
      <c r="A407" t="s">
        <v>978</v>
      </c>
      <c r="B407" t="s">
        <v>979</v>
      </c>
      <c r="C407" t="s">
        <v>8</v>
      </c>
      <c r="D407" s="1" t="s">
        <v>803</v>
      </c>
      <c r="E407" t="s">
        <v>61</v>
      </c>
      <c r="F407" s="5" t="str">
        <f>HYPERLINK("http://www.otzar.org/book.asp?627409","בירורי סוגיות - 5 כר'")</f>
        <v>בירורי סוגיות - 5 כר'</v>
      </c>
    </row>
    <row r="408" spans="1:6" x14ac:dyDescent="0.2">
      <c r="A408" t="s">
        <v>980</v>
      </c>
      <c r="B408" t="s">
        <v>786</v>
      </c>
      <c r="C408" t="s">
        <v>226</v>
      </c>
      <c r="D408" s="1" t="s">
        <v>9</v>
      </c>
      <c r="E408" t="s">
        <v>37</v>
      </c>
      <c r="F408" s="5" t="str">
        <f>HYPERLINK("http://www.otzar.org/book.asp?625461","בישול במערכת קיטור")</f>
        <v>בישול במערכת קיטור</v>
      </c>
    </row>
    <row r="409" spans="1:6" x14ac:dyDescent="0.2">
      <c r="A409" t="s">
        <v>981</v>
      </c>
      <c r="B409" t="s">
        <v>982</v>
      </c>
      <c r="C409" t="s">
        <v>411</v>
      </c>
      <c r="D409" s="1" t="s">
        <v>64</v>
      </c>
      <c r="E409" t="s">
        <v>37</v>
      </c>
      <c r="F409" s="5" t="str">
        <f>HYPERLINK("http://www.otzar.org/book.asp?630160","בישול בשבת - מדריך הלכתי מאוייר")</f>
        <v>בישול בשבת - מדריך הלכתי מאוייר</v>
      </c>
    </row>
    <row r="410" spans="1:6" x14ac:dyDescent="0.2">
      <c r="A410" t="s">
        <v>983</v>
      </c>
      <c r="B410" t="s">
        <v>984</v>
      </c>
      <c r="C410" t="s">
        <v>985</v>
      </c>
      <c r="D410" s="1" t="s">
        <v>986</v>
      </c>
      <c r="E410" t="s">
        <v>49</v>
      </c>
      <c r="F410" s="5" t="str">
        <f>HYPERLINK("http://www.otzar.org/book.asp?625394","בית אבא")</f>
        <v>בית אבא</v>
      </c>
    </row>
    <row r="411" spans="1:6" x14ac:dyDescent="0.2">
      <c r="A411" t="s">
        <v>987</v>
      </c>
      <c r="B411" t="s">
        <v>364</v>
      </c>
      <c r="C411" t="s">
        <v>13</v>
      </c>
      <c r="D411" s="1" t="s">
        <v>9</v>
      </c>
      <c r="F411" s="5" t="str">
        <f>HYPERLINK("http://www.otzar.org/book.asp?633171","בית אהרן וישראל - 7 כר'")</f>
        <v>בית אהרן וישראל - 7 כר'</v>
      </c>
    </row>
    <row r="412" spans="1:6" x14ac:dyDescent="0.2">
      <c r="A412" t="s">
        <v>988</v>
      </c>
      <c r="B412" t="s">
        <v>989</v>
      </c>
      <c r="C412" t="s">
        <v>818</v>
      </c>
      <c r="D412" s="1" t="s">
        <v>14</v>
      </c>
      <c r="E412" t="s">
        <v>37</v>
      </c>
      <c r="F412" s="5" t="str">
        <f>HYPERLINK("http://www.otzar.org/book.asp?623857","בית אהרן על הלכות חדש")</f>
        <v>בית אהרן על הלכות חדש</v>
      </c>
    </row>
    <row r="413" spans="1:6" x14ac:dyDescent="0.2">
      <c r="A413" t="s">
        <v>990</v>
      </c>
      <c r="B413" t="s">
        <v>991</v>
      </c>
      <c r="C413" t="s">
        <v>20</v>
      </c>
      <c r="D413" s="1" t="s">
        <v>14</v>
      </c>
      <c r="E413" t="s">
        <v>22</v>
      </c>
      <c r="F413" s="5" t="str">
        <f>HYPERLINK("http://www.otzar.org/book.asp?629333","בית אוצר השיעורים - 2 כר'")</f>
        <v>בית אוצר השיעורים - 2 כר'</v>
      </c>
    </row>
    <row r="414" spans="1:6" x14ac:dyDescent="0.2">
      <c r="A414" t="s">
        <v>992</v>
      </c>
      <c r="B414" t="s">
        <v>993</v>
      </c>
      <c r="C414" t="s">
        <v>20</v>
      </c>
      <c r="D414" s="1" t="s">
        <v>14</v>
      </c>
      <c r="E414" t="s">
        <v>37</v>
      </c>
      <c r="F414" s="5" t="str">
        <f>HYPERLINK("http://www.otzar.org/book.asp?628596","בית אליהו - 2 כר'")</f>
        <v>בית אליהו - 2 כר'</v>
      </c>
    </row>
    <row r="415" spans="1:6" x14ac:dyDescent="0.2">
      <c r="A415" t="s">
        <v>994</v>
      </c>
      <c r="B415" t="s">
        <v>995</v>
      </c>
      <c r="C415" t="s">
        <v>25</v>
      </c>
      <c r="D415" s="1" t="s">
        <v>229</v>
      </c>
      <c r="E415" t="s">
        <v>22</v>
      </c>
      <c r="F415" s="5" t="str">
        <f>HYPERLINK("http://www.otzar.org/book.asp?629608","בית אליהו - כיצד מברכין מה""ב")</f>
        <v>בית אליהו - כיצד מברכין מה"ב</v>
      </c>
    </row>
    <row r="416" spans="1:6" x14ac:dyDescent="0.2">
      <c r="A416" t="s">
        <v>996</v>
      </c>
      <c r="B416" t="s">
        <v>997</v>
      </c>
      <c r="E416" t="s">
        <v>836</v>
      </c>
      <c r="F416" s="5" t="str">
        <f>HYPERLINK("http://www.otzar.org/book.asp?627978","בית אשר - ב")</f>
        <v>בית אשר - ב</v>
      </c>
    </row>
    <row r="417" spans="1:6" x14ac:dyDescent="0.2">
      <c r="A417" t="s">
        <v>998</v>
      </c>
      <c r="B417" t="s">
        <v>91</v>
      </c>
      <c r="C417" t="s">
        <v>999</v>
      </c>
      <c r="D417" s="1" t="s">
        <v>9</v>
      </c>
      <c r="E417" t="s">
        <v>168</v>
      </c>
      <c r="F417" s="5" t="str">
        <f>HYPERLINK("http://www.otzar.org/book.asp?625657","בית גנזי &lt;על התורה&gt; - ח (במדבר ב)")</f>
        <v>בית גנזי &lt;על התורה&gt; - ח (במדבר ב)</v>
      </c>
    </row>
    <row r="418" spans="1:6" x14ac:dyDescent="0.2">
      <c r="A418" t="s">
        <v>1000</v>
      </c>
      <c r="B418" t="s">
        <v>1001</v>
      </c>
      <c r="C418" t="s">
        <v>1002</v>
      </c>
      <c r="D418" s="1" t="s">
        <v>29</v>
      </c>
      <c r="E418" t="s">
        <v>41</v>
      </c>
      <c r="F418" s="5" t="str">
        <f>HYPERLINK("http://www.otzar.org/book.asp?623727","בית דוד")</f>
        <v>בית דוד</v>
      </c>
    </row>
    <row r="419" spans="1:6" x14ac:dyDescent="0.2">
      <c r="A419" t="s">
        <v>1003</v>
      </c>
      <c r="B419" t="s">
        <v>1004</v>
      </c>
      <c r="C419" t="s">
        <v>136</v>
      </c>
      <c r="D419" s="1" t="s">
        <v>64</v>
      </c>
      <c r="E419" t="s">
        <v>154</v>
      </c>
      <c r="F419" s="5" t="str">
        <f>HYPERLINK("http://www.otzar.org/book.asp?630883","בית דוד - הלכות חג הסוכות")</f>
        <v>בית דוד - הלכות חג הסוכות</v>
      </c>
    </row>
    <row r="420" spans="1:6" x14ac:dyDescent="0.2">
      <c r="A420" t="s">
        <v>1005</v>
      </c>
      <c r="B420" t="s">
        <v>991</v>
      </c>
      <c r="C420" t="s">
        <v>307</v>
      </c>
      <c r="D420" s="1" t="s">
        <v>14</v>
      </c>
      <c r="E420" t="s">
        <v>22</v>
      </c>
      <c r="F420" s="5" t="str">
        <f>HYPERLINK("http://www.otzar.org/book.asp?629336","בית האוצר - 5 כר'")</f>
        <v>בית האוצר - 5 כר'</v>
      </c>
    </row>
    <row r="421" spans="1:6" x14ac:dyDescent="0.2">
      <c r="A421" t="s">
        <v>1006</v>
      </c>
      <c r="B421" t="s">
        <v>138</v>
      </c>
      <c r="C421" t="s">
        <v>13</v>
      </c>
      <c r="D421" s="1" t="s">
        <v>52</v>
      </c>
      <c r="E421" t="s">
        <v>295</v>
      </c>
      <c r="F421" s="5" t="str">
        <f>HYPERLINK("http://www.otzar.org/book.asp?629663","בית הבחירה - ביאור לשבע ברכות")</f>
        <v>בית הבחירה - ביאור לשבע ברכות</v>
      </c>
    </row>
    <row r="422" spans="1:6" x14ac:dyDescent="0.2">
      <c r="A422" t="s">
        <v>1007</v>
      </c>
      <c r="B422" t="s">
        <v>1008</v>
      </c>
      <c r="C422" t="s">
        <v>40</v>
      </c>
      <c r="D422" s="1" t="s">
        <v>14</v>
      </c>
      <c r="E422" t="s">
        <v>37</v>
      </c>
      <c r="F422" s="5" t="str">
        <f>HYPERLINK("http://www.otzar.org/book.asp?625527","בית הוראה (קיצור)")</f>
        <v>בית הוראה (קיצור)</v>
      </c>
    </row>
    <row r="423" spans="1:6" x14ac:dyDescent="0.2">
      <c r="A423" t="s">
        <v>1009</v>
      </c>
      <c r="B423" t="s">
        <v>1008</v>
      </c>
      <c r="C423" t="s">
        <v>73</v>
      </c>
      <c r="D423" s="1" t="s">
        <v>14</v>
      </c>
      <c r="E423" t="s">
        <v>37</v>
      </c>
      <c r="F423" s="5" t="str">
        <f>HYPERLINK("http://www.otzar.org/book.asp?625282","בית הוראה")</f>
        <v>בית הוראה</v>
      </c>
    </row>
    <row r="424" spans="1:6" x14ac:dyDescent="0.2">
      <c r="A424" t="s">
        <v>1010</v>
      </c>
      <c r="B424" t="s">
        <v>1011</v>
      </c>
      <c r="C424" t="s">
        <v>73</v>
      </c>
      <c r="D424" s="1" t="s">
        <v>9</v>
      </c>
      <c r="E424" t="s">
        <v>37</v>
      </c>
      <c r="F424" s="5" t="str">
        <f>HYPERLINK("http://www.otzar.org/book.asp?630882","בית הוראה - א")</f>
        <v>בית הוראה - א</v>
      </c>
    </row>
    <row r="425" spans="1:6" x14ac:dyDescent="0.2">
      <c r="A425" t="s">
        <v>1012</v>
      </c>
      <c r="B425" t="s">
        <v>1013</v>
      </c>
      <c r="C425" t="s">
        <v>20</v>
      </c>
      <c r="D425" s="1" t="s">
        <v>14</v>
      </c>
      <c r="E425" t="s">
        <v>49</v>
      </c>
      <c r="F425" s="5" t="str">
        <f>HYPERLINK("http://www.otzar.org/book.asp?629342","בית היין")</f>
        <v>בית היין</v>
      </c>
    </row>
    <row r="426" spans="1:6" x14ac:dyDescent="0.2">
      <c r="A426" t="s">
        <v>1014</v>
      </c>
      <c r="B426" t="s">
        <v>1015</v>
      </c>
      <c r="C426" t="s">
        <v>190</v>
      </c>
      <c r="D426" s="1" t="s">
        <v>64</v>
      </c>
      <c r="E426" t="s">
        <v>214</v>
      </c>
      <c r="F426" s="5" t="str">
        <f>HYPERLINK("http://www.otzar.org/book.asp?627875","בית ועד לחכמים - 4 כר'")</f>
        <v>בית ועד לחכמים - 4 כר'</v>
      </c>
    </row>
    <row r="427" spans="1:6" x14ac:dyDescent="0.2">
      <c r="A427" t="s">
        <v>1016</v>
      </c>
      <c r="B427" t="s">
        <v>1017</v>
      </c>
      <c r="C427" t="s">
        <v>8</v>
      </c>
      <c r="D427" s="1" t="s">
        <v>9</v>
      </c>
      <c r="E427" t="s">
        <v>214</v>
      </c>
      <c r="F427" s="5" t="str">
        <f>HYPERLINK("http://www.otzar.org/book.asp?628629","בית ועד לחכמים - 9 כר'")</f>
        <v>בית ועד לחכמים - 9 כר'</v>
      </c>
    </row>
    <row r="428" spans="1:6" x14ac:dyDescent="0.2">
      <c r="A428" t="s">
        <v>1018</v>
      </c>
      <c r="B428" t="s">
        <v>1019</v>
      </c>
      <c r="C428" t="s">
        <v>411</v>
      </c>
      <c r="D428" s="1" t="s">
        <v>9</v>
      </c>
      <c r="E428" t="s">
        <v>22</v>
      </c>
      <c r="F428" s="5" t="str">
        <f>HYPERLINK("http://www.otzar.org/book.asp?627156","בית יהודה (חידושי מהריב""ן) - 3 כר'")</f>
        <v>בית יהודה (חידושי מהריב"ן) - 3 כר'</v>
      </c>
    </row>
    <row r="429" spans="1:6" x14ac:dyDescent="0.2">
      <c r="A429" t="s">
        <v>1020</v>
      </c>
      <c r="B429" t="s">
        <v>96</v>
      </c>
      <c r="C429" t="s">
        <v>73</v>
      </c>
      <c r="D429" s="1" t="s">
        <v>9</v>
      </c>
      <c r="E429" t="s">
        <v>37</v>
      </c>
      <c r="F429" s="5" t="str">
        <f>HYPERLINK("http://www.otzar.org/book.asp?627580","בית יוסף &lt;מהדורת זכרון אהרן&gt;")</f>
        <v>בית יוסף &lt;מהדורת זכרון אהרן&gt;</v>
      </c>
    </row>
    <row r="430" spans="1:6" x14ac:dyDescent="0.2">
      <c r="A430" t="s">
        <v>1021</v>
      </c>
      <c r="B430" t="s">
        <v>1022</v>
      </c>
      <c r="C430" t="s">
        <v>1023</v>
      </c>
      <c r="D430" s="1" t="s">
        <v>9</v>
      </c>
      <c r="E430" t="s">
        <v>565</v>
      </c>
      <c r="F430" s="5" t="str">
        <f>HYPERLINK("http://www.otzar.org/book.asp?626405","בית יחיאל - שביעית")</f>
        <v>בית יחיאל - שביעית</v>
      </c>
    </row>
    <row r="431" spans="1:6" x14ac:dyDescent="0.2">
      <c r="A431" t="s">
        <v>1024</v>
      </c>
      <c r="B431" t="s">
        <v>1025</v>
      </c>
      <c r="C431" t="s">
        <v>1026</v>
      </c>
      <c r="D431" s="1" t="s">
        <v>9</v>
      </c>
      <c r="E431" t="s">
        <v>214</v>
      </c>
      <c r="F431" s="5" t="str">
        <f>HYPERLINK("http://www.otzar.org/book.asp?626302","בית יעקב - 4 כר'")</f>
        <v>בית יעקב - 4 כר'</v>
      </c>
    </row>
    <row r="432" spans="1:6" x14ac:dyDescent="0.2">
      <c r="A432" t="s">
        <v>1027</v>
      </c>
      <c r="B432" t="s">
        <v>201</v>
      </c>
      <c r="C432" t="s">
        <v>1028</v>
      </c>
      <c r="D432" s="1" t="s">
        <v>355</v>
      </c>
      <c r="E432" t="s">
        <v>168</v>
      </c>
      <c r="F432" s="5" t="str">
        <f>HYPERLINK("http://www.otzar.org/book.asp?626442","בית יעקב - וזאת ליהודה")</f>
        <v>בית יעקב - וזאת ליהודה</v>
      </c>
    </row>
    <row r="433" spans="1:6" x14ac:dyDescent="0.2">
      <c r="A433" t="s">
        <v>1029</v>
      </c>
      <c r="B433" t="s">
        <v>1030</v>
      </c>
      <c r="C433" t="s">
        <v>379</v>
      </c>
      <c r="D433" s="1" t="s">
        <v>29</v>
      </c>
      <c r="E433" t="s">
        <v>214</v>
      </c>
      <c r="F433" s="5" t="str">
        <f>HYPERLINK("http://www.otzar.org/book.asp?627152","בית יצחק - 4 כר'")</f>
        <v>בית יצחק - 4 כר'</v>
      </c>
    </row>
    <row r="434" spans="1:6" x14ac:dyDescent="0.2">
      <c r="A434" t="s">
        <v>1031</v>
      </c>
      <c r="B434" t="s">
        <v>1032</v>
      </c>
      <c r="C434" t="s">
        <v>20</v>
      </c>
      <c r="D434" s="1" t="s">
        <v>1033</v>
      </c>
      <c r="E434" t="s">
        <v>34</v>
      </c>
      <c r="F434" s="5" t="str">
        <f>HYPERLINK("http://www.otzar.org/book.asp?630881","בית ישי - חלק פירות האילן")</f>
        <v>בית ישי - חלק פירות האילן</v>
      </c>
    </row>
    <row r="435" spans="1:6" x14ac:dyDescent="0.2">
      <c r="A435" t="s">
        <v>1034</v>
      </c>
      <c r="B435" t="s">
        <v>1035</v>
      </c>
      <c r="C435" t="s">
        <v>76</v>
      </c>
      <c r="D435" s="1" t="s">
        <v>9</v>
      </c>
      <c r="E435" t="s">
        <v>199</v>
      </c>
      <c r="F435" s="5" t="str">
        <f>HYPERLINK("http://www.otzar.org/book.asp?15314","בית ישראל (טור - חושן משפט)")</f>
        <v>בית ישראל (טור - חושן משפט)</v>
      </c>
    </row>
    <row r="436" spans="1:6" x14ac:dyDescent="0.2">
      <c r="A436" t="s">
        <v>1036</v>
      </c>
      <c r="B436" t="s">
        <v>1037</v>
      </c>
      <c r="C436" t="s">
        <v>787</v>
      </c>
      <c r="D436" s="1" t="s">
        <v>9</v>
      </c>
      <c r="E436" t="s">
        <v>49</v>
      </c>
      <c r="F436" s="5" t="str">
        <f>HYPERLINK("http://www.otzar.org/book.asp?629247","בית ישראל באמריקה")</f>
        <v>בית ישראל באמריקה</v>
      </c>
    </row>
    <row r="437" spans="1:6" x14ac:dyDescent="0.2">
      <c r="A437" t="s">
        <v>1038</v>
      </c>
      <c r="B437" t="s">
        <v>1039</v>
      </c>
      <c r="C437" t="s">
        <v>13</v>
      </c>
      <c r="D437" s="1" t="s">
        <v>9</v>
      </c>
      <c r="E437" t="s">
        <v>22</v>
      </c>
      <c r="F437" s="5" t="str">
        <f>HYPERLINK("http://www.otzar.org/book.asp?627551","בית ישראל - פסחים, יומא, ר""ה, מגילה, מו""ק, מנחות")</f>
        <v>בית ישראל - פסחים, יומא, ר"ה, מגילה, מו"ק, מנחות</v>
      </c>
    </row>
    <row r="438" spans="1:6" x14ac:dyDescent="0.2">
      <c r="A438" t="s">
        <v>1040</v>
      </c>
      <c r="B438" t="s">
        <v>1041</v>
      </c>
      <c r="C438" t="s">
        <v>103</v>
      </c>
      <c r="D438" s="1" t="s">
        <v>9</v>
      </c>
      <c r="E438" t="s">
        <v>37</v>
      </c>
      <c r="F438" s="5" t="str">
        <f>HYPERLINK("http://www.otzar.org/book.asp?623349","בית ישראל")</f>
        <v>בית ישראל</v>
      </c>
    </row>
    <row r="439" spans="1:6" x14ac:dyDescent="0.2">
      <c r="A439" t="s">
        <v>1042</v>
      </c>
      <c r="B439" t="s">
        <v>1043</v>
      </c>
      <c r="C439" t="s">
        <v>8</v>
      </c>
      <c r="D439" s="1" t="s">
        <v>1044</v>
      </c>
      <c r="E439" t="s">
        <v>37</v>
      </c>
      <c r="F439" s="5" t="str">
        <f>HYPERLINK("http://www.otzar.org/book.asp?630859","בית לשמי")</f>
        <v>בית לשמי</v>
      </c>
    </row>
    <row r="440" spans="1:6" x14ac:dyDescent="0.2">
      <c r="A440" t="s">
        <v>1045</v>
      </c>
      <c r="B440" t="s">
        <v>1046</v>
      </c>
      <c r="E440" t="s">
        <v>1047</v>
      </c>
      <c r="F440" s="5" t="str">
        <f>HYPERLINK("http://www.otzar.org/book.asp?628198","בית מאיר")</f>
        <v>בית מאיר</v>
      </c>
    </row>
    <row r="441" spans="1:6" x14ac:dyDescent="0.2">
      <c r="A441" t="s">
        <v>1048</v>
      </c>
      <c r="B441" t="s">
        <v>1049</v>
      </c>
      <c r="C441" t="s">
        <v>1050</v>
      </c>
      <c r="D441" s="1" t="s">
        <v>1051</v>
      </c>
      <c r="E441" t="s">
        <v>22</v>
      </c>
      <c r="F441" s="5" t="str">
        <f>HYPERLINK("http://www.otzar.org/book.asp?625978","בית מהרא""י")</f>
        <v>בית מהרא"י</v>
      </c>
    </row>
    <row r="442" spans="1:6" x14ac:dyDescent="0.2">
      <c r="A442" t="s">
        <v>1052</v>
      </c>
      <c r="B442" t="s">
        <v>1053</v>
      </c>
      <c r="C442" t="s">
        <v>13</v>
      </c>
      <c r="D442" s="1" t="s">
        <v>9</v>
      </c>
      <c r="E442" t="s">
        <v>22</v>
      </c>
      <c r="F442" s="5" t="str">
        <f>HYPERLINK("http://www.otzar.org/book.asp?628774","בית מתתיהו - ג")</f>
        <v>בית מתתיהו - ג</v>
      </c>
    </row>
    <row r="443" spans="1:6" x14ac:dyDescent="0.2">
      <c r="A443" t="s">
        <v>1054</v>
      </c>
      <c r="B443" t="s">
        <v>1055</v>
      </c>
      <c r="C443" t="s">
        <v>133</v>
      </c>
      <c r="D443" s="1" t="s">
        <v>14</v>
      </c>
      <c r="E443" t="s">
        <v>214</v>
      </c>
      <c r="F443" s="5" t="str">
        <f>HYPERLINK("http://www.otzar.org/book.asp?625549","בית עבר - 2 כר'")</f>
        <v>בית עבר - 2 כר'</v>
      </c>
    </row>
    <row r="444" spans="1:6" x14ac:dyDescent="0.2">
      <c r="A444" t="s">
        <v>1056</v>
      </c>
      <c r="B444" t="s">
        <v>1057</v>
      </c>
      <c r="C444" t="s">
        <v>1058</v>
      </c>
      <c r="D444" s="1" t="s">
        <v>1059</v>
      </c>
      <c r="E444" t="s">
        <v>168</v>
      </c>
      <c r="F444" s="5" t="str">
        <f>HYPERLINK("http://www.otzar.org/book.asp?624705","בית שמואל אחרון")</f>
        <v>בית שמואל אחרון</v>
      </c>
    </row>
    <row r="445" spans="1:6" x14ac:dyDescent="0.2">
      <c r="A445" t="s">
        <v>1060</v>
      </c>
      <c r="B445" t="s">
        <v>1061</v>
      </c>
      <c r="C445" t="s">
        <v>13</v>
      </c>
      <c r="D445" s="1" t="s">
        <v>782</v>
      </c>
      <c r="E445" t="s">
        <v>37</v>
      </c>
      <c r="F445" s="5" t="str">
        <f>HYPERLINK("http://www.otzar.org/book.asp?631194","ביתך ושעריך - מזוזה")</f>
        <v>ביתך ושעריך - מזוזה</v>
      </c>
    </row>
    <row r="446" spans="1:6" x14ac:dyDescent="0.2">
      <c r="A446" t="s">
        <v>1062</v>
      </c>
      <c r="B446" t="s">
        <v>1063</v>
      </c>
      <c r="C446" t="s">
        <v>148</v>
      </c>
      <c r="D446" s="1" t="s">
        <v>9</v>
      </c>
      <c r="E446" t="s">
        <v>22</v>
      </c>
      <c r="F446" s="5" t="str">
        <f>HYPERLINK("http://www.otzar.org/book.asp?624651","בכורי חיל - כתובות")</f>
        <v>בכורי חיל - כתובות</v>
      </c>
    </row>
    <row r="447" spans="1:6" x14ac:dyDescent="0.2">
      <c r="A447" t="s">
        <v>1064</v>
      </c>
      <c r="B447" t="s">
        <v>1065</v>
      </c>
      <c r="C447" t="s">
        <v>1066</v>
      </c>
      <c r="D447" s="1" t="s">
        <v>1067</v>
      </c>
      <c r="E447" t="s">
        <v>214</v>
      </c>
      <c r="F447" s="5" t="str">
        <f>HYPERLINK("http://www.otzar.org/book.asp?624683","בכורים - ז")</f>
        <v>בכורים - ז</v>
      </c>
    </row>
    <row r="448" spans="1:6" x14ac:dyDescent="0.2">
      <c r="A448" t="s">
        <v>1068</v>
      </c>
      <c r="B448" t="s">
        <v>1069</v>
      </c>
      <c r="C448" t="s">
        <v>1070</v>
      </c>
      <c r="D448" s="1" t="s">
        <v>1071</v>
      </c>
      <c r="E448" t="s">
        <v>49</v>
      </c>
      <c r="F448" s="5" t="str">
        <f>HYPERLINK("http://www.otzar.org/book.asp?627380","בכורים - מסע במצרים")</f>
        <v>בכורים - מסע במצרים</v>
      </c>
    </row>
    <row r="449" spans="1:6" x14ac:dyDescent="0.2">
      <c r="A449" t="s">
        <v>1072</v>
      </c>
      <c r="B449" t="s">
        <v>1073</v>
      </c>
      <c r="C449" t="s">
        <v>1074</v>
      </c>
      <c r="D449" s="1" t="s">
        <v>9</v>
      </c>
      <c r="E449" t="s">
        <v>371</v>
      </c>
      <c r="F449" s="5" t="str">
        <f>HYPERLINK("http://www.otzar.org/book.asp?627056","בלב קשוב - תולדות רבי אליעזר ברגמן")</f>
        <v>בלב קשוב - תולדות רבי אליעזר ברגמן</v>
      </c>
    </row>
    <row r="450" spans="1:6" x14ac:dyDescent="0.2">
      <c r="A450" t="s">
        <v>1075</v>
      </c>
      <c r="B450" t="s">
        <v>1076</v>
      </c>
      <c r="C450" t="s">
        <v>136</v>
      </c>
      <c r="D450" s="1" t="s">
        <v>9</v>
      </c>
      <c r="F450" s="5" t="str">
        <f>HYPERLINK("http://www.otzar.org/book.asp?632021","בלבנת הספיר")</f>
        <v>בלבנת הספיר</v>
      </c>
    </row>
    <row r="451" spans="1:6" x14ac:dyDescent="0.2">
      <c r="A451" t="s">
        <v>1077</v>
      </c>
      <c r="B451" t="s">
        <v>1078</v>
      </c>
      <c r="C451" t="s">
        <v>13</v>
      </c>
      <c r="D451" s="1" t="s">
        <v>14</v>
      </c>
      <c r="E451" t="s">
        <v>49</v>
      </c>
      <c r="F451" s="5" t="str">
        <f>HYPERLINK("http://www.otzar.org/book.asp?626258","בלבת אש - 2 כר'")</f>
        <v>בלבת אש - 2 כר'</v>
      </c>
    </row>
    <row r="452" spans="1:6" x14ac:dyDescent="0.2">
      <c r="A452" t="s">
        <v>1079</v>
      </c>
      <c r="B452" t="s">
        <v>364</v>
      </c>
      <c r="C452" t="s">
        <v>1023</v>
      </c>
      <c r="D452" s="1" t="s">
        <v>795</v>
      </c>
      <c r="F452" s="5" t="str">
        <f>HYPERLINK("http://www.otzar.org/book.asp?630408","בלכתך בדרך - תשנ""ד")</f>
        <v>בלכתך בדרך - תשנ"ד</v>
      </c>
    </row>
    <row r="453" spans="1:6" x14ac:dyDescent="0.2">
      <c r="A453" t="s">
        <v>1080</v>
      </c>
      <c r="B453" t="s">
        <v>1081</v>
      </c>
      <c r="E453" t="s">
        <v>187</v>
      </c>
      <c r="F453" s="5" t="str">
        <f>HYPERLINK("http://www.otzar.org/book.asp?628019","במאי זכיין")</f>
        <v>במאי זכיין</v>
      </c>
    </row>
    <row r="454" spans="1:6" x14ac:dyDescent="0.2">
      <c r="A454" t="s">
        <v>1082</v>
      </c>
      <c r="B454" t="s">
        <v>1083</v>
      </c>
      <c r="C454" t="s">
        <v>206</v>
      </c>
      <c r="D454" s="1" t="s">
        <v>471</v>
      </c>
      <c r="E454" t="s">
        <v>37</v>
      </c>
      <c r="F454" s="5" t="str">
        <f>HYPERLINK("http://www.otzar.org/book.asp?625825","במותר לו")</f>
        <v>במותר לו</v>
      </c>
    </row>
    <row r="455" spans="1:6" x14ac:dyDescent="0.2">
      <c r="A455" t="s">
        <v>1084</v>
      </c>
      <c r="B455" t="s">
        <v>1085</v>
      </c>
      <c r="C455" t="s">
        <v>73</v>
      </c>
      <c r="D455" s="1" t="s">
        <v>229</v>
      </c>
      <c r="E455" t="s">
        <v>41</v>
      </c>
      <c r="F455" s="5" t="str">
        <f>HYPERLINK("http://www.otzar.org/book.asp?626215","במחוקק משענתם - ב")</f>
        <v>במחוקק משענתם - ב</v>
      </c>
    </row>
    <row r="456" spans="1:6" x14ac:dyDescent="0.2">
      <c r="A456" t="s">
        <v>1086</v>
      </c>
      <c r="B456" t="s">
        <v>1087</v>
      </c>
      <c r="C456" t="s">
        <v>13</v>
      </c>
      <c r="D456" s="1" t="s">
        <v>1088</v>
      </c>
      <c r="E456" t="s">
        <v>37</v>
      </c>
      <c r="F456" s="5" t="str">
        <f>HYPERLINK("http://www.otzar.org/book.asp?630433","במחיצת חכמי ישראל")</f>
        <v>במחיצת חכמי ישראל</v>
      </c>
    </row>
    <row r="457" spans="1:6" x14ac:dyDescent="0.2">
      <c r="A457" t="s">
        <v>1089</v>
      </c>
      <c r="B457" t="s">
        <v>1090</v>
      </c>
      <c r="C457" t="s">
        <v>20</v>
      </c>
      <c r="D457" s="1" t="s">
        <v>52</v>
      </c>
      <c r="F457" s="5" t="str">
        <f>HYPERLINK("http://www.otzar.org/book.asp?631856","במסילה נעלה")</f>
        <v>במסילה נעלה</v>
      </c>
    </row>
    <row r="458" spans="1:6" x14ac:dyDescent="0.2">
      <c r="A458" t="s">
        <v>1091</v>
      </c>
      <c r="B458" t="s">
        <v>1092</v>
      </c>
      <c r="C458" t="s">
        <v>20</v>
      </c>
      <c r="D458" s="1" t="s">
        <v>9</v>
      </c>
      <c r="E458" t="s">
        <v>89</v>
      </c>
      <c r="F458" s="5" t="str">
        <f>HYPERLINK("http://www.otzar.org/book.asp?623569","במעגלי ישר - 2 כר'")</f>
        <v>במעגלי ישר - 2 כר'</v>
      </c>
    </row>
    <row r="459" spans="1:6" x14ac:dyDescent="0.2">
      <c r="A459" t="s">
        <v>1093</v>
      </c>
      <c r="B459" t="s">
        <v>94</v>
      </c>
      <c r="C459" t="s">
        <v>8</v>
      </c>
      <c r="D459" s="1" t="s">
        <v>52</v>
      </c>
      <c r="E459" t="s">
        <v>34</v>
      </c>
      <c r="F459" s="5" t="str">
        <f>HYPERLINK("http://www.otzar.org/book.asp?629871","במעלות היראה")</f>
        <v>במעלות היראה</v>
      </c>
    </row>
    <row r="460" spans="1:6" x14ac:dyDescent="0.2">
      <c r="A460" t="s">
        <v>1094</v>
      </c>
      <c r="B460" t="s">
        <v>1095</v>
      </c>
      <c r="C460" t="s">
        <v>999</v>
      </c>
      <c r="D460" s="1" t="s">
        <v>1096</v>
      </c>
      <c r="E460" t="s">
        <v>295</v>
      </c>
      <c r="F460" s="5" t="str">
        <f>HYPERLINK("http://www.otzar.org/book.asp?628225","במעמד השחר")</f>
        <v>במעמד השחר</v>
      </c>
    </row>
    <row r="461" spans="1:6" x14ac:dyDescent="0.2">
      <c r="A461" t="s">
        <v>1097</v>
      </c>
      <c r="B461" t="s">
        <v>1098</v>
      </c>
      <c r="E461" t="s">
        <v>49</v>
      </c>
      <c r="F461" s="5" t="str">
        <f>HYPERLINK("http://www.otzar.org/book.asp?624601","במשעול הכרם - דרכי לימוד וקנין תורה")</f>
        <v>במשעול הכרם - דרכי לימוד וקנין תורה</v>
      </c>
    </row>
    <row r="462" spans="1:6" x14ac:dyDescent="0.2">
      <c r="A462" t="s">
        <v>1099</v>
      </c>
      <c r="B462" t="s">
        <v>1100</v>
      </c>
      <c r="C462" t="s">
        <v>20</v>
      </c>
      <c r="D462" s="1" t="s">
        <v>9</v>
      </c>
      <c r="E462" t="s">
        <v>37</v>
      </c>
      <c r="F462" s="5" t="str">
        <f>HYPERLINK("http://www.otzar.org/book.asp?629231","בן איש חי &lt;אבן חי-ציוני אשר&gt; במדבר א")</f>
        <v>בן איש חי &lt;אבן חי-ציוני אשר&gt; במדבר א</v>
      </c>
    </row>
    <row r="463" spans="1:6" x14ac:dyDescent="0.2">
      <c r="A463" t="s">
        <v>1101</v>
      </c>
      <c r="B463" t="s">
        <v>1102</v>
      </c>
      <c r="C463" t="s">
        <v>25</v>
      </c>
      <c r="D463" s="1" t="s">
        <v>21</v>
      </c>
      <c r="E463" t="s">
        <v>37</v>
      </c>
      <c r="F463" s="5" t="str">
        <f>HYPERLINK("http://www.otzar.org/book.asp?631195","בן איש חי וקיים - מועדים")</f>
        <v>בן איש חי וקיים - מועדים</v>
      </c>
    </row>
    <row r="464" spans="1:6" x14ac:dyDescent="0.2">
      <c r="A464" t="s">
        <v>1103</v>
      </c>
      <c r="B464" t="s">
        <v>1104</v>
      </c>
      <c r="C464" t="s">
        <v>1105</v>
      </c>
      <c r="D464" s="1" t="s">
        <v>9</v>
      </c>
      <c r="E464" t="s">
        <v>168</v>
      </c>
      <c r="F464" s="5" t="str">
        <f>HYPERLINK("http://www.otzar.org/book.asp?626460","בן ישכר - 2 כר'")</f>
        <v>בן ישכר - 2 כר'</v>
      </c>
    </row>
    <row r="465" spans="1:6" x14ac:dyDescent="0.2">
      <c r="A465" t="s">
        <v>1106</v>
      </c>
      <c r="B465" t="s">
        <v>777</v>
      </c>
      <c r="C465" t="s">
        <v>13</v>
      </c>
      <c r="D465" s="1" t="s">
        <v>9</v>
      </c>
      <c r="E465" t="s">
        <v>34</v>
      </c>
      <c r="F465" s="5" t="str">
        <f>HYPERLINK("http://www.otzar.org/book.asp?631152","בן מלך - 6 כר'")</f>
        <v>בן מלך - 6 כר'</v>
      </c>
    </row>
    <row r="466" spans="1:6" x14ac:dyDescent="0.2">
      <c r="A466" t="s">
        <v>1107</v>
      </c>
      <c r="B466" t="s">
        <v>1108</v>
      </c>
      <c r="C466" t="s">
        <v>463</v>
      </c>
      <c r="D466" s="1" t="s">
        <v>9</v>
      </c>
      <c r="E466" t="s">
        <v>37</v>
      </c>
      <c r="F466" s="5" t="str">
        <f>HYPERLINK("http://www.otzar.org/book.asp?623283","בנה ביתך כהלכה")</f>
        <v>בנה ביתך כהלכה</v>
      </c>
    </row>
    <row r="467" spans="1:6" x14ac:dyDescent="0.2">
      <c r="A467" t="s">
        <v>1109</v>
      </c>
      <c r="B467" t="s">
        <v>1110</v>
      </c>
      <c r="C467" t="s">
        <v>136</v>
      </c>
      <c r="D467" s="1" t="s">
        <v>476</v>
      </c>
      <c r="E467" t="s">
        <v>37</v>
      </c>
      <c r="F467" s="5" t="str">
        <f>HYPERLINK("http://www.otzar.org/book.asp?629343","בני אברהם א")</f>
        <v>בני אברהם א</v>
      </c>
    </row>
    <row r="468" spans="1:6" x14ac:dyDescent="0.2">
      <c r="A468" t="s">
        <v>1111</v>
      </c>
      <c r="B468" t="s">
        <v>1110</v>
      </c>
      <c r="C468" t="s">
        <v>25</v>
      </c>
      <c r="D468" s="1" t="s">
        <v>476</v>
      </c>
      <c r="E468" t="s">
        <v>37</v>
      </c>
      <c r="F468" s="5" t="str">
        <f>HYPERLINK("http://www.otzar.org/book.asp?629344","בני אברהם ב")</f>
        <v>בני אברהם ב</v>
      </c>
    </row>
    <row r="469" spans="1:6" x14ac:dyDescent="0.2">
      <c r="A469" t="s">
        <v>1112</v>
      </c>
      <c r="B469" t="s">
        <v>1110</v>
      </c>
      <c r="C469" t="s">
        <v>25</v>
      </c>
      <c r="D469" s="1" t="s">
        <v>476</v>
      </c>
      <c r="E469" t="s">
        <v>37</v>
      </c>
      <c r="F469" s="5" t="str">
        <f>HYPERLINK("http://www.otzar.org/book.asp?629345","בני אברהם - הלכות הכנה משבת לחול")</f>
        <v>בני אברהם - הלכות הכנה משבת לחול</v>
      </c>
    </row>
    <row r="470" spans="1:6" x14ac:dyDescent="0.2">
      <c r="A470" t="s">
        <v>1113</v>
      </c>
      <c r="B470" t="s">
        <v>1114</v>
      </c>
      <c r="C470" t="s">
        <v>20</v>
      </c>
      <c r="D470" s="1" t="s">
        <v>29</v>
      </c>
      <c r="E470" t="s">
        <v>89</v>
      </c>
      <c r="F470" s="5" t="str">
        <f>HYPERLINK("http://www.otzar.org/book.asp?627630","בני בכורי ישראל")</f>
        <v>בני בכורי ישראל</v>
      </c>
    </row>
    <row r="471" spans="1:6" x14ac:dyDescent="0.2">
      <c r="A471" t="s">
        <v>1115</v>
      </c>
      <c r="B471" t="s">
        <v>1116</v>
      </c>
      <c r="C471" t="s">
        <v>8</v>
      </c>
      <c r="D471" s="1" t="s">
        <v>803</v>
      </c>
      <c r="E471" t="s">
        <v>89</v>
      </c>
      <c r="F471" s="5" t="str">
        <f>HYPERLINK("http://www.otzar.org/book.asp?626261","בני בכורי ישראל - 2 כר'")</f>
        <v>בני בכורי ישראל - 2 כר'</v>
      </c>
    </row>
    <row r="472" spans="1:6" x14ac:dyDescent="0.2">
      <c r="A472" t="s">
        <v>1117</v>
      </c>
      <c r="B472" t="s">
        <v>1118</v>
      </c>
      <c r="C472" t="s">
        <v>1119</v>
      </c>
      <c r="D472" s="1" t="s">
        <v>1120</v>
      </c>
      <c r="E472" t="s">
        <v>214</v>
      </c>
      <c r="F472" s="5" t="str">
        <f>HYPERLINK("http://www.otzar.org/book.asp?626417","בני ברק ארבע שנות יצירה")</f>
        <v>בני ברק ארבע שנות יצירה</v>
      </c>
    </row>
    <row r="473" spans="1:6" x14ac:dyDescent="0.2">
      <c r="A473" t="s">
        <v>1121</v>
      </c>
      <c r="B473" t="s">
        <v>1122</v>
      </c>
      <c r="C473" t="s">
        <v>248</v>
      </c>
      <c r="D473" s="1" t="s">
        <v>471</v>
      </c>
      <c r="E473" t="s">
        <v>49</v>
      </c>
      <c r="F473" s="5" t="str">
        <f>HYPERLINK("http://www.otzar.org/book.asp?626337","בני חורין")</f>
        <v>בני חורין</v>
      </c>
    </row>
    <row r="474" spans="1:6" x14ac:dyDescent="0.2">
      <c r="A474" t="s">
        <v>1123</v>
      </c>
      <c r="B474" t="s">
        <v>364</v>
      </c>
      <c r="C474" t="s">
        <v>13</v>
      </c>
      <c r="D474" s="1" t="s">
        <v>21</v>
      </c>
      <c r="E474" t="s">
        <v>214</v>
      </c>
      <c r="F474" s="5" t="str">
        <f>HYPERLINK("http://www.otzar.org/book.asp?625431","בני חיל")</f>
        <v>בני חיל</v>
      </c>
    </row>
    <row r="475" spans="1:6" x14ac:dyDescent="0.2">
      <c r="A475" t="s">
        <v>1124</v>
      </c>
      <c r="B475" t="s">
        <v>1125</v>
      </c>
      <c r="C475" t="s">
        <v>136</v>
      </c>
      <c r="D475" s="1" t="s">
        <v>436</v>
      </c>
      <c r="E475" t="s">
        <v>22</v>
      </c>
      <c r="F475" s="5" t="str">
        <f>HYPERLINK("http://www.otzar.org/book.asp?624672","בני יהוידע")</f>
        <v>בני יהוידע</v>
      </c>
    </row>
    <row r="476" spans="1:6" x14ac:dyDescent="0.2">
      <c r="A476" t="s">
        <v>1126</v>
      </c>
      <c r="B476" t="s">
        <v>364</v>
      </c>
      <c r="C476" t="s">
        <v>1127</v>
      </c>
      <c r="D476" s="1" t="s">
        <v>9</v>
      </c>
      <c r="F476" s="5" t="str">
        <f>HYPERLINK("http://www.otzar.org/book.asp?625845","בני ציון - א")</f>
        <v>בני ציון - א</v>
      </c>
    </row>
    <row r="477" spans="1:6" x14ac:dyDescent="0.2">
      <c r="A477" t="s">
        <v>1128</v>
      </c>
      <c r="B477" t="s">
        <v>1129</v>
      </c>
      <c r="C477" t="s">
        <v>20</v>
      </c>
      <c r="D477" s="1" t="s">
        <v>9</v>
      </c>
      <c r="F477" s="5" t="str">
        <f>HYPERLINK("http://www.otzar.org/book.asp?633154","בנין אפריון")</f>
        <v>בנין אפריון</v>
      </c>
    </row>
    <row r="478" spans="1:6" x14ac:dyDescent="0.2">
      <c r="A478" t="s">
        <v>1130</v>
      </c>
      <c r="B478" t="s">
        <v>1131</v>
      </c>
      <c r="C478" t="s">
        <v>13</v>
      </c>
      <c r="D478" s="1" t="s">
        <v>9</v>
      </c>
      <c r="F478" s="5" t="str">
        <f>HYPERLINK("http://www.otzar.org/book.asp?629891","בנין חיים - 3 כר'")</f>
        <v>בנין חיים - 3 כר'</v>
      </c>
    </row>
    <row r="479" spans="1:6" x14ac:dyDescent="0.2">
      <c r="A479" t="s">
        <v>1132</v>
      </c>
      <c r="B479" t="s">
        <v>1133</v>
      </c>
      <c r="C479" t="s">
        <v>13</v>
      </c>
      <c r="D479" s="1" t="s">
        <v>1134</v>
      </c>
      <c r="E479" t="s">
        <v>836</v>
      </c>
      <c r="F479" s="5" t="str">
        <f>HYPERLINK("http://www.otzar.org/book.asp?625522","בנין יהושע")</f>
        <v>בנין יהושע</v>
      </c>
    </row>
    <row r="480" spans="1:6" x14ac:dyDescent="0.2">
      <c r="A480" t="s">
        <v>1135</v>
      </c>
      <c r="B480" t="s">
        <v>1136</v>
      </c>
      <c r="C480" t="s">
        <v>20</v>
      </c>
      <c r="D480" s="1" t="s">
        <v>9</v>
      </c>
      <c r="E480" t="s">
        <v>37</v>
      </c>
      <c r="F480" s="5" t="str">
        <f>HYPERLINK("http://www.otzar.org/book.asp?628720","בנין שלמה &lt;מהדורה מחודשת&gt; - ב")</f>
        <v>בנין שלמה &lt;מהדורה מחודשת&gt; - ב</v>
      </c>
    </row>
    <row r="481" spans="1:6" x14ac:dyDescent="0.2">
      <c r="A481" t="s">
        <v>1137</v>
      </c>
      <c r="B481" t="s">
        <v>1136</v>
      </c>
      <c r="C481" t="s">
        <v>20</v>
      </c>
      <c r="D481" s="1" t="s">
        <v>9</v>
      </c>
      <c r="E481" t="s">
        <v>37</v>
      </c>
      <c r="F481" s="5" t="str">
        <f>HYPERLINK("http://www.otzar.org/book.asp?629346","בנין שלמה - עצי ברושים &lt;מהדורה מחודשת&gt; - א")</f>
        <v>בנין שלמה - עצי ברושים &lt;מהדורה מחודשת&gt; - א</v>
      </c>
    </row>
    <row r="482" spans="1:6" x14ac:dyDescent="0.2">
      <c r="A482" t="s">
        <v>1138</v>
      </c>
      <c r="B482" t="s">
        <v>1139</v>
      </c>
      <c r="C482" t="s">
        <v>25</v>
      </c>
      <c r="D482" s="1" t="s">
        <v>9</v>
      </c>
      <c r="E482" t="s">
        <v>61</v>
      </c>
      <c r="F482" s="5" t="str">
        <f>HYPERLINK("http://www.otzar.org/book.asp?629633","בנין שמואל - אהע""ז")</f>
        <v>בנין שמואל - אהע"ז</v>
      </c>
    </row>
    <row r="483" spans="1:6" x14ac:dyDescent="0.2">
      <c r="A483" t="s">
        <v>1140</v>
      </c>
      <c r="B483" t="s">
        <v>1141</v>
      </c>
      <c r="C483" t="s">
        <v>307</v>
      </c>
      <c r="D483" s="1" t="s">
        <v>1142</v>
      </c>
      <c r="E483" t="s">
        <v>37</v>
      </c>
      <c r="F483" s="5" t="str">
        <f>HYPERLINK("http://www.otzar.org/book.asp?626618","בנינו כנטיעים - 2 כר'")</f>
        <v>בנינו כנטיעים - 2 כר'</v>
      </c>
    </row>
    <row r="484" spans="1:6" x14ac:dyDescent="0.2">
      <c r="A484" t="s">
        <v>1143</v>
      </c>
      <c r="B484" t="s">
        <v>138</v>
      </c>
      <c r="C484" t="s">
        <v>307</v>
      </c>
      <c r="D484" s="1" t="s">
        <v>52</v>
      </c>
      <c r="E484" t="s">
        <v>22</v>
      </c>
      <c r="F484" s="5" t="str">
        <f>HYPERLINK("http://www.otzar.org/book.asp?629664","בנפש האגדה")</f>
        <v>בנפש האגדה</v>
      </c>
    </row>
    <row r="485" spans="1:6" x14ac:dyDescent="0.2">
      <c r="A485" t="s">
        <v>1144</v>
      </c>
      <c r="B485" t="s">
        <v>138</v>
      </c>
      <c r="C485" t="s">
        <v>20</v>
      </c>
      <c r="D485" s="1" t="s">
        <v>52</v>
      </c>
      <c r="E485" t="s">
        <v>168</v>
      </c>
      <c r="F485" s="5" t="str">
        <f>HYPERLINK("http://www.otzar.org/book.asp?629665","בנפש השבת")</f>
        <v>בנפש השבת</v>
      </c>
    </row>
    <row r="486" spans="1:6" x14ac:dyDescent="0.2">
      <c r="A486" t="s">
        <v>1145</v>
      </c>
      <c r="B486" t="s">
        <v>138</v>
      </c>
      <c r="C486" t="s">
        <v>40</v>
      </c>
      <c r="D486" s="1" t="s">
        <v>1146</v>
      </c>
      <c r="E486" t="s">
        <v>34</v>
      </c>
      <c r="F486" s="5" t="str">
        <f>HYPERLINK("http://www.otzar.org/book.asp?629666","בנפש התורה - 3 כר'")</f>
        <v>בנפש התורה - 3 כר'</v>
      </c>
    </row>
    <row r="487" spans="1:6" x14ac:dyDescent="0.2">
      <c r="A487" t="s">
        <v>1147</v>
      </c>
      <c r="B487" t="s">
        <v>138</v>
      </c>
      <c r="C487" t="s">
        <v>73</v>
      </c>
      <c r="D487" s="1" t="s">
        <v>52</v>
      </c>
      <c r="E487" t="s">
        <v>34</v>
      </c>
      <c r="F487" s="5" t="str">
        <f>HYPERLINK("http://www.otzar.org/book.asp?629669","בנפש התשובה - 2 כר'")</f>
        <v>בנפש התשובה - 2 כר'</v>
      </c>
    </row>
    <row r="488" spans="1:6" x14ac:dyDescent="0.2">
      <c r="A488" t="s">
        <v>1148</v>
      </c>
      <c r="B488" t="s">
        <v>1149</v>
      </c>
      <c r="C488" t="s">
        <v>383</v>
      </c>
      <c r="D488" s="1" t="s">
        <v>213</v>
      </c>
      <c r="E488" t="s">
        <v>214</v>
      </c>
      <c r="F488" s="5" t="str">
        <f>HYPERLINK("http://www.otzar.org/book.asp?626683","בנתיב החלב - 2 כר'")</f>
        <v>בנתיב החלב - 2 כר'</v>
      </c>
    </row>
    <row r="489" spans="1:6" x14ac:dyDescent="0.2">
      <c r="A489" t="s">
        <v>1150</v>
      </c>
      <c r="B489" t="s">
        <v>1151</v>
      </c>
      <c r="C489" t="s">
        <v>206</v>
      </c>
      <c r="D489" s="1" t="s">
        <v>14</v>
      </c>
      <c r="E489" t="s">
        <v>49</v>
      </c>
      <c r="F489" s="5" t="str">
        <f>HYPERLINK("http://www.otzar.org/book.asp?625961","בנתיבות האיש - 2 כר'")</f>
        <v>בנתיבות האיש - 2 כר'</v>
      </c>
    </row>
    <row r="490" spans="1:6" x14ac:dyDescent="0.2">
      <c r="A490" t="s">
        <v>1152</v>
      </c>
      <c r="B490" t="s">
        <v>1153</v>
      </c>
      <c r="C490" t="s">
        <v>190</v>
      </c>
      <c r="D490" s="1" t="s">
        <v>9</v>
      </c>
      <c r="E490" t="s">
        <v>154</v>
      </c>
      <c r="F490" s="5" t="str">
        <f>HYPERLINK("http://www.otzar.org/book.asp?631143","בנתיבות ההלכה - 9 כר'")</f>
        <v>בנתיבות ההלכה - 9 כר'</v>
      </c>
    </row>
    <row r="491" spans="1:6" x14ac:dyDescent="0.2">
      <c r="A491" t="s">
        <v>1154</v>
      </c>
      <c r="B491" t="s">
        <v>1155</v>
      </c>
      <c r="C491" t="s">
        <v>8</v>
      </c>
      <c r="D491" s="1" t="s">
        <v>14</v>
      </c>
      <c r="E491" t="s">
        <v>214</v>
      </c>
      <c r="F491" s="5" t="str">
        <f>HYPERLINK("http://www.otzar.org/book.asp?625651","בנתיבות התלמוד - ב")</f>
        <v>בנתיבות התלמוד - ב</v>
      </c>
    </row>
    <row r="492" spans="1:6" x14ac:dyDescent="0.2">
      <c r="A492" t="s">
        <v>1156</v>
      </c>
      <c r="B492" t="s">
        <v>1157</v>
      </c>
      <c r="C492" t="s">
        <v>8</v>
      </c>
      <c r="D492" s="1" t="s">
        <v>52</v>
      </c>
      <c r="E492" t="s">
        <v>34</v>
      </c>
      <c r="F492" s="5" t="str">
        <f>HYPERLINK("http://www.otzar.org/book.asp?625866","בעין טובה - 4 כר'")</f>
        <v>בעין טובה - 4 כר'</v>
      </c>
    </row>
    <row r="493" spans="1:6" x14ac:dyDescent="0.2">
      <c r="A493" t="s">
        <v>1158</v>
      </c>
      <c r="B493" t="s">
        <v>1159</v>
      </c>
      <c r="C493" t="s">
        <v>8</v>
      </c>
      <c r="D493" s="1" t="s">
        <v>52</v>
      </c>
      <c r="E493" t="s">
        <v>37</v>
      </c>
      <c r="F493" s="5" t="str">
        <f>HYPERLINK("http://www.otzar.org/book.asp?626082","בענין האיסור לעלות להר הבית בזמן הזה")</f>
        <v>בענין האיסור לעלות להר הבית בזמן הזה</v>
      </c>
    </row>
    <row r="494" spans="1:6" x14ac:dyDescent="0.2">
      <c r="A494" t="s">
        <v>1160</v>
      </c>
      <c r="B494" t="s">
        <v>1161</v>
      </c>
      <c r="C494" t="s">
        <v>1066</v>
      </c>
      <c r="D494" s="1" t="s">
        <v>9</v>
      </c>
      <c r="E494" t="s">
        <v>37</v>
      </c>
      <c r="F494" s="5" t="str">
        <f>HYPERLINK("http://www.otzar.org/book.asp?623614","בענין קשר תפילין של ראש בצורת דל""ת")</f>
        <v>בענין קשר תפילין של ראש בצורת דל"ת</v>
      </c>
    </row>
    <row r="495" spans="1:6" x14ac:dyDescent="0.2">
      <c r="A495" t="s">
        <v>1162</v>
      </c>
      <c r="B495" t="s">
        <v>482</v>
      </c>
      <c r="C495" t="s">
        <v>8</v>
      </c>
      <c r="D495" s="1" t="s">
        <v>9</v>
      </c>
      <c r="E495" t="s">
        <v>538</v>
      </c>
      <c r="F495" s="5" t="str">
        <f>HYPERLINK("http://www.otzar.org/book.asp?625802","בעקבות מרן - 10 כר'")</f>
        <v>בעקבות מרן - 10 כר'</v>
      </c>
    </row>
    <row r="496" spans="1:6" x14ac:dyDescent="0.2">
      <c r="A496" t="s">
        <v>1163</v>
      </c>
      <c r="B496" t="s">
        <v>1164</v>
      </c>
      <c r="C496" t="s">
        <v>397</v>
      </c>
      <c r="D496" s="1" t="s">
        <v>14</v>
      </c>
      <c r="E496" t="s">
        <v>49</v>
      </c>
      <c r="F496" s="5" t="str">
        <f>HYPERLINK("http://www.otzar.org/book.asp?623856","בעקבות שלום")</f>
        <v>בעקבות שלום</v>
      </c>
    </row>
    <row r="497" spans="1:6" x14ac:dyDescent="0.2">
      <c r="A497" t="s">
        <v>1165</v>
      </c>
      <c r="B497" t="s">
        <v>1166</v>
      </c>
      <c r="C497" t="s">
        <v>190</v>
      </c>
      <c r="D497" s="1" t="s">
        <v>1167</v>
      </c>
      <c r="E497" t="s">
        <v>168</v>
      </c>
      <c r="F497" s="5" t="str">
        <f>HYPERLINK("http://www.otzar.org/book.asp?628634","בעקבי הכתובים - איוב")</f>
        <v>בעקבי הכתובים - איוב</v>
      </c>
    </row>
    <row r="498" spans="1:6" x14ac:dyDescent="0.2">
      <c r="A498" t="s">
        <v>1168</v>
      </c>
      <c r="B498" t="s">
        <v>1166</v>
      </c>
      <c r="C498" t="s">
        <v>8</v>
      </c>
      <c r="D498" s="1" t="s">
        <v>14</v>
      </c>
      <c r="E498" t="s">
        <v>168</v>
      </c>
      <c r="F498" s="5" t="str">
        <f>HYPERLINK("http://www.otzar.org/book.asp?624904","בעקבי המגילות - רות")</f>
        <v>בעקבי המגילות - רות</v>
      </c>
    </row>
    <row r="499" spans="1:6" x14ac:dyDescent="0.2">
      <c r="A499" t="s">
        <v>1169</v>
      </c>
      <c r="B499" t="s">
        <v>1166</v>
      </c>
      <c r="C499" t="s">
        <v>13</v>
      </c>
      <c r="D499" s="1" t="s">
        <v>14</v>
      </c>
      <c r="E499" t="s">
        <v>89</v>
      </c>
      <c r="F499" s="5" t="str">
        <f>HYPERLINK("http://www.otzar.org/book.asp?629348","בעקבי המועדים")</f>
        <v>בעקבי המועדים</v>
      </c>
    </row>
    <row r="500" spans="1:6" x14ac:dyDescent="0.2">
      <c r="A500" t="s">
        <v>1170</v>
      </c>
      <c r="B500" t="s">
        <v>1171</v>
      </c>
      <c r="C500" t="s">
        <v>383</v>
      </c>
      <c r="D500" s="1" t="s">
        <v>476</v>
      </c>
      <c r="E500" t="s">
        <v>168</v>
      </c>
      <c r="F500" s="5" t="str">
        <f>HYPERLINK("http://www.otzar.org/book.asp?631866","בעקבי הצאן - 2 כר'")</f>
        <v>בעקבי הצאן - 2 כר'</v>
      </c>
    </row>
    <row r="501" spans="1:6" x14ac:dyDescent="0.2">
      <c r="A501" t="s">
        <v>1172</v>
      </c>
      <c r="B501" t="s">
        <v>611</v>
      </c>
      <c r="C501" t="s">
        <v>1023</v>
      </c>
      <c r="D501" s="1" t="s">
        <v>14</v>
      </c>
      <c r="E501" t="s">
        <v>37</v>
      </c>
      <c r="F501" s="5" t="str">
        <f>HYPERLINK("http://www.otzar.org/book.asp?625170","בערתי הקדש")</f>
        <v>בערתי הקדש</v>
      </c>
    </row>
    <row r="502" spans="1:6" x14ac:dyDescent="0.2">
      <c r="A502" t="s">
        <v>1173</v>
      </c>
      <c r="B502" t="s">
        <v>156</v>
      </c>
      <c r="C502" t="s">
        <v>818</v>
      </c>
      <c r="D502" s="1" t="s">
        <v>400</v>
      </c>
      <c r="E502" t="s">
        <v>683</v>
      </c>
      <c r="F502" s="5" t="str">
        <f>HYPERLINK("http://www.otzar.org/book.asp?628542","בעתה אחישנה")</f>
        <v>בעתה אחישנה</v>
      </c>
    </row>
    <row r="503" spans="1:6" x14ac:dyDescent="0.2">
      <c r="A503" t="s">
        <v>1174</v>
      </c>
      <c r="B503" t="s">
        <v>1175</v>
      </c>
      <c r="C503" t="s">
        <v>369</v>
      </c>
      <c r="D503" s="1" t="s">
        <v>1176</v>
      </c>
      <c r="E503" t="s">
        <v>1177</v>
      </c>
      <c r="F503" s="5" t="str">
        <f>HYPERLINK("http://www.otzar.org/book.asp?627001","בצאת שנה")</f>
        <v>בצאת שנה</v>
      </c>
    </row>
    <row r="504" spans="1:6" x14ac:dyDescent="0.2">
      <c r="A504" t="s">
        <v>1178</v>
      </c>
      <c r="B504" t="s">
        <v>1179</v>
      </c>
      <c r="C504" t="s">
        <v>245</v>
      </c>
      <c r="D504" s="1" t="s">
        <v>14</v>
      </c>
      <c r="E504" t="s">
        <v>61</v>
      </c>
      <c r="F504" s="5" t="str">
        <f>HYPERLINK("http://www.otzar.org/book.asp?615609","בצדק ובמשפט")</f>
        <v>בצדק ובמשפט</v>
      </c>
    </row>
    <row r="505" spans="1:6" x14ac:dyDescent="0.2">
      <c r="A505" t="s">
        <v>1180</v>
      </c>
      <c r="B505" t="s">
        <v>1181</v>
      </c>
      <c r="C505" t="s">
        <v>88</v>
      </c>
      <c r="D505" s="1" t="s">
        <v>1182</v>
      </c>
      <c r="E505" t="s">
        <v>37</v>
      </c>
      <c r="F505" s="5" t="str">
        <f>HYPERLINK("http://www.otzar.org/book.asp?627130","בצדק תשפוט")</f>
        <v>בצדק תשפוט</v>
      </c>
    </row>
    <row r="506" spans="1:6" x14ac:dyDescent="0.2">
      <c r="A506" t="s">
        <v>1183</v>
      </c>
      <c r="B506" t="s">
        <v>923</v>
      </c>
      <c r="C506" t="s">
        <v>8</v>
      </c>
      <c r="D506" s="1" t="s">
        <v>14</v>
      </c>
      <c r="E506" t="s">
        <v>49</v>
      </c>
      <c r="F506" s="5" t="str">
        <f>HYPERLINK("http://www.otzar.org/book.asp?623702","בצילם חימדתי")</f>
        <v>בצילם חימדתי</v>
      </c>
    </row>
    <row r="507" spans="1:6" x14ac:dyDescent="0.2">
      <c r="A507" t="s">
        <v>1184</v>
      </c>
      <c r="B507" t="s">
        <v>1185</v>
      </c>
      <c r="C507" t="s">
        <v>133</v>
      </c>
      <c r="D507" s="1" t="s">
        <v>1186</v>
      </c>
      <c r="E507" t="s">
        <v>89</v>
      </c>
      <c r="F507" s="5" t="str">
        <f>HYPERLINK("http://www.otzar.org/book.asp?623324","בצל האמונה - דרשות ומאמרים לחג הסוכות")</f>
        <v>בצל האמונה - דרשות ומאמרים לחג הסוכות</v>
      </c>
    </row>
    <row r="508" spans="1:6" x14ac:dyDescent="0.2">
      <c r="A508" t="s">
        <v>1187</v>
      </c>
      <c r="B508" t="s">
        <v>1188</v>
      </c>
      <c r="C508" t="s">
        <v>8</v>
      </c>
      <c r="D508" s="1" t="s">
        <v>1189</v>
      </c>
      <c r="E508" t="s">
        <v>22</v>
      </c>
      <c r="F508" s="5" t="str">
        <f>HYPERLINK("http://www.otzar.org/book.asp?624686","בצל מקדש - 2 כר'")</f>
        <v>בצל מקדש - 2 כר'</v>
      </c>
    </row>
    <row r="509" spans="1:6" x14ac:dyDescent="0.2">
      <c r="A509" t="s">
        <v>1190</v>
      </c>
      <c r="B509" t="s">
        <v>1191</v>
      </c>
      <c r="D509" s="1" t="s">
        <v>1120</v>
      </c>
      <c r="E509" t="s">
        <v>214</v>
      </c>
      <c r="F509" s="5" t="str">
        <f>HYPERLINK("http://www.otzar.org/book.asp?626407","בצל תומר - ב")</f>
        <v>בצל תומר - ב</v>
      </c>
    </row>
    <row r="510" spans="1:6" x14ac:dyDescent="0.2">
      <c r="A510" t="s">
        <v>1192</v>
      </c>
      <c r="B510" t="s">
        <v>94</v>
      </c>
      <c r="C510" t="s">
        <v>40</v>
      </c>
      <c r="F510" s="5" t="str">
        <f>HYPERLINK("http://www.otzar.org/book.asp?630395","בצלו חמדתי וישבתי - מצוות סוכה וכוונתה")</f>
        <v>בצלו חמדתי וישבתי - מצוות סוכה וכוונתה</v>
      </c>
    </row>
    <row r="511" spans="1:6" x14ac:dyDescent="0.2">
      <c r="A511" t="s">
        <v>1193</v>
      </c>
      <c r="B511" t="s">
        <v>1194</v>
      </c>
      <c r="C511" t="s">
        <v>1195</v>
      </c>
      <c r="D511" s="1" t="s">
        <v>1196</v>
      </c>
      <c r="E511" t="s">
        <v>1197</v>
      </c>
      <c r="F511" s="5" t="str">
        <f>HYPERLINK("http://www.otzar.org/book.asp?628252","בקור חולים מעבר יבק וספר החיים")</f>
        <v>בקור חולים מעבר יבק וספר החיים</v>
      </c>
    </row>
    <row r="512" spans="1:6" x14ac:dyDescent="0.2">
      <c r="A512" t="s">
        <v>1198</v>
      </c>
      <c r="B512" t="s">
        <v>1199</v>
      </c>
      <c r="C512" t="s">
        <v>258</v>
      </c>
      <c r="D512" s="1" t="s">
        <v>29</v>
      </c>
      <c r="E512" t="s">
        <v>49</v>
      </c>
      <c r="F512" s="5" t="str">
        <f>HYPERLINK("http://www.otzar.org/book.asp?626445","בקורת תהיה")</f>
        <v>בקורת תהיה</v>
      </c>
    </row>
    <row r="513" spans="1:6" x14ac:dyDescent="0.2">
      <c r="A513" t="s">
        <v>1200</v>
      </c>
      <c r="B513" t="s">
        <v>1201</v>
      </c>
      <c r="C513" t="s">
        <v>13</v>
      </c>
      <c r="D513" s="1" t="s">
        <v>9</v>
      </c>
      <c r="E513" t="s">
        <v>22</v>
      </c>
      <c r="F513" s="5" t="str">
        <f>HYPERLINK("http://www.otzar.org/book.asp?631124","בקיאות כהלכה - 6 כר'")</f>
        <v>בקיאות כהלכה - 6 כר'</v>
      </c>
    </row>
    <row r="514" spans="1:6" x14ac:dyDescent="0.2">
      <c r="A514" t="s">
        <v>1202</v>
      </c>
      <c r="B514" t="s">
        <v>210</v>
      </c>
      <c r="C514" t="s">
        <v>13</v>
      </c>
      <c r="D514" s="1" t="s">
        <v>14</v>
      </c>
      <c r="E514" t="s">
        <v>49</v>
      </c>
      <c r="F514" s="5" t="str">
        <f>HYPERLINK("http://www.otzar.org/book.asp?626232","בקראי שמו - 2 כר'")</f>
        <v>בקראי שמו - 2 כר'</v>
      </c>
    </row>
    <row r="515" spans="1:6" x14ac:dyDescent="0.2">
      <c r="A515" t="s">
        <v>1203</v>
      </c>
      <c r="B515" t="s">
        <v>1204</v>
      </c>
      <c r="C515" t="s">
        <v>190</v>
      </c>
      <c r="D515" s="1" t="s">
        <v>9</v>
      </c>
      <c r="E515" t="s">
        <v>942</v>
      </c>
      <c r="F515" s="5" t="str">
        <f>HYPERLINK("http://www.otzar.org/book.asp?627279","בר יוסף")</f>
        <v>בר יוסף</v>
      </c>
    </row>
    <row r="516" spans="1:6" x14ac:dyDescent="0.2">
      <c r="A516" t="s">
        <v>1205</v>
      </c>
      <c r="B516" t="s">
        <v>1206</v>
      </c>
      <c r="C516" t="s">
        <v>136</v>
      </c>
      <c r="D516" s="1" t="s">
        <v>9</v>
      </c>
      <c r="E516" t="s">
        <v>1207</v>
      </c>
      <c r="F516" s="5" t="str">
        <f>HYPERLINK("http://www.otzar.org/book.asp?622639","ברוך אומר - 3 כר'")</f>
        <v>ברוך אומר - 3 כר'</v>
      </c>
    </row>
    <row r="517" spans="1:6" x14ac:dyDescent="0.2">
      <c r="A517" t="s">
        <v>1208</v>
      </c>
      <c r="B517" t="s">
        <v>1209</v>
      </c>
      <c r="C517" t="s">
        <v>13</v>
      </c>
      <c r="D517" s="1" t="s">
        <v>607</v>
      </c>
      <c r="E517" t="s">
        <v>168</v>
      </c>
      <c r="F517" s="5" t="str">
        <f>HYPERLINK("http://www.otzar.org/book.asp?630210","ברוך שאמר - 2 כר'")</f>
        <v>ברוך שאמר - 2 כר'</v>
      </c>
    </row>
    <row r="518" spans="1:6" x14ac:dyDescent="0.2">
      <c r="A518" t="s">
        <v>1210</v>
      </c>
      <c r="B518" t="s">
        <v>1211</v>
      </c>
      <c r="C518" t="s">
        <v>13</v>
      </c>
      <c r="D518" s="1" t="s">
        <v>911</v>
      </c>
      <c r="E518" t="s">
        <v>37</v>
      </c>
      <c r="F518" s="5" t="str">
        <f>HYPERLINK("http://www.otzar.org/book.asp?630482","ברורי הלכות - ב")</f>
        <v>ברורי הלכות - ב</v>
      </c>
    </row>
    <row r="519" spans="1:6" x14ac:dyDescent="0.2">
      <c r="A519" t="s">
        <v>1212</v>
      </c>
      <c r="B519" t="s">
        <v>1213</v>
      </c>
      <c r="C519" t="s">
        <v>248</v>
      </c>
      <c r="D519" s="1" t="s">
        <v>9</v>
      </c>
      <c r="E519" t="s">
        <v>34</v>
      </c>
      <c r="F519" s="5" t="str">
        <f>HYPERLINK("http://www.otzar.org/book.asp?623670","ברורים בהלכות הראי""ה")</f>
        <v>ברורים בהלכות הראי"ה</v>
      </c>
    </row>
    <row r="520" spans="1:6" x14ac:dyDescent="0.2">
      <c r="A520" t="s">
        <v>1214</v>
      </c>
      <c r="B520" t="s">
        <v>1215</v>
      </c>
      <c r="C520" t="s">
        <v>290</v>
      </c>
      <c r="D520" s="1" t="s">
        <v>9</v>
      </c>
      <c r="E520" t="s">
        <v>199</v>
      </c>
      <c r="F520" s="5" t="str">
        <f>HYPERLINK("http://www.otzar.org/book.asp?623526","ברית דוד")</f>
        <v>ברית דוד</v>
      </c>
    </row>
    <row r="521" spans="1:6" x14ac:dyDescent="0.2">
      <c r="A521" t="s">
        <v>1216</v>
      </c>
      <c r="B521" t="s">
        <v>1217</v>
      </c>
      <c r="C521" t="s">
        <v>73</v>
      </c>
      <c r="D521" s="1" t="s">
        <v>268</v>
      </c>
      <c r="E521" t="s">
        <v>41</v>
      </c>
      <c r="F521" s="5" t="str">
        <f>HYPERLINK("http://www.otzar.org/book.asp?628635","ברית הלוי - ב")</f>
        <v>ברית הלוי - ב</v>
      </c>
    </row>
    <row r="522" spans="1:6" x14ac:dyDescent="0.2">
      <c r="A522" t="s">
        <v>1218</v>
      </c>
      <c r="B522" t="s">
        <v>1218</v>
      </c>
      <c r="C522" t="s">
        <v>1219</v>
      </c>
      <c r="D522" s="1" t="s">
        <v>9</v>
      </c>
      <c r="E522" t="s">
        <v>1220</v>
      </c>
      <c r="F522" s="5" t="str">
        <f>HYPERLINK("http://www.otzar.org/book.asp?626455","ברית השבת")</f>
        <v>ברית השבת</v>
      </c>
    </row>
    <row r="523" spans="1:6" x14ac:dyDescent="0.2">
      <c r="A523" t="s">
        <v>1221</v>
      </c>
      <c r="B523" t="s">
        <v>1222</v>
      </c>
      <c r="C523" t="s">
        <v>73</v>
      </c>
      <c r="D523" s="1" t="s">
        <v>29</v>
      </c>
      <c r="E523" t="s">
        <v>199</v>
      </c>
      <c r="F523" s="5" t="str">
        <f>HYPERLINK("http://www.otzar.org/book.asp?627477","ברית מרדכי")</f>
        <v>ברית מרדכי</v>
      </c>
    </row>
    <row r="524" spans="1:6" x14ac:dyDescent="0.2">
      <c r="A524" t="s">
        <v>1223</v>
      </c>
      <c r="B524" t="s">
        <v>1224</v>
      </c>
      <c r="C524" t="s">
        <v>20</v>
      </c>
      <c r="D524" s="1" t="s">
        <v>476</v>
      </c>
      <c r="E524" t="s">
        <v>56</v>
      </c>
      <c r="F524" s="5" t="str">
        <f>HYPERLINK("http://www.otzar.org/book.asp?623359","ברית שלש עשרה")</f>
        <v>ברית שלש עשרה</v>
      </c>
    </row>
    <row r="525" spans="1:6" x14ac:dyDescent="0.2">
      <c r="A525" t="s">
        <v>1225</v>
      </c>
      <c r="B525" t="s">
        <v>138</v>
      </c>
      <c r="C525" t="s">
        <v>20</v>
      </c>
      <c r="D525" s="1" t="s">
        <v>52</v>
      </c>
      <c r="E525" t="s">
        <v>49</v>
      </c>
      <c r="F525" s="5" t="str">
        <f>HYPERLINK("http://www.otzar.org/book.asp?629671","בריתי היתה אתו")</f>
        <v>בריתי היתה אתו</v>
      </c>
    </row>
    <row r="526" spans="1:6" x14ac:dyDescent="0.2">
      <c r="A526" t="s">
        <v>1226</v>
      </c>
      <c r="B526" t="s">
        <v>1227</v>
      </c>
      <c r="C526" t="s">
        <v>13</v>
      </c>
      <c r="D526" s="1" t="s">
        <v>14</v>
      </c>
      <c r="E526" t="s">
        <v>154</v>
      </c>
      <c r="F526" s="5" t="str">
        <f>HYPERLINK("http://www.otzar.org/book.asp?630055","בריתי יצחק - 4 כר'")</f>
        <v>בריתי יצחק - 4 כר'</v>
      </c>
    </row>
    <row r="527" spans="1:6" x14ac:dyDescent="0.2">
      <c r="A527" t="s">
        <v>1228</v>
      </c>
      <c r="B527" t="s">
        <v>1229</v>
      </c>
      <c r="C527" t="s">
        <v>13</v>
      </c>
      <c r="D527" s="1" t="s">
        <v>1230</v>
      </c>
      <c r="E527" t="s">
        <v>41</v>
      </c>
      <c r="F527" s="5" t="str">
        <f>HYPERLINK("http://www.otzar.org/book.asp?626925","בריתי שלום - 2 כר'")</f>
        <v>בריתי שלום - 2 כר'</v>
      </c>
    </row>
    <row r="528" spans="1:6" x14ac:dyDescent="0.2">
      <c r="A528" t="s">
        <v>1231</v>
      </c>
      <c r="B528" t="s">
        <v>1232</v>
      </c>
      <c r="C528" t="s">
        <v>13</v>
      </c>
      <c r="D528" s="1" t="s">
        <v>52</v>
      </c>
      <c r="E528" t="s">
        <v>22</v>
      </c>
      <c r="F528" s="5" t="str">
        <f>HYPERLINK("http://www.otzar.org/book.asp?630299","ברכה לישראל - מסכת שבועות")</f>
        <v>ברכה לישראל - מסכת שבועות</v>
      </c>
    </row>
    <row r="529" spans="1:6" x14ac:dyDescent="0.2">
      <c r="A529" t="s">
        <v>1233</v>
      </c>
      <c r="B529" t="s">
        <v>1234</v>
      </c>
      <c r="C529" t="s">
        <v>13</v>
      </c>
      <c r="D529" s="1" t="s">
        <v>52</v>
      </c>
      <c r="E529" t="s">
        <v>168</v>
      </c>
      <c r="F529" s="5" t="str">
        <f>HYPERLINK("http://www.otzar.org/book.asp?630818","ברכה משולשת")</f>
        <v>ברכה משולשת</v>
      </c>
    </row>
    <row r="530" spans="1:6" x14ac:dyDescent="0.2">
      <c r="A530" t="s">
        <v>1235</v>
      </c>
      <c r="B530" t="s">
        <v>1236</v>
      </c>
      <c r="C530" t="s">
        <v>136</v>
      </c>
      <c r="D530" s="1" t="s">
        <v>21</v>
      </c>
      <c r="E530" t="s">
        <v>22</v>
      </c>
      <c r="F530" s="5" t="str">
        <f>HYPERLINK("http://www.otzar.org/book.asp?629485","ברכו שמו")</f>
        <v>ברכו שמו</v>
      </c>
    </row>
    <row r="531" spans="1:6" x14ac:dyDescent="0.2">
      <c r="A531" t="s">
        <v>1237</v>
      </c>
      <c r="B531" t="s">
        <v>1238</v>
      </c>
      <c r="E531" t="s">
        <v>22</v>
      </c>
      <c r="F531" s="5" t="str">
        <f>HYPERLINK("http://www.otzar.org/book.asp?627732","ברכות הורי - ברכות")</f>
        <v>ברכות הורי - ברכות</v>
      </c>
    </row>
    <row r="532" spans="1:6" x14ac:dyDescent="0.2">
      <c r="A532" t="s">
        <v>1239</v>
      </c>
      <c r="B532" t="s">
        <v>1240</v>
      </c>
      <c r="C532" t="s">
        <v>1241</v>
      </c>
      <c r="D532" s="1" t="s">
        <v>48</v>
      </c>
      <c r="E532" t="s">
        <v>128</v>
      </c>
      <c r="F532" s="5" t="str">
        <f>HYPERLINK("http://www.otzar.org/book.asp?625982","ברכות והודאות")</f>
        <v>ברכות והודאות</v>
      </c>
    </row>
    <row r="533" spans="1:6" x14ac:dyDescent="0.2">
      <c r="A533" t="s">
        <v>1242</v>
      </c>
      <c r="B533" t="s">
        <v>958</v>
      </c>
      <c r="C533" t="s">
        <v>8</v>
      </c>
      <c r="D533" s="1" t="s">
        <v>52</v>
      </c>
      <c r="E533" t="s">
        <v>22</v>
      </c>
      <c r="F533" s="5" t="str">
        <f>HYPERLINK("http://www.otzar.org/book.asp?626759","ברכות יעטה")</f>
        <v>ברכות יעטה</v>
      </c>
    </row>
    <row r="534" spans="1:6" x14ac:dyDescent="0.2">
      <c r="A534" t="s">
        <v>1243</v>
      </c>
      <c r="B534" t="s">
        <v>1244</v>
      </c>
      <c r="C534" t="s">
        <v>13</v>
      </c>
      <c r="D534" s="1" t="s">
        <v>9</v>
      </c>
      <c r="E534" t="s">
        <v>61</v>
      </c>
      <c r="F534" s="5" t="str">
        <f>HYPERLINK("http://www.otzar.org/book.asp?627584","ברכי יוסף &lt;מהדורת זכרון אהרן&gt; - 4 כר'")</f>
        <v>ברכי יוסף &lt;מהדורת זכרון אהרן&gt; - 4 כר'</v>
      </c>
    </row>
    <row r="535" spans="1:6" x14ac:dyDescent="0.2">
      <c r="A535" t="s">
        <v>1245</v>
      </c>
      <c r="B535" t="s">
        <v>700</v>
      </c>
      <c r="C535" t="s">
        <v>307</v>
      </c>
      <c r="D535" s="1" t="s">
        <v>21</v>
      </c>
      <c r="E535" t="s">
        <v>37</v>
      </c>
      <c r="F535" s="5" t="str">
        <f>HYPERLINK("http://www.otzar.org/book.asp?622691","ברכת אב - 4 כר'")</f>
        <v>ברכת אב - 4 כר'</v>
      </c>
    </row>
    <row r="536" spans="1:6" x14ac:dyDescent="0.2">
      <c r="A536" t="s">
        <v>1246</v>
      </c>
      <c r="B536" t="s">
        <v>1247</v>
      </c>
      <c r="C536" t="s">
        <v>25</v>
      </c>
      <c r="D536" s="1" t="s">
        <v>14</v>
      </c>
      <c r="E536" t="s">
        <v>242</v>
      </c>
      <c r="F536" s="5" t="str">
        <f>HYPERLINK("http://www.otzar.org/book.asp?629352","ברכת אלישע - ה")</f>
        <v>ברכת אלישע - ה</v>
      </c>
    </row>
    <row r="537" spans="1:6" x14ac:dyDescent="0.2">
      <c r="A537" t="s">
        <v>1248</v>
      </c>
      <c r="B537" t="s">
        <v>1249</v>
      </c>
      <c r="C537" t="s">
        <v>25</v>
      </c>
      <c r="D537" s="1" t="s">
        <v>29</v>
      </c>
      <c r="E537" t="s">
        <v>89</v>
      </c>
      <c r="F537" s="5" t="str">
        <f>HYPERLINK("http://www.otzar.org/book.asp?627851","ברכת אלעזר - 3 כר'")</f>
        <v>ברכת אלעזר - 3 כר'</v>
      </c>
    </row>
    <row r="538" spans="1:6" x14ac:dyDescent="0.2">
      <c r="A538" t="s">
        <v>1250</v>
      </c>
      <c r="B538" t="s">
        <v>1251</v>
      </c>
      <c r="C538" t="s">
        <v>25</v>
      </c>
      <c r="D538" s="1" t="s">
        <v>9</v>
      </c>
      <c r="E538" t="s">
        <v>168</v>
      </c>
      <c r="F538" s="5" t="str">
        <f>HYPERLINK("http://www.otzar.org/book.asp?631089","ברכת אשר &lt;על החומש&gt; - א (בראשית)")</f>
        <v>ברכת אשר &lt;על החומש&gt; - א (בראשית)</v>
      </c>
    </row>
    <row r="539" spans="1:6" x14ac:dyDescent="0.2">
      <c r="A539" t="s">
        <v>1252</v>
      </c>
      <c r="B539" t="s">
        <v>1253</v>
      </c>
      <c r="C539" t="s">
        <v>13</v>
      </c>
      <c r="D539" s="1" t="s">
        <v>9</v>
      </c>
      <c r="E539" t="s">
        <v>168</v>
      </c>
      <c r="F539" s="5" t="str">
        <f>HYPERLINK("http://www.otzar.org/book.asp?628590","ברכת דוד - 3 כר'")</f>
        <v>ברכת דוד - 3 כר'</v>
      </c>
    </row>
    <row r="540" spans="1:6" x14ac:dyDescent="0.2">
      <c r="A540" t="s">
        <v>1254</v>
      </c>
      <c r="B540" t="s">
        <v>1255</v>
      </c>
      <c r="C540" t="s">
        <v>8</v>
      </c>
      <c r="D540" s="1" t="s">
        <v>52</v>
      </c>
      <c r="E540" t="s">
        <v>295</v>
      </c>
      <c r="F540" s="5" t="str">
        <f>HYPERLINK("http://www.otzar.org/book.asp?627197","ברכת המזון עם פירוש הריקאנאטי")</f>
        <v>ברכת המזון עם פירוש הריקאנאטי</v>
      </c>
    </row>
    <row r="541" spans="1:6" x14ac:dyDescent="0.2">
      <c r="A541" t="s">
        <v>1256</v>
      </c>
      <c r="B541" t="s">
        <v>1055</v>
      </c>
      <c r="C541" t="s">
        <v>13</v>
      </c>
      <c r="D541" s="1" t="s">
        <v>1257</v>
      </c>
      <c r="E541" t="s">
        <v>295</v>
      </c>
      <c r="F541" s="5" t="str">
        <f>HYPERLINK("http://www.otzar.org/book.asp?625552","ברכת המזון")</f>
        <v>ברכת המזון</v>
      </c>
    </row>
    <row r="542" spans="1:6" x14ac:dyDescent="0.2">
      <c r="A542" t="s">
        <v>1258</v>
      </c>
      <c r="B542" t="s">
        <v>1259</v>
      </c>
      <c r="C542" t="s">
        <v>136</v>
      </c>
      <c r="D542" s="1" t="s">
        <v>1096</v>
      </c>
      <c r="E542" t="s">
        <v>154</v>
      </c>
      <c r="F542" s="5" t="str">
        <f>HYPERLINK("http://www.otzar.org/book.asp?625422","ברכת השבת - ד")</f>
        <v>ברכת השבת - ד</v>
      </c>
    </row>
    <row r="543" spans="1:6" x14ac:dyDescent="0.2">
      <c r="A543" t="s">
        <v>1260</v>
      </c>
      <c r="B543" t="s">
        <v>1261</v>
      </c>
      <c r="C543" t="s">
        <v>818</v>
      </c>
      <c r="D543" s="1" t="s">
        <v>64</v>
      </c>
      <c r="E543" t="s">
        <v>168</v>
      </c>
      <c r="F543" s="5" t="str">
        <f>HYPERLINK("http://www.otzar.org/book.asp?623725","ברכת התורה")</f>
        <v>ברכת התורה</v>
      </c>
    </row>
    <row r="544" spans="1:6" x14ac:dyDescent="0.2">
      <c r="A544" t="s">
        <v>1262</v>
      </c>
      <c r="B544" t="s">
        <v>1263</v>
      </c>
      <c r="C544" t="s">
        <v>13</v>
      </c>
      <c r="D544" s="1" t="s">
        <v>14</v>
      </c>
      <c r="E544" t="s">
        <v>37</v>
      </c>
      <c r="F544" s="5" t="str">
        <f>HYPERLINK("http://www.otzar.org/book.asp?629888","ברכת חלה")</f>
        <v>ברכת חלה</v>
      </c>
    </row>
    <row r="545" spans="1:6" x14ac:dyDescent="0.2">
      <c r="A545" t="s">
        <v>1264</v>
      </c>
      <c r="B545" t="s">
        <v>1259</v>
      </c>
      <c r="C545" t="s">
        <v>190</v>
      </c>
      <c r="D545" s="1" t="s">
        <v>1096</v>
      </c>
      <c r="E545" t="s">
        <v>37</v>
      </c>
      <c r="F545" s="5" t="str">
        <f>HYPERLINK("http://www.otzar.org/book.asp?625408","ברכת חתניך - ג")</f>
        <v>ברכת חתניך - ג</v>
      </c>
    </row>
    <row r="546" spans="1:6" x14ac:dyDescent="0.2">
      <c r="A546" t="s">
        <v>1265</v>
      </c>
      <c r="B546" t="s">
        <v>1266</v>
      </c>
      <c r="C546" t="s">
        <v>20</v>
      </c>
      <c r="D546" s="1" t="s">
        <v>52</v>
      </c>
      <c r="E546" t="s">
        <v>22</v>
      </c>
      <c r="F546" s="5" t="str">
        <f>HYPERLINK("http://www.otzar.org/book.asp?625969","ברכת יעקב - ברכות")</f>
        <v>ברכת יעקב - ברכות</v>
      </c>
    </row>
    <row r="547" spans="1:6" x14ac:dyDescent="0.2">
      <c r="A547" t="s">
        <v>1267</v>
      </c>
      <c r="B547" t="s">
        <v>1268</v>
      </c>
      <c r="C547" t="s">
        <v>20</v>
      </c>
      <c r="D547" s="1" t="s">
        <v>14</v>
      </c>
      <c r="E547" t="s">
        <v>37</v>
      </c>
      <c r="F547" s="5" t="str">
        <f>HYPERLINK("http://www.otzar.org/book.asp?625847","ברכת יעקב - 2 כר'")</f>
        <v>ברכת יעקב - 2 כר'</v>
      </c>
    </row>
    <row r="548" spans="1:6" x14ac:dyDescent="0.2">
      <c r="A548" t="s">
        <v>1269</v>
      </c>
      <c r="B548" t="s">
        <v>1270</v>
      </c>
      <c r="C548" t="s">
        <v>25</v>
      </c>
      <c r="D548" s="1" t="s">
        <v>14</v>
      </c>
      <c r="E548" t="s">
        <v>22</v>
      </c>
      <c r="F548" s="5" t="str">
        <f>HYPERLINK("http://www.otzar.org/book.asp?628072","ברכת יצחק - טז")</f>
        <v>ברכת יצחק - טז</v>
      </c>
    </row>
    <row r="549" spans="1:6" x14ac:dyDescent="0.2">
      <c r="A549" t="s">
        <v>1271</v>
      </c>
      <c r="B549" t="s">
        <v>1272</v>
      </c>
      <c r="C549" t="s">
        <v>639</v>
      </c>
      <c r="D549" s="1" t="s">
        <v>9</v>
      </c>
      <c r="E549" t="s">
        <v>836</v>
      </c>
      <c r="F549" s="5" t="str">
        <f>HYPERLINK("http://www.otzar.org/book.asp?624899","ברכת כהן - תורה ומועדים")</f>
        <v>ברכת כהן - תורה ומועדים</v>
      </c>
    </row>
    <row r="550" spans="1:6" x14ac:dyDescent="0.2">
      <c r="A550" t="s">
        <v>1273</v>
      </c>
      <c r="B550" t="s">
        <v>1274</v>
      </c>
      <c r="C550" t="s">
        <v>13</v>
      </c>
      <c r="D550" s="1" t="s">
        <v>476</v>
      </c>
      <c r="E550" t="s">
        <v>22</v>
      </c>
      <c r="F550" s="5" t="str">
        <f>HYPERLINK("http://www.otzar.org/book.asp?629729","ברכת כהן")</f>
        <v>ברכת כהן</v>
      </c>
    </row>
    <row r="551" spans="1:6" x14ac:dyDescent="0.2">
      <c r="A551" t="s">
        <v>1275</v>
      </c>
      <c r="B551" t="s">
        <v>1276</v>
      </c>
      <c r="C551" t="s">
        <v>157</v>
      </c>
      <c r="D551" s="1" t="s">
        <v>9</v>
      </c>
      <c r="E551" t="s">
        <v>89</v>
      </c>
      <c r="F551" s="5" t="str">
        <f>HYPERLINK("http://www.otzar.org/book.asp?624915","ברכת מועדיך - שבועות")</f>
        <v>ברכת מועדיך - שבועות</v>
      </c>
    </row>
    <row r="552" spans="1:6" x14ac:dyDescent="0.2">
      <c r="A552" t="s">
        <v>1277</v>
      </c>
      <c r="B552" t="s">
        <v>1259</v>
      </c>
      <c r="C552" t="s">
        <v>8</v>
      </c>
      <c r="D552" s="1" t="s">
        <v>1096</v>
      </c>
      <c r="E552" t="s">
        <v>37</v>
      </c>
      <c r="F552" s="5" t="str">
        <f>HYPERLINK("http://www.otzar.org/book.asp?625421","ברכת מצותיך - ג")</f>
        <v>ברכת מצותיך - ג</v>
      </c>
    </row>
    <row r="553" spans="1:6" x14ac:dyDescent="0.2">
      <c r="A553" t="s">
        <v>1278</v>
      </c>
      <c r="B553" t="s">
        <v>1279</v>
      </c>
      <c r="C553" t="s">
        <v>73</v>
      </c>
      <c r="D553" s="1" t="s">
        <v>1280</v>
      </c>
      <c r="E553" t="s">
        <v>199</v>
      </c>
      <c r="F553" s="5" t="str">
        <f>HYPERLINK("http://www.otzar.org/book.asp?629354","ברכת משה - 2 כר'")</f>
        <v>ברכת משה - 2 כר'</v>
      </c>
    </row>
    <row r="554" spans="1:6" x14ac:dyDescent="0.2">
      <c r="A554" t="s">
        <v>1281</v>
      </c>
      <c r="B554" t="s">
        <v>1282</v>
      </c>
      <c r="C554" t="s">
        <v>8</v>
      </c>
      <c r="D554" s="1" t="s">
        <v>436</v>
      </c>
      <c r="E554" t="s">
        <v>214</v>
      </c>
      <c r="F554" s="5" t="str">
        <f>HYPERLINK("http://www.otzar.org/book.asp?624674","ברכת עמנואל")</f>
        <v>ברכת עמנואל</v>
      </c>
    </row>
    <row r="555" spans="1:6" x14ac:dyDescent="0.2">
      <c r="A555" t="s">
        <v>1283</v>
      </c>
      <c r="B555" t="s">
        <v>1284</v>
      </c>
      <c r="C555" t="s">
        <v>136</v>
      </c>
      <c r="D555" s="1" t="s">
        <v>14</v>
      </c>
      <c r="E555" t="s">
        <v>22</v>
      </c>
      <c r="F555" s="5" t="str">
        <f>HYPERLINK("http://www.otzar.org/book.asp?629284","ברכת צבי - 4 כר'")</f>
        <v>ברכת צבי - 4 כר'</v>
      </c>
    </row>
    <row r="556" spans="1:6" x14ac:dyDescent="0.2">
      <c r="A556" t="s">
        <v>1285</v>
      </c>
      <c r="B556" t="s">
        <v>1286</v>
      </c>
      <c r="E556" t="s">
        <v>168</v>
      </c>
      <c r="F556" s="5" t="str">
        <f>HYPERLINK("http://www.otzar.org/book.asp?628023","ברכת שלום")</f>
        <v>ברכת שלום</v>
      </c>
    </row>
    <row r="557" spans="1:6" x14ac:dyDescent="0.2">
      <c r="A557" t="s">
        <v>1287</v>
      </c>
      <c r="B557" t="s">
        <v>1288</v>
      </c>
      <c r="E557" t="s">
        <v>37</v>
      </c>
      <c r="F557" s="5" t="str">
        <f>HYPERLINK("http://www.otzar.org/book.asp?622687","ברכת שלמה אורחות לשון")</f>
        <v>ברכת שלמה אורחות לשון</v>
      </c>
    </row>
    <row r="558" spans="1:6" x14ac:dyDescent="0.2">
      <c r="A558" t="s">
        <v>1289</v>
      </c>
      <c r="B558" t="s">
        <v>1290</v>
      </c>
      <c r="C558" t="s">
        <v>13</v>
      </c>
      <c r="D558" s="1" t="s">
        <v>21</v>
      </c>
      <c r="E558" t="s">
        <v>154</v>
      </c>
      <c r="F558" s="5" t="str">
        <f>HYPERLINK("http://www.otzar.org/book.asp?629355","ברכת שלמה")</f>
        <v>ברכת שלמה</v>
      </c>
    </row>
    <row r="559" spans="1:6" x14ac:dyDescent="0.2">
      <c r="A559" t="s">
        <v>1291</v>
      </c>
      <c r="B559" t="s">
        <v>1292</v>
      </c>
      <c r="C559" t="s">
        <v>13</v>
      </c>
      <c r="D559" s="1" t="s">
        <v>21</v>
      </c>
      <c r="E559" t="s">
        <v>61</v>
      </c>
      <c r="F559" s="5" t="str">
        <f>HYPERLINK("http://www.otzar.org/book.asp?626726","ברכת שלמה - אבן העזר")</f>
        <v>ברכת שלמה - אבן העזר</v>
      </c>
    </row>
    <row r="560" spans="1:6" x14ac:dyDescent="0.2">
      <c r="A560" t="s">
        <v>1293</v>
      </c>
      <c r="B560" t="s">
        <v>1294</v>
      </c>
      <c r="C560" t="s">
        <v>136</v>
      </c>
      <c r="D560" s="1" t="s">
        <v>1295</v>
      </c>
      <c r="E560" t="s">
        <v>22</v>
      </c>
      <c r="F560" s="5" t="str">
        <f>HYPERLINK("http://www.otzar.org/book.asp?623387","בשביל ישראל")</f>
        <v>בשביל ישראל</v>
      </c>
    </row>
    <row r="561" spans="1:6" x14ac:dyDescent="0.2">
      <c r="A561" t="s">
        <v>1296</v>
      </c>
      <c r="B561" t="s">
        <v>1297</v>
      </c>
      <c r="C561" t="s">
        <v>8</v>
      </c>
      <c r="D561" s="1" t="s">
        <v>52</v>
      </c>
      <c r="E561" t="s">
        <v>371</v>
      </c>
      <c r="F561" s="5" t="str">
        <f>HYPERLINK("http://www.otzar.org/book.asp?631165","בשבילי אורייתא - פרקים ממשנת חייו")</f>
        <v>בשבילי אורייתא - פרקים ממשנת חייו</v>
      </c>
    </row>
    <row r="562" spans="1:6" x14ac:dyDescent="0.2">
      <c r="A562" t="s">
        <v>1298</v>
      </c>
      <c r="B562" t="s">
        <v>1299</v>
      </c>
      <c r="C562" t="s">
        <v>397</v>
      </c>
      <c r="D562" s="1" t="s">
        <v>1300</v>
      </c>
      <c r="E562" t="s">
        <v>371</v>
      </c>
      <c r="F562" s="5" t="str">
        <f>HYPERLINK("http://www.otzar.org/book.asp?625610","בשבילים נעלמים בדרך למולדת")</f>
        <v>בשבילים נעלמים בדרך למולדת</v>
      </c>
    </row>
    <row r="563" spans="1:6" x14ac:dyDescent="0.2">
      <c r="A563" t="s">
        <v>1301</v>
      </c>
      <c r="B563" t="s">
        <v>1302</v>
      </c>
      <c r="C563" t="s">
        <v>13</v>
      </c>
      <c r="D563" s="1" t="s">
        <v>52</v>
      </c>
      <c r="E563" t="s">
        <v>49</v>
      </c>
      <c r="F563" s="5" t="str">
        <f>HYPERLINK("http://www.otzar.org/book.asp?625220","בשבעים נפש")</f>
        <v>בשבעים נפש</v>
      </c>
    </row>
    <row r="564" spans="1:6" x14ac:dyDescent="0.2">
      <c r="A564" t="s">
        <v>1303</v>
      </c>
      <c r="B564" t="s">
        <v>482</v>
      </c>
      <c r="C564" t="s">
        <v>8</v>
      </c>
      <c r="D564" s="1" t="s">
        <v>9</v>
      </c>
      <c r="E564" t="s">
        <v>49</v>
      </c>
      <c r="F564" s="5" t="str">
        <f>HYPERLINK("http://www.otzar.org/book.asp?625801","בשוב ה' ציון היינו כחולמים")</f>
        <v>בשוב ה' ציון היינו כחולמים</v>
      </c>
    </row>
    <row r="565" spans="1:6" x14ac:dyDescent="0.2">
      <c r="A565" t="s">
        <v>1304</v>
      </c>
      <c r="B565" t="s">
        <v>1055</v>
      </c>
      <c r="C565" t="s">
        <v>383</v>
      </c>
      <c r="D565" s="1" t="s">
        <v>1257</v>
      </c>
      <c r="E565" t="s">
        <v>41</v>
      </c>
      <c r="F565" s="5" t="str">
        <f>HYPERLINK("http://www.otzar.org/book.asp?625553","בשובך לציון - 3 כר'")</f>
        <v>בשובך לציון - 3 כר'</v>
      </c>
    </row>
    <row r="566" spans="1:6" x14ac:dyDescent="0.2">
      <c r="A566" t="s">
        <v>1305</v>
      </c>
      <c r="B566" t="s">
        <v>1306</v>
      </c>
      <c r="C566" t="s">
        <v>136</v>
      </c>
      <c r="D566" s="1" t="s">
        <v>52</v>
      </c>
      <c r="E566" t="s">
        <v>836</v>
      </c>
      <c r="F566" s="5" t="str">
        <f>HYPERLINK("http://www.otzar.org/book.asp?629782","בשם אומרם - פורים")</f>
        <v>בשם אומרם - פורים</v>
      </c>
    </row>
    <row r="567" spans="1:6" x14ac:dyDescent="0.2">
      <c r="A567" t="s">
        <v>1307</v>
      </c>
      <c r="B567" t="s">
        <v>1308</v>
      </c>
      <c r="C567" t="s">
        <v>383</v>
      </c>
      <c r="D567" s="1" t="s">
        <v>1309</v>
      </c>
      <c r="E567" t="s">
        <v>227</v>
      </c>
      <c r="F567" s="5" t="str">
        <f>HYPERLINK("http://www.otzar.org/book.asp?623551","בשם מרדכי")</f>
        <v>בשם מרדכי</v>
      </c>
    </row>
    <row r="568" spans="1:6" x14ac:dyDescent="0.2">
      <c r="A568" t="s">
        <v>1310</v>
      </c>
      <c r="B568" t="s">
        <v>1311</v>
      </c>
      <c r="C568" t="s">
        <v>1312</v>
      </c>
      <c r="D568" s="1" t="s">
        <v>1313</v>
      </c>
      <c r="E568" t="s">
        <v>41</v>
      </c>
      <c r="F568" s="5" t="str">
        <f>HYPERLINK("http://www.otzar.org/book.asp?627367","בשמים ראש &lt;ריח בשמים&gt;")</f>
        <v>בשמים ראש &lt;ריח בשמים&gt;</v>
      </c>
    </row>
    <row r="569" spans="1:6" x14ac:dyDescent="0.2">
      <c r="A569" t="s">
        <v>1314</v>
      </c>
      <c r="B569" t="s">
        <v>1315</v>
      </c>
      <c r="C569" t="s">
        <v>226</v>
      </c>
      <c r="D569" s="1" t="s">
        <v>9</v>
      </c>
      <c r="F569" s="5" t="str">
        <f>HYPERLINK("http://www.otzar.org/book.asp?630406","בשערי תורה (ללימוד ועיון עצמי) - 2 כר'")</f>
        <v>בשערי תורה (ללימוד ועיון עצמי) - 2 כר'</v>
      </c>
    </row>
    <row r="570" spans="1:6" x14ac:dyDescent="0.2">
      <c r="A570" t="s">
        <v>1316</v>
      </c>
      <c r="B570" t="s">
        <v>1317</v>
      </c>
      <c r="C570" t="s">
        <v>639</v>
      </c>
      <c r="E570" t="s">
        <v>37</v>
      </c>
      <c r="F570" s="5" t="str">
        <f>HYPERLINK("http://www.otzar.org/book.asp?625667","בת מצוה")</f>
        <v>בת מצוה</v>
      </c>
    </row>
    <row r="571" spans="1:6" x14ac:dyDescent="0.2">
      <c r="A571" t="s">
        <v>1318</v>
      </c>
      <c r="B571" t="s">
        <v>1319</v>
      </c>
      <c r="C571" t="s">
        <v>13</v>
      </c>
      <c r="D571" s="1" t="s">
        <v>1320</v>
      </c>
      <c r="E571" t="s">
        <v>22</v>
      </c>
      <c r="F571" s="5" t="str">
        <f>HYPERLINK("http://www.otzar.org/book.asp?630137","בתי משה - ברכות")</f>
        <v>בתי משה - ברכות</v>
      </c>
    </row>
    <row r="572" spans="1:6" x14ac:dyDescent="0.2">
      <c r="A572" t="s">
        <v>1321</v>
      </c>
      <c r="B572" t="s">
        <v>1322</v>
      </c>
      <c r="C572" t="s">
        <v>13</v>
      </c>
      <c r="D572" s="1" t="s">
        <v>9</v>
      </c>
      <c r="E572" t="s">
        <v>121</v>
      </c>
      <c r="F572" s="5" t="str">
        <f>HYPERLINK("http://www.otzar.org/book.asp?628636","גאולה ושכנותיה")</f>
        <v>גאולה ושכנותיה</v>
      </c>
    </row>
    <row r="573" spans="1:6" x14ac:dyDescent="0.2">
      <c r="A573" t="s">
        <v>1323</v>
      </c>
      <c r="B573" t="s">
        <v>1324</v>
      </c>
      <c r="C573" t="s">
        <v>298</v>
      </c>
      <c r="D573" s="1" t="s">
        <v>1325</v>
      </c>
      <c r="E573" t="s">
        <v>49</v>
      </c>
      <c r="F573" s="5" t="str">
        <f>HYPERLINK("http://www.otzar.org/book.asp?623892","גאולת ישראל")</f>
        <v>גאולת ישראל</v>
      </c>
    </row>
    <row r="574" spans="1:6" x14ac:dyDescent="0.2">
      <c r="A574" t="s">
        <v>1326</v>
      </c>
      <c r="B574" t="s">
        <v>1327</v>
      </c>
      <c r="C574" t="s">
        <v>8</v>
      </c>
      <c r="D574" s="1" t="s">
        <v>9</v>
      </c>
      <c r="E574" t="s">
        <v>371</v>
      </c>
      <c r="F574" s="5" t="str">
        <f>HYPERLINK("http://www.otzar.org/book.asp?627930","גאון התורה - פרקים בתולדות רבי אליהו חזן")</f>
        <v>גאון התורה - פרקים בתולדות רבי אליהו חזן</v>
      </c>
    </row>
    <row r="575" spans="1:6" x14ac:dyDescent="0.2">
      <c r="A575" t="s">
        <v>1328</v>
      </c>
      <c r="B575" t="s">
        <v>1329</v>
      </c>
      <c r="C575" t="s">
        <v>20</v>
      </c>
      <c r="D575" s="1" t="s">
        <v>29</v>
      </c>
      <c r="E575" t="s">
        <v>371</v>
      </c>
      <c r="F575" s="5" t="str">
        <f>HYPERLINK("http://www.otzar.org/book.asp?630297","גאון ישראל וקדושו - ב")</f>
        <v>גאון ישראל וקדושו - ב</v>
      </c>
    </row>
    <row r="576" spans="1:6" x14ac:dyDescent="0.2">
      <c r="A576" t="s">
        <v>1330</v>
      </c>
      <c r="B576" t="s">
        <v>1331</v>
      </c>
      <c r="C576">
        <v>1914</v>
      </c>
      <c r="D576" s="1" t="s">
        <v>952</v>
      </c>
      <c r="E576" t="s">
        <v>371</v>
      </c>
      <c r="F576" s="5" t="str">
        <f>HYPERLINK("http://www.otzar.org/book.asp?625368","גאונים בבליים שאחר זמן הגאונים &lt;גרמנית&gt;")</f>
        <v>גאונים בבליים שאחר זמן הגאונים &lt;גרמנית&gt;</v>
      </c>
    </row>
    <row r="577" spans="1:6" x14ac:dyDescent="0.2">
      <c r="A577" t="s">
        <v>1332</v>
      </c>
      <c r="B577" t="s">
        <v>1333</v>
      </c>
      <c r="C577" t="s">
        <v>73</v>
      </c>
      <c r="D577" s="1" t="s">
        <v>9</v>
      </c>
      <c r="E577" t="s">
        <v>1334</v>
      </c>
      <c r="F577" s="5" t="str">
        <f>HYPERLINK("http://www.otzar.org/book.asp?627983","גבורות ה' - ג")</f>
        <v>גבורות ה' - ג</v>
      </c>
    </row>
    <row r="578" spans="1:6" x14ac:dyDescent="0.2">
      <c r="A578" t="s">
        <v>1335</v>
      </c>
      <c r="B578" t="s">
        <v>1336</v>
      </c>
      <c r="C578" t="s">
        <v>8</v>
      </c>
      <c r="D578" s="1" t="s">
        <v>9</v>
      </c>
      <c r="E578" t="s">
        <v>214</v>
      </c>
      <c r="F578" s="5" t="str">
        <f>HYPERLINK("http://www.otzar.org/book.asp?625645","גבורות יצחק")</f>
        <v>גבורות יצחק</v>
      </c>
    </row>
    <row r="579" spans="1:6" x14ac:dyDescent="0.2">
      <c r="A579" t="s">
        <v>1337</v>
      </c>
      <c r="B579" t="s">
        <v>1338</v>
      </c>
      <c r="C579" t="s">
        <v>818</v>
      </c>
      <c r="D579" s="1" t="s">
        <v>9</v>
      </c>
      <c r="E579" t="s">
        <v>44</v>
      </c>
      <c r="F579" s="5" t="str">
        <f>HYPERLINK("http://www.otzar.org/book.asp?623474","גבורות רמח""ל")</f>
        <v>גבורות רמח"ל</v>
      </c>
    </row>
    <row r="580" spans="1:6" x14ac:dyDescent="0.2">
      <c r="A580" t="s">
        <v>1339</v>
      </c>
      <c r="B580" t="s">
        <v>1340</v>
      </c>
      <c r="C580" t="s">
        <v>25</v>
      </c>
      <c r="D580" s="1" t="s">
        <v>1341</v>
      </c>
      <c r="E580" t="s">
        <v>22</v>
      </c>
      <c r="F580" s="5" t="str">
        <f>HYPERLINK("http://www.otzar.org/book.asp?629552","גבורת אריאל - זבחים")</f>
        <v>גבורת אריאל - זבחים</v>
      </c>
    </row>
    <row r="581" spans="1:6" x14ac:dyDescent="0.2">
      <c r="A581" t="s">
        <v>1342</v>
      </c>
      <c r="B581" t="s">
        <v>1343</v>
      </c>
      <c r="C581" t="s">
        <v>157</v>
      </c>
      <c r="D581" s="1" t="s">
        <v>9</v>
      </c>
      <c r="F581" s="5" t="str">
        <f>HYPERLINK("http://www.otzar.org/book.asp?630757","גביע הכסף - 3 כר'")</f>
        <v>גביע הכסף - 3 כר'</v>
      </c>
    </row>
    <row r="582" spans="1:6" x14ac:dyDescent="0.2">
      <c r="A582" t="s">
        <v>1344</v>
      </c>
      <c r="B582" t="s">
        <v>1345</v>
      </c>
      <c r="C582" t="s">
        <v>190</v>
      </c>
      <c r="D582" s="1" t="s">
        <v>14</v>
      </c>
      <c r="E582" t="s">
        <v>168</v>
      </c>
      <c r="F582" s="5" t="str">
        <f>HYPERLINK("http://www.otzar.org/book.asp?196542","גביעי גביע הכסף &lt;מהדורה חדשה&gt;")</f>
        <v>גביעי גביע הכסף &lt;מהדורה חדשה&gt;</v>
      </c>
    </row>
    <row r="583" spans="1:6" x14ac:dyDescent="0.2">
      <c r="A583" t="s">
        <v>1346</v>
      </c>
      <c r="B583" t="s">
        <v>1347</v>
      </c>
      <c r="C583" t="s">
        <v>40</v>
      </c>
      <c r="D583" s="1" t="s">
        <v>29</v>
      </c>
      <c r="E583" t="s">
        <v>22</v>
      </c>
      <c r="F583" s="5" t="str">
        <f>HYPERLINK("http://www.otzar.org/book.asp?631701","גבעת שאול - ב")</f>
        <v>גבעת שאול - ב</v>
      </c>
    </row>
    <row r="584" spans="1:6" x14ac:dyDescent="0.2">
      <c r="A584" t="s">
        <v>1348</v>
      </c>
      <c r="B584" t="s">
        <v>1349</v>
      </c>
      <c r="C584" t="s">
        <v>8</v>
      </c>
      <c r="D584" s="1" t="s">
        <v>9</v>
      </c>
      <c r="E584" t="s">
        <v>214</v>
      </c>
      <c r="F584" s="5" t="str">
        <f>HYPERLINK("http://www.otzar.org/book.asp?625359","גדולים מעשי חייא")</f>
        <v>גדולים מעשי חייא</v>
      </c>
    </row>
    <row r="585" spans="1:6" x14ac:dyDescent="0.2">
      <c r="A585" t="s">
        <v>1350</v>
      </c>
      <c r="B585" t="s">
        <v>1351</v>
      </c>
      <c r="C585" t="s">
        <v>20</v>
      </c>
      <c r="D585" s="1" t="s">
        <v>1134</v>
      </c>
      <c r="E585" t="s">
        <v>371</v>
      </c>
      <c r="F585" s="5" t="str">
        <f>HYPERLINK("http://www.otzar.org/book.asp?623508","גדולת גדליהו")</f>
        <v>גדולת גדליהו</v>
      </c>
    </row>
    <row r="586" spans="1:6" x14ac:dyDescent="0.2">
      <c r="A586" t="s">
        <v>1352</v>
      </c>
      <c r="B586" t="s">
        <v>1353</v>
      </c>
      <c r="C586" t="s">
        <v>460</v>
      </c>
      <c r="D586" s="1" t="s">
        <v>29</v>
      </c>
      <c r="E586" t="s">
        <v>49</v>
      </c>
      <c r="F586" s="5" t="str">
        <f>HYPERLINK("http://www.otzar.org/book.asp?628238","גדולת יהושע")</f>
        <v>גדולת יהושע</v>
      </c>
    </row>
    <row r="587" spans="1:6" x14ac:dyDescent="0.2">
      <c r="A587" t="s">
        <v>1354</v>
      </c>
      <c r="B587" t="s">
        <v>482</v>
      </c>
      <c r="C587" t="s">
        <v>73</v>
      </c>
      <c r="D587" s="1" t="s">
        <v>9</v>
      </c>
      <c r="E587" t="s">
        <v>34</v>
      </c>
      <c r="F587" s="5" t="str">
        <f>HYPERLINK("http://www.otzar.org/book.asp?625783","גדלות האדם")</f>
        <v>גדלות האדם</v>
      </c>
    </row>
    <row r="588" spans="1:6" x14ac:dyDescent="0.2">
      <c r="A588" t="s">
        <v>1355</v>
      </c>
      <c r="B588" t="s">
        <v>1356</v>
      </c>
      <c r="C588" t="s">
        <v>1026</v>
      </c>
      <c r="D588" s="1" t="s">
        <v>471</v>
      </c>
      <c r="E588" t="s">
        <v>214</v>
      </c>
      <c r="F588" s="5" t="str">
        <f>HYPERLINK("http://www.otzar.org/book.asp?624771","גוילין - יד-טו")</f>
        <v>גוילין - יד-טו</v>
      </c>
    </row>
    <row r="589" spans="1:6" x14ac:dyDescent="0.2">
      <c r="A589" t="s">
        <v>1357</v>
      </c>
      <c r="B589" t="s">
        <v>156</v>
      </c>
      <c r="C589" t="s">
        <v>639</v>
      </c>
      <c r="D589" s="1" t="s">
        <v>158</v>
      </c>
      <c r="E589" t="s">
        <v>17</v>
      </c>
      <c r="F589" s="5" t="str">
        <f>HYPERLINK("http://www.otzar.org/book.asp?628546","גוף נפש ונשמה")</f>
        <v>גוף נפש ונשמה</v>
      </c>
    </row>
    <row r="590" spans="1:6" x14ac:dyDescent="0.2">
      <c r="A590" t="s">
        <v>1358</v>
      </c>
      <c r="B590" t="s">
        <v>1359</v>
      </c>
      <c r="C590" t="s">
        <v>20</v>
      </c>
      <c r="D590" s="1" t="s">
        <v>9</v>
      </c>
      <c r="E590" t="s">
        <v>41</v>
      </c>
      <c r="F590" s="5" t="str">
        <f>HYPERLINK("http://www.otzar.org/book.asp?627582","גור אריה יהודא &lt;מהדורת זכרון אהרן&gt; - 2 כר'")</f>
        <v>גור אריה יהודא &lt;מהדורת זכרון אהרן&gt; - 2 כר'</v>
      </c>
    </row>
    <row r="591" spans="1:6" x14ac:dyDescent="0.2">
      <c r="A591" t="s">
        <v>1360</v>
      </c>
      <c r="B591" t="s">
        <v>1361</v>
      </c>
      <c r="E591" t="s">
        <v>37</v>
      </c>
      <c r="F591" s="5" t="str">
        <f>HYPERLINK("http://www.otzar.org/book.asp?624588","גור אריה יהודה")</f>
        <v>גור אריה יהודה</v>
      </c>
    </row>
    <row r="592" spans="1:6" x14ac:dyDescent="0.2">
      <c r="A592" t="s">
        <v>1362</v>
      </c>
      <c r="B592" t="s">
        <v>1363</v>
      </c>
      <c r="C592" t="s">
        <v>88</v>
      </c>
      <c r="D592" s="1" t="s">
        <v>1364</v>
      </c>
      <c r="E592" t="s">
        <v>168</v>
      </c>
      <c r="F592" s="5" t="str">
        <f>HYPERLINK("http://www.otzar.org/book.asp?625615","גחלי אש")</f>
        <v>גחלי אש</v>
      </c>
    </row>
    <row r="593" spans="1:6" x14ac:dyDescent="0.2">
      <c r="A593" t="s">
        <v>1365</v>
      </c>
      <c r="B593" t="s">
        <v>1366</v>
      </c>
      <c r="C593" t="s">
        <v>136</v>
      </c>
      <c r="D593" s="1" t="s">
        <v>1367</v>
      </c>
      <c r="E593" t="s">
        <v>214</v>
      </c>
      <c r="F593" s="5" t="str">
        <f>HYPERLINK("http://www.otzar.org/book.asp?626183","גיבורי כח")</f>
        <v>גיבורי כח</v>
      </c>
    </row>
    <row r="594" spans="1:6" x14ac:dyDescent="0.2">
      <c r="A594" t="s">
        <v>1368</v>
      </c>
      <c r="B594" t="s">
        <v>1369</v>
      </c>
      <c r="C594" t="s">
        <v>13</v>
      </c>
      <c r="D594" s="1" t="s">
        <v>14</v>
      </c>
      <c r="F594" s="5" t="str">
        <f>HYPERLINK("http://www.otzar.org/book.asp?629841","גינת אגוז - תשע""ט")</f>
        <v>גינת אגוז - תשע"ט</v>
      </c>
    </row>
    <row r="595" spans="1:6" x14ac:dyDescent="0.2">
      <c r="A595" t="s">
        <v>1370</v>
      </c>
      <c r="B595" t="s">
        <v>800</v>
      </c>
      <c r="C595" t="s">
        <v>13</v>
      </c>
      <c r="D595" s="1" t="s">
        <v>213</v>
      </c>
      <c r="E595" t="s">
        <v>37</v>
      </c>
      <c r="F595" s="5" t="str">
        <f>HYPERLINK("http://www.otzar.org/book.asp?627396","גינת ראובן - 4 כר'")</f>
        <v>גינת ראובן - 4 כר'</v>
      </c>
    </row>
    <row r="596" spans="1:6" x14ac:dyDescent="0.2">
      <c r="A596" t="s">
        <v>1371</v>
      </c>
      <c r="B596" t="s">
        <v>1372</v>
      </c>
      <c r="C596" t="s">
        <v>8</v>
      </c>
      <c r="D596" s="1" t="s">
        <v>9</v>
      </c>
      <c r="E596" t="s">
        <v>37</v>
      </c>
      <c r="F596" s="5" t="str">
        <f>HYPERLINK("http://www.otzar.org/book.asp?628074","גירושי שוטה")</f>
        <v>גירושי שוטה</v>
      </c>
    </row>
    <row r="597" spans="1:6" x14ac:dyDescent="0.2">
      <c r="A597" t="s">
        <v>1373</v>
      </c>
      <c r="B597" t="s">
        <v>1374</v>
      </c>
      <c r="C597" t="s">
        <v>13</v>
      </c>
      <c r="D597" s="1" t="s">
        <v>1375</v>
      </c>
      <c r="E597" t="s">
        <v>30</v>
      </c>
      <c r="F597" s="5" t="str">
        <f>HYPERLINK("http://www.otzar.org/book.asp?630554","גל עיני")</f>
        <v>גל עיני</v>
      </c>
    </row>
    <row r="598" spans="1:6" x14ac:dyDescent="0.2">
      <c r="A598" t="s">
        <v>1376</v>
      </c>
      <c r="B598" t="s">
        <v>1377</v>
      </c>
      <c r="E598" t="s">
        <v>44</v>
      </c>
      <c r="F598" s="5" t="str">
        <f>HYPERLINK("http://www.otzar.org/book.asp?627954","גלא עמיקתא &lt;זכרון אהרן&gt;")</f>
        <v>גלא עמיקתא &lt;זכרון אהרן&gt;</v>
      </c>
    </row>
    <row r="599" spans="1:6" x14ac:dyDescent="0.2">
      <c r="A599" t="s">
        <v>1378</v>
      </c>
      <c r="B599" t="s">
        <v>1141</v>
      </c>
      <c r="C599" t="s">
        <v>136</v>
      </c>
      <c r="D599" s="1" t="s">
        <v>1142</v>
      </c>
      <c r="E599" t="s">
        <v>49</v>
      </c>
      <c r="F599" s="5" t="str">
        <f>HYPERLINK("http://www.otzar.org/book.asp?626620","גלגולי נשמות")</f>
        <v>גלגולי נשמות</v>
      </c>
    </row>
    <row r="600" spans="1:6" x14ac:dyDescent="0.2">
      <c r="A600" t="s">
        <v>1379</v>
      </c>
      <c r="B600" t="s">
        <v>1380</v>
      </c>
      <c r="C600" t="s">
        <v>40</v>
      </c>
      <c r="E600" t="s">
        <v>49</v>
      </c>
      <c r="F600" s="5" t="str">
        <f>HYPERLINK("http://www.otzar.org/book.asp?623706","גלגל המזלות")</f>
        <v>גלגל המזלות</v>
      </c>
    </row>
    <row r="601" spans="1:6" x14ac:dyDescent="0.2">
      <c r="A601" t="s">
        <v>1381</v>
      </c>
      <c r="B601" t="s">
        <v>1382</v>
      </c>
      <c r="E601" t="s">
        <v>168</v>
      </c>
      <c r="F601" s="5" t="str">
        <f>HYPERLINK("http://www.otzar.org/book.asp?626177","גלי ים - דברים")</f>
        <v>גלי ים - דברים</v>
      </c>
    </row>
    <row r="602" spans="1:6" x14ac:dyDescent="0.2">
      <c r="A602" t="s">
        <v>1383</v>
      </c>
      <c r="B602" t="s">
        <v>1384</v>
      </c>
      <c r="C602" t="s">
        <v>1385</v>
      </c>
      <c r="D602" s="1" t="s">
        <v>14</v>
      </c>
      <c r="E602" t="s">
        <v>49</v>
      </c>
      <c r="F602" s="5" t="str">
        <f>HYPERLINK("http://www.otzar.org/book.asp?623792","גליון אר""ץ זבת חל'ב - 9-14")</f>
        <v>גליון אר"ץ זבת חל'ב - 9-14</v>
      </c>
    </row>
    <row r="603" spans="1:6" x14ac:dyDescent="0.2">
      <c r="A603" t="s">
        <v>1386</v>
      </c>
      <c r="B603" t="s">
        <v>773</v>
      </c>
      <c r="C603" t="s">
        <v>25</v>
      </c>
      <c r="D603" s="1" t="s">
        <v>774</v>
      </c>
      <c r="E603" t="s">
        <v>89</v>
      </c>
      <c r="F603" s="5" t="str">
        <f>HYPERLINK("http://www.otzar.org/book.asp?631486","גליון שו""ת יגדיל תורה - 2 כר'")</f>
        <v>גליון שו"ת יגדיל תורה - 2 כר'</v>
      </c>
    </row>
    <row r="604" spans="1:6" x14ac:dyDescent="0.2">
      <c r="A604" t="s">
        <v>1387</v>
      </c>
      <c r="B604" t="s">
        <v>272</v>
      </c>
      <c r="C604" t="s">
        <v>20</v>
      </c>
      <c r="D604" s="1" t="s">
        <v>14</v>
      </c>
      <c r="E604" t="s">
        <v>49</v>
      </c>
      <c r="F604" s="5" t="str">
        <f>HYPERLINK("http://www.otzar.org/book.asp?628493","גליון תורת הקרבנות - 10 כר'")</f>
        <v>גליון תורת הקרבנות - 10 כר'</v>
      </c>
    </row>
    <row r="605" spans="1:6" x14ac:dyDescent="0.2">
      <c r="A605" t="s">
        <v>1388</v>
      </c>
      <c r="B605" t="s">
        <v>1389</v>
      </c>
      <c r="E605" t="s">
        <v>49</v>
      </c>
      <c r="F605" s="5" t="str">
        <f>HYPERLINK("http://www.otzar.org/book.asp?630850","גליונות אמור ואמרת - הלכות טהרת כהנים")</f>
        <v>גליונות אמור ואמרת - הלכות טהרת כהנים</v>
      </c>
    </row>
    <row r="606" spans="1:6" x14ac:dyDescent="0.2">
      <c r="A606" t="s">
        <v>1390</v>
      </c>
      <c r="B606" t="s">
        <v>1391</v>
      </c>
      <c r="C606" t="s">
        <v>20</v>
      </c>
      <c r="D606" s="1" t="s">
        <v>52</v>
      </c>
      <c r="E606" t="s">
        <v>1392</v>
      </c>
      <c r="F606" s="5" t="str">
        <f>HYPERLINK("http://www.otzar.org/book.asp?630365","גליונות נפש החיים - 2 כר'")</f>
        <v>גליונות נפש החיים - 2 כר'</v>
      </c>
    </row>
    <row r="607" spans="1:6" x14ac:dyDescent="0.2">
      <c r="A607" t="s">
        <v>1393</v>
      </c>
      <c r="B607" t="s">
        <v>364</v>
      </c>
      <c r="C607" t="s">
        <v>25</v>
      </c>
      <c r="D607" s="1" t="s">
        <v>52</v>
      </c>
      <c r="F607" s="5" t="str">
        <f>HYPERLINK("http://www.otzar.org/book.asp?630729","גליונות עומק הפשט - 6 כר'")</f>
        <v>גליונות עומק הפשט - 6 כר'</v>
      </c>
    </row>
    <row r="608" spans="1:6" x14ac:dyDescent="0.2">
      <c r="A608" t="s">
        <v>1394</v>
      </c>
      <c r="B608" t="s">
        <v>1395</v>
      </c>
      <c r="C608" t="s">
        <v>148</v>
      </c>
      <c r="D608" s="1" t="s">
        <v>9</v>
      </c>
      <c r="E608" t="s">
        <v>168</v>
      </c>
      <c r="F608" s="5" t="str">
        <f>HYPERLINK("http://www.otzar.org/book.asp?626081","גליונות עזר לשיעורים בנביא - ירמיהו")</f>
        <v>גליונות עזר לשיעורים בנביא - ירמיהו</v>
      </c>
    </row>
    <row r="609" spans="1:6" x14ac:dyDescent="0.2">
      <c r="A609" t="s">
        <v>1396</v>
      </c>
      <c r="B609" t="s">
        <v>1397</v>
      </c>
      <c r="E609" t="s">
        <v>1398</v>
      </c>
      <c r="F609" s="5" t="str">
        <f>HYPERLINK("http://www.otzar.org/book.asp?630783","גליונות צוף התורה - 2 כר'")</f>
        <v>גליונות צוף התורה - 2 כר'</v>
      </c>
    </row>
    <row r="610" spans="1:6" x14ac:dyDescent="0.2">
      <c r="A610" t="s">
        <v>1399</v>
      </c>
      <c r="B610" t="s">
        <v>1400</v>
      </c>
      <c r="C610" t="s">
        <v>427</v>
      </c>
      <c r="D610" s="1" t="s">
        <v>471</v>
      </c>
      <c r="E610" t="s">
        <v>1401</v>
      </c>
      <c r="F610" s="5" t="str">
        <f>HYPERLINK("http://www.otzar.org/book.asp?627334","גלעד - 3 כר'")</f>
        <v>גלעד - 3 כר'</v>
      </c>
    </row>
    <row r="611" spans="1:6" x14ac:dyDescent="0.2">
      <c r="A611" t="s">
        <v>1402</v>
      </c>
      <c r="B611" t="s">
        <v>420</v>
      </c>
      <c r="C611" t="s">
        <v>25</v>
      </c>
      <c r="D611" s="1" t="s">
        <v>14</v>
      </c>
      <c r="E611" t="s">
        <v>41</v>
      </c>
      <c r="F611" s="5" t="str">
        <f>HYPERLINK("http://www.otzar.org/book.asp?627971","גם אני אודך - 16 כר'")</f>
        <v>גם אני אודך - 16 כר'</v>
      </c>
    </row>
    <row r="612" spans="1:6" x14ac:dyDescent="0.2">
      <c r="A612" t="s">
        <v>1403</v>
      </c>
      <c r="B612" t="s">
        <v>1404</v>
      </c>
      <c r="C612" t="s">
        <v>1405</v>
      </c>
      <c r="D612" s="1" t="s">
        <v>1406</v>
      </c>
      <c r="F612" s="5" t="str">
        <f>HYPERLINK("http://www.otzar.org/book.asp?629586","גן יעקב")</f>
        <v>גן יעקב</v>
      </c>
    </row>
    <row r="613" spans="1:6" x14ac:dyDescent="0.2">
      <c r="A613" t="s">
        <v>1407</v>
      </c>
      <c r="B613" t="s">
        <v>1408</v>
      </c>
      <c r="C613" t="s">
        <v>386</v>
      </c>
      <c r="D613" s="1" t="s">
        <v>9</v>
      </c>
      <c r="E613" t="s">
        <v>44</v>
      </c>
      <c r="F613" s="5" t="str">
        <f>HYPERLINK("http://www.otzar.org/book.asp?628224","גנזי ארמוני")</f>
        <v>גנזי ארמוני</v>
      </c>
    </row>
    <row r="614" spans="1:6" x14ac:dyDescent="0.2">
      <c r="A614" t="s">
        <v>1409</v>
      </c>
      <c r="B614" t="s">
        <v>1410</v>
      </c>
      <c r="C614" t="s">
        <v>13</v>
      </c>
      <c r="D614" s="1" t="s">
        <v>803</v>
      </c>
      <c r="E614" t="s">
        <v>61</v>
      </c>
      <c r="F614" s="5" t="str">
        <f>HYPERLINK("http://www.otzar.org/book.asp?631537","גנזי ברכה")</f>
        <v>גנזי ברכה</v>
      </c>
    </row>
    <row r="615" spans="1:6" x14ac:dyDescent="0.2">
      <c r="A615" t="s">
        <v>1411</v>
      </c>
      <c r="B615" t="s">
        <v>1412</v>
      </c>
      <c r="C615" t="s">
        <v>386</v>
      </c>
      <c r="D615" s="1" t="s">
        <v>9</v>
      </c>
      <c r="E615" t="s">
        <v>17</v>
      </c>
      <c r="F615" s="5" t="str">
        <f>HYPERLINK("http://www.otzar.org/book.asp?626563","גנזי צדיקים")</f>
        <v>גנזי צדיקים</v>
      </c>
    </row>
    <row r="616" spans="1:6" x14ac:dyDescent="0.2">
      <c r="A616" t="s">
        <v>1413</v>
      </c>
      <c r="B616" t="s">
        <v>1414</v>
      </c>
      <c r="C616" t="s">
        <v>13</v>
      </c>
      <c r="D616" s="1" t="s">
        <v>1257</v>
      </c>
      <c r="E616" t="s">
        <v>477</v>
      </c>
      <c r="F616" s="5" t="str">
        <f>HYPERLINK("http://www.otzar.org/book.asp?626267","גנזי שלום")</f>
        <v>גנזי שלום</v>
      </c>
    </row>
    <row r="617" spans="1:6" x14ac:dyDescent="0.2">
      <c r="A617" t="s">
        <v>1415</v>
      </c>
      <c r="B617" t="s">
        <v>1416</v>
      </c>
      <c r="C617" t="s">
        <v>8</v>
      </c>
      <c r="D617" s="1" t="s">
        <v>9</v>
      </c>
      <c r="E617" t="s">
        <v>34</v>
      </c>
      <c r="F617" s="5" t="str">
        <f>HYPERLINK("http://www.otzar.org/book.asp?629908","גנת ישראל - 2 כר'")</f>
        <v>גנת ישראל - 2 כר'</v>
      </c>
    </row>
    <row r="618" spans="1:6" x14ac:dyDescent="0.2">
      <c r="A618" t="s">
        <v>1417</v>
      </c>
      <c r="B618" t="s">
        <v>1418</v>
      </c>
      <c r="C618" t="s">
        <v>133</v>
      </c>
      <c r="D618" s="1" t="s">
        <v>9</v>
      </c>
      <c r="E618" t="s">
        <v>305</v>
      </c>
      <c r="F618" s="5" t="str">
        <f>HYPERLINK("http://www.otzar.org/book.asp?623561","גפן בעצי היער")</f>
        <v>גפן בעצי היער</v>
      </c>
    </row>
    <row r="619" spans="1:6" x14ac:dyDescent="0.2">
      <c r="A619" t="s">
        <v>1419</v>
      </c>
      <c r="B619" t="s">
        <v>1420</v>
      </c>
      <c r="C619" t="s">
        <v>13</v>
      </c>
      <c r="D619" s="1" t="s">
        <v>14</v>
      </c>
      <c r="E619" t="s">
        <v>1421</v>
      </c>
      <c r="F619" s="5" t="str">
        <f>HYPERLINK("http://www.otzar.org/book.asp?623264","גפן ישראל")</f>
        <v>גפן ישראל</v>
      </c>
    </row>
    <row r="620" spans="1:6" x14ac:dyDescent="0.2">
      <c r="A620" t="s">
        <v>1422</v>
      </c>
      <c r="B620" t="s">
        <v>1423</v>
      </c>
      <c r="C620" t="s">
        <v>13</v>
      </c>
      <c r="D620" s="1" t="s">
        <v>795</v>
      </c>
      <c r="E620" t="s">
        <v>37</v>
      </c>
      <c r="F620" s="5" t="str">
        <f>HYPERLINK("http://www.otzar.org/book.asp?628775","גר המתגייר - 2 כר'")</f>
        <v>גר המתגייר - 2 כר'</v>
      </c>
    </row>
    <row r="621" spans="1:6" x14ac:dyDescent="0.2">
      <c r="A621" t="s">
        <v>1424</v>
      </c>
      <c r="B621" t="s">
        <v>786</v>
      </c>
      <c r="C621" t="s">
        <v>572</v>
      </c>
      <c r="D621" s="1" t="s">
        <v>9</v>
      </c>
      <c r="E621" t="s">
        <v>37</v>
      </c>
      <c r="F621" s="5" t="str">
        <f>HYPERLINK("http://www.otzar.org/book.asp?625458","גרם מלאכה בשבת באמצעות אור ורוח")</f>
        <v>גרם מלאכה בשבת באמצעות אור ורוח</v>
      </c>
    </row>
    <row r="622" spans="1:6" x14ac:dyDescent="0.2">
      <c r="A622" t="s">
        <v>1425</v>
      </c>
      <c r="B622" t="s">
        <v>1426</v>
      </c>
      <c r="C622" t="s">
        <v>8</v>
      </c>
      <c r="D622" s="1" t="s">
        <v>1257</v>
      </c>
      <c r="E622" t="s">
        <v>37</v>
      </c>
      <c r="F622" s="5" t="str">
        <f>HYPERLINK("http://www.otzar.org/book.asp?626436","גרש כרמל - שמחת כהן")</f>
        <v>גרש כרמל - שמחת כהן</v>
      </c>
    </row>
    <row r="623" spans="1:6" x14ac:dyDescent="0.2">
      <c r="A623" t="s">
        <v>1427</v>
      </c>
      <c r="B623" t="s">
        <v>1428</v>
      </c>
      <c r="C623" t="s">
        <v>1429</v>
      </c>
      <c r="D623" s="1" t="s">
        <v>294</v>
      </c>
      <c r="F623" s="5" t="str">
        <f>HYPERLINK("http://www.otzar.org/book.asp?626542","דאס אידישע ווארט - 11 כר'")</f>
        <v>דאס אידישע ווארט - 11 כר'</v>
      </c>
    </row>
    <row r="624" spans="1:6" x14ac:dyDescent="0.2">
      <c r="A624" t="s">
        <v>1430</v>
      </c>
      <c r="B624" t="s">
        <v>1431</v>
      </c>
      <c r="E624" t="s">
        <v>214</v>
      </c>
      <c r="F624" s="5" t="str">
        <f>HYPERLINK("http://www.otzar.org/book.asp?625310","דאס אידישע ליכט (תש""מ) - 6 כר'")</f>
        <v>דאס אידישע ליכט (תש"מ) - 6 כר'</v>
      </c>
    </row>
    <row r="625" spans="1:6" x14ac:dyDescent="0.2">
      <c r="A625" t="s">
        <v>1432</v>
      </c>
      <c r="B625" t="s">
        <v>1433</v>
      </c>
      <c r="C625" t="s">
        <v>206</v>
      </c>
      <c r="D625" s="1" t="s">
        <v>64</v>
      </c>
      <c r="E625" t="s">
        <v>34</v>
      </c>
      <c r="F625" s="5" t="str">
        <f>HYPERLINK("http://www.otzar.org/book.asp?628750","דבור ומחשבה &lt;הכוזרי&gt;")</f>
        <v>דבור ומחשבה &lt;הכוזרי&gt;</v>
      </c>
    </row>
    <row r="626" spans="1:6" x14ac:dyDescent="0.2">
      <c r="A626" t="s">
        <v>1434</v>
      </c>
      <c r="B626" t="s">
        <v>1435</v>
      </c>
      <c r="C626" t="s">
        <v>73</v>
      </c>
      <c r="D626" s="1" t="s">
        <v>14</v>
      </c>
      <c r="E626" t="s">
        <v>34</v>
      </c>
      <c r="F626" s="5" t="str">
        <f>HYPERLINK("http://www.otzar.org/book.asp?630454","דבקה נפשי אחריך - 2 כר'")</f>
        <v>דבקה נפשי אחריך - 2 כר'</v>
      </c>
    </row>
    <row r="627" spans="1:6" x14ac:dyDescent="0.2">
      <c r="A627" t="s">
        <v>1436</v>
      </c>
      <c r="B627" t="s">
        <v>482</v>
      </c>
      <c r="C627" t="s">
        <v>8</v>
      </c>
      <c r="D627" s="1" t="s">
        <v>9</v>
      </c>
      <c r="E627" t="s">
        <v>49</v>
      </c>
      <c r="F627" s="5" t="str">
        <f>HYPERLINK("http://www.otzar.org/book.asp?625804","דבר בעתו אבלות החורבן")</f>
        <v>דבר בעתו אבלות החורבן</v>
      </c>
    </row>
    <row r="628" spans="1:6" x14ac:dyDescent="0.2">
      <c r="A628" t="s">
        <v>1437</v>
      </c>
      <c r="B628" t="s">
        <v>1438</v>
      </c>
      <c r="C628" t="s">
        <v>298</v>
      </c>
      <c r="D628" s="1" t="s">
        <v>1439</v>
      </c>
      <c r="E628" t="s">
        <v>22</v>
      </c>
      <c r="F628" s="5" t="str">
        <f>HYPERLINK("http://www.otzar.org/book.asp?624794","דבר בעתו - א")</f>
        <v>דבר בעתו - א</v>
      </c>
    </row>
    <row r="629" spans="1:6" x14ac:dyDescent="0.2">
      <c r="A629" t="s">
        <v>1440</v>
      </c>
      <c r="B629" t="s">
        <v>1441</v>
      </c>
      <c r="C629" t="s">
        <v>73</v>
      </c>
      <c r="D629" s="1" t="s">
        <v>803</v>
      </c>
      <c r="E629" t="s">
        <v>61</v>
      </c>
      <c r="F629" s="5" t="str">
        <f>HYPERLINK("http://www.otzar.org/book.asp?628202","דבר הכהן")</f>
        <v>דבר הכהן</v>
      </c>
    </row>
    <row r="630" spans="1:6" x14ac:dyDescent="0.2">
      <c r="A630" t="s">
        <v>1442</v>
      </c>
      <c r="B630" t="s">
        <v>1443</v>
      </c>
      <c r="C630" t="s">
        <v>1444</v>
      </c>
      <c r="D630" s="1" t="s">
        <v>1445</v>
      </c>
      <c r="E630" t="s">
        <v>37</v>
      </c>
      <c r="F630" s="5" t="str">
        <f>HYPERLINK("http://www.otzar.org/book.asp?625362","דבר השמיטה")</f>
        <v>דבר השמיטה</v>
      </c>
    </row>
    <row r="631" spans="1:6" x14ac:dyDescent="0.2">
      <c r="A631" t="s">
        <v>1446</v>
      </c>
      <c r="B631" t="s">
        <v>1447</v>
      </c>
      <c r="C631" t="s">
        <v>136</v>
      </c>
      <c r="D631" s="1" t="s">
        <v>14</v>
      </c>
      <c r="E631" t="s">
        <v>22</v>
      </c>
      <c r="F631" s="5" t="str">
        <f>HYPERLINK("http://www.otzar.org/book.asp?629153","דבר חיים -יומא")</f>
        <v>דבר חיים -יומא</v>
      </c>
    </row>
    <row r="632" spans="1:6" x14ac:dyDescent="0.2">
      <c r="A632" t="s">
        <v>1448</v>
      </c>
      <c r="B632" t="s">
        <v>1449</v>
      </c>
      <c r="C632" t="s">
        <v>13</v>
      </c>
      <c r="D632" s="1" t="s">
        <v>9</v>
      </c>
      <c r="E632" t="s">
        <v>22</v>
      </c>
      <c r="F632" s="5" t="str">
        <f>HYPERLINK("http://www.otzar.org/book.asp?625960","דבר יוסף")</f>
        <v>דבר יוסף</v>
      </c>
    </row>
    <row r="633" spans="1:6" x14ac:dyDescent="0.2">
      <c r="A633" t="s">
        <v>1450</v>
      </c>
      <c r="B633" t="s">
        <v>1451</v>
      </c>
      <c r="C633" t="s">
        <v>13</v>
      </c>
      <c r="D633" s="1" t="s">
        <v>9</v>
      </c>
      <c r="E633" t="s">
        <v>22</v>
      </c>
      <c r="F633" s="5" t="str">
        <f>HYPERLINK("http://www.otzar.org/book.asp?629590","דבר יעקב - 2 כר'")</f>
        <v>דבר יעקב - 2 כר'</v>
      </c>
    </row>
    <row r="634" spans="1:6" x14ac:dyDescent="0.2">
      <c r="A634" t="s">
        <v>1452</v>
      </c>
      <c r="B634" t="s">
        <v>1453</v>
      </c>
      <c r="C634" t="s">
        <v>1454</v>
      </c>
      <c r="D634" s="1" t="s">
        <v>76</v>
      </c>
      <c r="E634" t="s">
        <v>187</v>
      </c>
      <c r="F634" s="5" t="str">
        <f>HYPERLINK("http://www.otzar.org/book.asp?624491","דבר לדור - קובץ הספדים על הגראי""ה קוק זצ""ל")</f>
        <v>דבר לדור - קובץ הספדים על הגראי"ה קוק זצ"ל</v>
      </c>
    </row>
    <row r="635" spans="1:6" x14ac:dyDescent="0.2">
      <c r="A635" t="s">
        <v>1455</v>
      </c>
      <c r="B635" t="s">
        <v>1456</v>
      </c>
      <c r="C635" t="s">
        <v>1457</v>
      </c>
      <c r="D635" s="1" t="s">
        <v>9</v>
      </c>
      <c r="E635" t="s">
        <v>1458</v>
      </c>
      <c r="F635" s="5" t="str">
        <f>HYPERLINK("http://www.otzar.org/book.asp?626423","דבר נאה")</f>
        <v>דבר נאה</v>
      </c>
    </row>
    <row r="636" spans="1:6" x14ac:dyDescent="0.2">
      <c r="A636" t="s">
        <v>1459</v>
      </c>
      <c r="B636" t="s">
        <v>1460</v>
      </c>
      <c r="C636" t="s">
        <v>136</v>
      </c>
      <c r="D636" s="1" t="s">
        <v>471</v>
      </c>
      <c r="E636" t="s">
        <v>538</v>
      </c>
      <c r="F636" s="5" t="str">
        <f>HYPERLINK("http://www.otzar.org/book.asp?626749","דברו על לב ירושלים")</f>
        <v>דברו על לב ירושלים</v>
      </c>
    </row>
    <row r="637" spans="1:6" x14ac:dyDescent="0.2">
      <c r="A637" t="s">
        <v>1461</v>
      </c>
      <c r="B637" t="s">
        <v>1462</v>
      </c>
      <c r="C637" t="s">
        <v>397</v>
      </c>
      <c r="D637" s="1" t="s">
        <v>9</v>
      </c>
      <c r="E637" t="s">
        <v>41</v>
      </c>
      <c r="F637" s="5" t="str">
        <f>HYPERLINK("http://www.otzar.org/book.asp?623128","דברות אליהו - 4 כר'")</f>
        <v>דברות אליהו - 4 כר'</v>
      </c>
    </row>
    <row r="638" spans="1:6" x14ac:dyDescent="0.2">
      <c r="A638" t="s">
        <v>1463</v>
      </c>
      <c r="B638" t="s">
        <v>1464</v>
      </c>
      <c r="C638" t="s">
        <v>13</v>
      </c>
      <c r="D638" s="1" t="s">
        <v>9</v>
      </c>
      <c r="E638" t="s">
        <v>154</v>
      </c>
      <c r="F638" s="5" t="str">
        <f>HYPERLINK("http://www.otzar.org/book.asp?629989","דברות מנחם - הלכות סוכה")</f>
        <v>דברות מנחם - הלכות סוכה</v>
      </c>
    </row>
    <row r="639" spans="1:6" x14ac:dyDescent="0.2">
      <c r="A639" t="s">
        <v>1465</v>
      </c>
      <c r="B639" t="s">
        <v>1466</v>
      </c>
      <c r="C639" t="s">
        <v>73</v>
      </c>
      <c r="D639" s="1" t="s">
        <v>21</v>
      </c>
      <c r="F639" s="5" t="str">
        <f>HYPERLINK("http://www.otzar.org/book.asp?629917","דברות מרדכי - 2 כר'")</f>
        <v>דברות מרדכי - 2 כר'</v>
      </c>
    </row>
    <row r="640" spans="1:6" x14ac:dyDescent="0.2">
      <c r="A640" t="s">
        <v>1467</v>
      </c>
      <c r="B640" t="s">
        <v>1468</v>
      </c>
      <c r="C640" t="s">
        <v>25</v>
      </c>
      <c r="D640" s="1" t="s">
        <v>9</v>
      </c>
      <c r="E640" t="s">
        <v>22</v>
      </c>
      <c r="F640" s="5" t="str">
        <f>HYPERLINK("http://www.otzar.org/book.asp?630533","דברות צבי - כה &lt;כתובות&gt;")</f>
        <v>דברות צבי - כה &lt;כתובות&gt;</v>
      </c>
    </row>
    <row r="641" spans="1:6" x14ac:dyDescent="0.2">
      <c r="A641" t="s">
        <v>1469</v>
      </c>
      <c r="B641" t="s">
        <v>1470</v>
      </c>
      <c r="C641" t="s">
        <v>1471</v>
      </c>
      <c r="D641" s="1" t="s">
        <v>1472</v>
      </c>
      <c r="E641" t="s">
        <v>1473</v>
      </c>
      <c r="F641" s="5" t="str">
        <f>HYPERLINK("http://www.otzar.org/book.asp?624766","דברי אליהו - א-ב")</f>
        <v>דברי אליהו - א-ב</v>
      </c>
    </row>
    <row r="642" spans="1:6" x14ac:dyDescent="0.2">
      <c r="A642" t="s">
        <v>1474</v>
      </c>
      <c r="B642" t="s">
        <v>1475</v>
      </c>
      <c r="C642" t="s">
        <v>136</v>
      </c>
      <c r="D642" s="1" t="s">
        <v>9</v>
      </c>
      <c r="E642" t="s">
        <v>214</v>
      </c>
      <c r="F642" s="5" t="str">
        <f>HYPERLINK("http://www.otzar.org/book.asp?627155","דברי אליהו - ו")</f>
        <v>דברי אליהו - ו</v>
      </c>
    </row>
    <row r="643" spans="1:6" x14ac:dyDescent="0.2">
      <c r="A643" t="s">
        <v>1476</v>
      </c>
      <c r="B643" t="s">
        <v>1477</v>
      </c>
      <c r="C643" t="s">
        <v>13</v>
      </c>
      <c r="D643" s="1" t="s">
        <v>9</v>
      </c>
      <c r="E643" t="s">
        <v>375</v>
      </c>
      <c r="F643" s="5" t="str">
        <f>HYPERLINK("http://www.otzar.org/book.asp?630025","דברי אמת &lt;מהדורת אהבת שלום&gt; - חלק הקונטרסים")</f>
        <v>דברי אמת &lt;מהדורת אהבת שלום&gt; - חלק הקונטרסים</v>
      </c>
    </row>
    <row r="644" spans="1:6" x14ac:dyDescent="0.2">
      <c r="A644" t="s">
        <v>1478</v>
      </c>
      <c r="B644" t="s">
        <v>1479</v>
      </c>
      <c r="C644" t="s">
        <v>1480</v>
      </c>
      <c r="D644" s="1" t="s">
        <v>1472</v>
      </c>
      <c r="E644" t="s">
        <v>34</v>
      </c>
      <c r="F644" s="5" t="str">
        <f>HYPERLINK("http://www.otzar.org/book.asp?626413","דברי אריה")</f>
        <v>דברי אריה</v>
      </c>
    </row>
    <row r="645" spans="1:6" x14ac:dyDescent="0.2">
      <c r="A645" t="s">
        <v>1481</v>
      </c>
      <c r="B645" t="s">
        <v>1482</v>
      </c>
      <c r="C645" t="s">
        <v>136</v>
      </c>
      <c r="D645" s="1" t="s">
        <v>9</v>
      </c>
      <c r="E645" t="s">
        <v>41</v>
      </c>
      <c r="F645" s="5" t="str">
        <f>HYPERLINK("http://www.otzar.org/book.asp?630878","דברי בניהו - 6 כר'")</f>
        <v>דברי בניהו - 6 כר'</v>
      </c>
    </row>
    <row r="646" spans="1:6" x14ac:dyDescent="0.2">
      <c r="A646" t="s">
        <v>1483</v>
      </c>
      <c r="B646" t="s">
        <v>1484</v>
      </c>
      <c r="C646" t="s">
        <v>13</v>
      </c>
      <c r="E646" t="s">
        <v>41</v>
      </c>
      <c r="F646" s="5" t="str">
        <f>HYPERLINK("http://www.otzar.org/book.asp?625420","דברי ברק")</f>
        <v>דברי ברק</v>
      </c>
    </row>
    <row r="647" spans="1:6" x14ac:dyDescent="0.2">
      <c r="A647" t="s">
        <v>1485</v>
      </c>
      <c r="B647" t="s">
        <v>1486</v>
      </c>
      <c r="C647" t="s">
        <v>1487</v>
      </c>
      <c r="D647" s="1" t="s">
        <v>537</v>
      </c>
      <c r="E647" t="s">
        <v>214</v>
      </c>
      <c r="F647" s="5" t="str">
        <f>HYPERLINK("http://www.otzar.org/book.asp?627382","דברי גאולה - 3")</f>
        <v>דברי גאולה - 3</v>
      </c>
    </row>
    <row r="648" spans="1:6" x14ac:dyDescent="0.2">
      <c r="A648" t="s">
        <v>1488</v>
      </c>
      <c r="B648" t="s">
        <v>1489</v>
      </c>
      <c r="C648" t="s">
        <v>73</v>
      </c>
      <c r="D648" s="1" t="s">
        <v>14</v>
      </c>
      <c r="E648" t="s">
        <v>22</v>
      </c>
      <c r="F648" s="5" t="str">
        <f>HYPERLINK("http://www.otzar.org/book.asp?623322","דברי דוד - 8 כר'")</f>
        <v>דברי דוד - 8 כר'</v>
      </c>
    </row>
    <row r="649" spans="1:6" x14ac:dyDescent="0.2">
      <c r="A649" t="s">
        <v>1490</v>
      </c>
      <c r="B649" t="s">
        <v>1491</v>
      </c>
      <c r="C649" t="s">
        <v>1050</v>
      </c>
      <c r="D649" s="1" t="s">
        <v>1492</v>
      </c>
      <c r="E649" t="s">
        <v>17</v>
      </c>
      <c r="F649" s="5" t="str">
        <f>HYPERLINK("http://www.otzar.org/book.asp?625939","דברי דוד")</f>
        <v>דברי דוד</v>
      </c>
    </row>
    <row r="650" spans="1:6" x14ac:dyDescent="0.2">
      <c r="A650" t="s">
        <v>1493</v>
      </c>
      <c r="B650" t="s">
        <v>1494</v>
      </c>
      <c r="C650" t="s">
        <v>190</v>
      </c>
      <c r="D650" s="1" t="s">
        <v>1257</v>
      </c>
      <c r="E650" t="s">
        <v>154</v>
      </c>
      <c r="F650" s="5" t="str">
        <f>HYPERLINK("http://www.otzar.org/book.asp?625556","דברי הפורים")</f>
        <v>דברי הפורים</v>
      </c>
    </row>
    <row r="651" spans="1:6" x14ac:dyDescent="0.2">
      <c r="A651" t="s">
        <v>1495</v>
      </c>
      <c r="B651" t="s">
        <v>1496</v>
      </c>
      <c r="C651" t="s">
        <v>136</v>
      </c>
      <c r="D651" s="1" t="s">
        <v>14</v>
      </c>
      <c r="F651" s="5" t="str">
        <f>HYPERLINK("http://www.otzar.org/book.asp?631849","דברי חיים (שו""ת) &lt;עם הערות והוספות&gt; - 3 כר'")</f>
        <v>דברי חיים (שו"ת) &lt;עם הערות והוספות&gt; - 3 כר'</v>
      </c>
    </row>
    <row r="652" spans="1:6" x14ac:dyDescent="0.2">
      <c r="A652" t="s">
        <v>1497</v>
      </c>
      <c r="B652" t="s">
        <v>1498</v>
      </c>
      <c r="C652" t="s">
        <v>20</v>
      </c>
      <c r="D652" s="1" t="s">
        <v>29</v>
      </c>
      <c r="E652" t="s">
        <v>44</v>
      </c>
      <c r="F652" s="5" t="str">
        <f>HYPERLINK("http://www.otzar.org/book.asp?630998","דברי חיים דוב - על שער הכוונות ב")</f>
        <v>דברי חיים דוב - על שער הכוונות ב</v>
      </c>
    </row>
    <row r="653" spans="1:6" x14ac:dyDescent="0.2">
      <c r="A653" t="s">
        <v>1499</v>
      </c>
      <c r="B653" t="s">
        <v>1500</v>
      </c>
      <c r="C653" t="s">
        <v>206</v>
      </c>
      <c r="D653" s="1" t="s">
        <v>1501</v>
      </c>
      <c r="E653" t="s">
        <v>89</v>
      </c>
      <c r="F653" s="5" t="str">
        <f>HYPERLINK("http://www.otzar.org/book.asp?629111","דברי חפץ - זמן מתן תורתנו")</f>
        <v>דברי חפץ - זמן מתן תורתנו</v>
      </c>
    </row>
    <row r="654" spans="1:6" x14ac:dyDescent="0.2">
      <c r="A654" t="s">
        <v>1502</v>
      </c>
      <c r="B654" t="s">
        <v>1503</v>
      </c>
      <c r="C654" t="s">
        <v>13</v>
      </c>
      <c r="D654" s="1" t="s">
        <v>14</v>
      </c>
      <c r="E654" t="s">
        <v>214</v>
      </c>
      <c r="F654" s="5" t="str">
        <f>HYPERLINK("http://www.otzar.org/book.asp?626933","דברי חפץ - 2 כר'")</f>
        <v>דברי חפץ - 2 כר'</v>
      </c>
    </row>
    <row r="655" spans="1:6" x14ac:dyDescent="0.2">
      <c r="A655" t="s">
        <v>1504</v>
      </c>
      <c r="B655" t="s">
        <v>1505</v>
      </c>
      <c r="C655" t="s">
        <v>1506</v>
      </c>
      <c r="D655" s="1" t="s">
        <v>355</v>
      </c>
      <c r="E655" t="s">
        <v>49</v>
      </c>
      <c r="F655" s="5" t="str">
        <f>HYPERLINK("http://www.otzar.org/book.asp?626382","דברי חפץ")</f>
        <v>דברי חפץ</v>
      </c>
    </row>
    <row r="656" spans="1:6" x14ac:dyDescent="0.2">
      <c r="A656" t="s">
        <v>1507</v>
      </c>
      <c r="B656" t="s">
        <v>1508</v>
      </c>
      <c r="C656" t="s">
        <v>25</v>
      </c>
      <c r="D656" s="1" t="s">
        <v>14</v>
      </c>
      <c r="E656" t="s">
        <v>168</v>
      </c>
      <c r="F656" s="5" t="str">
        <f>HYPERLINK("http://www.otzar.org/book.asp?628075","דברי טובה - מלכים ב (א-יד)")</f>
        <v>דברי טובה - מלכים ב (א-יד)</v>
      </c>
    </row>
    <row r="657" spans="1:6" x14ac:dyDescent="0.2">
      <c r="A657" t="s">
        <v>1509</v>
      </c>
      <c r="B657" t="s">
        <v>1510</v>
      </c>
      <c r="C657" t="s">
        <v>119</v>
      </c>
      <c r="D657" s="1" t="s">
        <v>9</v>
      </c>
      <c r="E657" t="s">
        <v>168</v>
      </c>
      <c r="F657" s="5" t="str">
        <f>HYPERLINK("http://www.otzar.org/book.asp?624933","דברי יהודה וקול יהודה - ב")</f>
        <v>דברי יהודה וקול יהודה - ב</v>
      </c>
    </row>
    <row r="658" spans="1:6" x14ac:dyDescent="0.2">
      <c r="A658" t="s">
        <v>1511</v>
      </c>
      <c r="B658" t="s">
        <v>1512</v>
      </c>
      <c r="C658" t="s">
        <v>40</v>
      </c>
      <c r="D658" s="1" t="s">
        <v>14</v>
      </c>
      <c r="E658" t="s">
        <v>295</v>
      </c>
      <c r="F658" s="5" t="str">
        <f>HYPERLINK("http://www.otzar.org/book.asp?623794","דברי יהודה - ביאור על תפילת שמונה עשרה")</f>
        <v>דברי יהודה - ביאור על תפילת שמונה עשרה</v>
      </c>
    </row>
    <row r="659" spans="1:6" x14ac:dyDescent="0.2">
      <c r="A659" t="s">
        <v>1513</v>
      </c>
      <c r="B659" t="s">
        <v>1514</v>
      </c>
      <c r="C659" t="s">
        <v>1515</v>
      </c>
      <c r="D659" s="1" t="s">
        <v>355</v>
      </c>
      <c r="E659" t="s">
        <v>49</v>
      </c>
      <c r="F659" s="5" t="str">
        <f>HYPERLINK("http://www.otzar.org/book.asp?626369","דברי יהושע")</f>
        <v>דברי יהושע</v>
      </c>
    </row>
    <row r="660" spans="1:6" x14ac:dyDescent="0.2">
      <c r="A660" t="s">
        <v>1513</v>
      </c>
      <c r="B660" t="s">
        <v>1516</v>
      </c>
      <c r="E660" t="s">
        <v>108</v>
      </c>
      <c r="F660" s="5" t="str">
        <f>HYPERLINK("http://www.otzar.org/book.asp?627842","דברי יהושע")</f>
        <v>דברי יהושע</v>
      </c>
    </row>
    <row r="661" spans="1:6" x14ac:dyDescent="0.2">
      <c r="A661" t="s">
        <v>1517</v>
      </c>
      <c r="B661" t="s">
        <v>1518</v>
      </c>
      <c r="C661" t="s">
        <v>40</v>
      </c>
      <c r="D661" s="1" t="s">
        <v>841</v>
      </c>
      <c r="E661" t="s">
        <v>401</v>
      </c>
      <c r="F661" s="5" t="str">
        <f>HYPERLINK("http://www.otzar.org/book.asp?624869","דברי יואל &lt;תורה - 3 כר'")</f>
        <v>דברי יואל &lt;תורה - 3 כר'</v>
      </c>
    </row>
    <row r="662" spans="1:6" x14ac:dyDescent="0.2">
      <c r="A662" t="s">
        <v>1519</v>
      </c>
      <c r="B662" t="s">
        <v>1518</v>
      </c>
      <c r="C662" t="s">
        <v>40</v>
      </c>
      <c r="D662" s="1" t="s">
        <v>9</v>
      </c>
      <c r="E662" t="s">
        <v>1520</v>
      </c>
      <c r="F662" s="5" t="str">
        <f>HYPERLINK("http://www.otzar.org/book.asp?624857","דברי יואל - 6 כר'")</f>
        <v>דברי יואל - 6 כר'</v>
      </c>
    </row>
    <row r="663" spans="1:6" x14ac:dyDescent="0.2">
      <c r="A663" t="s">
        <v>1521</v>
      </c>
      <c r="B663" t="s">
        <v>1522</v>
      </c>
      <c r="C663" t="s">
        <v>584</v>
      </c>
      <c r="D663" s="1" t="s">
        <v>9</v>
      </c>
      <c r="E663" t="s">
        <v>49</v>
      </c>
      <c r="F663" s="5" t="str">
        <f>HYPERLINK("http://www.otzar.org/book.asp?623785","דברי יוסף")</f>
        <v>דברי יוסף</v>
      </c>
    </row>
    <row r="664" spans="1:6" x14ac:dyDescent="0.2">
      <c r="A664" t="s">
        <v>1523</v>
      </c>
      <c r="B664" t="s">
        <v>1524</v>
      </c>
      <c r="C664" t="s">
        <v>1525</v>
      </c>
      <c r="D664" s="1" t="s">
        <v>1526</v>
      </c>
      <c r="E664" t="s">
        <v>371</v>
      </c>
      <c r="F664" s="5" t="str">
        <f>HYPERLINK("http://www.otzar.org/book.asp?626469","דברי ימי ישראל החדש")</f>
        <v>דברי ימי ישראל החדש</v>
      </c>
    </row>
    <row r="665" spans="1:6" x14ac:dyDescent="0.2">
      <c r="A665" t="s">
        <v>1527</v>
      </c>
      <c r="B665" t="s">
        <v>1528</v>
      </c>
      <c r="C665" t="s">
        <v>13</v>
      </c>
      <c r="D665" s="1" t="s">
        <v>64</v>
      </c>
      <c r="E665" t="s">
        <v>37</v>
      </c>
      <c r="F665" s="5" t="str">
        <f>HYPERLINK("http://www.otzar.org/book.asp?631196","דברי יעקב חיים - ב")</f>
        <v>דברי יעקב חיים - ב</v>
      </c>
    </row>
    <row r="666" spans="1:6" x14ac:dyDescent="0.2">
      <c r="A666" t="s">
        <v>1529</v>
      </c>
      <c r="C666" t="s">
        <v>190</v>
      </c>
      <c r="D666" s="1" t="s">
        <v>52</v>
      </c>
      <c r="E666" t="s">
        <v>37</v>
      </c>
      <c r="F666" s="5" t="str">
        <f>HYPERLINK("http://www.otzar.org/book.asp?630876","דברי יעקב - שביעית")</f>
        <v>דברי יעקב - שביעית</v>
      </c>
    </row>
    <row r="667" spans="1:6" x14ac:dyDescent="0.2">
      <c r="A667" t="s">
        <v>1530</v>
      </c>
      <c r="B667" t="s">
        <v>1531</v>
      </c>
      <c r="C667" t="s">
        <v>386</v>
      </c>
      <c r="D667" s="1" t="s">
        <v>1532</v>
      </c>
      <c r="E667" t="s">
        <v>401</v>
      </c>
      <c r="F667" s="5" t="str">
        <f>HYPERLINK("http://www.otzar.org/book.asp?625661","דברי ישכר - א")</f>
        <v>דברי ישכר - א</v>
      </c>
    </row>
    <row r="668" spans="1:6" x14ac:dyDescent="0.2">
      <c r="A668" t="s">
        <v>1533</v>
      </c>
      <c r="B668" t="s">
        <v>1534</v>
      </c>
      <c r="C668" t="s">
        <v>13</v>
      </c>
      <c r="D668" s="1" t="s">
        <v>9</v>
      </c>
      <c r="E668" t="s">
        <v>168</v>
      </c>
      <c r="F668" s="5" t="str">
        <f>HYPERLINK("http://www.otzar.org/book.asp?628676","דברי מרדכי")</f>
        <v>דברי מרדכי</v>
      </c>
    </row>
    <row r="669" spans="1:6" x14ac:dyDescent="0.2">
      <c r="A669" t="s">
        <v>1535</v>
      </c>
      <c r="E669" t="s">
        <v>242</v>
      </c>
      <c r="F669" s="5" t="str">
        <f>HYPERLINK("http://www.otzar.org/book.asp?630369","דברי משה")</f>
        <v>דברי משה</v>
      </c>
    </row>
    <row r="670" spans="1:6" x14ac:dyDescent="0.2">
      <c r="A670" t="s">
        <v>1535</v>
      </c>
      <c r="B670" t="s">
        <v>1536</v>
      </c>
      <c r="C670" t="s">
        <v>20</v>
      </c>
      <c r="D670" s="1" t="s">
        <v>9</v>
      </c>
      <c r="E670" t="s">
        <v>22</v>
      </c>
      <c r="F670" s="5" t="str">
        <f>HYPERLINK("http://www.otzar.org/book.asp?624826","דברי משה")</f>
        <v>דברי משה</v>
      </c>
    </row>
    <row r="671" spans="1:6" x14ac:dyDescent="0.2">
      <c r="A671" t="s">
        <v>1537</v>
      </c>
      <c r="B671" t="s">
        <v>1538</v>
      </c>
      <c r="C671" t="s">
        <v>307</v>
      </c>
      <c r="D671" s="1" t="s">
        <v>9</v>
      </c>
      <c r="E671" t="s">
        <v>22</v>
      </c>
      <c r="F671" s="5" t="str">
        <f>HYPERLINK("http://www.otzar.org/book.asp?629883","דברי עז - 2 כר'")</f>
        <v>דברי עז - 2 כר'</v>
      </c>
    </row>
    <row r="672" spans="1:6" x14ac:dyDescent="0.2">
      <c r="A672" t="s">
        <v>1539</v>
      </c>
      <c r="B672" t="s">
        <v>1540</v>
      </c>
      <c r="C672" t="s">
        <v>8</v>
      </c>
      <c r="D672" s="1" t="s">
        <v>29</v>
      </c>
      <c r="E672" t="s">
        <v>49</v>
      </c>
      <c r="F672" s="5" t="str">
        <f>HYPERLINK("http://www.otzar.org/book.asp?623915","דברי רבותינו")</f>
        <v>דברי רבותינו</v>
      </c>
    </row>
    <row r="673" spans="1:6" x14ac:dyDescent="0.2">
      <c r="A673" t="s">
        <v>1541</v>
      </c>
      <c r="B673" t="s">
        <v>1542</v>
      </c>
      <c r="C673" t="s">
        <v>307</v>
      </c>
      <c r="D673" s="1" t="s">
        <v>1543</v>
      </c>
      <c r="E673" t="s">
        <v>41</v>
      </c>
      <c r="F673" s="5" t="str">
        <f>HYPERLINK("http://www.otzar.org/book.asp?627575","דברי ריבות &lt;זכרון אהרן&gt;")</f>
        <v>דברי ריבות &lt;זכרון אהרן&gt;</v>
      </c>
    </row>
    <row r="674" spans="1:6" x14ac:dyDescent="0.2">
      <c r="A674" t="s">
        <v>1544</v>
      </c>
      <c r="B674" t="s">
        <v>1545</v>
      </c>
      <c r="C674" t="s">
        <v>190</v>
      </c>
      <c r="D674" s="1" t="s">
        <v>874</v>
      </c>
      <c r="E674" t="s">
        <v>61</v>
      </c>
      <c r="F674" s="5" t="str">
        <f>HYPERLINK("http://www.otzar.org/book.asp?629644","דברי שבח - ברכת הגומל")</f>
        <v>דברי שבח - ברכת הגומל</v>
      </c>
    </row>
    <row r="675" spans="1:6" x14ac:dyDescent="0.2">
      <c r="A675" t="s">
        <v>1546</v>
      </c>
      <c r="B675" t="s">
        <v>1547</v>
      </c>
      <c r="C675" t="s">
        <v>13</v>
      </c>
      <c r="D675" s="1" t="s">
        <v>268</v>
      </c>
      <c r="E675" t="s">
        <v>154</v>
      </c>
      <c r="F675" s="5" t="str">
        <f>HYPERLINK("http://www.otzar.org/book.asp?630875","דברי שבת")</f>
        <v>דברי שבת</v>
      </c>
    </row>
    <row r="676" spans="1:6" x14ac:dyDescent="0.2">
      <c r="A676" t="s">
        <v>1548</v>
      </c>
      <c r="B676" t="s">
        <v>1549</v>
      </c>
      <c r="C676" t="s">
        <v>383</v>
      </c>
      <c r="D676" s="1" t="s">
        <v>14</v>
      </c>
      <c r="E676" t="s">
        <v>37</v>
      </c>
      <c r="F676" s="5" t="str">
        <f>HYPERLINK("http://www.otzar.org/book.asp?625434","דברי שי""ח - 3 כר'")</f>
        <v>דברי שי"ח - 3 כר'</v>
      </c>
    </row>
    <row r="677" spans="1:6" x14ac:dyDescent="0.2">
      <c r="A677" t="s">
        <v>1550</v>
      </c>
      <c r="B677" t="s">
        <v>1551</v>
      </c>
      <c r="C677" t="s">
        <v>20</v>
      </c>
      <c r="D677" s="1" t="s">
        <v>21</v>
      </c>
      <c r="E677" t="s">
        <v>41</v>
      </c>
      <c r="F677" s="5" t="str">
        <f>HYPERLINK("http://www.otzar.org/book.asp?625865","דברי שיר - ב")</f>
        <v>דברי שיר - ב</v>
      </c>
    </row>
    <row r="678" spans="1:6" x14ac:dyDescent="0.2">
      <c r="A678" t="s">
        <v>1552</v>
      </c>
      <c r="B678" t="s">
        <v>1553</v>
      </c>
      <c r="C678" t="s">
        <v>1554</v>
      </c>
      <c r="D678" s="1" t="s">
        <v>1295</v>
      </c>
      <c r="E678" t="s">
        <v>375</v>
      </c>
      <c r="F678" s="5" t="str">
        <f>HYPERLINK("http://www.otzar.org/book.asp?624470","דברי שירה - עניני עגונות")</f>
        <v>דברי שירה - עניני עגונות</v>
      </c>
    </row>
    <row r="679" spans="1:6" x14ac:dyDescent="0.2">
      <c r="A679" t="s">
        <v>1555</v>
      </c>
      <c r="B679" t="s">
        <v>1556</v>
      </c>
      <c r="E679" t="s">
        <v>61</v>
      </c>
      <c r="F679" s="5" t="str">
        <f>HYPERLINK("http://www.otzar.org/book.asp?622587","דברי שמואל - ברכת התורה")</f>
        <v>דברי שמואל - ברכת התורה</v>
      </c>
    </row>
    <row r="680" spans="1:6" x14ac:dyDescent="0.2">
      <c r="A680" t="s">
        <v>1557</v>
      </c>
      <c r="B680" t="s">
        <v>1558</v>
      </c>
      <c r="C680" t="s">
        <v>694</v>
      </c>
      <c r="D680" s="1" t="s">
        <v>9</v>
      </c>
      <c r="E680" t="s">
        <v>168</v>
      </c>
      <c r="F680" s="5" t="str">
        <f>HYPERLINK("http://www.otzar.org/book.asp?627516","דברי תורה מהרבנית מיכלא איטא רבינוביץ")</f>
        <v>דברי תורה מהרבנית מיכלא איטא רבינוביץ</v>
      </c>
    </row>
    <row r="681" spans="1:6" x14ac:dyDescent="0.2">
      <c r="A681" t="s">
        <v>1559</v>
      </c>
      <c r="B681" t="s">
        <v>1560</v>
      </c>
      <c r="C681" t="s">
        <v>92</v>
      </c>
      <c r="D681" s="1" t="s">
        <v>14</v>
      </c>
      <c r="E681" t="s">
        <v>214</v>
      </c>
      <c r="F681" s="5" t="str">
        <f>HYPERLINK("http://www.otzar.org/book.asp?624919","דברים כהוויתן")</f>
        <v>דברים כהוויתן</v>
      </c>
    </row>
    <row r="682" spans="1:6" x14ac:dyDescent="0.2">
      <c r="A682" t="s">
        <v>1561</v>
      </c>
      <c r="B682" t="s">
        <v>110</v>
      </c>
      <c r="C682" t="s">
        <v>8</v>
      </c>
      <c r="D682" s="1" t="s">
        <v>52</v>
      </c>
      <c r="E682" t="s">
        <v>22</v>
      </c>
      <c r="F682" s="5" t="str">
        <f>HYPERLINK("http://www.otzar.org/book.asp?631571","דברים שנאמרו על מסכת בבא קמא")</f>
        <v>דברים שנאמרו על מסכת בבא קמא</v>
      </c>
    </row>
    <row r="683" spans="1:6" x14ac:dyDescent="0.2">
      <c r="A683" t="s">
        <v>1562</v>
      </c>
      <c r="B683" t="s">
        <v>1563</v>
      </c>
      <c r="C683" t="s">
        <v>190</v>
      </c>
      <c r="D683" s="1" t="s">
        <v>14</v>
      </c>
      <c r="E683" t="s">
        <v>168</v>
      </c>
      <c r="F683" s="5" t="str">
        <f>HYPERLINK("http://www.otzar.org/book.asp?628009","דברך נצב בשמים")</f>
        <v>דברך נצב בשמים</v>
      </c>
    </row>
    <row r="684" spans="1:6" x14ac:dyDescent="0.2">
      <c r="A684" t="s">
        <v>1564</v>
      </c>
      <c r="B684" t="s">
        <v>1565</v>
      </c>
      <c r="C684" t="s">
        <v>1127</v>
      </c>
      <c r="D684" s="1" t="s">
        <v>29</v>
      </c>
      <c r="E684" t="s">
        <v>439</v>
      </c>
      <c r="F684" s="5" t="str">
        <f>HYPERLINK("http://www.otzar.org/book.asp?624660","דבש תמרים")</f>
        <v>דבש תמרים</v>
      </c>
    </row>
    <row r="685" spans="1:6" x14ac:dyDescent="0.2">
      <c r="A685" t="s">
        <v>1566</v>
      </c>
      <c r="B685" t="s">
        <v>1567</v>
      </c>
      <c r="C685" t="s">
        <v>1568</v>
      </c>
      <c r="D685" s="1" t="s">
        <v>471</v>
      </c>
      <c r="E685" t="s">
        <v>214</v>
      </c>
      <c r="F685" s="5" t="str">
        <f>HYPERLINK("http://www.otzar.org/book.asp?623615","דגלנו - רל-רלא")</f>
        <v>דגלנו - רל-רלא</v>
      </c>
    </row>
    <row r="686" spans="1:6" x14ac:dyDescent="0.2">
      <c r="A686" t="s">
        <v>1569</v>
      </c>
      <c r="B686" t="s">
        <v>1570</v>
      </c>
      <c r="C686" t="s">
        <v>13</v>
      </c>
      <c r="D686" s="1" t="s">
        <v>9</v>
      </c>
      <c r="E686" t="s">
        <v>89</v>
      </c>
      <c r="F686" s="5" t="str">
        <f>HYPERLINK("http://www.otzar.org/book.asp?627214","דובר ישרים - 2 כר'")</f>
        <v>דובר ישרים - 2 כר'</v>
      </c>
    </row>
    <row r="687" spans="1:6" x14ac:dyDescent="0.2">
      <c r="A687" t="s">
        <v>1571</v>
      </c>
      <c r="B687" t="s">
        <v>1572</v>
      </c>
      <c r="C687" t="s">
        <v>13</v>
      </c>
      <c r="D687" s="1" t="s">
        <v>9</v>
      </c>
      <c r="E687" t="s">
        <v>61</v>
      </c>
      <c r="F687" s="5" t="str">
        <f>HYPERLINK("http://www.otzar.org/book.asp?628371","דובר שלום &lt;זכרון אהרן&gt;")</f>
        <v>דובר שלום &lt;זכרון אהרן&gt;</v>
      </c>
    </row>
    <row r="688" spans="1:6" x14ac:dyDescent="0.2">
      <c r="A688" t="s">
        <v>1573</v>
      </c>
      <c r="B688" t="s">
        <v>482</v>
      </c>
      <c r="C688" t="s">
        <v>73</v>
      </c>
      <c r="D688" s="1" t="s">
        <v>9</v>
      </c>
      <c r="E688" t="s">
        <v>49</v>
      </c>
      <c r="F688" s="5" t="str">
        <f>HYPERLINK("http://www.otzar.org/book.asp?625793","דוד מלך ישראל חי וקיים")</f>
        <v>דוד מלך ישראל חי וקיים</v>
      </c>
    </row>
    <row r="689" spans="1:6" x14ac:dyDescent="0.2">
      <c r="A689" t="s">
        <v>1574</v>
      </c>
      <c r="B689" t="s">
        <v>1575</v>
      </c>
      <c r="C689" t="s">
        <v>13</v>
      </c>
      <c r="D689" s="1" t="s">
        <v>14</v>
      </c>
      <c r="E689" t="s">
        <v>61</v>
      </c>
      <c r="F689" s="5" t="str">
        <f>HYPERLINK("http://www.otzar.org/book.asp?629792","דודאי שמואל - 2 כר'")</f>
        <v>דודאי שמואל - 2 כר'</v>
      </c>
    </row>
    <row r="690" spans="1:6" x14ac:dyDescent="0.2">
      <c r="A690" t="s">
        <v>1576</v>
      </c>
      <c r="B690" t="s">
        <v>1577</v>
      </c>
      <c r="C690" t="s">
        <v>25</v>
      </c>
      <c r="D690" s="1" t="s">
        <v>9</v>
      </c>
      <c r="E690" t="s">
        <v>49</v>
      </c>
      <c r="F690" s="5" t="str">
        <f>HYPERLINK("http://www.otzar.org/book.asp?630874","דולה ומשקה - 2 כר'")</f>
        <v>דולה ומשקה - 2 כר'</v>
      </c>
    </row>
    <row r="691" spans="1:6" x14ac:dyDescent="0.2">
      <c r="A691" t="s">
        <v>1578</v>
      </c>
      <c r="B691" t="s">
        <v>1579</v>
      </c>
      <c r="C691" t="s">
        <v>206</v>
      </c>
      <c r="D691" s="1" t="s">
        <v>471</v>
      </c>
      <c r="E691" t="s">
        <v>242</v>
      </c>
      <c r="F691" s="5" t="str">
        <f>HYPERLINK("http://www.otzar.org/book.asp?625423","דור דור ודורשיו - 2 כר'")</f>
        <v>דור דור ודורשיו - 2 כר'</v>
      </c>
    </row>
    <row r="692" spans="1:6" x14ac:dyDescent="0.2">
      <c r="A692" t="s">
        <v>1580</v>
      </c>
      <c r="B692" t="s">
        <v>1581</v>
      </c>
      <c r="C692" t="s">
        <v>190</v>
      </c>
      <c r="D692" s="1" t="s">
        <v>9</v>
      </c>
      <c r="E692" t="s">
        <v>199</v>
      </c>
      <c r="F692" s="5" t="str">
        <f>HYPERLINK("http://www.otzar.org/book.asp?628646","דור המלקטים - 8 כר'")</f>
        <v>דור המלקטים - 8 כר'</v>
      </c>
    </row>
    <row r="693" spans="1:6" x14ac:dyDescent="0.2">
      <c r="A693" t="s">
        <v>1582</v>
      </c>
      <c r="B693" t="s">
        <v>1583</v>
      </c>
      <c r="C693" t="s">
        <v>133</v>
      </c>
      <c r="D693" s="1" t="s">
        <v>64</v>
      </c>
      <c r="E693" t="s">
        <v>214</v>
      </c>
      <c r="F693" s="5" t="str">
        <f>HYPERLINK("http://www.otzar.org/book.asp?623603","דורות - 0075 (פנחס)")</f>
        <v>דורות - 0075 (פנחס)</v>
      </c>
    </row>
    <row r="694" spans="1:6" x14ac:dyDescent="0.2">
      <c r="A694" t="s">
        <v>1584</v>
      </c>
      <c r="C694" t="s">
        <v>13</v>
      </c>
      <c r="D694" s="1" t="s">
        <v>14</v>
      </c>
      <c r="E694" t="s">
        <v>17</v>
      </c>
      <c r="F694" s="5" t="str">
        <f>HYPERLINK("http://www.otzar.org/book.asp?626627","דורשי ה'")</f>
        <v>דורשי ה'</v>
      </c>
    </row>
    <row r="695" spans="1:6" x14ac:dyDescent="0.2">
      <c r="A695" t="s">
        <v>1584</v>
      </c>
      <c r="B695" t="s">
        <v>1585</v>
      </c>
      <c r="C695" t="s">
        <v>818</v>
      </c>
      <c r="D695" s="1" t="s">
        <v>471</v>
      </c>
      <c r="E695" t="s">
        <v>34</v>
      </c>
      <c r="F695" s="5" t="str">
        <f>HYPERLINK("http://www.otzar.org/book.asp?625890","דורשי ה'")</f>
        <v>דורשי ה'</v>
      </c>
    </row>
    <row r="696" spans="1:6" x14ac:dyDescent="0.2">
      <c r="A696" t="s">
        <v>1586</v>
      </c>
      <c r="B696" t="s">
        <v>1587</v>
      </c>
      <c r="C696" t="s">
        <v>639</v>
      </c>
      <c r="D696" s="1" t="s">
        <v>9</v>
      </c>
      <c r="F696" s="5" t="str">
        <f>HYPERLINK("http://www.otzar.org/book.asp?630743","דורשי תורה - תשס""ז")</f>
        <v>דורשי תורה - תשס"ז</v>
      </c>
    </row>
    <row r="697" spans="1:6" x14ac:dyDescent="0.2">
      <c r="A697" t="s">
        <v>1588</v>
      </c>
      <c r="B697" t="s">
        <v>1589</v>
      </c>
      <c r="C697" t="s">
        <v>1590</v>
      </c>
      <c r="D697" s="1" t="s">
        <v>29</v>
      </c>
      <c r="F697" s="5" t="str">
        <f>HYPERLINK("http://www.otzar.org/book.asp?623439","די סדרה און הפטרה - ב")</f>
        <v>די סדרה און הפטרה - ב</v>
      </c>
    </row>
    <row r="698" spans="1:6" x14ac:dyDescent="0.2">
      <c r="A698" t="s">
        <v>1591</v>
      </c>
      <c r="B698" t="s">
        <v>1592</v>
      </c>
      <c r="C698" t="s">
        <v>1593</v>
      </c>
      <c r="D698" s="1" t="s">
        <v>1526</v>
      </c>
      <c r="E698" t="s">
        <v>295</v>
      </c>
      <c r="F698" s="5" t="str">
        <f>HYPERLINK("http://www.otzar.org/book.asp?627329","דיואן משה דרעי")</f>
        <v>דיואן משה דרעי</v>
      </c>
    </row>
    <row r="699" spans="1:6" x14ac:dyDescent="0.2">
      <c r="A699" t="s">
        <v>1594</v>
      </c>
      <c r="B699" t="s">
        <v>1595</v>
      </c>
      <c r="C699" t="s">
        <v>411</v>
      </c>
      <c r="D699" s="1" t="s">
        <v>9</v>
      </c>
      <c r="E699" t="s">
        <v>295</v>
      </c>
      <c r="F699" s="5" t="str">
        <f>HYPERLINK("http://www.otzar.org/book.asp?626781","דיואן שמואל הנגיד &lt;מהדורת ירדן&gt; - 3 כר'")</f>
        <v>דיואן שמואל הנגיד &lt;מהדורת ירדן&gt; - 3 כר'</v>
      </c>
    </row>
    <row r="700" spans="1:6" x14ac:dyDescent="0.2">
      <c r="A700" t="s">
        <v>1596</v>
      </c>
      <c r="B700" t="s">
        <v>1597</v>
      </c>
      <c r="C700" t="s">
        <v>8</v>
      </c>
      <c r="D700" s="1" t="s">
        <v>9</v>
      </c>
      <c r="F700" s="5" t="str">
        <f>HYPERLINK("http://www.otzar.org/book.asp?625919","דיור וקליטה בישוב הישן")</f>
        <v>דיור וקליטה בישוב הישן</v>
      </c>
    </row>
    <row r="701" spans="1:6" x14ac:dyDescent="0.2">
      <c r="A701" t="s">
        <v>1598</v>
      </c>
      <c r="B701" t="s">
        <v>1599</v>
      </c>
      <c r="C701" t="s">
        <v>245</v>
      </c>
      <c r="D701" s="1" t="s">
        <v>9</v>
      </c>
      <c r="E701" t="s">
        <v>49</v>
      </c>
      <c r="F701" s="5" t="str">
        <f>HYPERLINK("http://www.otzar.org/book.asp?626250","דייקות מרבנו שמואל")</f>
        <v>דייקות מרבנו שמואל</v>
      </c>
    </row>
    <row r="702" spans="1:6" x14ac:dyDescent="0.2">
      <c r="A702" t="s">
        <v>1600</v>
      </c>
      <c r="B702" t="s">
        <v>1601</v>
      </c>
      <c r="C702" t="s">
        <v>1602</v>
      </c>
      <c r="D702" s="1" t="s">
        <v>9</v>
      </c>
      <c r="E702" t="s">
        <v>49</v>
      </c>
      <c r="F702" s="5" t="str">
        <f>HYPERLINK("http://www.otzar.org/book.asp?623429","דין וחשבון מוגש לצירי הכנסיה הגדולה העולמית החמישית")</f>
        <v>דין וחשבון מוגש לצירי הכנסיה הגדולה העולמית החמישית</v>
      </c>
    </row>
    <row r="703" spans="1:6" x14ac:dyDescent="0.2">
      <c r="A703" t="s">
        <v>1603</v>
      </c>
      <c r="B703" t="s">
        <v>1604</v>
      </c>
      <c r="C703" t="s">
        <v>25</v>
      </c>
      <c r="D703" s="1" t="s">
        <v>9</v>
      </c>
      <c r="E703" t="s">
        <v>22</v>
      </c>
      <c r="F703" s="5" t="str">
        <f>HYPERLINK("http://www.otzar.org/book.asp?630873","דינא דבור")</f>
        <v>דינא דבור</v>
      </c>
    </row>
    <row r="704" spans="1:6" x14ac:dyDescent="0.2">
      <c r="A704" t="s">
        <v>1605</v>
      </c>
      <c r="B704" t="s">
        <v>1604</v>
      </c>
      <c r="C704" t="s">
        <v>20</v>
      </c>
      <c r="D704" s="1" t="s">
        <v>9</v>
      </c>
      <c r="E704" t="s">
        <v>22</v>
      </c>
      <c r="F704" s="5" t="str">
        <f>HYPERLINK("http://www.otzar.org/book.asp?630872","דינא דגזלן")</f>
        <v>דינא דגזלן</v>
      </c>
    </row>
    <row r="705" spans="1:6" x14ac:dyDescent="0.2">
      <c r="A705" t="s">
        <v>1606</v>
      </c>
      <c r="B705" t="s">
        <v>1607</v>
      </c>
      <c r="C705" t="s">
        <v>136</v>
      </c>
      <c r="D705" s="1" t="s">
        <v>14</v>
      </c>
      <c r="E705" t="s">
        <v>22</v>
      </c>
      <c r="F705" s="5" t="str">
        <f>HYPERLINK("http://www.otzar.org/book.asp?629522","דינא דגרמי")</f>
        <v>דינא דגרמי</v>
      </c>
    </row>
    <row r="706" spans="1:6" x14ac:dyDescent="0.2">
      <c r="A706" t="s">
        <v>1608</v>
      </c>
      <c r="B706" t="s">
        <v>1609</v>
      </c>
      <c r="C706" t="s">
        <v>73</v>
      </c>
      <c r="D706" s="1" t="s">
        <v>9</v>
      </c>
      <c r="E706" t="s">
        <v>37</v>
      </c>
      <c r="F706" s="5" t="str">
        <f>HYPERLINK("http://www.otzar.org/book.asp?623396","דינא דמלכותא")</f>
        <v>דינא דמלכותא</v>
      </c>
    </row>
    <row r="707" spans="1:6" x14ac:dyDescent="0.2">
      <c r="A707" t="s">
        <v>1610</v>
      </c>
      <c r="B707" t="s">
        <v>1611</v>
      </c>
      <c r="C707" t="s">
        <v>639</v>
      </c>
      <c r="D707" s="1" t="s">
        <v>713</v>
      </c>
      <c r="E707" t="s">
        <v>37</v>
      </c>
      <c r="F707" s="5" t="str">
        <f>HYPERLINK("http://www.otzar.org/book.asp?623839","דיני אבלות")</f>
        <v>דיני אבלות</v>
      </c>
    </row>
    <row r="708" spans="1:6" x14ac:dyDescent="0.2">
      <c r="A708" t="s">
        <v>1612</v>
      </c>
      <c r="B708" t="s">
        <v>1613</v>
      </c>
      <c r="C708" t="s">
        <v>13</v>
      </c>
      <c r="D708" s="1" t="s">
        <v>14</v>
      </c>
      <c r="E708" t="s">
        <v>37</v>
      </c>
      <c r="F708" s="5" t="str">
        <f>HYPERLINK("http://www.otzar.org/book.asp?629830","דיני בשר בחלב")</f>
        <v>דיני בשר בחלב</v>
      </c>
    </row>
    <row r="709" spans="1:6" x14ac:dyDescent="0.2">
      <c r="A709" t="s">
        <v>1614</v>
      </c>
      <c r="B709" t="s">
        <v>1615</v>
      </c>
      <c r="C709" t="s">
        <v>13</v>
      </c>
      <c r="D709" s="1" t="s">
        <v>14</v>
      </c>
      <c r="E709" t="s">
        <v>1616</v>
      </c>
      <c r="F709" s="5" t="str">
        <f>HYPERLINK("http://www.otzar.org/book.asp?628510","דיני הקרבת המנחה - מראי מקומות")</f>
        <v>דיני הקרבת המנחה - מראי מקומות</v>
      </c>
    </row>
    <row r="710" spans="1:6" x14ac:dyDescent="0.2">
      <c r="A710" t="s">
        <v>1617</v>
      </c>
      <c r="B710" t="s">
        <v>1618</v>
      </c>
      <c r="C710" t="s">
        <v>694</v>
      </c>
      <c r="D710" s="1" t="s">
        <v>9</v>
      </c>
      <c r="E710" t="s">
        <v>154</v>
      </c>
      <c r="F710" s="5" t="str">
        <f>HYPERLINK("http://www.otzar.org/book.asp?626086","דיני חנוכה - ע""פ פסקי רבי מרדכי אליהו")</f>
        <v>דיני חנוכה - ע"פ פסקי רבי מרדכי אליהו</v>
      </c>
    </row>
    <row r="711" spans="1:6" x14ac:dyDescent="0.2">
      <c r="A711" t="s">
        <v>1619</v>
      </c>
      <c r="B711" t="s">
        <v>899</v>
      </c>
      <c r="C711" t="s">
        <v>190</v>
      </c>
      <c r="D711" s="1" t="s">
        <v>9</v>
      </c>
      <c r="E711" t="s">
        <v>37</v>
      </c>
      <c r="F711" s="5" t="str">
        <f>HYPERLINK("http://www.otzar.org/book.asp?630588","דיני משחקים בשבת")</f>
        <v>דיני משחקים בשבת</v>
      </c>
    </row>
    <row r="712" spans="1:6" x14ac:dyDescent="0.2">
      <c r="A712" t="s">
        <v>1620</v>
      </c>
      <c r="B712" t="s">
        <v>1621</v>
      </c>
      <c r="C712" t="s">
        <v>460</v>
      </c>
      <c r="D712" s="1" t="s">
        <v>9</v>
      </c>
      <c r="E712" t="s">
        <v>37</v>
      </c>
      <c r="F712" s="5" t="str">
        <f>HYPERLINK("http://www.otzar.org/book.asp?625391","דיני מתווך במשפט העברי")</f>
        <v>דיני מתווך במשפט העברי</v>
      </c>
    </row>
    <row r="713" spans="1:6" x14ac:dyDescent="0.2">
      <c r="A713" t="s">
        <v>1622</v>
      </c>
      <c r="B713" t="s">
        <v>899</v>
      </c>
      <c r="C713" t="s">
        <v>13</v>
      </c>
      <c r="D713" s="1" t="s">
        <v>9</v>
      </c>
      <c r="E713" t="s">
        <v>37</v>
      </c>
      <c r="F713" s="5" t="str">
        <f>HYPERLINK("http://www.otzar.org/book.asp?630587","דיני ציצית")</f>
        <v>דיני ציצית</v>
      </c>
    </row>
    <row r="714" spans="1:6" x14ac:dyDescent="0.2">
      <c r="A714" t="s">
        <v>1623</v>
      </c>
      <c r="B714" t="s">
        <v>1624</v>
      </c>
      <c r="C714" t="s">
        <v>148</v>
      </c>
      <c r="D714" s="1" t="s">
        <v>9</v>
      </c>
      <c r="E714" t="s">
        <v>37</v>
      </c>
      <c r="F714" s="5" t="str">
        <f>HYPERLINK("http://www.otzar.org/book.asp?625543","דיני שביעית")</f>
        <v>דיני שביעית</v>
      </c>
    </row>
    <row r="715" spans="1:6" x14ac:dyDescent="0.2">
      <c r="A715" t="s">
        <v>1625</v>
      </c>
      <c r="B715" t="s">
        <v>899</v>
      </c>
      <c r="C715" t="s">
        <v>190</v>
      </c>
      <c r="D715" s="1" t="s">
        <v>9</v>
      </c>
      <c r="E715" t="s">
        <v>37</v>
      </c>
      <c r="F715" s="5" t="str">
        <f>HYPERLINK("http://www.otzar.org/book.asp?630573","דיני שלג")</f>
        <v>דיני שלג</v>
      </c>
    </row>
    <row r="716" spans="1:6" x14ac:dyDescent="0.2">
      <c r="A716" t="s">
        <v>1626</v>
      </c>
      <c r="B716" t="s">
        <v>1627</v>
      </c>
      <c r="C716" t="s">
        <v>8</v>
      </c>
      <c r="D716" s="1" t="s">
        <v>21</v>
      </c>
      <c r="E716" t="s">
        <v>61</v>
      </c>
      <c r="F716" s="5" t="str">
        <f>HYPERLINK("http://www.otzar.org/book.asp?626760","דיני תשלום שכר שכיר בזמנו")</f>
        <v>דיני תשלום שכר שכיר בזמנו</v>
      </c>
    </row>
    <row r="717" spans="1:6" x14ac:dyDescent="0.2">
      <c r="A717" t="s">
        <v>1628</v>
      </c>
      <c r="E717" t="s">
        <v>37</v>
      </c>
      <c r="F717" s="5" t="str">
        <f>HYPERLINK("http://www.otzar.org/book.asp?630870","דינים וביאורים - סוכה")</f>
        <v>דינים וביאורים - סוכה</v>
      </c>
    </row>
    <row r="718" spans="1:6" x14ac:dyDescent="0.2">
      <c r="A718" t="s">
        <v>1629</v>
      </c>
      <c r="B718" t="s">
        <v>28</v>
      </c>
      <c r="C718" t="s">
        <v>13</v>
      </c>
      <c r="D718" s="1" t="s">
        <v>29</v>
      </c>
      <c r="E718" t="s">
        <v>30</v>
      </c>
      <c r="F718" s="5" t="str">
        <f>HYPERLINK("http://www.otzar.org/book.asp?627059","דליים של שמחה - שמחת תורה")</f>
        <v>דליים של שמחה - שמחת תורה</v>
      </c>
    </row>
    <row r="719" spans="1:6" x14ac:dyDescent="0.2">
      <c r="A719" t="s">
        <v>1630</v>
      </c>
      <c r="B719" t="s">
        <v>1631</v>
      </c>
      <c r="C719" t="s">
        <v>20</v>
      </c>
      <c r="D719" s="1" t="s">
        <v>9</v>
      </c>
      <c r="E719" t="s">
        <v>37</v>
      </c>
      <c r="F719" s="5" t="str">
        <f>HYPERLINK("http://www.otzar.org/book.asp?628726","דן באהל - דיני עשיית אהל בשבת")</f>
        <v>דן באהל - דיני עשיית אהל בשבת</v>
      </c>
    </row>
    <row r="720" spans="1:6" x14ac:dyDescent="0.2">
      <c r="A720" t="s">
        <v>1632</v>
      </c>
      <c r="B720" t="s">
        <v>1633</v>
      </c>
      <c r="C720" t="s">
        <v>13</v>
      </c>
      <c r="D720" s="1" t="s">
        <v>8</v>
      </c>
      <c r="E720" t="s">
        <v>49</v>
      </c>
      <c r="F720" s="5" t="str">
        <f>HYPERLINK("http://www.otzar.org/book.asp?628131","דע לך בני")</f>
        <v>דע לך בני</v>
      </c>
    </row>
    <row r="721" spans="1:6" x14ac:dyDescent="0.2">
      <c r="A721" t="s">
        <v>1634</v>
      </c>
      <c r="B721" t="s">
        <v>1635</v>
      </c>
      <c r="C721" t="s">
        <v>8</v>
      </c>
      <c r="D721" s="1" t="s">
        <v>52</v>
      </c>
      <c r="E721" t="s">
        <v>49</v>
      </c>
      <c r="F721" s="5" t="str">
        <f>HYPERLINK("http://www.otzar.org/book.asp?630166","דע מה שתשיב (לגביר לעשיר לקמצן)")</f>
        <v>דע מה שתשיב (לגביר לעשיר לקמצן)</v>
      </c>
    </row>
    <row r="722" spans="1:6" x14ac:dyDescent="0.2">
      <c r="A722" t="s">
        <v>1636</v>
      </c>
      <c r="B722" t="s">
        <v>1637</v>
      </c>
      <c r="C722" t="s">
        <v>20</v>
      </c>
      <c r="D722" s="1" t="s">
        <v>14</v>
      </c>
      <c r="E722" t="s">
        <v>61</v>
      </c>
      <c r="F722" s="5" t="str">
        <f>HYPERLINK("http://www.otzar.org/book.asp?623246","דעה ערוכה")</f>
        <v>דעה ערוכה</v>
      </c>
    </row>
    <row r="723" spans="1:6" x14ac:dyDescent="0.2">
      <c r="A723" t="s">
        <v>1638</v>
      </c>
      <c r="B723" t="s">
        <v>1639</v>
      </c>
      <c r="C723" t="s">
        <v>1568</v>
      </c>
      <c r="D723" s="1" t="s">
        <v>9</v>
      </c>
      <c r="E723" t="s">
        <v>214</v>
      </c>
      <c r="F723" s="5" t="str">
        <f>HYPERLINK("http://www.otzar.org/book.asp?626276","דער אידישער שטראל - 68 כר'")</f>
        <v>דער אידישער שטראל - 68 כר'</v>
      </c>
    </row>
    <row r="724" spans="1:6" x14ac:dyDescent="0.2">
      <c r="A724" t="s">
        <v>1640</v>
      </c>
      <c r="B724" t="s">
        <v>1641</v>
      </c>
      <c r="C724" t="s">
        <v>1642</v>
      </c>
      <c r="D724" s="1" t="s">
        <v>1643</v>
      </c>
      <c r="F724" s="5" t="str">
        <f>HYPERLINK("http://www.otzar.org/book.asp?624807","דער אמת -2")</f>
        <v>דער אמת -2</v>
      </c>
    </row>
    <row r="725" spans="1:6" x14ac:dyDescent="0.2">
      <c r="A725" t="s">
        <v>1644</v>
      </c>
      <c r="B725" t="s">
        <v>364</v>
      </c>
      <c r="C725" t="s">
        <v>303</v>
      </c>
      <c r="D725" s="1" t="s">
        <v>14</v>
      </c>
      <c r="F725" s="5" t="str">
        <f>HYPERLINK("http://www.otzar.org/book.asp?624799","דער היילגער קוואל - 3 כר'")</f>
        <v>דער היילגער קוואל - 3 כר'</v>
      </c>
    </row>
    <row r="726" spans="1:6" x14ac:dyDescent="0.2">
      <c r="A726" t="s">
        <v>1645</v>
      </c>
      <c r="B726" t="s">
        <v>1646</v>
      </c>
      <c r="D726" s="1" t="s">
        <v>29</v>
      </c>
      <c r="E726" t="s">
        <v>49</v>
      </c>
      <c r="F726" s="5" t="str">
        <f>HYPERLINK("http://www.otzar.org/book.asp?627912","דעת אליעזר")</f>
        <v>דעת אליעזר</v>
      </c>
    </row>
    <row r="727" spans="1:6" x14ac:dyDescent="0.2">
      <c r="A727" t="s">
        <v>1647</v>
      </c>
      <c r="B727" t="s">
        <v>1648</v>
      </c>
      <c r="C727" t="s">
        <v>25</v>
      </c>
      <c r="D727" s="1" t="s">
        <v>14</v>
      </c>
      <c r="E727" t="s">
        <v>22</v>
      </c>
      <c r="F727" s="5" t="str">
        <f>HYPERLINK("http://www.otzar.org/book.asp?630899","דעת בנימין - בבא מציעא")</f>
        <v>דעת בנימין - בבא מציעא</v>
      </c>
    </row>
    <row r="728" spans="1:6" x14ac:dyDescent="0.2">
      <c r="A728" t="s">
        <v>1649</v>
      </c>
      <c r="B728" t="s">
        <v>1650</v>
      </c>
      <c r="C728" t="s">
        <v>13</v>
      </c>
      <c r="D728" s="1" t="s">
        <v>9</v>
      </c>
      <c r="E728" t="s">
        <v>1334</v>
      </c>
      <c r="F728" s="5" t="str">
        <f>HYPERLINK("http://www.otzar.org/book.asp?627852","דעת השבת")</f>
        <v>דעת השבת</v>
      </c>
    </row>
    <row r="729" spans="1:6" x14ac:dyDescent="0.2">
      <c r="A729" t="s">
        <v>1651</v>
      </c>
      <c r="B729" t="s">
        <v>1652</v>
      </c>
      <c r="C729" t="s">
        <v>20</v>
      </c>
      <c r="D729" s="1" t="s">
        <v>9</v>
      </c>
      <c r="E729" t="s">
        <v>214</v>
      </c>
      <c r="F729" s="5" t="str">
        <f>HYPERLINK("http://www.otzar.org/book.asp?626020","דעת חדרים - בבא קמא")</f>
        <v>דעת חדרים - בבא קמא</v>
      </c>
    </row>
    <row r="730" spans="1:6" x14ac:dyDescent="0.2">
      <c r="A730" t="s">
        <v>1653</v>
      </c>
      <c r="B730" t="s">
        <v>1654</v>
      </c>
      <c r="C730" t="s">
        <v>383</v>
      </c>
      <c r="D730" s="1" t="s">
        <v>52</v>
      </c>
      <c r="E730" t="s">
        <v>168</v>
      </c>
      <c r="F730" s="5" t="str">
        <f>HYPERLINK("http://www.otzar.org/book.asp?630803","דעת חכמה - 4 כר'")</f>
        <v>דעת חכמה - 4 כר'</v>
      </c>
    </row>
    <row r="731" spans="1:6" x14ac:dyDescent="0.2">
      <c r="A731" t="s">
        <v>1655</v>
      </c>
      <c r="B731" t="s">
        <v>1656</v>
      </c>
      <c r="C731" t="s">
        <v>999</v>
      </c>
      <c r="D731" s="1" t="s">
        <v>14</v>
      </c>
      <c r="E731" t="s">
        <v>242</v>
      </c>
      <c r="F731" s="5" t="str">
        <f>HYPERLINK("http://www.otzar.org/book.asp?623891","דעת כשרות - 2 כר'")</f>
        <v>דעת כשרות - 2 כר'</v>
      </c>
    </row>
    <row r="732" spans="1:6" x14ac:dyDescent="0.2">
      <c r="A732" t="s">
        <v>1657</v>
      </c>
      <c r="B732" t="s">
        <v>1658</v>
      </c>
      <c r="C732" t="s">
        <v>386</v>
      </c>
      <c r="D732" s="1" t="s">
        <v>268</v>
      </c>
      <c r="E732" t="s">
        <v>199</v>
      </c>
      <c r="F732" s="5" t="str">
        <f>HYPERLINK("http://www.otzar.org/book.asp?627550","דעת ריבית")</f>
        <v>דעת ריבית</v>
      </c>
    </row>
    <row r="733" spans="1:6" x14ac:dyDescent="0.2">
      <c r="A733" t="s">
        <v>1659</v>
      </c>
      <c r="B733" t="s">
        <v>1660</v>
      </c>
      <c r="D733" s="1" t="s">
        <v>400</v>
      </c>
      <c r="E733" t="s">
        <v>214</v>
      </c>
      <c r="F733" s="5" t="str">
        <f>HYPERLINK("http://www.otzar.org/book.asp?627853","דעת שבת")</f>
        <v>דעת שבת</v>
      </c>
    </row>
    <row r="734" spans="1:6" x14ac:dyDescent="0.2">
      <c r="A734" t="s">
        <v>1661</v>
      </c>
      <c r="B734" t="s">
        <v>1662</v>
      </c>
      <c r="C734" t="s">
        <v>20</v>
      </c>
      <c r="D734" s="1" t="s">
        <v>52</v>
      </c>
      <c r="E734" t="s">
        <v>10</v>
      </c>
      <c r="F734" s="5" t="str">
        <f>HYPERLINK("http://www.otzar.org/book.asp?625820","דעת שפתי")</f>
        <v>דעת שפתי</v>
      </c>
    </row>
    <row r="735" spans="1:6" x14ac:dyDescent="0.2">
      <c r="A735" t="s">
        <v>1663</v>
      </c>
      <c r="B735" t="s">
        <v>1664</v>
      </c>
      <c r="C735" t="s">
        <v>13</v>
      </c>
      <c r="D735" s="1" t="s">
        <v>14</v>
      </c>
      <c r="E735" t="s">
        <v>1665</v>
      </c>
      <c r="F735" s="5" t="str">
        <f>HYPERLINK("http://www.otzar.org/book.asp?628651","דעת תורה והשקפה")</f>
        <v>דעת תורה והשקפה</v>
      </c>
    </row>
    <row r="736" spans="1:6" x14ac:dyDescent="0.2">
      <c r="A736" t="s">
        <v>1666</v>
      </c>
      <c r="C736" t="s">
        <v>8</v>
      </c>
      <c r="D736" s="1" t="s">
        <v>9</v>
      </c>
      <c r="E736" t="s">
        <v>49</v>
      </c>
      <c r="F736" s="5" t="str">
        <f>HYPERLINK("http://www.otzar.org/book.asp?623713","דעת תורה לקט פסקי דין על גיוס בנות לשרות לאומי")</f>
        <v>דעת תורה לקט פסקי דין על גיוס בנות לשרות לאומי</v>
      </c>
    </row>
    <row r="737" spans="1:6" x14ac:dyDescent="0.2">
      <c r="A737" t="s">
        <v>1667</v>
      </c>
      <c r="B737" t="s">
        <v>1668</v>
      </c>
      <c r="C737" t="s">
        <v>1669</v>
      </c>
      <c r="D737" s="1" t="s">
        <v>1526</v>
      </c>
      <c r="E737" t="s">
        <v>49</v>
      </c>
      <c r="F737" s="5" t="str">
        <f>HYPERLINK("http://www.otzar.org/book.asp?627369","דקדוק הלשון העברית")</f>
        <v>דקדוק הלשון העברית</v>
      </c>
    </row>
    <row r="738" spans="1:6" x14ac:dyDescent="0.2">
      <c r="A738" t="s">
        <v>1670</v>
      </c>
      <c r="B738" t="s">
        <v>1671</v>
      </c>
      <c r="C738" t="s">
        <v>190</v>
      </c>
      <c r="D738" s="1" t="s">
        <v>9</v>
      </c>
      <c r="E738" t="s">
        <v>22</v>
      </c>
      <c r="F738" s="5" t="str">
        <f>HYPERLINK("http://www.otzar.org/book.asp?629757","דקדוקי סופרים השלם - 3 כר'")</f>
        <v>דקדוקי סופרים השלם - 3 כר'</v>
      </c>
    </row>
    <row r="739" spans="1:6" x14ac:dyDescent="0.2">
      <c r="A739" t="s">
        <v>1672</v>
      </c>
      <c r="B739" t="s">
        <v>1673</v>
      </c>
      <c r="C739" t="s">
        <v>136</v>
      </c>
      <c r="D739" s="1" t="s">
        <v>1096</v>
      </c>
      <c r="E739" t="s">
        <v>168</v>
      </c>
      <c r="F739" s="5" t="str">
        <f>HYPERLINK("http://www.otzar.org/book.asp?625413","דרור יקרא")</f>
        <v>דרור יקרא</v>
      </c>
    </row>
    <row r="740" spans="1:6" x14ac:dyDescent="0.2">
      <c r="A740" t="s">
        <v>1674</v>
      </c>
      <c r="B740" t="s">
        <v>1675</v>
      </c>
      <c r="E740" t="s">
        <v>89</v>
      </c>
      <c r="F740" s="5" t="str">
        <f>HYPERLINK("http://www.otzar.org/book.asp?626026","דרוש לראש השנה")</f>
        <v>דרוש לראש השנה</v>
      </c>
    </row>
    <row r="741" spans="1:6" x14ac:dyDescent="0.2">
      <c r="A741" t="s">
        <v>1676</v>
      </c>
      <c r="B741" t="s">
        <v>1677</v>
      </c>
      <c r="E741" t="s">
        <v>654</v>
      </c>
      <c r="F741" s="5" t="str">
        <f>HYPERLINK("http://www.otzar.org/book.asp?628032","דרושים לכל חפציהם")</f>
        <v>דרושים לכל חפציהם</v>
      </c>
    </row>
    <row r="742" spans="1:6" x14ac:dyDescent="0.2">
      <c r="A742" t="s">
        <v>1678</v>
      </c>
      <c r="B742" t="s">
        <v>1679</v>
      </c>
      <c r="C742" t="s">
        <v>13</v>
      </c>
      <c r="D742" s="1" t="s">
        <v>21</v>
      </c>
      <c r="E742" t="s">
        <v>168</v>
      </c>
      <c r="F742" s="5" t="str">
        <f>HYPERLINK("http://www.otzar.org/book.asp?628652","דרישה וחקירה - 3 כר'")</f>
        <v>דרישה וחקירה - 3 כר'</v>
      </c>
    </row>
    <row r="743" spans="1:6" x14ac:dyDescent="0.2">
      <c r="A743" t="s">
        <v>1680</v>
      </c>
      <c r="B743" t="s">
        <v>94</v>
      </c>
      <c r="C743" t="s">
        <v>245</v>
      </c>
      <c r="D743" s="1" t="s">
        <v>9</v>
      </c>
      <c r="F743" s="5" t="str">
        <f>HYPERLINK("http://www.otzar.org/book.asp?625768","דרך ארץ קדמה לתורה - פגישות משודכים")</f>
        <v>דרך ארץ קדמה לתורה - פגישות משודכים</v>
      </c>
    </row>
    <row r="744" spans="1:6" x14ac:dyDescent="0.2">
      <c r="A744" t="s">
        <v>1681</v>
      </c>
      <c r="B744" t="s">
        <v>1682</v>
      </c>
      <c r="C744" t="s">
        <v>25</v>
      </c>
      <c r="D744" s="1" t="s">
        <v>14</v>
      </c>
      <c r="E744" t="s">
        <v>10</v>
      </c>
      <c r="F744" s="5" t="str">
        <f>HYPERLINK("http://www.otzar.org/book.asp?629360","דרך דעה - 2 כר'")</f>
        <v>דרך דעה - 2 כר'</v>
      </c>
    </row>
    <row r="745" spans="1:6" x14ac:dyDescent="0.2">
      <c r="A745" t="s">
        <v>1683</v>
      </c>
      <c r="B745" t="s">
        <v>1684</v>
      </c>
      <c r="C745" t="s">
        <v>307</v>
      </c>
      <c r="D745" s="1" t="s">
        <v>1280</v>
      </c>
      <c r="E745" t="s">
        <v>44</v>
      </c>
      <c r="F745" s="5" t="str">
        <f>HYPERLINK("http://www.otzar.org/book.asp?625970","דרך ה' לרמח""ל עם ביאור דרך שלמה - א")</f>
        <v>דרך ה' לרמח"ל עם ביאור דרך שלמה - א</v>
      </c>
    </row>
    <row r="746" spans="1:6" x14ac:dyDescent="0.2">
      <c r="A746" t="s">
        <v>1685</v>
      </c>
      <c r="B746" t="s">
        <v>1686</v>
      </c>
      <c r="C746" t="s">
        <v>13</v>
      </c>
      <c r="D746" s="1" t="s">
        <v>14</v>
      </c>
      <c r="F746" s="5" t="str">
        <f>HYPERLINK("http://www.otzar.org/book.asp?632022","דרך המדבר")</f>
        <v>דרך המדבר</v>
      </c>
    </row>
    <row r="747" spans="1:6" x14ac:dyDescent="0.2">
      <c r="A747" t="s">
        <v>1687</v>
      </c>
      <c r="B747" t="s">
        <v>1688</v>
      </c>
      <c r="C747" t="s">
        <v>8</v>
      </c>
      <c r="D747" s="1" t="s">
        <v>52</v>
      </c>
      <c r="E747" t="s">
        <v>37</v>
      </c>
      <c r="F747" s="5" t="str">
        <f>HYPERLINK("http://www.otzar.org/book.asp?630346","דרך המלך - 3 כר'")</f>
        <v>דרך המלך - 3 כר'</v>
      </c>
    </row>
    <row r="748" spans="1:6" x14ac:dyDescent="0.2">
      <c r="A748" t="s">
        <v>1689</v>
      </c>
      <c r="B748" t="s">
        <v>1690</v>
      </c>
      <c r="C748" t="s">
        <v>13</v>
      </c>
      <c r="D748" s="1" t="s">
        <v>14</v>
      </c>
      <c r="E748" t="s">
        <v>22</v>
      </c>
      <c r="F748" s="5" t="str">
        <f>HYPERLINK("http://www.otzar.org/book.asp?627205","דרך הקוצרים - איזהו נשך")</f>
        <v>דרך הקוצרים - איזהו נשך</v>
      </c>
    </row>
    <row r="749" spans="1:6" x14ac:dyDescent="0.2">
      <c r="A749" t="s">
        <v>1691</v>
      </c>
      <c r="B749" t="s">
        <v>1692</v>
      </c>
      <c r="C749" t="s">
        <v>40</v>
      </c>
      <c r="D749" s="1" t="s">
        <v>14</v>
      </c>
      <c r="E749" t="s">
        <v>10</v>
      </c>
      <c r="F749" s="5" t="str">
        <f>HYPERLINK("http://www.otzar.org/book.asp?629626","דרך חוקיך - אבות")</f>
        <v>דרך חוקיך - אבות</v>
      </c>
    </row>
    <row r="750" spans="1:6" x14ac:dyDescent="0.2">
      <c r="A750" t="s">
        <v>1693</v>
      </c>
      <c r="B750" t="s">
        <v>1694</v>
      </c>
      <c r="C750" t="s">
        <v>1695</v>
      </c>
      <c r="D750" s="1" t="s">
        <v>1696</v>
      </c>
      <c r="F750" s="5" t="str">
        <f>HYPERLINK("http://www.otzar.org/book.asp?626611","דרך חכמה")</f>
        <v>דרך חכמה</v>
      </c>
    </row>
    <row r="751" spans="1:6" x14ac:dyDescent="0.2">
      <c r="A751" t="s">
        <v>1697</v>
      </c>
      <c r="B751" t="s">
        <v>1698</v>
      </c>
      <c r="C751" t="s">
        <v>13</v>
      </c>
      <c r="D751" s="1" t="s">
        <v>14</v>
      </c>
      <c r="E751" t="s">
        <v>22</v>
      </c>
      <c r="F751" s="5" t="str">
        <f>HYPERLINK("http://www.otzar.org/book.asp?629267","דרך ישראל - קנינים")</f>
        <v>דרך ישראל - קנינים</v>
      </c>
    </row>
    <row r="752" spans="1:6" x14ac:dyDescent="0.2">
      <c r="A752" t="s">
        <v>1699</v>
      </c>
      <c r="B752" t="s">
        <v>1700</v>
      </c>
      <c r="C752" t="s">
        <v>8</v>
      </c>
      <c r="D752" s="1" t="s">
        <v>52</v>
      </c>
      <c r="E752" t="s">
        <v>49</v>
      </c>
      <c r="F752" s="5" t="str">
        <f>HYPERLINK("http://www.otzar.org/book.asp?626766","דרך כלה")</f>
        <v>דרך כלה</v>
      </c>
    </row>
    <row r="753" spans="1:6" x14ac:dyDescent="0.2">
      <c r="A753" t="s">
        <v>1701</v>
      </c>
      <c r="B753" t="s">
        <v>1682</v>
      </c>
      <c r="C753" t="s">
        <v>13</v>
      </c>
      <c r="D753" s="1" t="s">
        <v>14</v>
      </c>
      <c r="E753" t="s">
        <v>22</v>
      </c>
      <c r="F753" s="5" t="str">
        <f>HYPERLINK("http://www.otzar.org/book.asp?629362","דרך משפט - טענה")</f>
        <v>דרך משפט - טענה</v>
      </c>
    </row>
    <row r="754" spans="1:6" x14ac:dyDescent="0.2">
      <c r="A754" t="s">
        <v>1702</v>
      </c>
      <c r="B754" t="s">
        <v>1703</v>
      </c>
      <c r="C754" t="s">
        <v>8</v>
      </c>
      <c r="D754" s="1" t="s">
        <v>9</v>
      </c>
      <c r="E754" t="s">
        <v>168</v>
      </c>
      <c r="F754" s="5" t="str">
        <f>HYPERLINK("http://www.otzar.org/book.asp?630868","דרך עדותיך")</f>
        <v>דרך עדותיך</v>
      </c>
    </row>
    <row r="755" spans="1:6" x14ac:dyDescent="0.2">
      <c r="A755" t="s">
        <v>1704</v>
      </c>
      <c r="B755" t="s">
        <v>1705</v>
      </c>
      <c r="C755" t="s">
        <v>1706</v>
      </c>
      <c r="D755" s="1" t="s">
        <v>186</v>
      </c>
      <c r="E755" t="s">
        <v>49</v>
      </c>
      <c r="F755" s="5" t="str">
        <f>HYPERLINK("http://www.otzar.org/book.asp?623342","דרך פקודיך")</f>
        <v>דרך פקודיך</v>
      </c>
    </row>
    <row r="756" spans="1:6" x14ac:dyDescent="0.2">
      <c r="A756" t="s">
        <v>1707</v>
      </c>
      <c r="B756" t="s">
        <v>1708</v>
      </c>
      <c r="C756" t="s">
        <v>1709</v>
      </c>
      <c r="D756" s="1" t="s">
        <v>48</v>
      </c>
      <c r="E756" t="s">
        <v>108</v>
      </c>
      <c r="F756" s="5" t="str">
        <f>HYPERLINK("http://www.otzar.org/book.asp?620386","דרך צדיקים")</f>
        <v>דרך צדיקים</v>
      </c>
    </row>
    <row r="757" spans="1:6" x14ac:dyDescent="0.2">
      <c r="A757" t="s">
        <v>1710</v>
      </c>
      <c r="B757" t="s">
        <v>897</v>
      </c>
      <c r="C757" t="s">
        <v>8</v>
      </c>
      <c r="D757" s="1" t="s">
        <v>14</v>
      </c>
      <c r="E757" t="s">
        <v>214</v>
      </c>
      <c r="F757" s="5" t="str">
        <f>HYPERLINK("http://www.otzar.org/book.asp?623682","דרכה של תורה")</f>
        <v>דרכה של תורה</v>
      </c>
    </row>
    <row r="758" spans="1:6" x14ac:dyDescent="0.2">
      <c r="A758" t="s">
        <v>1711</v>
      </c>
      <c r="B758" t="s">
        <v>1712</v>
      </c>
      <c r="C758" t="s">
        <v>206</v>
      </c>
      <c r="D758" s="1" t="s">
        <v>52</v>
      </c>
      <c r="E758" t="s">
        <v>10</v>
      </c>
      <c r="F758" s="5" t="str">
        <f>HYPERLINK("http://www.otzar.org/book.asp?624867","דרכי אבות")</f>
        <v>דרכי אבות</v>
      </c>
    </row>
    <row r="759" spans="1:6" x14ac:dyDescent="0.2">
      <c r="A759" t="s">
        <v>1713</v>
      </c>
      <c r="B759" t="s">
        <v>1714</v>
      </c>
      <c r="C759" t="s">
        <v>157</v>
      </c>
      <c r="D759" s="1" t="s">
        <v>9</v>
      </c>
      <c r="E759" t="s">
        <v>22</v>
      </c>
      <c r="F759" s="5" t="str">
        <f>HYPERLINK("http://www.otzar.org/book.asp?629127","דרכי אורה")</f>
        <v>דרכי אורה</v>
      </c>
    </row>
    <row r="760" spans="1:6" x14ac:dyDescent="0.2">
      <c r="A760" t="s">
        <v>1715</v>
      </c>
      <c r="B760" t="s">
        <v>1716</v>
      </c>
      <c r="C760" t="s">
        <v>13</v>
      </c>
      <c r="D760" s="1" t="s">
        <v>14</v>
      </c>
      <c r="F760" s="5" t="str">
        <f>HYPERLINK("http://www.otzar.org/book.asp?629363","דרכי ברוך - 7 כר'")</f>
        <v>דרכי ברוך - 7 כר'</v>
      </c>
    </row>
    <row r="761" spans="1:6" x14ac:dyDescent="0.2">
      <c r="A761" t="s">
        <v>1717</v>
      </c>
      <c r="B761" t="s">
        <v>1718</v>
      </c>
      <c r="C761" t="s">
        <v>20</v>
      </c>
      <c r="D761" s="1" t="s">
        <v>9</v>
      </c>
      <c r="F761" s="5" t="str">
        <f>HYPERLINK("http://www.otzar.org/book.asp?633156","דרכי דוד &lt;מהדורה חדשה&gt; - 2 כר'")</f>
        <v>דרכי דוד &lt;מהדורה חדשה&gt; - 2 כר'</v>
      </c>
    </row>
    <row r="762" spans="1:6" x14ac:dyDescent="0.2">
      <c r="A762" t="s">
        <v>1719</v>
      </c>
      <c r="B762" t="s">
        <v>1720</v>
      </c>
      <c r="C762" t="s">
        <v>73</v>
      </c>
      <c r="D762" s="1" t="s">
        <v>9</v>
      </c>
      <c r="E762" t="s">
        <v>49</v>
      </c>
      <c r="F762" s="5" t="str">
        <f>HYPERLINK("http://www.otzar.org/book.asp?631234","דרכי דעת - ב")</f>
        <v>דרכי דעת - ב</v>
      </c>
    </row>
    <row r="763" spans="1:6" x14ac:dyDescent="0.2">
      <c r="A763" t="s">
        <v>1721</v>
      </c>
      <c r="B763" t="s">
        <v>1722</v>
      </c>
      <c r="C763" t="s">
        <v>8</v>
      </c>
      <c r="D763" s="1" t="s">
        <v>52</v>
      </c>
      <c r="E763" t="s">
        <v>34</v>
      </c>
      <c r="F763" s="5" t="str">
        <f>HYPERLINK("http://www.otzar.org/book.asp?622523","דרכי היחוד")</f>
        <v>דרכי היחוד</v>
      </c>
    </row>
    <row r="764" spans="1:6" x14ac:dyDescent="0.2">
      <c r="A764" t="s">
        <v>1723</v>
      </c>
      <c r="B764" t="s">
        <v>1724</v>
      </c>
      <c r="C764" t="s">
        <v>13</v>
      </c>
      <c r="D764" s="1" t="s">
        <v>9</v>
      </c>
      <c r="E764" t="s">
        <v>108</v>
      </c>
      <c r="F764" s="5" t="str">
        <f>HYPERLINK("http://www.otzar.org/book.asp?630779","דרכי התלמוד, תרגילנו בתורתך")</f>
        <v>דרכי התלמוד, תרגילנו בתורתך</v>
      </c>
    </row>
    <row r="765" spans="1:6" x14ac:dyDescent="0.2">
      <c r="A765" t="s">
        <v>1725</v>
      </c>
      <c r="B765" t="s">
        <v>1726</v>
      </c>
      <c r="C765" t="s">
        <v>1727</v>
      </c>
      <c r="D765" s="1" t="s">
        <v>1728</v>
      </c>
      <c r="E765" t="s">
        <v>227</v>
      </c>
      <c r="F765" s="5" t="str">
        <f>HYPERLINK("http://www.otzar.org/book.asp?624788","דרכי יושר")</f>
        <v>דרכי יושר</v>
      </c>
    </row>
    <row r="766" spans="1:6" x14ac:dyDescent="0.2">
      <c r="A766" t="s">
        <v>1729</v>
      </c>
      <c r="B766" t="s">
        <v>1730</v>
      </c>
      <c r="C766" t="s">
        <v>13</v>
      </c>
      <c r="D766" s="1" t="s">
        <v>14</v>
      </c>
      <c r="E766" t="s">
        <v>37</v>
      </c>
      <c r="F766" s="5" t="str">
        <f>HYPERLINK("http://www.otzar.org/book.asp?630075","דרכי יעקב - 15 כר'")</f>
        <v>דרכי יעקב - 15 כר'</v>
      </c>
    </row>
    <row r="767" spans="1:6" x14ac:dyDescent="0.2">
      <c r="A767" t="s">
        <v>1731</v>
      </c>
      <c r="B767" t="s">
        <v>1732</v>
      </c>
      <c r="C767" t="s">
        <v>20</v>
      </c>
      <c r="D767" s="1" t="s">
        <v>52</v>
      </c>
      <c r="E767" t="s">
        <v>168</v>
      </c>
      <c r="F767" s="5" t="str">
        <f>HYPERLINK("http://www.otzar.org/book.asp?627137","דרכי מרדכי")</f>
        <v>דרכי מרדכי</v>
      </c>
    </row>
    <row r="768" spans="1:6" x14ac:dyDescent="0.2">
      <c r="A768" t="s">
        <v>1733</v>
      </c>
      <c r="B768" t="s">
        <v>1734</v>
      </c>
      <c r="C768" t="s">
        <v>383</v>
      </c>
      <c r="D768" s="1" t="s">
        <v>9</v>
      </c>
      <c r="E768" t="s">
        <v>41</v>
      </c>
      <c r="F768" s="5" t="str">
        <f>HYPERLINK("http://www.otzar.org/book.asp?627682","דרכי נעם &lt;זכרון אהרן&gt;")</f>
        <v>דרכי נעם &lt;זכרון אהרן&gt;</v>
      </c>
    </row>
    <row r="769" spans="1:6" x14ac:dyDescent="0.2">
      <c r="A769" t="s">
        <v>1735</v>
      </c>
      <c r="B769" t="s">
        <v>1736</v>
      </c>
      <c r="C769" t="s">
        <v>13</v>
      </c>
      <c r="D769" s="1" t="s">
        <v>120</v>
      </c>
      <c r="E769" t="s">
        <v>154</v>
      </c>
      <c r="F769" s="5" t="str">
        <f>HYPERLINK("http://www.otzar.org/book.asp?629256","דרכי עונג - ב דש, מלבן, מעמר")</f>
        <v>דרכי עונג - ב דש, מלבן, מעמר</v>
      </c>
    </row>
    <row r="770" spans="1:6" x14ac:dyDescent="0.2">
      <c r="A770" t="s">
        <v>1737</v>
      </c>
      <c r="B770" t="s">
        <v>210</v>
      </c>
      <c r="C770" t="s">
        <v>13</v>
      </c>
      <c r="D770" s="1" t="s">
        <v>9</v>
      </c>
      <c r="E770" t="s">
        <v>168</v>
      </c>
      <c r="F770" s="5" t="str">
        <f>HYPERLINK("http://www.otzar.org/book.asp?626145","דרכי שמואל - 4 כר'")</f>
        <v>דרכי שמואל - 4 כר'</v>
      </c>
    </row>
    <row r="771" spans="1:6" x14ac:dyDescent="0.2">
      <c r="A771" t="s">
        <v>1738</v>
      </c>
      <c r="B771" t="s">
        <v>1739</v>
      </c>
      <c r="C771" t="s">
        <v>13</v>
      </c>
      <c r="D771" s="1" t="s">
        <v>21</v>
      </c>
      <c r="E771" t="s">
        <v>49</v>
      </c>
      <c r="F771" s="5" t="str">
        <f>HYPERLINK("http://www.otzar.org/book.asp?627315","דרכים ושיטות לזכירת הלימוד")</f>
        <v>דרכים ושיטות לזכירת הלימוד</v>
      </c>
    </row>
    <row r="772" spans="1:6" x14ac:dyDescent="0.2">
      <c r="A772" t="s">
        <v>1740</v>
      </c>
      <c r="B772" t="s">
        <v>1741</v>
      </c>
      <c r="C772" t="s">
        <v>25</v>
      </c>
      <c r="D772" s="1" t="s">
        <v>9</v>
      </c>
      <c r="E772" t="s">
        <v>108</v>
      </c>
      <c r="F772" s="5" t="str">
        <f>HYPERLINK("http://www.otzar.org/book.asp?627843","דרש בחכמה")</f>
        <v>דרש בחכמה</v>
      </c>
    </row>
    <row r="773" spans="1:6" x14ac:dyDescent="0.2">
      <c r="A773" t="s">
        <v>1742</v>
      </c>
      <c r="B773" t="s">
        <v>373</v>
      </c>
      <c r="C773" t="s">
        <v>40</v>
      </c>
      <c r="D773" s="1" t="s">
        <v>14</v>
      </c>
      <c r="E773" t="s">
        <v>89</v>
      </c>
      <c r="F773" s="5" t="str">
        <f>HYPERLINK("http://www.otzar.org/book.asp?626329","דרש חיה")</f>
        <v>דרש חיה</v>
      </c>
    </row>
    <row r="774" spans="1:6" x14ac:dyDescent="0.2">
      <c r="A774" t="s">
        <v>1743</v>
      </c>
      <c r="B774" t="s">
        <v>1744</v>
      </c>
      <c r="C774" t="s">
        <v>13</v>
      </c>
      <c r="D774" s="1" t="s">
        <v>229</v>
      </c>
      <c r="E774" t="s">
        <v>1745</v>
      </c>
      <c r="F774" s="5" t="str">
        <f>HYPERLINK("http://www.otzar.org/book.asp?623351","דרש יוסף")</f>
        <v>דרש יוסף</v>
      </c>
    </row>
    <row r="775" spans="1:6" x14ac:dyDescent="0.2">
      <c r="A775" t="s">
        <v>1746</v>
      </c>
      <c r="B775" t="s">
        <v>1747</v>
      </c>
      <c r="C775" t="s">
        <v>1748</v>
      </c>
      <c r="D775" s="1" t="s">
        <v>48</v>
      </c>
      <c r="E775" t="s">
        <v>34</v>
      </c>
      <c r="F775" s="5" t="str">
        <f>HYPERLINK("http://www.otzar.org/book.asp?624606","דרש משה")</f>
        <v>דרש משה</v>
      </c>
    </row>
    <row r="776" spans="1:6" x14ac:dyDescent="0.2">
      <c r="A776" t="s">
        <v>1749</v>
      </c>
      <c r="B776" t="s">
        <v>1750</v>
      </c>
      <c r="C776" t="s">
        <v>40</v>
      </c>
      <c r="D776" s="1" t="s">
        <v>29</v>
      </c>
      <c r="E776" t="s">
        <v>654</v>
      </c>
      <c r="F776" s="5" t="str">
        <f>HYPERLINK("http://www.otzar.org/book.asp?626565","דרשות ילקוט סופר")</f>
        <v>דרשות ילקוט סופר</v>
      </c>
    </row>
    <row r="777" spans="1:6" x14ac:dyDescent="0.2">
      <c r="A777" t="s">
        <v>1751</v>
      </c>
      <c r="B777" t="s">
        <v>1752</v>
      </c>
      <c r="C777" t="s">
        <v>1127</v>
      </c>
      <c r="D777" s="1" t="s">
        <v>14</v>
      </c>
      <c r="E777" t="s">
        <v>187</v>
      </c>
      <c r="F777" s="5" t="str">
        <f>HYPERLINK("http://www.otzar.org/book.asp?623330","דרשות - ח")</f>
        <v>דרשות - ח</v>
      </c>
    </row>
    <row r="778" spans="1:6" x14ac:dyDescent="0.2">
      <c r="A778" t="s">
        <v>1753</v>
      </c>
      <c r="B778" t="s">
        <v>1754</v>
      </c>
      <c r="C778" t="s">
        <v>1755</v>
      </c>
      <c r="D778" s="1" t="s">
        <v>14</v>
      </c>
      <c r="F778" s="5" t="str">
        <f>HYPERLINK("http://www.otzar.org/book.asp?630400","דרשת מהר""ח")</f>
        <v>דרשת מהר"ח</v>
      </c>
    </row>
    <row r="779" spans="1:6" x14ac:dyDescent="0.2">
      <c r="A779" t="s">
        <v>1756</v>
      </c>
      <c r="B779" t="s">
        <v>1757</v>
      </c>
      <c r="C779" t="s">
        <v>13</v>
      </c>
      <c r="D779" s="1" t="s">
        <v>1295</v>
      </c>
      <c r="E779" t="s">
        <v>10</v>
      </c>
      <c r="F779" s="5" t="str">
        <f>HYPERLINK("http://www.otzar.org/book.asp?626789","דת יהודית - חלה")</f>
        <v>דת יהודית - חלה</v>
      </c>
    </row>
    <row r="780" spans="1:6" x14ac:dyDescent="0.2">
      <c r="A780" t="s">
        <v>1758</v>
      </c>
      <c r="B780" t="s">
        <v>1759</v>
      </c>
      <c r="C780" t="s">
        <v>255</v>
      </c>
      <c r="D780" s="1" t="s">
        <v>9</v>
      </c>
      <c r="E780" t="s">
        <v>49</v>
      </c>
      <c r="F780" s="5" t="str">
        <f>HYPERLINK("http://www.otzar.org/book.asp?627014","ה""למד-וו""")</f>
        <v>ה"למד-וו"</v>
      </c>
    </row>
    <row r="781" spans="1:6" x14ac:dyDescent="0.2">
      <c r="A781" t="s">
        <v>1760</v>
      </c>
      <c r="B781" t="s">
        <v>1761</v>
      </c>
      <c r="F781" s="5" t="str">
        <f>HYPERLINK("http://www.otzar.org/book.asp?627959","ה""עבודה"" ליום הכיפורים אופיה תולדותיה והתפתחותה בשירה העברית - 2 כר'")</f>
        <v>ה"עבודה" ליום הכיפורים אופיה תולדותיה והתפתחותה בשירה העברית - 2 כר'</v>
      </c>
    </row>
    <row r="782" spans="1:6" x14ac:dyDescent="0.2">
      <c r="A782" t="s">
        <v>1762</v>
      </c>
      <c r="B782" t="s">
        <v>1763</v>
      </c>
      <c r="C782" t="s">
        <v>136</v>
      </c>
      <c r="E782" t="s">
        <v>89</v>
      </c>
      <c r="F782" s="5" t="str">
        <f>HYPERLINK("http://www.otzar.org/book.asp?625211","הא לחמא עניא")</f>
        <v>הא לחמא עניא</v>
      </c>
    </row>
    <row r="783" spans="1:6" x14ac:dyDescent="0.2">
      <c r="A783" t="s">
        <v>1764</v>
      </c>
      <c r="B783" t="s">
        <v>1765</v>
      </c>
      <c r="C783" t="s">
        <v>73</v>
      </c>
      <c r="D783" s="1" t="s">
        <v>9</v>
      </c>
      <c r="E783" t="s">
        <v>37</v>
      </c>
      <c r="F783" s="5" t="str">
        <f>HYPERLINK("http://www.otzar.org/book.asp?623714","האבלות בהלכה ובאגדה")</f>
        <v>האבלות בהלכה ובאגדה</v>
      </c>
    </row>
    <row r="784" spans="1:6" x14ac:dyDescent="0.2">
      <c r="A784" t="s">
        <v>1766</v>
      </c>
      <c r="B784" t="s">
        <v>1767</v>
      </c>
      <c r="C784" t="s">
        <v>383</v>
      </c>
      <c r="D784" s="1" t="s">
        <v>9</v>
      </c>
      <c r="E784" t="s">
        <v>61</v>
      </c>
      <c r="F784" s="5" t="str">
        <f>HYPERLINK("http://www.otzar.org/book.asp?625591","האבן והעזר - 3 כר'")</f>
        <v>האבן והעזר - 3 כר'</v>
      </c>
    </row>
    <row r="785" spans="1:6" x14ac:dyDescent="0.2">
      <c r="A785" t="s">
        <v>1768</v>
      </c>
      <c r="B785" t="s">
        <v>364</v>
      </c>
      <c r="C785" t="s">
        <v>103</v>
      </c>
      <c r="D785" s="1" t="s">
        <v>114</v>
      </c>
      <c r="E785" t="s">
        <v>214</v>
      </c>
      <c r="F785" s="5" t="str">
        <f>HYPERLINK("http://www.otzar.org/book.asp?627337","האחוד - שנה א חוברת ב")</f>
        <v>האחוד - שנה א חוברת ב</v>
      </c>
    </row>
    <row r="786" spans="1:6" x14ac:dyDescent="0.2">
      <c r="A786" t="s">
        <v>1769</v>
      </c>
      <c r="B786" t="s">
        <v>1770</v>
      </c>
      <c r="C786" t="s">
        <v>20</v>
      </c>
      <c r="D786" s="1" t="s">
        <v>9</v>
      </c>
      <c r="E786" t="s">
        <v>37</v>
      </c>
      <c r="F786" s="5" t="str">
        <f>HYPERLINK("http://www.otzar.org/book.asp?630867","האייפון בהלכה")</f>
        <v>האייפון בהלכה</v>
      </c>
    </row>
    <row r="787" spans="1:6" x14ac:dyDescent="0.2">
      <c r="A787" t="s">
        <v>1771</v>
      </c>
      <c r="B787" t="s">
        <v>1772</v>
      </c>
      <c r="E787" t="s">
        <v>37</v>
      </c>
      <c r="F787" s="5" t="str">
        <f>HYPERLINK("http://www.otzar.org/book.asp?624727","האינטרנט בהלכה")</f>
        <v>האינטרנט בהלכה</v>
      </c>
    </row>
    <row r="788" spans="1:6" x14ac:dyDescent="0.2">
      <c r="A788" t="s">
        <v>1773</v>
      </c>
      <c r="B788" t="s">
        <v>1774</v>
      </c>
      <c r="C788" t="s">
        <v>20</v>
      </c>
      <c r="D788" s="1" t="s">
        <v>14</v>
      </c>
      <c r="E788" t="s">
        <v>22</v>
      </c>
      <c r="F788" s="5" t="str">
        <f>HYPERLINK("http://www.otzar.org/book.asp?628792","האיש מקדש")</f>
        <v>האיש מקדש</v>
      </c>
    </row>
    <row r="789" spans="1:6" x14ac:dyDescent="0.2">
      <c r="A789" t="s">
        <v>1775</v>
      </c>
      <c r="B789" t="s">
        <v>1776</v>
      </c>
      <c r="C789" t="s">
        <v>379</v>
      </c>
      <c r="D789" s="1" t="s">
        <v>537</v>
      </c>
      <c r="E789" t="s">
        <v>34</v>
      </c>
      <c r="F789" s="5" t="str">
        <f>HYPERLINK("http://www.otzar.org/book.asp?624689","האמונה והבטחון")</f>
        <v>האמונה והבטחון</v>
      </c>
    </row>
    <row r="790" spans="1:6" x14ac:dyDescent="0.2">
      <c r="A790" t="s">
        <v>1777</v>
      </c>
      <c r="B790" t="s">
        <v>1213</v>
      </c>
      <c r="D790" s="1" t="s">
        <v>29</v>
      </c>
      <c r="E790" t="s">
        <v>30</v>
      </c>
      <c r="F790" s="5" t="str">
        <f>HYPERLINK("http://www.otzar.org/book.asp?627063","האמונה והפצתה")</f>
        <v>האמונה והפצתה</v>
      </c>
    </row>
    <row r="791" spans="1:6" x14ac:dyDescent="0.2">
      <c r="A791" t="s">
        <v>1778</v>
      </c>
      <c r="B791" t="s">
        <v>1779</v>
      </c>
      <c r="C791" t="s">
        <v>1780</v>
      </c>
      <c r="D791" s="1" t="s">
        <v>213</v>
      </c>
      <c r="E791" t="s">
        <v>34</v>
      </c>
      <c r="F791" s="5" t="str">
        <f>HYPERLINK("http://www.otzar.org/book.asp?628233","האמנם עם נבחר")</f>
        <v>האמנם עם נבחר</v>
      </c>
    </row>
    <row r="792" spans="1:6" x14ac:dyDescent="0.2">
      <c r="A792" t="s">
        <v>1781</v>
      </c>
      <c r="B792" t="s">
        <v>1782</v>
      </c>
      <c r="C792" t="s">
        <v>307</v>
      </c>
      <c r="D792" s="1" t="s">
        <v>52</v>
      </c>
      <c r="E792" t="s">
        <v>1783</v>
      </c>
      <c r="F792" s="5" t="str">
        <f>HYPERLINK("http://www.otzar.org/book.asp?624924","האר עיני - 2 כר'")</f>
        <v>האר עיני - 2 כר'</v>
      </c>
    </row>
    <row r="793" spans="1:6" x14ac:dyDescent="0.2">
      <c r="A793" t="s">
        <v>1784</v>
      </c>
      <c r="B793" t="s">
        <v>1785</v>
      </c>
      <c r="C793" t="s">
        <v>20</v>
      </c>
      <c r="D793" s="1" t="s">
        <v>9</v>
      </c>
      <c r="E793" t="s">
        <v>37</v>
      </c>
      <c r="F793" s="5" t="str">
        <f>HYPERLINK("http://www.otzar.org/book.asp?629638","הארוך מש""ך - מאכלי עכו""ם, יי""נ, ע""ז,  רבית, נדה")</f>
        <v>הארוך מש"ך - מאכלי עכו"ם, יי"נ, ע"ז,  רבית, נדה</v>
      </c>
    </row>
    <row r="794" spans="1:6" x14ac:dyDescent="0.2">
      <c r="A794" t="s">
        <v>1786</v>
      </c>
      <c r="B794" t="s">
        <v>1787</v>
      </c>
      <c r="C794" t="s">
        <v>1788</v>
      </c>
      <c r="D794" s="1" t="s">
        <v>1189</v>
      </c>
      <c r="F794" s="5" t="str">
        <f>HYPERLINK("http://www.otzar.org/book.asp?626350","האשה וחינוכה")</f>
        <v>האשה וחינוכה</v>
      </c>
    </row>
    <row r="795" spans="1:6" x14ac:dyDescent="0.2">
      <c r="A795" t="s">
        <v>1789</v>
      </c>
      <c r="B795" t="s">
        <v>1790</v>
      </c>
      <c r="C795" t="s">
        <v>1780</v>
      </c>
      <c r="D795" s="1" t="s">
        <v>9</v>
      </c>
      <c r="E795" t="s">
        <v>34</v>
      </c>
      <c r="F795" s="5" t="str">
        <f>HYPERLINK("http://www.otzar.org/book.asp?624645","הבה נחזור למקור מחצבתנו")</f>
        <v>הבה נחזור למקור מחצבתנו</v>
      </c>
    </row>
    <row r="796" spans="1:6" x14ac:dyDescent="0.2">
      <c r="A796" t="s">
        <v>1791</v>
      </c>
      <c r="B796" t="s">
        <v>1792</v>
      </c>
      <c r="C796" t="s">
        <v>190</v>
      </c>
      <c r="D796" s="1" t="s">
        <v>1793</v>
      </c>
      <c r="E796" t="s">
        <v>37</v>
      </c>
      <c r="F796" s="5" t="str">
        <f>HYPERLINK("http://www.otzar.org/book.asp?625874","הביננו")</f>
        <v>הביננו</v>
      </c>
    </row>
    <row r="797" spans="1:6" x14ac:dyDescent="0.2">
      <c r="A797" t="s">
        <v>1794</v>
      </c>
      <c r="B797" t="s">
        <v>1116</v>
      </c>
      <c r="C797" t="s">
        <v>8</v>
      </c>
      <c r="D797" s="1" t="s">
        <v>803</v>
      </c>
      <c r="E797" t="s">
        <v>168</v>
      </c>
      <c r="F797" s="5" t="str">
        <f>HYPERLINK("http://www.otzar.org/book.asp?623575","הבינני ואחיה - בראשית")</f>
        <v>הבינני ואחיה - בראשית</v>
      </c>
    </row>
    <row r="798" spans="1:6" x14ac:dyDescent="0.2">
      <c r="A798" t="s">
        <v>1795</v>
      </c>
      <c r="B798" t="s">
        <v>1796</v>
      </c>
      <c r="C798" t="s">
        <v>13</v>
      </c>
      <c r="E798" t="s">
        <v>49</v>
      </c>
      <c r="F798" s="5" t="str">
        <f>HYPERLINK("http://www.otzar.org/book.asp?626018","הבינני ואשיחה - 2 כר'")</f>
        <v>הבינני ואשיחה - 2 כר'</v>
      </c>
    </row>
    <row r="799" spans="1:6" x14ac:dyDescent="0.2">
      <c r="A799" t="s">
        <v>1797</v>
      </c>
      <c r="B799" t="s">
        <v>1798</v>
      </c>
      <c r="C799" t="s">
        <v>136</v>
      </c>
      <c r="D799" s="1" t="s">
        <v>14</v>
      </c>
      <c r="F799" s="5" t="str">
        <f>HYPERLINK("http://www.otzar.org/book.asp?632052","הבית הגדול")</f>
        <v>הבית הגדול</v>
      </c>
    </row>
    <row r="800" spans="1:6" x14ac:dyDescent="0.2">
      <c r="A800" t="s">
        <v>1799</v>
      </c>
      <c r="B800" t="s">
        <v>1800</v>
      </c>
      <c r="C800" t="s">
        <v>334</v>
      </c>
      <c r="D800" s="1" t="s">
        <v>9</v>
      </c>
      <c r="E800" t="s">
        <v>154</v>
      </c>
      <c r="F800" s="5" t="str">
        <f>HYPERLINK("http://www.otzar.org/book.asp?629178","הבית היהודי - 2 כר'")</f>
        <v>הבית היהודי - 2 כר'</v>
      </c>
    </row>
    <row r="801" spans="1:6" x14ac:dyDescent="0.2">
      <c r="A801" t="s">
        <v>1801</v>
      </c>
      <c r="B801" t="s">
        <v>1802</v>
      </c>
      <c r="C801" t="s">
        <v>1788</v>
      </c>
      <c r="D801" s="1" t="s">
        <v>471</v>
      </c>
      <c r="E801" t="s">
        <v>477</v>
      </c>
      <c r="F801" s="5" t="str">
        <f>HYPERLINK("http://www.otzar.org/book.asp?626348","הבריאה והמבול")</f>
        <v>הבריאה והמבול</v>
      </c>
    </row>
    <row r="802" spans="1:6" x14ac:dyDescent="0.2">
      <c r="A802" t="s">
        <v>1803</v>
      </c>
      <c r="B802" t="s">
        <v>1804</v>
      </c>
      <c r="C802" t="s">
        <v>190</v>
      </c>
      <c r="D802" s="1" t="s">
        <v>911</v>
      </c>
      <c r="E802" t="s">
        <v>371</v>
      </c>
      <c r="F802" s="5" t="str">
        <f>HYPERLINK("http://www.otzar.org/book.asp?630866","הגאון הקדוש מגוטא")</f>
        <v>הגאון הקדוש מגוטא</v>
      </c>
    </row>
    <row r="803" spans="1:6" x14ac:dyDescent="0.2">
      <c r="A803" t="s">
        <v>1805</v>
      </c>
      <c r="B803" t="s">
        <v>1806</v>
      </c>
      <c r="C803" t="s">
        <v>1807</v>
      </c>
      <c r="D803" s="1" t="s">
        <v>1808</v>
      </c>
      <c r="E803" t="s">
        <v>89</v>
      </c>
      <c r="F803" s="5" t="str">
        <f>HYPERLINK("http://www.otzar.org/book.asp?623690","הגדה של פסח  &lt;פקסמיליות של הגדות ישנות&gt; - 10 כר'")</f>
        <v>הגדה של פסח  &lt;פקסמיליות של הגדות ישנות&gt; - 10 כר'</v>
      </c>
    </row>
    <row r="804" spans="1:6" x14ac:dyDescent="0.2">
      <c r="A804" t="s">
        <v>1809</v>
      </c>
      <c r="B804" t="s">
        <v>1810</v>
      </c>
      <c r="C804" t="s">
        <v>8</v>
      </c>
      <c r="D804" s="1" t="s">
        <v>9</v>
      </c>
      <c r="E804" t="s">
        <v>89</v>
      </c>
      <c r="F804" s="5" t="str">
        <f>HYPERLINK("http://www.otzar.org/book.asp?625856","הגדה של פסח  &lt;עבדי השם&gt;")</f>
        <v>הגדה של פסח  &lt;עבדי השם&gt;</v>
      </c>
    </row>
    <row r="805" spans="1:6" x14ac:dyDescent="0.2">
      <c r="A805" t="s">
        <v>1811</v>
      </c>
      <c r="B805" t="s">
        <v>210</v>
      </c>
      <c r="C805" t="s">
        <v>73</v>
      </c>
      <c r="D805" s="1" t="s">
        <v>9</v>
      </c>
      <c r="E805" t="s">
        <v>89</v>
      </c>
      <c r="F805" s="5" t="str">
        <f>HYPERLINK("http://www.otzar.org/book.asp?626272","הגדה של פסח &lt;רשפי אש&gt;")</f>
        <v>הגדה של פסח &lt;רשפי אש&gt;</v>
      </c>
    </row>
    <row r="806" spans="1:6" x14ac:dyDescent="0.2">
      <c r="A806" t="s">
        <v>1812</v>
      </c>
      <c r="B806" t="s">
        <v>1813</v>
      </c>
      <c r="C806" t="s">
        <v>88</v>
      </c>
      <c r="D806" s="1" t="s">
        <v>120</v>
      </c>
      <c r="E806" t="s">
        <v>89</v>
      </c>
      <c r="F806" s="5" t="str">
        <f>HYPERLINK("http://www.otzar.org/book.asp?625883","הגדה של פסח &lt;מגיד דבריו ליעקב&gt;")</f>
        <v>הגדה של פסח &lt;מגיד דבריו ליעקב&gt;</v>
      </c>
    </row>
    <row r="807" spans="1:6" x14ac:dyDescent="0.2">
      <c r="A807" t="s">
        <v>1814</v>
      </c>
      <c r="B807" t="s">
        <v>1815</v>
      </c>
      <c r="C807" t="s">
        <v>13</v>
      </c>
      <c r="D807" s="1" t="s">
        <v>21</v>
      </c>
      <c r="E807" t="s">
        <v>89</v>
      </c>
      <c r="F807" s="5" t="str">
        <f>HYPERLINK("http://www.otzar.org/book.asp?629990","הגדה של פסח &lt;שפת הים - מהדורה חדשה&gt;")</f>
        <v>הגדה של פסח &lt;שפת הים - מהדורה חדשה&gt;</v>
      </c>
    </row>
    <row r="808" spans="1:6" x14ac:dyDescent="0.2">
      <c r="A808" t="s">
        <v>1816</v>
      </c>
      <c r="B808" t="s">
        <v>1817</v>
      </c>
      <c r="C808" t="s">
        <v>1023</v>
      </c>
      <c r="D808" s="1" t="s">
        <v>1818</v>
      </c>
      <c r="E808" t="s">
        <v>89</v>
      </c>
      <c r="F808" s="5" t="str">
        <f>HYPERLINK("http://www.otzar.org/book.asp?623837","הגדה של פסח &lt;פירוש הגר""א - ליקוטי דודאים&gt;")</f>
        <v>הגדה של פסח &lt;פירוש הגר"א - ליקוטי דודאים&gt;</v>
      </c>
    </row>
    <row r="809" spans="1:6" x14ac:dyDescent="0.2">
      <c r="A809" t="s">
        <v>1819</v>
      </c>
      <c r="B809" t="s">
        <v>1820</v>
      </c>
      <c r="C809" t="s">
        <v>76</v>
      </c>
      <c r="D809" s="1" t="s">
        <v>9</v>
      </c>
      <c r="E809" t="s">
        <v>89</v>
      </c>
      <c r="F809" s="5" t="str">
        <f>HYPERLINK("http://www.otzar.org/book.asp?626380","הגדה של פסח &lt;ליל שמורים -מהדורה חדשה&gt;")</f>
        <v>הגדה של פסח &lt;ליל שמורים -מהדורה חדשה&gt;</v>
      </c>
    </row>
    <row r="810" spans="1:6" x14ac:dyDescent="0.2">
      <c r="A810" t="s">
        <v>1821</v>
      </c>
      <c r="B810" t="s">
        <v>1822</v>
      </c>
      <c r="C810" t="s">
        <v>190</v>
      </c>
      <c r="D810" s="1" t="s">
        <v>1280</v>
      </c>
      <c r="E810" t="s">
        <v>89</v>
      </c>
      <c r="F810" s="5" t="str">
        <f>HYPERLINK("http://www.otzar.org/book.asp?625835","הגדה של פסח &lt;וידבר משה&gt;")</f>
        <v>הגדה של פסח &lt;וידבר משה&gt;</v>
      </c>
    </row>
    <row r="811" spans="1:6" x14ac:dyDescent="0.2">
      <c r="A811" t="s">
        <v>1823</v>
      </c>
      <c r="B811" t="s">
        <v>1824</v>
      </c>
      <c r="C811" t="s">
        <v>13</v>
      </c>
      <c r="D811" s="1" t="s">
        <v>9</v>
      </c>
      <c r="E811" t="s">
        <v>89</v>
      </c>
      <c r="F811" s="5" t="str">
        <f>HYPERLINK("http://www.otzar.org/book.asp?627554","הגדה של פסח &lt;ביד הראשונים&gt;")</f>
        <v>הגדה של פסח &lt;ביד הראשונים&gt;</v>
      </c>
    </row>
    <row r="812" spans="1:6" x14ac:dyDescent="0.2">
      <c r="A812" t="s">
        <v>1825</v>
      </c>
      <c r="B812" t="s">
        <v>1806</v>
      </c>
      <c r="C812" t="s">
        <v>1826</v>
      </c>
      <c r="D812" s="1" t="s">
        <v>1827</v>
      </c>
      <c r="E812" t="s">
        <v>89</v>
      </c>
      <c r="F812" s="5" t="str">
        <f>HYPERLINK("http://www.otzar.org/book.asp?623701","הגדה של פסח &lt;פקסמיליות של הגדות ישנות&gt; - הגדה מתוך מחזור רומא")</f>
        <v>הגדה של פסח &lt;פקסמיליות של הגדות ישנות&gt; - הגדה מתוך מחזור רומא</v>
      </c>
    </row>
    <row r="813" spans="1:6" x14ac:dyDescent="0.2">
      <c r="A813" t="s">
        <v>1828</v>
      </c>
      <c r="B813" t="s">
        <v>1829</v>
      </c>
      <c r="C813" t="s">
        <v>584</v>
      </c>
      <c r="D813" s="1" t="s">
        <v>9</v>
      </c>
      <c r="E813" t="s">
        <v>89</v>
      </c>
      <c r="F813" s="5" t="str">
        <f>HYPERLINK("http://www.otzar.org/book.asp?625644","הגדה של פסח &lt;דברי הלוים&gt;")</f>
        <v>הגדה של פסח &lt;דברי הלוים&gt;</v>
      </c>
    </row>
    <row r="814" spans="1:6" x14ac:dyDescent="0.2">
      <c r="A814" t="s">
        <v>1830</v>
      </c>
      <c r="B814" t="s">
        <v>1831</v>
      </c>
      <c r="C814" t="s">
        <v>1832</v>
      </c>
      <c r="D814" s="1" t="s">
        <v>1833</v>
      </c>
      <c r="E814" t="s">
        <v>89</v>
      </c>
      <c r="F814" s="5" t="str">
        <f>HYPERLINK("http://www.otzar.org/book.asp?625609","הגדה של פסח &lt;ע""פ מבעל הפלאה&gt;")</f>
        <v>הגדה של פסח &lt;ע"פ מבעל הפלאה&gt;</v>
      </c>
    </row>
    <row r="815" spans="1:6" x14ac:dyDescent="0.2">
      <c r="A815" t="s">
        <v>1834</v>
      </c>
      <c r="B815" t="s">
        <v>132</v>
      </c>
      <c r="C815" t="s">
        <v>20</v>
      </c>
      <c r="D815" s="1" t="s">
        <v>14</v>
      </c>
      <c r="E815" t="s">
        <v>89</v>
      </c>
      <c r="F815" s="5" t="str">
        <f>HYPERLINK("http://www.otzar.org/book.asp?624723","הגדה של פסח &lt;פתח אליהו&gt;")</f>
        <v>הגדה של פסח &lt;פתח אליהו&gt;</v>
      </c>
    </row>
    <row r="816" spans="1:6" x14ac:dyDescent="0.2">
      <c r="A816" t="s">
        <v>1835</v>
      </c>
      <c r="B816" t="s">
        <v>1494</v>
      </c>
      <c r="C816" t="s">
        <v>8</v>
      </c>
      <c r="D816" s="1" t="s">
        <v>1257</v>
      </c>
      <c r="E816" t="s">
        <v>89</v>
      </c>
      <c r="F816" s="5" t="str">
        <f>HYPERLINK("http://www.otzar.org/book.asp?625587","הגדה של פסח &lt;ויגד משה&gt;")</f>
        <v>הגדה של פסח &lt;ויגד משה&gt;</v>
      </c>
    </row>
    <row r="817" spans="1:6" x14ac:dyDescent="0.2">
      <c r="A817" t="s">
        <v>1836</v>
      </c>
      <c r="B817" t="s">
        <v>1837</v>
      </c>
      <c r="C817" t="s">
        <v>13</v>
      </c>
      <c r="D817" s="1" t="s">
        <v>52</v>
      </c>
      <c r="E817" t="s">
        <v>89</v>
      </c>
      <c r="F817" s="5" t="str">
        <f>HYPERLINK("http://www.otzar.org/book.asp?626566","הגדה של פסח &lt;רגלי מבשר&gt;")</f>
        <v>הגדה של פסח &lt;רגלי מבשר&gt;</v>
      </c>
    </row>
    <row r="818" spans="1:6" x14ac:dyDescent="0.2">
      <c r="A818" t="s">
        <v>1838</v>
      </c>
      <c r="B818" t="s">
        <v>1141</v>
      </c>
      <c r="C818" t="s">
        <v>136</v>
      </c>
      <c r="D818" s="1" t="s">
        <v>1142</v>
      </c>
      <c r="E818" t="s">
        <v>89</v>
      </c>
      <c r="F818" s="5" t="str">
        <f>HYPERLINK("http://www.otzar.org/book.asp?626621","הגדה של פסח &lt;דומה דודי לצבי&gt;")</f>
        <v>הגדה של פסח &lt;דומה דודי לצבי&gt;</v>
      </c>
    </row>
    <row r="819" spans="1:6" x14ac:dyDescent="0.2">
      <c r="A819" t="s">
        <v>1839</v>
      </c>
      <c r="B819" t="s">
        <v>1840</v>
      </c>
      <c r="C819" t="s">
        <v>13</v>
      </c>
      <c r="D819" s="1" t="s">
        <v>1841</v>
      </c>
      <c r="E819" t="s">
        <v>89</v>
      </c>
      <c r="F819" s="5" t="str">
        <f>HYPERLINK("http://www.otzar.org/book.asp?624713","הגדה של פסח &lt;כי ישאלך&gt;")</f>
        <v>הגדה של פסח &lt;כי ישאלך&gt;</v>
      </c>
    </row>
    <row r="820" spans="1:6" x14ac:dyDescent="0.2">
      <c r="A820" t="s">
        <v>1842</v>
      </c>
      <c r="B820" t="s">
        <v>1843</v>
      </c>
      <c r="C820" t="s">
        <v>1023</v>
      </c>
      <c r="D820" s="1" t="s">
        <v>9</v>
      </c>
      <c r="E820" t="s">
        <v>89</v>
      </c>
      <c r="F820" s="5" t="str">
        <f>HYPERLINK("http://www.otzar.org/book.asp?630177","הגדה של פסח &lt;והגדת לבנך ביום ההוא&gt;")</f>
        <v>הגדה של פסח &lt;והגדת לבנך ביום ההוא&gt;</v>
      </c>
    </row>
    <row r="821" spans="1:6" x14ac:dyDescent="0.2">
      <c r="A821" t="s">
        <v>1844</v>
      </c>
      <c r="B821" t="s">
        <v>1845</v>
      </c>
      <c r="C821" t="s">
        <v>1846</v>
      </c>
      <c r="D821" s="1" t="s">
        <v>1847</v>
      </c>
      <c r="E821" t="s">
        <v>89</v>
      </c>
      <c r="F821" s="5" t="str">
        <f>HYPERLINK("http://www.otzar.org/book.asp?626610","הגדה של פסח &lt;קרבן פסח&gt;")</f>
        <v>הגדה של פסח &lt;קרבן פסח&gt;</v>
      </c>
    </row>
    <row r="822" spans="1:6" x14ac:dyDescent="0.2">
      <c r="A822" t="s">
        <v>1848</v>
      </c>
      <c r="B822" t="s">
        <v>1849</v>
      </c>
      <c r="C822" t="s">
        <v>40</v>
      </c>
      <c r="D822" s="1" t="s">
        <v>14</v>
      </c>
      <c r="E822" t="s">
        <v>89</v>
      </c>
      <c r="F822" s="5" t="str">
        <f>HYPERLINK("http://www.otzar.org/book.asp?624928","הגדה של פסח &lt;בית אבא-ויגד משה&gt;")</f>
        <v>הגדה של פסח &lt;בית אבא-ויגד משה&gt;</v>
      </c>
    </row>
    <row r="823" spans="1:6" x14ac:dyDescent="0.2">
      <c r="A823" t="s">
        <v>1850</v>
      </c>
      <c r="B823" t="s">
        <v>1851</v>
      </c>
      <c r="C823" t="s">
        <v>1852</v>
      </c>
      <c r="D823" s="1" t="s">
        <v>1833</v>
      </c>
      <c r="E823" t="s">
        <v>89</v>
      </c>
      <c r="F823" s="5" t="str">
        <f>HYPERLINK("http://www.otzar.org/book.asp?623922","הגדה של פסח &lt;מהר""ם שיק&gt;")</f>
        <v>הגדה של פסח &lt;מהר"ם שיק&gt;</v>
      </c>
    </row>
    <row r="824" spans="1:6" x14ac:dyDescent="0.2">
      <c r="A824" t="s">
        <v>1853</v>
      </c>
      <c r="B824" t="s">
        <v>677</v>
      </c>
      <c r="C824" t="s">
        <v>386</v>
      </c>
      <c r="D824" s="1" t="s">
        <v>9</v>
      </c>
      <c r="E824" t="s">
        <v>89</v>
      </c>
      <c r="F824" s="5" t="str">
        <f>HYPERLINK("http://www.otzar.org/book.asp?625508","הגדה של פסח &lt;מגיד נפלא&gt;")</f>
        <v>הגדה של פסח &lt;מגיד נפלא&gt;</v>
      </c>
    </row>
    <row r="825" spans="1:6" x14ac:dyDescent="0.2">
      <c r="A825" t="s">
        <v>1854</v>
      </c>
      <c r="B825" t="s">
        <v>1705</v>
      </c>
      <c r="C825" t="s">
        <v>386</v>
      </c>
      <c r="D825" s="1" t="s">
        <v>14</v>
      </c>
      <c r="E825" t="s">
        <v>89</v>
      </c>
      <c r="F825" s="5" t="str">
        <f>HYPERLINK("http://www.otzar.org/book.asp?623665","הגדה של פסח &lt;בני יששכר&gt;")</f>
        <v>הגדה של פסח &lt;בני יששכר&gt;</v>
      </c>
    </row>
    <row r="826" spans="1:6" x14ac:dyDescent="0.2">
      <c r="A826" t="s">
        <v>1855</v>
      </c>
      <c r="B826" t="s">
        <v>1856</v>
      </c>
      <c r="C826" t="s">
        <v>13</v>
      </c>
      <c r="D826" s="1" t="s">
        <v>52</v>
      </c>
      <c r="E826" t="s">
        <v>89</v>
      </c>
      <c r="F826" s="5" t="str">
        <f>HYPERLINK("http://www.otzar.org/book.asp?629868","הגדה של פסח &lt;משא המועד&gt;")</f>
        <v>הגדה של פסח &lt;משא המועד&gt;</v>
      </c>
    </row>
    <row r="827" spans="1:6" x14ac:dyDescent="0.2">
      <c r="A827" t="s">
        <v>1857</v>
      </c>
      <c r="B827" t="s">
        <v>1858</v>
      </c>
      <c r="C827" t="s">
        <v>1859</v>
      </c>
      <c r="D827" s="1" t="s">
        <v>471</v>
      </c>
      <c r="E827" t="s">
        <v>89</v>
      </c>
      <c r="F827" s="5" t="str">
        <f>HYPERLINK("http://www.otzar.org/book.asp?615825","הגדה של פסח גדולי ישראל")</f>
        <v>הגדה של פסח גדולי ישראל</v>
      </c>
    </row>
    <row r="828" spans="1:6" x14ac:dyDescent="0.2">
      <c r="A828" t="s">
        <v>1860</v>
      </c>
      <c r="B828" t="s">
        <v>1861</v>
      </c>
      <c r="C828" t="s">
        <v>126</v>
      </c>
      <c r="D828" s="1" t="s">
        <v>1862</v>
      </c>
      <c r="E828" t="s">
        <v>89</v>
      </c>
      <c r="F828" s="5" t="str">
        <f>HYPERLINK("http://www.otzar.org/book.asp?623886","הגדה של פסח לאור ההלכה")</f>
        <v>הגדה של פסח לאור ההלכה</v>
      </c>
    </row>
    <row r="829" spans="1:6" x14ac:dyDescent="0.2">
      <c r="A829" t="s">
        <v>1863</v>
      </c>
      <c r="B829" t="s">
        <v>1864</v>
      </c>
      <c r="C829" t="s">
        <v>13</v>
      </c>
      <c r="D829" s="1" t="s">
        <v>52</v>
      </c>
      <c r="E829" t="s">
        <v>89</v>
      </c>
      <c r="F829" s="5" t="str">
        <f>HYPERLINK("http://www.otzar.org/book.asp?625223","הגדה של פסח - שבילי ההגדה")</f>
        <v>הגדה של פסח - שבילי ההגדה</v>
      </c>
    </row>
    <row r="830" spans="1:6" x14ac:dyDescent="0.2">
      <c r="A830" t="s">
        <v>1865</v>
      </c>
      <c r="B830" t="s">
        <v>1866</v>
      </c>
      <c r="C830" t="s">
        <v>13</v>
      </c>
      <c r="D830" s="1" t="s">
        <v>52</v>
      </c>
      <c r="E830" t="s">
        <v>89</v>
      </c>
      <c r="F830" s="5" t="str">
        <f>HYPERLINK("http://www.otzar.org/book.asp?628655","הגדה של פסח - רגלי מבשר")</f>
        <v>הגדה של פסח - רגלי מבשר</v>
      </c>
    </row>
    <row r="831" spans="1:6" x14ac:dyDescent="0.2">
      <c r="A831" t="s">
        <v>1867</v>
      </c>
      <c r="B831" t="s">
        <v>1868</v>
      </c>
      <c r="C831" t="s">
        <v>40</v>
      </c>
      <c r="D831" s="1" t="s">
        <v>9</v>
      </c>
      <c r="E831" t="s">
        <v>89</v>
      </c>
      <c r="F831" s="5" t="str">
        <f>HYPERLINK("http://www.otzar.org/book.asp?632055","הגדה של פסח - קול מנחם")</f>
        <v>הגדה של פסח - קול מנחם</v>
      </c>
    </row>
    <row r="832" spans="1:6" x14ac:dyDescent="0.2">
      <c r="A832" t="s">
        <v>1869</v>
      </c>
      <c r="B832" t="s">
        <v>1870</v>
      </c>
      <c r="C832" t="s">
        <v>13</v>
      </c>
      <c r="D832" s="1" t="s">
        <v>9</v>
      </c>
      <c r="E832" t="s">
        <v>89</v>
      </c>
      <c r="F832" s="5" t="str">
        <f>HYPERLINK("http://www.otzar.org/book.asp?628657","הגדה של פסח - היושבת בגנים")</f>
        <v>הגדה של פסח - היושבת בגנים</v>
      </c>
    </row>
    <row r="833" spans="1:6" x14ac:dyDescent="0.2">
      <c r="A833" t="s">
        <v>1871</v>
      </c>
      <c r="B833" t="s">
        <v>1872</v>
      </c>
      <c r="D833" s="1" t="s">
        <v>268</v>
      </c>
      <c r="E833" t="s">
        <v>89</v>
      </c>
      <c r="F833" s="5" t="str">
        <f>HYPERLINK("http://www.otzar.org/book.asp?624555","הגדה של פסח - וטהר לבנו")</f>
        <v>הגדה של פסח - וטהר לבנו</v>
      </c>
    </row>
    <row r="834" spans="1:6" x14ac:dyDescent="0.2">
      <c r="A834" t="s">
        <v>1873</v>
      </c>
      <c r="B834" t="s">
        <v>1549</v>
      </c>
      <c r="C834" t="s">
        <v>148</v>
      </c>
      <c r="D834" s="1" t="s">
        <v>14</v>
      </c>
      <c r="E834" t="s">
        <v>261</v>
      </c>
      <c r="F834" s="5" t="str">
        <f>HYPERLINK("http://www.otzar.org/book.asp?624371","הגהות שי""ח השדה על ספר אוצר המדרשים")</f>
        <v>הגהות שי"ח השדה על ספר אוצר המדרשים</v>
      </c>
    </row>
    <row r="835" spans="1:6" x14ac:dyDescent="0.2">
      <c r="A835" t="s">
        <v>1874</v>
      </c>
      <c r="B835" t="s">
        <v>1875</v>
      </c>
      <c r="C835" t="s">
        <v>1876</v>
      </c>
      <c r="D835" s="1" t="s">
        <v>1728</v>
      </c>
      <c r="E835" t="s">
        <v>49</v>
      </c>
      <c r="F835" s="5" t="str">
        <f>HYPERLINK("http://www.otzar.org/book.asp?626336","הגזרה השוה")</f>
        <v>הגזרה השוה</v>
      </c>
    </row>
    <row r="836" spans="1:6" x14ac:dyDescent="0.2">
      <c r="A836" t="s">
        <v>1877</v>
      </c>
      <c r="B836" t="s">
        <v>1878</v>
      </c>
      <c r="C836" t="s">
        <v>1879</v>
      </c>
      <c r="D836" s="1" t="s">
        <v>1880</v>
      </c>
      <c r="E836" t="s">
        <v>22</v>
      </c>
      <c r="F836" s="5" t="str">
        <f>HYPERLINK("http://www.otzar.org/book.asp?624643","הגיון התלמוד")</f>
        <v>הגיון התלמוד</v>
      </c>
    </row>
    <row r="837" spans="1:6" x14ac:dyDescent="0.2">
      <c r="A837" t="s">
        <v>1881</v>
      </c>
      <c r="B837" t="s">
        <v>1882</v>
      </c>
      <c r="C837" t="s">
        <v>13</v>
      </c>
      <c r="D837" s="1" t="s">
        <v>9</v>
      </c>
      <c r="E837" t="s">
        <v>22</v>
      </c>
      <c r="F837" s="5" t="str">
        <f>HYPERLINK("http://www.otzar.org/book.asp?629371","הגיון לבי")</f>
        <v>הגיון לבי</v>
      </c>
    </row>
    <row r="838" spans="1:6" x14ac:dyDescent="0.2">
      <c r="A838" t="s">
        <v>1883</v>
      </c>
      <c r="B838" t="s">
        <v>1884</v>
      </c>
      <c r="C838" t="s">
        <v>383</v>
      </c>
      <c r="D838" s="1" t="s">
        <v>756</v>
      </c>
      <c r="E838" t="s">
        <v>49</v>
      </c>
      <c r="F838" s="5" t="str">
        <f>HYPERLINK("http://www.otzar.org/book.asp?631109","הגיע זמן גאולתכם")</f>
        <v>הגיע זמן גאולתכם</v>
      </c>
    </row>
    <row r="839" spans="1:6" x14ac:dyDescent="0.2">
      <c r="A839" t="s">
        <v>1885</v>
      </c>
      <c r="B839" t="s">
        <v>1885</v>
      </c>
      <c r="C839" t="s">
        <v>1886</v>
      </c>
      <c r="D839" s="1" t="s">
        <v>1887</v>
      </c>
      <c r="E839" t="s">
        <v>214</v>
      </c>
      <c r="F839" s="5" t="str">
        <f>HYPERLINK("http://www.otzar.org/book.asp?623340","הגשר")</f>
        <v>הגשר</v>
      </c>
    </row>
    <row r="840" spans="1:6" x14ac:dyDescent="0.2">
      <c r="A840" t="s">
        <v>1888</v>
      </c>
      <c r="B840" t="s">
        <v>351</v>
      </c>
      <c r="C840" t="s">
        <v>383</v>
      </c>
      <c r="D840" s="1" t="s">
        <v>9</v>
      </c>
      <c r="E840" t="s">
        <v>22</v>
      </c>
      <c r="F840" s="5" t="str">
        <f>HYPERLINK("http://www.otzar.org/book.asp?628091","הגשת המנחה")</f>
        <v>הגשת המנחה</v>
      </c>
    </row>
    <row r="841" spans="1:6" x14ac:dyDescent="0.2">
      <c r="A841" t="s">
        <v>1889</v>
      </c>
      <c r="B841" t="s">
        <v>1890</v>
      </c>
      <c r="C841" t="s">
        <v>1891</v>
      </c>
      <c r="D841" s="1" t="s">
        <v>114</v>
      </c>
      <c r="E841" t="s">
        <v>214</v>
      </c>
      <c r="F841" s="5" t="str">
        <f>HYPERLINK("http://www.otzar.org/book.asp?624791","הדביר - 3 כר'")</f>
        <v>הדביר - 3 כר'</v>
      </c>
    </row>
    <row r="842" spans="1:6" x14ac:dyDescent="0.2">
      <c r="A842" t="s">
        <v>1892</v>
      </c>
      <c r="B842" t="s">
        <v>94</v>
      </c>
      <c r="C842" t="s">
        <v>13</v>
      </c>
      <c r="D842" s="1" t="s">
        <v>229</v>
      </c>
      <c r="E842" t="s">
        <v>154</v>
      </c>
      <c r="F842" s="5" t="str">
        <f>HYPERLINK("http://www.otzar.org/book.asp?625385","הדלקת נר חנוכה לבחורי ישיבות")</f>
        <v>הדלקת נר חנוכה לבחורי ישיבות</v>
      </c>
    </row>
    <row r="843" spans="1:6" x14ac:dyDescent="0.2">
      <c r="A843" t="s">
        <v>1893</v>
      </c>
      <c r="B843" t="s">
        <v>1894</v>
      </c>
      <c r="C843" t="s">
        <v>606</v>
      </c>
      <c r="D843" s="1" t="s">
        <v>1895</v>
      </c>
      <c r="E843" t="s">
        <v>89</v>
      </c>
      <c r="F843" s="5" t="str">
        <f>HYPERLINK("http://www.otzar.org/book.asp?623901","הדלקת נר חנוכה")</f>
        <v>הדלקת נר חנוכה</v>
      </c>
    </row>
    <row r="844" spans="1:6" x14ac:dyDescent="0.2">
      <c r="A844" t="s">
        <v>1896</v>
      </c>
      <c r="B844" t="s">
        <v>1897</v>
      </c>
      <c r="C844" t="s">
        <v>20</v>
      </c>
      <c r="D844" s="1" t="s">
        <v>9</v>
      </c>
      <c r="E844" t="s">
        <v>1745</v>
      </c>
      <c r="F844" s="5" t="str">
        <f>HYPERLINK("http://www.otzar.org/book.asp?627192","הדעה והדבור &lt;מהדורה חדשה&gt; - 3 כר'")</f>
        <v>הדעה והדבור &lt;מהדורה חדשה&gt; - 3 כר'</v>
      </c>
    </row>
    <row r="845" spans="1:6" x14ac:dyDescent="0.2">
      <c r="A845" t="s">
        <v>1898</v>
      </c>
      <c r="B845" t="s">
        <v>1703</v>
      </c>
      <c r="C845" t="s">
        <v>13</v>
      </c>
      <c r="D845" s="1" t="s">
        <v>9</v>
      </c>
      <c r="E845" t="s">
        <v>683</v>
      </c>
      <c r="F845" s="5" t="str">
        <f>HYPERLINK("http://www.otzar.org/book.asp?627225","הדעה והדיבור - 46 כר'")</f>
        <v>הדעה והדיבור - 46 כר'</v>
      </c>
    </row>
    <row r="846" spans="1:6" x14ac:dyDescent="0.2">
      <c r="A846" t="s">
        <v>1899</v>
      </c>
      <c r="B846" t="s">
        <v>1900</v>
      </c>
      <c r="C846" t="s">
        <v>463</v>
      </c>
      <c r="D846" s="1" t="s">
        <v>29</v>
      </c>
      <c r="E846" t="s">
        <v>214</v>
      </c>
      <c r="F846" s="5" t="str">
        <f>HYPERLINK("http://www.otzar.org/book.asp?624528","הדרום - 4 כר'")</f>
        <v>הדרום - 4 כר'</v>
      </c>
    </row>
    <row r="847" spans="1:6" x14ac:dyDescent="0.2">
      <c r="A847" t="s">
        <v>1901</v>
      </c>
      <c r="B847" t="s">
        <v>94</v>
      </c>
      <c r="C847" t="s">
        <v>8</v>
      </c>
      <c r="D847" s="1" t="s">
        <v>52</v>
      </c>
      <c r="E847" t="s">
        <v>34</v>
      </c>
      <c r="F847" s="5" t="str">
        <f>HYPERLINK("http://www.otzar.org/book.asp?629872","הדריכני בנתיב מצוותיך")</f>
        <v>הדריכני בנתיב מצוותיך</v>
      </c>
    </row>
    <row r="848" spans="1:6" x14ac:dyDescent="0.2">
      <c r="A848" t="s">
        <v>1902</v>
      </c>
      <c r="B848" t="s">
        <v>1903</v>
      </c>
      <c r="D848" s="1" t="s">
        <v>52</v>
      </c>
      <c r="E848" t="s">
        <v>34</v>
      </c>
      <c r="F848" s="5" t="str">
        <f>HYPERLINK("http://www.otzar.org/book.asp?626025","הדרך פנימה - הדבקות בה' דרך התורה")</f>
        <v>הדרך פנימה - הדבקות בה' דרך התורה</v>
      </c>
    </row>
    <row r="849" spans="1:6" x14ac:dyDescent="0.2">
      <c r="A849" t="s">
        <v>1904</v>
      </c>
      <c r="B849" t="s">
        <v>1905</v>
      </c>
      <c r="C849" t="s">
        <v>190</v>
      </c>
      <c r="D849" s="1" t="s">
        <v>1906</v>
      </c>
      <c r="E849" t="s">
        <v>34</v>
      </c>
      <c r="F849" s="5" t="str">
        <f>HYPERLINK("http://www.otzar.org/book.asp?625593","הדרכה לבני תורה")</f>
        <v>הדרכה לבני תורה</v>
      </c>
    </row>
    <row r="850" spans="1:6" x14ac:dyDescent="0.2">
      <c r="A850" t="s">
        <v>1907</v>
      </c>
      <c r="B850" t="s">
        <v>94</v>
      </c>
      <c r="C850" t="s">
        <v>8</v>
      </c>
      <c r="D850" s="1" t="s">
        <v>52</v>
      </c>
      <c r="E850" t="s">
        <v>154</v>
      </c>
      <c r="F850" s="5" t="str">
        <f>HYPERLINK("http://www.otzar.org/book.asp?629831","הדרכה מעשית לתקיעת שופר")</f>
        <v>הדרכה מעשית לתקיעת שופר</v>
      </c>
    </row>
    <row r="851" spans="1:6" x14ac:dyDescent="0.2">
      <c r="A851" t="s">
        <v>1908</v>
      </c>
      <c r="B851" t="s">
        <v>1909</v>
      </c>
      <c r="C851" t="s">
        <v>20</v>
      </c>
      <c r="D851" s="1" t="s">
        <v>9</v>
      </c>
      <c r="E851" t="s">
        <v>49</v>
      </c>
      <c r="F851" s="5" t="str">
        <f>HYPERLINK("http://www.otzar.org/book.asp?629378","הדרכות וצוואות שפתי צדיק")</f>
        <v>הדרכות וצוואות שפתי צדיק</v>
      </c>
    </row>
    <row r="852" spans="1:6" x14ac:dyDescent="0.2">
      <c r="A852" t="s">
        <v>1910</v>
      </c>
      <c r="B852" t="s">
        <v>1911</v>
      </c>
      <c r="C852" t="s">
        <v>20</v>
      </c>
      <c r="D852" s="1" t="s">
        <v>64</v>
      </c>
      <c r="E852" t="s">
        <v>187</v>
      </c>
      <c r="F852" s="5" t="str">
        <f>HYPERLINK("http://www.otzar.org/book.asp?623730","הדרת ישראל - 3 כר'")</f>
        <v>הדרת ישראל - 3 כר'</v>
      </c>
    </row>
    <row r="853" spans="1:6" x14ac:dyDescent="0.2">
      <c r="A853" t="s">
        <v>1912</v>
      </c>
      <c r="B853" t="s">
        <v>1913</v>
      </c>
      <c r="C853" t="s">
        <v>133</v>
      </c>
      <c r="D853" s="1" t="s">
        <v>29</v>
      </c>
      <c r="E853" t="s">
        <v>37</v>
      </c>
      <c r="F853" s="5" t="str">
        <f>HYPERLINK("http://www.otzar.org/book.asp?627257","הדרת פנים זקן - 3 כר'")</f>
        <v>הדרת פנים זקן - 3 כר'</v>
      </c>
    </row>
    <row r="854" spans="1:6" x14ac:dyDescent="0.2">
      <c r="A854" t="s">
        <v>1914</v>
      </c>
      <c r="B854" t="s">
        <v>705</v>
      </c>
      <c r="C854" t="s">
        <v>397</v>
      </c>
      <c r="D854" s="1" t="s">
        <v>9</v>
      </c>
      <c r="E854" t="s">
        <v>168</v>
      </c>
      <c r="F854" s="5" t="str">
        <f>HYPERLINK("http://www.otzar.org/book.asp?627539","הדרת קדש - בראשית")</f>
        <v>הדרת קדש - בראשית</v>
      </c>
    </row>
    <row r="855" spans="1:6" x14ac:dyDescent="0.2">
      <c r="A855" t="s">
        <v>1915</v>
      </c>
      <c r="B855" t="s">
        <v>1916</v>
      </c>
      <c r="C855" t="s">
        <v>13</v>
      </c>
      <c r="D855" s="1" t="s">
        <v>1917</v>
      </c>
      <c r="E855" t="s">
        <v>89</v>
      </c>
      <c r="F855" s="5" t="str">
        <f>HYPERLINK("http://www.otzar.org/book.asp?627247","ההגדה לעורך הסדר")</f>
        <v>ההגדה לעורך הסדר</v>
      </c>
    </row>
    <row r="856" spans="1:6" x14ac:dyDescent="0.2">
      <c r="A856" t="s">
        <v>1918</v>
      </c>
      <c r="B856" t="s">
        <v>1919</v>
      </c>
      <c r="C856" t="s">
        <v>630</v>
      </c>
      <c r="D856" s="1" t="s">
        <v>9</v>
      </c>
      <c r="E856" t="s">
        <v>214</v>
      </c>
      <c r="F856" s="5" t="str">
        <f>HYPERLINK("http://www.otzar.org/book.asp?623848","ההד - 17 כר'")</f>
        <v>ההד - 17 כר'</v>
      </c>
    </row>
    <row r="857" spans="1:6" x14ac:dyDescent="0.2">
      <c r="A857" t="s">
        <v>1920</v>
      </c>
      <c r="B857" t="s">
        <v>1921</v>
      </c>
      <c r="C857" t="s">
        <v>1922</v>
      </c>
      <c r="D857" s="1" t="s">
        <v>144</v>
      </c>
      <c r="E857" t="s">
        <v>49</v>
      </c>
      <c r="F857" s="5" t="str">
        <f>HYPERLINK("http://www.otzar.org/book.asp?624644","ההיגיאנה והבריאות של האשה העבריה על פי מסקנות המדע האחרונות")</f>
        <v>ההיגיאנה והבריאות של האשה העבריה על פי מסקנות המדע האחרונות</v>
      </c>
    </row>
    <row r="858" spans="1:6" x14ac:dyDescent="0.2">
      <c r="A858" t="s">
        <v>1923</v>
      </c>
      <c r="B858" t="s">
        <v>1924</v>
      </c>
      <c r="C858" t="s">
        <v>1471</v>
      </c>
      <c r="D858" s="1" t="s">
        <v>1925</v>
      </c>
      <c r="E858" t="s">
        <v>49</v>
      </c>
      <c r="F858" s="5" t="str">
        <f>HYPERLINK("http://www.otzar.org/book.asp?624868","ההלבשה העברית הקדומה")</f>
        <v>ההלבשה העברית הקדומה</v>
      </c>
    </row>
    <row r="859" spans="1:6" x14ac:dyDescent="0.2">
      <c r="A859" t="s">
        <v>1926</v>
      </c>
      <c r="B859" t="s">
        <v>1927</v>
      </c>
      <c r="C859" t="s">
        <v>427</v>
      </c>
      <c r="D859" s="1" t="s">
        <v>9</v>
      </c>
      <c r="E859" t="s">
        <v>37</v>
      </c>
      <c r="F859" s="5" t="str">
        <f>HYPERLINK("http://www.otzar.org/book.asp?624510","ההפטרות של פרשת אחרי ופרשת קדושים - ב")</f>
        <v>ההפטרות של פרשת אחרי ופרשת קדושים - ב</v>
      </c>
    </row>
    <row r="860" spans="1:6" x14ac:dyDescent="0.2">
      <c r="A860" t="s">
        <v>1928</v>
      </c>
      <c r="B860" t="s">
        <v>1929</v>
      </c>
      <c r="C860" t="s">
        <v>290</v>
      </c>
      <c r="D860" s="1" t="s">
        <v>52</v>
      </c>
      <c r="E860" t="s">
        <v>121</v>
      </c>
      <c r="F860" s="5" t="str">
        <f>HYPERLINK("http://www.otzar.org/book.asp?624595","ההר הטוב הזה והלבנון")</f>
        <v>ההר הטוב הזה והלבנון</v>
      </c>
    </row>
    <row r="861" spans="1:6" x14ac:dyDescent="0.2">
      <c r="A861" t="s">
        <v>1930</v>
      </c>
      <c r="B861" t="s">
        <v>1931</v>
      </c>
      <c r="C861" t="s">
        <v>20</v>
      </c>
      <c r="D861" s="1" t="s">
        <v>64</v>
      </c>
      <c r="E861" t="s">
        <v>49</v>
      </c>
      <c r="F861" s="5" t="str">
        <f>HYPERLINK("http://www.otzar.org/book.asp?626684","ההשגחה - 8")</f>
        <v>ההשגחה - 8</v>
      </c>
    </row>
    <row r="862" spans="1:6" x14ac:dyDescent="0.2">
      <c r="A862" t="s">
        <v>1932</v>
      </c>
      <c r="B862" t="s">
        <v>1933</v>
      </c>
      <c r="E862" t="s">
        <v>41</v>
      </c>
      <c r="F862" s="5" t="str">
        <f>HYPERLINK("http://www.otzar.org/book.asp?628021","הוא היה אומר")</f>
        <v>הוא היה אומר</v>
      </c>
    </row>
    <row r="863" spans="1:6" x14ac:dyDescent="0.2">
      <c r="A863" t="s">
        <v>1934</v>
      </c>
      <c r="B863" t="s">
        <v>1935</v>
      </c>
      <c r="C863" t="s">
        <v>25</v>
      </c>
      <c r="D863" s="1" t="s">
        <v>52</v>
      </c>
      <c r="E863" t="s">
        <v>22</v>
      </c>
      <c r="F863" s="5" t="str">
        <f>HYPERLINK("http://www.otzar.org/book.asp?632833","הודאת צבי - בבא קמא, גיטין")</f>
        <v>הודאת צבי - בבא קמא, גיטין</v>
      </c>
    </row>
    <row r="864" spans="1:6" x14ac:dyDescent="0.2">
      <c r="A864" t="s">
        <v>1936</v>
      </c>
      <c r="B864" t="s">
        <v>1627</v>
      </c>
      <c r="C864" t="s">
        <v>13</v>
      </c>
      <c r="D864" s="1" t="s">
        <v>21</v>
      </c>
      <c r="E864" t="s">
        <v>89</v>
      </c>
      <c r="F864" s="5" t="str">
        <f>HYPERLINK("http://www.otzar.org/book.asp?626732","הוצאות שבת")</f>
        <v>הוצאות שבת</v>
      </c>
    </row>
    <row r="865" spans="1:6" x14ac:dyDescent="0.2">
      <c r="A865" t="s">
        <v>1937</v>
      </c>
      <c r="B865" t="s">
        <v>1938</v>
      </c>
      <c r="C865" t="s">
        <v>255</v>
      </c>
      <c r="D865" s="1" t="s">
        <v>1134</v>
      </c>
      <c r="F865" s="5" t="str">
        <f>HYPERLINK("http://www.otzar.org/book.asp?630272","הוצאת בית דין צדק לונדון והמדינה - כג")</f>
        <v>הוצאת בית דין צדק לונדון והמדינה - כג</v>
      </c>
    </row>
    <row r="866" spans="1:6" x14ac:dyDescent="0.2">
      <c r="A866" t="s">
        <v>1939</v>
      </c>
      <c r="B866" t="s">
        <v>1940</v>
      </c>
      <c r="E866" t="s">
        <v>214</v>
      </c>
      <c r="F866" s="5" t="str">
        <f>HYPERLINK("http://www.otzar.org/book.asp?624589","הזורעים בדמעה")</f>
        <v>הזורעים בדמעה</v>
      </c>
    </row>
    <row r="867" spans="1:6" x14ac:dyDescent="0.2">
      <c r="A867" t="s">
        <v>1941</v>
      </c>
      <c r="B867" t="s">
        <v>789</v>
      </c>
      <c r="C867" t="s">
        <v>13</v>
      </c>
      <c r="D867" s="1" t="s">
        <v>21</v>
      </c>
      <c r="E867" t="s">
        <v>49</v>
      </c>
      <c r="F867" s="5" t="str">
        <f>HYPERLINK("http://www.otzar.org/book.asp?630863","הזיו לך")</f>
        <v>הזיו לך</v>
      </c>
    </row>
    <row r="868" spans="1:6" x14ac:dyDescent="0.2">
      <c r="A868" t="s">
        <v>1942</v>
      </c>
      <c r="B868" t="s">
        <v>1943</v>
      </c>
      <c r="C868" t="s">
        <v>206</v>
      </c>
      <c r="D868" s="1" t="s">
        <v>1532</v>
      </c>
      <c r="E868" t="s">
        <v>371</v>
      </c>
      <c r="F868" s="5" t="str">
        <f>HYPERLINK("http://www.otzar.org/book.asp?625474","הזיידע - רבי אפרים שמואל פפרמן")</f>
        <v>הזיידע - רבי אפרים שמואל פפרמן</v>
      </c>
    </row>
    <row r="869" spans="1:6" x14ac:dyDescent="0.2">
      <c r="A869" t="s">
        <v>1944</v>
      </c>
      <c r="B869" t="s">
        <v>1767</v>
      </c>
      <c r="C869" t="s">
        <v>190</v>
      </c>
      <c r="D869" s="1" t="s">
        <v>9</v>
      </c>
      <c r="E869" t="s">
        <v>61</v>
      </c>
      <c r="F869" s="5" t="str">
        <f>HYPERLINK("http://www.otzar.org/book.asp?625490","החושן והמשפט - 5 כר'")</f>
        <v>החושן והמשפט - 5 כר'</v>
      </c>
    </row>
    <row r="870" spans="1:6" x14ac:dyDescent="0.2">
      <c r="A870" t="s">
        <v>1945</v>
      </c>
      <c r="B870" t="s">
        <v>1946</v>
      </c>
      <c r="C870" t="s">
        <v>106</v>
      </c>
      <c r="D870" s="1" t="s">
        <v>9</v>
      </c>
      <c r="E870" t="s">
        <v>371</v>
      </c>
      <c r="F870" s="5" t="str">
        <f>HYPERLINK("http://www.otzar.org/book.asp?625498","החינוך בקהילות המזרח")</f>
        <v>החינוך בקהילות המזרח</v>
      </c>
    </row>
    <row r="871" spans="1:6" x14ac:dyDescent="0.2">
      <c r="A871" t="s">
        <v>1947</v>
      </c>
      <c r="B871" t="s">
        <v>1317</v>
      </c>
      <c r="C871" t="s">
        <v>248</v>
      </c>
      <c r="D871" s="1" t="s">
        <v>1948</v>
      </c>
      <c r="E871" t="s">
        <v>49</v>
      </c>
      <c r="F871" s="5" t="str">
        <f>HYPERLINK("http://www.otzar.org/book.asp?625441","החינוך הטבעי")</f>
        <v>החינוך הטבעי</v>
      </c>
    </row>
    <row r="872" spans="1:6" x14ac:dyDescent="0.2">
      <c r="A872" t="s">
        <v>1949</v>
      </c>
      <c r="B872" t="s">
        <v>1950</v>
      </c>
      <c r="C872" t="s">
        <v>1026</v>
      </c>
      <c r="D872" s="1" t="s">
        <v>9</v>
      </c>
      <c r="E872" t="s">
        <v>371</v>
      </c>
      <c r="F872" s="5" t="str">
        <f>HYPERLINK("http://www.otzar.org/book.asp?623862","החינוך היהודי בגרמניה בימי ההשכלה והאמנציפציה")</f>
        <v>החינוך היהודי בגרמניה בימי ההשכלה והאמנציפציה</v>
      </c>
    </row>
    <row r="873" spans="1:6" x14ac:dyDescent="0.2">
      <c r="A873" t="s">
        <v>1951</v>
      </c>
      <c r="B873" t="s">
        <v>1952</v>
      </c>
      <c r="C873" t="s">
        <v>20</v>
      </c>
      <c r="D873" s="1" t="s">
        <v>29</v>
      </c>
      <c r="E873" t="s">
        <v>49</v>
      </c>
      <c r="F873" s="5" t="str">
        <f>HYPERLINK("http://www.otzar.org/book.asp?630183","החינוך והמחנך")</f>
        <v>החינוך והמחנך</v>
      </c>
    </row>
    <row r="874" spans="1:6" x14ac:dyDescent="0.2">
      <c r="A874" t="s">
        <v>1953</v>
      </c>
      <c r="B874" t="s">
        <v>1954</v>
      </c>
      <c r="C874" t="s">
        <v>126</v>
      </c>
      <c r="D874" s="1" t="s">
        <v>9</v>
      </c>
      <c r="E874" t="s">
        <v>295</v>
      </c>
      <c r="F874" s="5" t="str">
        <f>HYPERLINK("http://www.otzar.org/book.asp?617337","החפץ חיים על הסידור")</f>
        <v>החפץ חיים על הסידור</v>
      </c>
    </row>
    <row r="875" spans="1:6" x14ac:dyDescent="0.2">
      <c r="A875" t="s">
        <v>1955</v>
      </c>
      <c r="B875" t="s">
        <v>1956</v>
      </c>
      <c r="C875" t="s">
        <v>190</v>
      </c>
      <c r="D875" s="1" t="s">
        <v>1957</v>
      </c>
      <c r="E875" t="s">
        <v>61</v>
      </c>
      <c r="F875" s="5" t="str">
        <f>HYPERLINK("http://www.otzar.org/book.asp?631128","החשן הבהיר - חושן משפט שלא - שלט")</f>
        <v>החשן הבהיר - חושן משפט שלא - שלט</v>
      </c>
    </row>
    <row r="876" spans="1:6" x14ac:dyDescent="0.2">
      <c r="A876" t="s">
        <v>1958</v>
      </c>
      <c r="B876" t="s">
        <v>156</v>
      </c>
      <c r="C876" t="s">
        <v>1385</v>
      </c>
      <c r="D876" s="1" t="s">
        <v>158</v>
      </c>
      <c r="E876" t="s">
        <v>675</v>
      </c>
      <c r="F876" s="5" t="str">
        <f>HYPERLINK("http://www.otzar.org/book.asp?628547","הטבע היהודי")</f>
        <v>הטבע היהודי</v>
      </c>
    </row>
    <row r="877" spans="1:6" x14ac:dyDescent="0.2">
      <c r="A877" t="s">
        <v>1959</v>
      </c>
      <c r="B877" t="s">
        <v>1960</v>
      </c>
      <c r="C877" t="s">
        <v>20</v>
      </c>
      <c r="D877" s="1" t="s">
        <v>9</v>
      </c>
      <c r="F877" s="5" t="str">
        <f>HYPERLINK("http://www.otzar.org/book.asp?627467","הטור המבואר - חנוכה")</f>
        <v>הטור המבואר - חנוכה</v>
      </c>
    </row>
    <row r="878" spans="1:6" x14ac:dyDescent="0.2">
      <c r="A878" t="s">
        <v>1961</v>
      </c>
      <c r="B878" t="s">
        <v>1962</v>
      </c>
      <c r="C878" t="s">
        <v>190</v>
      </c>
      <c r="D878" s="1" t="s">
        <v>14</v>
      </c>
      <c r="E878" t="s">
        <v>37</v>
      </c>
      <c r="F878" s="5" t="str">
        <f>HYPERLINK("http://www.otzar.org/book.asp?630186","הטיפול בתינוקות")</f>
        <v>הטיפול בתינוקות</v>
      </c>
    </row>
    <row r="879" spans="1:6" x14ac:dyDescent="0.2">
      <c r="A879" t="s">
        <v>1963</v>
      </c>
      <c r="B879" t="s">
        <v>888</v>
      </c>
      <c r="C879" t="s">
        <v>40</v>
      </c>
      <c r="D879" s="1" t="s">
        <v>9</v>
      </c>
      <c r="E879" t="s">
        <v>49</v>
      </c>
      <c r="F879" s="5" t="str">
        <f>HYPERLINK("http://www.otzar.org/book.asp?629885","היא תתהלל")</f>
        <v>היא תתהלל</v>
      </c>
    </row>
    <row r="880" spans="1:6" x14ac:dyDescent="0.2">
      <c r="A880" t="s">
        <v>1964</v>
      </c>
      <c r="B880" t="s">
        <v>1965</v>
      </c>
      <c r="C880" t="s">
        <v>20</v>
      </c>
      <c r="D880" s="1" t="s">
        <v>52</v>
      </c>
      <c r="E880" t="s">
        <v>1966</v>
      </c>
      <c r="F880" s="5" t="str">
        <f>HYPERLINK("http://www.otzar.org/book.asp?628656","היה עם פיפיות")</f>
        <v>היה עם פיפיות</v>
      </c>
    </row>
    <row r="881" spans="1:6" x14ac:dyDescent="0.2">
      <c r="A881" t="s">
        <v>1967</v>
      </c>
      <c r="B881" t="s">
        <v>1968</v>
      </c>
      <c r="C881" t="s">
        <v>634</v>
      </c>
      <c r="D881" s="1" t="s">
        <v>1728</v>
      </c>
      <c r="E881" t="s">
        <v>371</v>
      </c>
      <c r="F881" s="5" t="str">
        <f>HYPERLINK("http://www.otzar.org/book.asp?625993","היהודים בצרפת ודברי ימיהם")</f>
        <v>היהודים בצרפת ודברי ימיהם</v>
      </c>
    </row>
    <row r="882" spans="1:6" x14ac:dyDescent="0.2">
      <c r="A882" t="s">
        <v>1969</v>
      </c>
      <c r="B882" t="s">
        <v>1970</v>
      </c>
      <c r="C882" t="s">
        <v>1971</v>
      </c>
      <c r="D882" s="1" t="s">
        <v>355</v>
      </c>
      <c r="E882" t="s">
        <v>371</v>
      </c>
      <c r="F882" s="5" t="str">
        <f>HYPERLINK("http://www.otzar.org/book.asp?627361","היהודים ושפת הסלאווים")</f>
        <v>היהודים ושפת הסלאווים</v>
      </c>
    </row>
    <row r="883" spans="1:6" x14ac:dyDescent="0.2">
      <c r="A883" t="s">
        <v>1972</v>
      </c>
      <c r="B883" t="s">
        <v>1973</v>
      </c>
      <c r="C883" t="s">
        <v>245</v>
      </c>
      <c r="D883" s="1" t="s">
        <v>713</v>
      </c>
      <c r="E883" t="s">
        <v>371</v>
      </c>
      <c r="F883" s="5" t="str">
        <f>HYPERLINK("http://www.otzar.org/book.asp?629092","היהודים עם נשק בידיהם")</f>
        <v>היהודים עם נשק בידיהם</v>
      </c>
    </row>
    <row r="884" spans="1:6" x14ac:dyDescent="0.2">
      <c r="A884" t="s">
        <v>1974</v>
      </c>
      <c r="B884" t="s">
        <v>888</v>
      </c>
      <c r="C884" t="s">
        <v>8</v>
      </c>
      <c r="D884" s="1" t="s">
        <v>52</v>
      </c>
      <c r="E884" t="s">
        <v>49</v>
      </c>
      <c r="F884" s="5" t="str">
        <f>HYPERLINK("http://www.otzar.org/book.asp?627003","היהלום שבסתר")</f>
        <v>היהלום שבסתר</v>
      </c>
    </row>
    <row r="885" spans="1:6" x14ac:dyDescent="0.2">
      <c r="A885" t="s">
        <v>1975</v>
      </c>
      <c r="B885" t="s">
        <v>1767</v>
      </c>
      <c r="C885" t="s">
        <v>40</v>
      </c>
      <c r="D885" s="1" t="s">
        <v>9</v>
      </c>
      <c r="E885" t="s">
        <v>61</v>
      </c>
      <c r="F885" s="5" t="str">
        <f>HYPERLINK("http://www.otzar.org/book.asp?625514","היורה והדעה - 2 כר'")</f>
        <v>היורה והדעה - 2 כר'</v>
      </c>
    </row>
    <row r="886" spans="1:6" x14ac:dyDescent="0.2">
      <c r="A886" t="s">
        <v>1976</v>
      </c>
      <c r="B886" t="s">
        <v>1977</v>
      </c>
      <c r="C886" t="s">
        <v>13</v>
      </c>
      <c r="D886" s="1" t="s">
        <v>64</v>
      </c>
      <c r="E886" t="s">
        <v>1207</v>
      </c>
      <c r="F886" s="5" t="str">
        <f>HYPERLINK("http://www.otzar.org/book.asp?627534","היכל הוראה - ה")</f>
        <v>היכל הוראה - ה</v>
      </c>
    </row>
    <row r="887" spans="1:6" x14ac:dyDescent="0.2">
      <c r="A887" t="s">
        <v>1978</v>
      </c>
      <c r="B887" t="s">
        <v>1979</v>
      </c>
      <c r="C887" t="s">
        <v>13</v>
      </c>
      <c r="D887" s="1" t="s">
        <v>9</v>
      </c>
      <c r="E887" t="s">
        <v>34</v>
      </c>
      <c r="F887" s="5" t="str">
        <f>HYPERLINK("http://www.otzar.org/book.asp?630344","היכל ושערים")</f>
        <v>היכל ושערים</v>
      </c>
    </row>
    <row r="888" spans="1:6" x14ac:dyDescent="0.2">
      <c r="A888" t="s">
        <v>1980</v>
      </c>
      <c r="B888" t="s">
        <v>1981</v>
      </c>
      <c r="C888" t="s">
        <v>13</v>
      </c>
      <c r="D888" s="1" t="s">
        <v>14</v>
      </c>
      <c r="F888" s="5" t="str">
        <f>HYPERLINK("http://www.otzar.org/book.asp?632054","היכלא דאורייתא")</f>
        <v>היכלא דאורייתא</v>
      </c>
    </row>
    <row r="889" spans="1:6" x14ac:dyDescent="0.2">
      <c r="A889" t="s">
        <v>1982</v>
      </c>
      <c r="B889" t="s">
        <v>1983</v>
      </c>
      <c r="C889" t="s">
        <v>383</v>
      </c>
      <c r="D889" s="1" t="s">
        <v>9</v>
      </c>
      <c r="E889" t="s">
        <v>199</v>
      </c>
      <c r="F889" s="5" t="str">
        <f>HYPERLINK("http://www.otzar.org/book.asp?625518","היכלי דעה")</f>
        <v>היכלי דעה</v>
      </c>
    </row>
    <row r="890" spans="1:6" x14ac:dyDescent="0.2">
      <c r="A890" t="s">
        <v>1984</v>
      </c>
      <c r="E890" t="s">
        <v>34</v>
      </c>
      <c r="F890" s="5" t="str">
        <f>HYPERLINK("http://www.otzar.org/book.asp?627179","הישיבה בית היוצר")</f>
        <v>הישיבה בית היוצר</v>
      </c>
    </row>
    <row r="891" spans="1:6" x14ac:dyDescent="0.2">
      <c r="A891" t="s">
        <v>1985</v>
      </c>
      <c r="B891" t="s">
        <v>1986</v>
      </c>
      <c r="C891" t="s">
        <v>13</v>
      </c>
      <c r="D891" s="1" t="s">
        <v>803</v>
      </c>
      <c r="E891" t="s">
        <v>37</v>
      </c>
      <c r="F891" s="5" t="str">
        <f>HYPERLINK("http://www.otzar.org/book.asp?627909","היתר עיסקא החדש - ב")</f>
        <v>היתר עיסקא החדש - ב</v>
      </c>
    </row>
    <row r="892" spans="1:6" x14ac:dyDescent="0.2">
      <c r="A892" t="s">
        <v>1987</v>
      </c>
      <c r="B892" t="s">
        <v>12</v>
      </c>
      <c r="C892" t="s">
        <v>13</v>
      </c>
      <c r="D892" s="1" t="s">
        <v>14</v>
      </c>
      <c r="E892" t="s">
        <v>34</v>
      </c>
      <c r="F892" s="5" t="str">
        <f>HYPERLINK("http://www.otzar.org/book.asp?630862","הכוזרי של זמננו - 2 כר'")</f>
        <v>הכוזרי של זמננו - 2 כר'</v>
      </c>
    </row>
    <row r="893" spans="1:6" x14ac:dyDescent="0.2">
      <c r="A893" t="s">
        <v>1988</v>
      </c>
      <c r="B893" t="s">
        <v>1989</v>
      </c>
      <c r="C893" t="s">
        <v>258</v>
      </c>
      <c r="D893" s="1" t="s">
        <v>29</v>
      </c>
      <c r="E893" t="s">
        <v>214</v>
      </c>
      <c r="F893" s="5" t="str">
        <f>HYPERLINK("http://www.otzar.org/book.asp?629118","הכוכב (ארה""ב) - שנה ב חוברת א")</f>
        <v>הכוכב (ארה"ב) - שנה ב חוברת א</v>
      </c>
    </row>
    <row r="894" spans="1:6" x14ac:dyDescent="0.2">
      <c r="A894" t="s">
        <v>1990</v>
      </c>
      <c r="B894" t="s">
        <v>1991</v>
      </c>
      <c r="C894" t="s">
        <v>88</v>
      </c>
      <c r="D894" s="1" t="s">
        <v>21</v>
      </c>
      <c r="E894" t="s">
        <v>34</v>
      </c>
      <c r="F894" s="5" t="str">
        <f>HYPERLINK("http://www.otzar.org/book.asp?625411","הכל נשמע")</f>
        <v>הכל נשמע</v>
      </c>
    </row>
    <row r="895" spans="1:6" x14ac:dyDescent="0.2">
      <c r="A895" t="s">
        <v>1992</v>
      </c>
      <c r="B895" t="s">
        <v>1993</v>
      </c>
      <c r="C895" t="s">
        <v>1074</v>
      </c>
      <c r="D895" s="1" t="s">
        <v>9</v>
      </c>
      <c r="E895" t="s">
        <v>49</v>
      </c>
      <c r="F895" s="5" t="str">
        <f>HYPERLINK("http://www.otzar.org/book.asp?624586","הכנוס לעיון בהלכות הקודש והמקדש")</f>
        <v>הכנוס לעיון בהלכות הקודש והמקדש</v>
      </c>
    </row>
    <row r="896" spans="1:6" x14ac:dyDescent="0.2">
      <c r="A896" t="s">
        <v>1994</v>
      </c>
      <c r="B896" t="s">
        <v>1995</v>
      </c>
      <c r="C896" t="s">
        <v>386</v>
      </c>
      <c r="D896" s="1" t="s">
        <v>9</v>
      </c>
      <c r="E896" t="s">
        <v>242</v>
      </c>
      <c r="F896" s="5" t="str">
        <f>HYPERLINK("http://www.otzar.org/book.asp?623424","הכשר כלים")</f>
        <v>הכשר כלים</v>
      </c>
    </row>
    <row r="897" spans="1:6" x14ac:dyDescent="0.2">
      <c r="A897" t="s">
        <v>1996</v>
      </c>
      <c r="B897" t="s">
        <v>1997</v>
      </c>
      <c r="C897" t="s">
        <v>1998</v>
      </c>
      <c r="D897" s="1" t="s">
        <v>1999</v>
      </c>
      <c r="E897" t="s">
        <v>168</v>
      </c>
      <c r="F897" s="5" t="str">
        <f>HYPERLINK("http://www.otzar.org/book.asp?626419","הכתב והקבלה - ב")</f>
        <v>הכתב והקבלה - ב</v>
      </c>
    </row>
    <row r="898" spans="1:6" x14ac:dyDescent="0.2">
      <c r="A898" t="s">
        <v>2000</v>
      </c>
      <c r="B898" t="s">
        <v>2001</v>
      </c>
      <c r="C898" t="s">
        <v>190</v>
      </c>
      <c r="D898" s="1" t="s">
        <v>9</v>
      </c>
      <c r="E898" t="s">
        <v>22</v>
      </c>
      <c r="F898" s="5" t="str">
        <f>HYPERLINK("http://www.otzar.org/book.asp?623543","הלולי צבי - 3 כר'")</f>
        <v>הלולי צבי - 3 כר'</v>
      </c>
    </row>
    <row r="899" spans="1:6" x14ac:dyDescent="0.2">
      <c r="A899" t="s">
        <v>2002</v>
      </c>
      <c r="B899" t="s">
        <v>2003</v>
      </c>
      <c r="C899" t="s">
        <v>76</v>
      </c>
      <c r="D899" s="1" t="s">
        <v>471</v>
      </c>
      <c r="E899" t="s">
        <v>37</v>
      </c>
      <c r="F899" s="5" t="str">
        <f>HYPERLINK("http://www.otzar.org/book.asp?623604","הליכות &lt;סדרה חדשה&gt; - 3")</f>
        <v>הליכות &lt;סדרה חדשה&gt; - 3</v>
      </c>
    </row>
    <row r="900" spans="1:6" x14ac:dyDescent="0.2">
      <c r="A900" t="s">
        <v>2004</v>
      </c>
      <c r="B900" t="s">
        <v>2005</v>
      </c>
      <c r="C900" t="s">
        <v>73</v>
      </c>
      <c r="D900" s="1" t="s">
        <v>9</v>
      </c>
      <c r="E900" t="s">
        <v>154</v>
      </c>
      <c r="F900" s="5" t="str">
        <f>HYPERLINK("http://www.otzar.org/book.asp?628201","הליכות אבן ישראל - שבת א")</f>
        <v>הליכות אבן ישראל - שבת א</v>
      </c>
    </row>
    <row r="901" spans="1:6" x14ac:dyDescent="0.2">
      <c r="A901" t="s">
        <v>2006</v>
      </c>
      <c r="B901" t="s">
        <v>2007</v>
      </c>
      <c r="C901" t="s">
        <v>8</v>
      </c>
      <c r="D901" s="1" t="s">
        <v>64</v>
      </c>
      <c r="E901" t="s">
        <v>22</v>
      </c>
      <c r="F901" s="5" t="str">
        <f>HYPERLINK("http://www.otzar.org/book.asp?626703","הליכות הוריות")</f>
        <v>הליכות הוריות</v>
      </c>
    </row>
    <row r="902" spans="1:6" x14ac:dyDescent="0.2">
      <c r="A902" t="s">
        <v>2008</v>
      </c>
      <c r="B902" t="s">
        <v>2009</v>
      </c>
      <c r="C902" t="s">
        <v>73</v>
      </c>
      <c r="D902" s="1" t="s">
        <v>268</v>
      </c>
      <c r="E902" t="s">
        <v>371</v>
      </c>
      <c r="F902" s="5" t="str">
        <f>HYPERLINK("http://www.otzar.org/book.asp?627031","הליכות הישועות משה - ג")</f>
        <v>הליכות הישועות משה - ג</v>
      </c>
    </row>
    <row r="903" spans="1:6" x14ac:dyDescent="0.2">
      <c r="A903" t="s">
        <v>2010</v>
      </c>
      <c r="B903" t="s">
        <v>2011</v>
      </c>
      <c r="C903" t="s">
        <v>13</v>
      </c>
      <c r="D903" s="1" t="s">
        <v>64</v>
      </c>
      <c r="E903" t="s">
        <v>128</v>
      </c>
      <c r="F903" s="5" t="str">
        <f>HYPERLINK("http://www.otzar.org/book.asp?630212","הליכות השולחן ערוך החמישי - ב")</f>
        <v>הליכות השולחן ערוך החמישי - ב</v>
      </c>
    </row>
    <row r="904" spans="1:6" x14ac:dyDescent="0.2">
      <c r="A904" t="s">
        <v>2012</v>
      </c>
      <c r="B904" t="s">
        <v>94</v>
      </c>
      <c r="C904" t="s">
        <v>40</v>
      </c>
      <c r="D904" s="1" t="s">
        <v>52</v>
      </c>
      <c r="E904" t="s">
        <v>371</v>
      </c>
      <c r="F904" s="5" t="str">
        <f>HYPERLINK("http://www.otzar.org/book.asp?630860","הליכות חייו והנהגותיו של ר' ראובן קרלנשטיין")</f>
        <v>הליכות חייו והנהגותיו של ר' ראובן קרלנשטיין</v>
      </c>
    </row>
    <row r="905" spans="1:6" x14ac:dyDescent="0.2">
      <c r="A905" t="s">
        <v>2013</v>
      </c>
      <c r="B905" t="s">
        <v>2014</v>
      </c>
      <c r="C905" t="s">
        <v>136</v>
      </c>
      <c r="D905" s="1" t="s">
        <v>29</v>
      </c>
      <c r="E905" t="s">
        <v>371</v>
      </c>
      <c r="F905" s="5" t="str">
        <f>HYPERLINK("http://www.otzar.org/book.asp?628014","הליכות חיים - רבינו הקדוש מריבניץ")</f>
        <v>הליכות חיים - רבינו הקדוש מריבניץ</v>
      </c>
    </row>
    <row r="906" spans="1:6" x14ac:dyDescent="0.2">
      <c r="A906" t="s">
        <v>2015</v>
      </c>
      <c r="B906" t="s">
        <v>2016</v>
      </c>
      <c r="C906" t="s">
        <v>20</v>
      </c>
      <c r="D906" s="1" t="s">
        <v>52</v>
      </c>
      <c r="E906" t="s">
        <v>34</v>
      </c>
      <c r="F906" s="5" t="str">
        <f>HYPERLINK("http://www.otzar.org/book.asp?622643","הליכות יוסף")</f>
        <v>הליכות יוסף</v>
      </c>
    </row>
    <row r="907" spans="1:6" x14ac:dyDescent="0.2">
      <c r="A907" t="s">
        <v>2017</v>
      </c>
      <c r="B907" t="s">
        <v>2007</v>
      </c>
      <c r="C907" t="s">
        <v>8</v>
      </c>
      <c r="D907" s="1" t="s">
        <v>64</v>
      </c>
      <c r="E907" t="s">
        <v>22</v>
      </c>
      <c r="F907" s="5" t="str">
        <f>HYPERLINK("http://www.otzar.org/book.asp?626704","הליכות מנחות (מזוזה ותפילין)")</f>
        <v>הליכות מנחות (מזוזה ותפילין)</v>
      </c>
    </row>
    <row r="908" spans="1:6" x14ac:dyDescent="0.2">
      <c r="A908" t="s">
        <v>2018</v>
      </c>
      <c r="B908" t="s">
        <v>2007</v>
      </c>
      <c r="C908" t="s">
        <v>8</v>
      </c>
      <c r="D908" s="1" t="s">
        <v>64</v>
      </c>
      <c r="E908" t="s">
        <v>22</v>
      </c>
      <c r="F908" s="5" t="str">
        <f>HYPERLINK("http://www.otzar.org/book.asp?626705","הליכות מנחות (ציצית)")</f>
        <v>הליכות מנחות (ציצית)</v>
      </c>
    </row>
    <row r="909" spans="1:6" x14ac:dyDescent="0.2">
      <c r="A909" t="s">
        <v>2019</v>
      </c>
      <c r="B909" t="s">
        <v>2020</v>
      </c>
      <c r="C909" t="s">
        <v>411</v>
      </c>
      <c r="D909" s="1" t="s">
        <v>9</v>
      </c>
      <c r="E909" t="s">
        <v>565</v>
      </c>
      <c r="F909" s="5" t="str">
        <f>HYPERLINK("http://www.otzar.org/book.asp?625466","הליכות שדה - 8 כר'")</f>
        <v>הליכות שדה - 8 כר'</v>
      </c>
    </row>
    <row r="910" spans="1:6" x14ac:dyDescent="0.2">
      <c r="A910" t="s">
        <v>2021</v>
      </c>
      <c r="B910" t="s">
        <v>2022</v>
      </c>
      <c r="C910" t="s">
        <v>2023</v>
      </c>
      <c r="D910" s="1" t="s">
        <v>1067</v>
      </c>
      <c r="E910" t="s">
        <v>214</v>
      </c>
      <c r="F910" s="5" t="str">
        <f>HYPERLINK("http://www.otzar.org/book.asp?624652","הליכות - 100")</f>
        <v>הליכות - 100</v>
      </c>
    </row>
    <row r="911" spans="1:6" x14ac:dyDescent="0.2">
      <c r="A911" t="s">
        <v>2024</v>
      </c>
      <c r="B911" t="s">
        <v>2025</v>
      </c>
      <c r="C911" t="s">
        <v>13</v>
      </c>
      <c r="D911" s="1" t="s">
        <v>9</v>
      </c>
      <c r="E911" t="s">
        <v>61</v>
      </c>
      <c r="F911" s="5" t="str">
        <f>HYPERLINK("http://www.otzar.org/book.asp?626171","הלכה ברורה - טז")</f>
        <v>הלכה ברורה - טז</v>
      </c>
    </row>
    <row r="912" spans="1:6" x14ac:dyDescent="0.2">
      <c r="A912" t="s">
        <v>2026</v>
      </c>
      <c r="B912" t="s">
        <v>786</v>
      </c>
      <c r="C912" t="s">
        <v>1568</v>
      </c>
      <c r="D912" s="1" t="s">
        <v>64</v>
      </c>
      <c r="E912" t="s">
        <v>565</v>
      </c>
      <c r="F912" s="5" t="str">
        <f>HYPERLINK("http://www.otzar.org/book.asp?624562","הלכה ומעשה - 4")</f>
        <v>הלכה ומעשה - 4</v>
      </c>
    </row>
    <row r="913" spans="1:6" x14ac:dyDescent="0.2">
      <c r="A913" t="s">
        <v>2027</v>
      </c>
      <c r="B913" t="s">
        <v>2028</v>
      </c>
      <c r="C913" t="s">
        <v>20</v>
      </c>
      <c r="D913" s="1" t="s">
        <v>158</v>
      </c>
      <c r="E913" t="s">
        <v>30</v>
      </c>
      <c r="F913" s="5" t="str">
        <f>HYPERLINK("http://www.otzar.org/book.asp?623835","הלכה למעשה - א")</f>
        <v>הלכה למעשה - א</v>
      </c>
    </row>
    <row r="914" spans="1:6" x14ac:dyDescent="0.2">
      <c r="A914" t="s">
        <v>2029</v>
      </c>
      <c r="B914" t="s">
        <v>2030</v>
      </c>
      <c r="C914" t="s">
        <v>572</v>
      </c>
      <c r="D914" s="1" t="s">
        <v>1067</v>
      </c>
      <c r="E914" t="s">
        <v>242</v>
      </c>
      <c r="F914" s="5" t="str">
        <f>HYPERLINK("http://www.otzar.org/book.asp?625442","הלכה לעם")</f>
        <v>הלכה לעם</v>
      </c>
    </row>
    <row r="915" spans="1:6" x14ac:dyDescent="0.2">
      <c r="A915" t="s">
        <v>2031</v>
      </c>
      <c r="B915" t="s">
        <v>712</v>
      </c>
      <c r="C915" t="s">
        <v>13</v>
      </c>
      <c r="D915" s="1" t="s">
        <v>713</v>
      </c>
      <c r="E915" t="s">
        <v>242</v>
      </c>
      <c r="F915" s="5" t="str">
        <f>HYPERLINK("http://www.otzar.org/book.asp?629094","הלכה מנהג ומסורת")</f>
        <v>הלכה מנהג ומסורת</v>
      </c>
    </row>
    <row r="916" spans="1:6" x14ac:dyDescent="0.2">
      <c r="A916" t="s">
        <v>2032</v>
      </c>
      <c r="B916" t="s">
        <v>2033</v>
      </c>
      <c r="C916" t="s">
        <v>20</v>
      </c>
      <c r="D916" s="1" t="s">
        <v>9</v>
      </c>
      <c r="E916" t="s">
        <v>61</v>
      </c>
      <c r="F916" s="5" t="str">
        <f>HYPERLINK("http://www.otzar.org/book.asp?626568","הלכה פסוקה - חו""מ קעו-קפח")</f>
        <v>הלכה פסוקה - חו"מ קעו-קפח</v>
      </c>
    </row>
    <row r="917" spans="1:6" x14ac:dyDescent="0.2">
      <c r="A917" t="s">
        <v>2034</v>
      </c>
      <c r="B917" t="s">
        <v>2035</v>
      </c>
      <c r="C917" t="s">
        <v>8</v>
      </c>
      <c r="D917" s="1" t="s">
        <v>52</v>
      </c>
      <c r="E917" t="s">
        <v>37</v>
      </c>
      <c r="F917" s="5" t="str">
        <f>HYPERLINK("http://www.otzar.org/book.asp?623939","הלכות אבלות")</f>
        <v>הלכות אבלות</v>
      </c>
    </row>
    <row r="918" spans="1:6" x14ac:dyDescent="0.2">
      <c r="A918" t="s">
        <v>2036</v>
      </c>
      <c r="B918" t="s">
        <v>2037</v>
      </c>
      <c r="C918" t="s">
        <v>133</v>
      </c>
      <c r="D918" s="1" t="s">
        <v>64</v>
      </c>
      <c r="E918" t="s">
        <v>37</v>
      </c>
      <c r="F918" s="5" t="str">
        <f>HYPERLINK("http://www.otzar.org/book.asp?624937","הלכות איסור והיתר")</f>
        <v>הלכות איסור והיתר</v>
      </c>
    </row>
    <row r="919" spans="1:6" x14ac:dyDescent="0.2">
      <c r="A919" t="s">
        <v>2038</v>
      </c>
      <c r="B919" t="s">
        <v>2039</v>
      </c>
      <c r="C919" t="s">
        <v>13</v>
      </c>
      <c r="D919" s="1" t="s">
        <v>9</v>
      </c>
      <c r="E919" t="s">
        <v>199</v>
      </c>
      <c r="F919" s="5" t="str">
        <f>HYPERLINK("http://www.otzar.org/book.asp?630029","הלכות ברכות, הלכות פסח, ברכות בחשבון, המעשר והעושר")</f>
        <v>הלכות ברכות, הלכות פסח, ברכות בחשבון, המעשר והעושר</v>
      </c>
    </row>
    <row r="920" spans="1:6" x14ac:dyDescent="0.2">
      <c r="A920" t="s">
        <v>2040</v>
      </c>
      <c r="B920" t="s">
        <v>2041</v>
      </c>
      <c r="D920" s="1" t="s">
        <v>2042</v>
      </c>
      <c r="E920" t="s">
        <v>37</v>
      </c>
      <c r="F920" s="5" t="str">
        <f>HYPERLINK("http://www.otzar.org/book.asp?626344","הלכות גרים בנישואי תערובת")</f>
        <v>הלכות גרים בנישואי תערובת</v>
      </c>
    </row>
    <row r="921" spans="1:6" x14ac:dyDescent="0.2">
      <c r="A921" t="s">
        <v>2043</v>
      </c>
      <c r="B921" t="s">
        <v>2044</v>
      </c>
      <c r="C921" t="s">
        <v>20</v>
      </c>
      <c r="D921" s="1" t="s">
        <v>9</v>
      </c>
      <c r="E921" t="s">
        <v>154</v>
      </c>
      <c r="F921" s="5" t="str">
        <f>HYPERLINK("http://www.otzar.org/book.asp?628786","הלכות והליכות הימים הנוראים")</f>
        <v>הלכות והליכות הימים הנוראים</v>
      </c>
    </row>
    <row r="922" spans="1:6" x14ac:dyDescent="0.2">
      <c r="A922" t="s">
        <v>2045</v>
      </c>
      <c r="B922" t="s">
        <v>2044</v>
      </c>
      <c r="C922" t="s">
        <v>13</v>
      </c>
      <c r="D922" s="1" t="s">
        <v>9</v>
      </c>
      <c r="E922" t="s">
        <v>154</v>
      </c>
      <c r="F922" s="5" t="str">
        <f>HYPERLINK("http://www.otzar.org/book.asp?628787","הלכות והליכות חג הסוכות")</f>
        <v>הלכות והליכות חג הסוכות</v>
      </c>
    </row>
    <row r="923" spans="1:6" x14ac:dyDescent="0.2">
      <c r="A923" t="s">
        <v>2046</v>
      </c>
      <c r="B923" t="s">
        <v>2047</v>
      </c>
      <c r="C923" t="s">
        <v>13</v>
      </c>
      <c r="D923" s="1" t="s">
        <v>21</v>
      </c>
      <c r="E923" t="s">
        <v>154</v>
      </c>
      <c r="F923" s="5" t="str">
        <f>HYPERLINK("http://www.otzar.org/book.asp?630858","הלכות ומנהגים לחג השבועות שחל להיות ביום א")</f>
        <v>הלכות ומנהגים לחג השבועות שחל להיות ביום א</v>
      </c>
    </row>
    <row r="924" spans="1:6" x14ac:dyDescent="0.2">
      <c r="A924" t="s">
        <v>2048</v>
      </c>
      <c r="B924" t="s">
        <v>2049</v>
      </c>
      <c r="C924" t="s">
        <v>13</v>
      </c>
      <c r="D924" s="1" t="s">
        <v>9</v>
      </c>
      <c r="E924" t="s">
        <v>37</v>
      </c>
      <c r="F924" s="5" t="str">
        <f>HYPERLINK("http://www.otzar.org/book.asp?627054","הלכות יום ביום - תפילה ב")</f>
        <v>הלכות יום ביום - תפילה ב</v>
      </c>
    </row>
    <row r="925" spans="1:6" x14ac:dyDescent="0.2">
      <c r="A925" t="s">
        <v>2050</v>
      </c>
      <c r="B925" t="s">
        <v>2051</v>
      </c>
      <c r="C925" t="s">
        <v>427</v>
      </c>
      <c r="D925" s="1" t="s">
        <v>9</v>
      </c>
      <c r="E925" t="s">
        <v>37</v>
      </c>
      <c r="F925" s="5" t="str">
        <f>HYPERLINK("http://www.otzar.org/book.asp?623654","הלכות יום העצמאות ויום ירושלים")</f>
        <v>הלכות יום העצמאות ויום ירושלים</v>
      </c>
    </row>
    <row r="926" spans="1:6" x14ac:dyDescent="0.2">
      <c r="A926" t="s">
        <v>2052</v>
      </c>
      <c r="B926" t="s">
        <v>2053</v>
      </c>
      <c r="C926" t="s">
        <v>1602</v>
      </c>
      <c r="D926" s="1" t="s">
        <v>9</v>
      </c>
      <c r="E926" t="s">
        <v>242</v>
      </c>
      <c r="F926" s="5" t="str">
        <f>HYPERLINK("http://www.otzar.org/book.asp?625658","הלכות מיסים במקורות העבריים")</f>
        <v>הלכות מיסים במקורות העבריים</v>
      </c>
    </row>
    <row r="927" spans="1:6" x14ac:dyDescent="0.2">
      <c r="A927" t="s">
        <v>2054</v>
      </c>
      <c r="B927" t="s">
        <v>2055</v>
      </c>
      <c r="C927" t="s">
        <v>20</v>
      </c>
      <c r="D927" s="1" t="s">
        <v>557</v>
      </c>
      <c r="E927" t="s">
        <v>242</v>
      </c>
      <c r="F927" s="5" t="str">
        <f>HYPERLINK("http://www.otzar.org/book.asp?623704","הלכות מתנות כהונה זרוע לחיים וקיבה")</f>
        <v>הלכות מתנות כהונה זרוע לחיים וקיבה</v>
      </c>
    </row>
    <row r="928" spans="1:6" x14ac:dyDescent="0.2">
      <c r="A928" t="s">
        <v>2056</v>
      </c>
      <c r="B928" t="s">
        <v>2057</v>
      </c>
      <c r="C928" t="s">
        <v>8</v>
      </c>
      <c r="D928" s="1" t="s">
        <v>2058</v>
      </c>
      <c r="E928" t="s">
        <v>37</v>
      </c>
      <c r="F928" s="5" t="str">
        <f>HYPERLINK("http://www.otzar.org/book.asp?625562","הלכות עשיית עירוב חצרות ובדיקת המחיצות - הקצר")</f>
        <v>הלכות עשיית עירוב חצרות ובדיקת המחיצות - הקצר</v>
      </c>
    </row>
    <row r="929" spans="1:6" x14ac:dyDescent="0.2">
      <c r="A929" t="s">
        <v>2059</v>
      </c>
      <c r="B929" t="s">
        <v>2060</v>
      </c>
      <c r="C929" t="s">
        <v>76</v>
      </c>
      <c r="D929" s="1" t="s">
        <v>9</v>
      </c>
      <c r="E929" t="s">
        <v>37</v>
      </c>
      <c r="F929" s="5" t="str">
        <f>HYPERLINK("http://www.otzar.org/book.asp?627742","הלכות פסח לחולה")</f>
        <v>הלכות פסח לחולה</v>
      </c>
    </row>
    <row r="930" spans="1:6" x14ac:dyDescent="0.2">
      <c r="A930" t="s">
        <v>2061</v>
      </c>
      <c r="B930" t="s">
        <v>2062</v>
      </c>
      <c r="C930" t="s">
        <v>397</v>
      </c>
      <c r="D930" s="1" t="s">
        <v>9</v>
      </c>
      <c r="E930" t="s">
        <v>41</v>
      </c>
      <c r="F930" s="5" t="str">
        <f>HYPERLINK("http://www.otzar.org/book.asp?627590","הלכות קטנות - הלכה רווחת &lt;מהדורת זכרון אהרן&gt;")</f>
        <v>הלכות קטנות - הלכה רווחת &lt;מהדורת זכרון אהרן&gt;</v>
      </c>
    </row>
    <row r="931" spans="1:6" x14ac:dyDescent="0.2">
      <c r="A931" t="s">
        <v>2063</v>
      </c>
      <c r="B931" t="s">
        <v>94</v>
      </c>
      <c r="C931" t="s">
        <v>8</v>
      </c>
      <c r="D931" s="1" t="s">
        <v>52</v>
      </c>
      <c r="E931" t="s">
        <v>37</v>
      </c>
      <c r="F931" s="5" t="str">
        <f>HYPERLINK("http://www.otzar.org/book.asp?629832","הלכות קריעה על המקדש")</f>
        <v>הלכות קריעה על המקדש</v>
      </c>
    </row>
    <row r="932" spans="1:6" x14ac:dyDescent="0.2">
      <c r="A932" t="s">
        <v>2064</v>
      </c>
      <c r="B932" t="s">
        <v>2065</v>
      </c>
      <c r="C932" t="s">
        <v>136</v>
      </c>
      <c r="D932" s="1" t="s">
        <v>9</v>
      </c>
      <c r="E932" t="s">
        <v>37</v>
      </c>
      <c r="F932" s="5" t="str">
        <f>HYPERLINK("http://www.otzar.org/book.asp?628207","הלכות קריעה")</f>
        <v>הלכות קריעה</v>
      </c>
    </row>
    <row r="933" spans="1:6" x14ac:dyDescent="0.2">
      <c r="A933" t="s">
        <v>2066</v>
      </c>
      <c r="B933" t="s">
        <v>1055</v>
      </c>
      <c r="C933" t="s">
        <v>383</v>
      </c>
      <c r="D933" s="1" t="s">
        <v>1257</v>
      </c>
      <c r="E933" t="s">
        <v>37</v>
      </c>
      <c r="F933" s="5" t="str">
        <f>HYPERLINK("http://www.otzar.org/book.asp?625586","הלכות ראש חודש ותעניות")</f>
        <v>הלכות ראש חודש ותעניות</v>
      </c>
    </row>
    <row r="934" spans="1:6" x14ac:dyDescent="0.2">
      <c r="A934" t="s">
        <v>2067</v>
      </c>
      <c r="B934" t="s">
        <v>2068</v>
      </c>
      <c r="C934" t="s">
        <v>20</v>
      </c>
      <c r="D934" s="1" t="s">
        <v>429</v>
      </c>
      <c r="E934" t="s">
        <v>37</v>
      </c>
      <c r="F934" s="5" t="str">
        <f>HYPERLINK("http://www.otzar.org/book.asp?630246","הלכות שבת - סיכום סימני הבקיאות")</f>
        <v>הלכות שבת - סיכום סימני הבקיאות</v>
      </c>
    </row>
    <row r="935" spans="1:6" x14ac:dyDescent="0.2">
      <c r="A935" t="s">
        <v>2069</v>
      </c>
      <c r="B935" t="s">
        <v>2070</v>
      </c>
      <c r="C935" t="s">
        <v>13</v>
      </c>
      <c r="D935" s="1" t="s">
        <v>2071</v>
      </c>
      <c r="E935" t="s">
        <v>683</v>
      </c>
      <c r="F935" s="5" t="str">
        <f>HYPERLINK("http://www.otzar.org/book.asp?627520","הלכות שטריימל")</f>
        <v>הלכות שטריימל</v>
      </c>
    </row>
    <row r="936" spans="1:6" x14ac:dyDescent="0.2">
      <c r="A936" t="s">
        <v>2072</v>
      </c>
      <c r="B936" t="s">
        <v>2073</v>
      </c>
      <c r="C936" t="s">
        <v>13</v>
      </c>
      <c r="D936" s="1" t="s">
        <v>14</v>
      </c>
      <c r="E936" t="s">
        <v>37</v>
      </c>
      <c r="F936" s="5" t="str">
        <f>HYPERLINK("http://www.otzar.org/book.asp?627161","הלכות שכיחות לנופשים")</f>
        <v>הלכות שכיחות לנופשים</v>
      </c>
    </row>
    <row r="937" spans="1:6" x14ac:dyDescent="0.2">
      <c r="A937" t="s">
        <v>2074</v>
      </c>
      <c r="B937" t="s">
        <v>272</v>
      </c>
      <c r="C937" t="s">
        <v>383</v>
      </c>
      <c r="D937" s="1" t="s">
        <v>14</v>
      </c>
      <c r="E937" t="s">
        <v>538</v>
      </c>
      <c r="F937" s="5" t="str">
        <f>HYPERLINK("http://www.otzar.org/book.asp?628512","הלכתא למשיחא - 2 כר'")</f>
        <v>הלכתא למשיחא - 2 כר'</v>
      </c>
    </row>
    <row r="938" spans="1:6" x14ac:dyDescent="0.2">
      <c r="A938" t="s">
        <v>2075</v>
      </c>
      <c r="B938" t="s">
        <v>2076</v>
      </c>
      <c r="C938" t="s">
        <v>1602</v>
      </c>
      <c r="D938" s="1" t="s">
        <v>29</v>
      </c>
      <c r="E938" t="s">
        <v>89</v>
      </c>
      <c r="F938" s="5" t="str">
        <f>HYPERLINK("http://www.otzar.org/book.asp?624774","הלל וזמרה - על הגדת פסח")</f>
        <v>הלל וזמרה - על הגדת פסח</v>
      </c>
    </row>
    <row r="939" spans="1:6" x14ac:dyDescent="0.2">
      <c r="A939" t="s">
        <v>2077</v>
      </c>
      <c r="B939" t="s">
        <v>2078</v>
      </c>
      <c r="C939" t="s">
        <v>8</v>
      </c>
      <c r="D939" s="1" t="s">
        <v>64</v>
      </c>
      <c r="E939" t="s">
        <v>214</v>
      </c>
      <c r="F939" s="5" t="str">
        <f>HYPERLINK("http://www.otzar.org/book.asp?624653","המאור שבתורה - ד")</f>
        <v>המאור שבתורה - ד</v>
      </c>
    </row>
    <row r="940" spans="1:6" x14ac:dyDescent="0.2">
      <c r="A940" t="s">
        <v>2079</v>
      </c>
      <c r="B940" t="s">
        <v>2080</v>
      </c>
      <c r="C940" t="s">
        <v>2081</v>
      </c>
      <c r="D940" s="1" t="s">
        <v>29</v>
      </c>
      <c r="E940" t="s">
        <v>214</v>
      </c>
      <c r="F940" s="5" t="str">
        <f>HYPERLINK("http://www.otzar.org/book.asp?62651","המאור - 28 כר'")</f>
        <v>המאור - 28 כר'</v>
      </c>
    </row>
    <row r="941" spans="1:6" x14ac:dyDescent="0.2">
      <c r="A941" t="s">
        <v>2082</v>
      </c>
      <c r="B941" t="s">
        <v>1083</v>
      </c>
      <c r="C941" t="s">
        <v>133</v>
      </c>
      <c r="D941" s="1" t="s">
        <v>471</v>
      </c>
      <c r="E941" t="s">
        <v>41</v>
      </c>
      <c r="F941" s="5" t="str">
        <f>HYPERLINK("http://www.otzar.org/book.asp?625425","המאיר לארץ - 2 כר'")</f>
        <v>המאיר לארץ - 2 כר'</v>
      </c>
    </row>
    <row r="942" spans="1:6" x14ac:dyDescent="0.2">
      <c r="A942" t="s">
        <v>2083</v>
      </c>
      <c r="B942" t="s">
        <v>2084</v>
      </c>
      <c r="C942" t="s">
        <v>8</v>
      </c>
      <c r="D942" s="1" t="s">
        <v>2085</v>
      </c>
      <c r="E942" t="s">
        <v>477</v>
      </c>
      <c r="F942" s="5" t="str">
        <f>HYPERLINK("http://www.otzar.org/book.asp?624816","המאיר לחיים - 4 כר'")</f>
        <v>המאיר לחיים - 4 כר'</v>
      </c>
    </row>
    <row r="943" spans="1:6" x14ac:dyDescent="0.2">
      <c r="A943" t="s">
        <v>2086</v>
      </c>
      <c r="B943" t="s">
        <v>2087</v>
      </c>
      <c r="C943" t="s">
        <v>13</v>
      </c>
      <c r="D943" s="1" t="s">
        <v>52</v>
      </c>
      <c r="E943" t="s">
        <v>168</v>
      </c>
      <c r="F943" s="5" t="str">
        <f>HYPERLINK("http://www.otzar.org/book.asp?630058","המאיר לפרשה")</f>
        <v>המאיר לפרשה</v>
      </c>
    </row>
    <row r="944" spans="1:6" x14ac:dyDescent="0.2">
      <c r="A944" t="s">
        <v>2088</v>
      </c>
      <c r="B944" t="s">
        <v>2089</v>
      </c>
      <c r="C944" t="s">
        <v>2090</v>
      </c>
      <c r="D944" s="1" t="s">
        <v>48</v>
      </c>
      <c r="E944" t="s">
        <v>49</v>
      </c>
      <c r="F944" s="5" t="str">
        <f>HYPERLINK("http://www.otzar.org/book.asp?626090","המבאר")</f>
        <v>המבאר</v>
      </c>
    </row>
    <row r="945" spans="1:6" x14ac:dyDescent="0.2">
      <c r="A945" t="s">
        <v>2091</v>
      </c>
      <c r="B945" t="s">
        <v>2092</v>
      </c>
      <c r="C945" t="s">
        <v>2093</v>
      </c>
      <c r="D945" s="1" t="s">
        <v>2094</v>
      </c>
      <c r="E945" t="s">
        <v>22</v>
      </c>
      <c r="F945" s="5" t="str">
        <f>HYPERLINK("http://www.otzar.org/book.asp?626533","המבחן הארצי בגמרא")</f>
        <v>המבחן הארצי בגמרא</v>
      </c>
    </row>
    <row r="946" spans="1:6" x14ac:dyDescent="0.2">
      <c r="A946" t="s">
        <v>2095</v>
      </c>
      <c r="B946" t="s">
        <v>2096</v>
      </c>
      <c r="C946" t="s">
        <v>20</v>
      </c>
      <c r="D946" s="1" t="s">
        <v>64</v>
      </c>
      <c r="F946" s="5" t="str">
        <f>HYPERLINK("http://www.otzar.org/book.asp?626953","המבשר תורני - 41 כר'")</f>
        <v>המבשר תורני - 41 כר'</v>
      </c>
    </row>
    <row r="947" spans="1:6" x14ac:dyDescent="0.2">
      <c r="A947" t="s">
        <v>2097</v>
      </c>
      <c r="B947" t="s">
        <v>2098</v>
      </c>
      <c r="C947" t="s">
        <v>25</v>
      </c>
      <c r="D947" s="1" t="s">
        <v>29</v>
      </c>
      <c r="E947" t="s">
        <v>37</v>
      </c>
      <c r="F947" s="5" t="str">
        <f>HYPERLINK("http://www.otzar.org/book.asp?630555","המדריך להוראה - ד")</f>
        <v>המדריך להוראה - ד</v>
      </c>
    </row>
    <row r="948" spans="1:6" x14ac:dyDescent="0.2">
      <c r="A948" t="s">
        <v>2099</v>
      </c>
      <c r="B948" t="s">
        <v>2100</v>
      </c>
      <c r="C948" t="s">
        <v>190</v>
      </c>
      <c r="D948" s="1" t="s">
        <v>782</v>
      </c>
      <c r="E948" t="s">
        <v>37</v>
      </c>
      <c r="F948" s="5" t="str">
        <f>HYPERLINK("http://www.otzar.org/book.asp?625517","המדריך ליולדת לאבי הבן המוהל")</f>
        <v>המדריך ליולדת לאבי הבן המוהל</v>
      </c>
    </row>
    <row r="949" spans="1:6" x14ac:dyDescent="0.2">
      <c r="A949" t="s">
        <v>2101</v>
      </c>
      <c r="B949" t="s">
        <v>2102</v>
      </c>
      <c r="C949" t="s">
        <v>226</v>
      </c>
      <c r="D949" s="1" t="s">
        <v>14</v>
      </c>
      <c r="E949" t="s">
        <v>17</v>
      </c>
      <c r="F949" s="5" t="str">
        <f>HYPERLINK("http://www.otzar.org/book.asp?626355","המדרש והמעשה - 1")</f>
        <v>המדרש והמעשה - 1</v>
      </c>
    </row>
    <row r="950" spans="1:6" x14ac:dyDescent="0.2">
      <c r="A950" t="s">
        <v>2103</v>
      </c>
      <c r="B950" t="s">
        <v>2104</v>
      </c>
      <c r="C950" t="s">
        <v>303</v>
      </c>
      <c r="D950" s="1" t="s">
        <v>2105</v>
      </c>
      <c r="E950" t="s">
        <v>37</v>
      </c>
      <c r="F950" s="5" t="str">
        <f>HYPERLINK("http://www.otzar.org/book.asp?626335","המדרש כהלכה")</f>
        <v>המדרש כהלכה</v>
      </c>
    </row>
    <row r="951" spans="1:6" x14ac:dyDescent="0.2">
      <c r="A951" t="s">
        <v>2106</v>
      </c>
      <c r="B951" t="s">
        <v>2107</v>
      </c>
      <c r="C951" t="s">
        <v>1846</v>
      </c>
      <c r="D951" s="1" t="s">
        <v>2108</v>
      </c>
      <c r="F951" s="5" t="str">
        <f>HYPERLINK("http://www.otzar.org/book.asp?623873","המודיע - 12 כר'")</f>
        <v>המודיע - 12 כר'</v>
      </c>
    </row>
    <row r="952" spans="1:6" x14ac:dyDescent="0.2">
      <c r="A952" t="s">
        <v>2109</v>
      </c>
      <c r="B952" t="s">
        <v>2110</v>
      </c>
      <c r="C952" t="s">
        <v>13</v>
      </c>
      <c r="D952" s="1" t="s">
        <v>52</v>
      </c>
      <c r="E952" t="s">
        <v>34</v>
      </c>
      <c r="F952" s="5" t="str">
        <f>HYPERLINK("http://www.otzar.org/book.asp?630856","המחדש בטובו")</f>
        <v>המחדש בטובו</v>
      </c>
    </row>
    <row r="953" spans="1:6" x14ac:dyDescent="0.2">
      <c r="A953" t="s">
        <v>2111</v>
      </c>
      <c r="B953" t="s">
        <v>2112</v>
      </c>
      <c r="C953" t="s">
        <v>73</v>
      </c>
      <c r="D953" s="1" t="s">
        <v>9</v>
      </c>
      <c r="E953" t="s">
        <v>371</v>
      </c>
      <c r="F953" s="5" t="str">
        <f>HYPERLINK("http://www.otzar.org/book.asp?626559","המחזיר שכינתו לציון - 3 כר'")</f>
        <v>המחזיר שכינתו לציון - 3 כר'</v>
      </c>
    </row>
    <row r="954" spans="1:6" x14ac:dyDescent="0.2">
      <c r="A954" t="s">
        <v>2113</v>
      </c>
      <c r="B954" t="s">
        <v>2114</v>
      </c>
      <c r="C954" t="s">
        <v>40</v>
      </c>
      <c r="D954" s="1" t="s">
        <v>21</v>
      </c>
      <c r="E954" t="s">
        <v>154</v>
      </c>
      <c r="F954" s="5" t="str">
        <f>HYPERLINK("http://www.otzar.org/book.asp?630463","המינים המהודרים")</f>
        <v>המינים המהודרים</v>
      </c>
    </row>
    <row r="955" spans="1:6" x14ac:dyDescent="0.2">
      <c r="A955" t="s">
        <v>2115</v>
      </c>
      <c r="B955" t="s">
        <v>12</v>
      </c>
      <c r="C955" t="s">
        <v>25</v>
      </c>
      <c r="D955" s="1" t="s">
        <v>14</v>
      </c>
      <c r="E955" t="s">
        <v>37</v>
      </c>
      <c r="F955" s="5" t="str">
        <f>HYPERLINK("http://www.otzar.org/book.asp?630839","המכשיל את חברו")</f>
        <v>המכשיל את חברו</v>
      </c>
    </row>
    <row r="956" spans="1:6" x14ac:dyDescent="0.2">
      <c r="A956" t="s">
        <v>2116</v>
      </c>
      <c r="B956" t="s">
        <v>2117</v>
      </c>
      <c r="C956" t="s">
        <v>2118</v>
      </c>
      <c r="D956" s="1" t="s">
        <v>2119</v>
      </c>
      <c r="E956" t="s">
        <v>371</v>
      </c>
      <c r="F956" s="5" t="str">
        <f>HYPERLINK("http://www.otzar.org/book.asp?623920","המלחמה והמצור")</f>
        <v>המלחמה והמצור</v>
      </c>
    </row>
    <row r="957" spans="1:6" x14ac:dyDescent="0.2">
      <c r="A957" t="s">
        <v>2120</v>
      </c>
      <c r="B957" t="s">
        <v>2121</v>
      </c>
      <c r="C957" t="s">
        <v>180</v>
      </c>
      <c r="D957" s="1" t="s">
        <v>144</v>
      </c>
      <c r="E957" t="s">
        <v>371</v>
      </c>
      <c r="F957" s="5" t="str">
        <f>HYPERLINK("http://www.otzar.org/book.asp?626058","המנגן המופלא")</f>
        <v>המנגן המופלא</v>
      </c>
    </row>
    <row r="958" spans="1:6" x14ac:dyDescent="0.2">
      <c r="A958" t="s">
        <v>2122</v>
      </c>
      <c r="B958" t="s">
        <v>2123</v>
      </c>
      <c r="C958" t="s">
        <v>369</v>
      </c>
      <c r="D958" s="1" t="s">
        <v>9</v>
      </c>
      <c r="E958" t="s">
        <v>37</v>
      </c>
      <c r="F958" s="5" t="str">
        <f>HYPERLINK("http://www.otzar.org/book.asp?622961","המנהג האיטלקי בירושלים עיה""ק")</f>
        <v>המנהג האיטלקי בירושלים עיה"ק</v>
      </c>
    </row>
    <row r="959" spans="1:6" x14ac:dyDescent="0.2">
      <c r="A959" t="s">
        <v>2124</v>
      </c>
      <c r="B959" t="s">
        <v>2125</v>
      </c>
      <c r="C959" t="s">
        <v>818</v>
      </c>
      <c r="D959" s="1" t="s">
        <v>2126</v>
      </c>
      <c r="E959" t="s">
        <v>49</v>
      </c>
      <c r="F959" s="5" t="str">
        <f>HYPERLINK("http://www.otzar.org/book.asp?630830","המסורת על מקום המקדש - תדפיס")</f>
        <v>המסורת על מקום המקדש - תדפיס</v>
      </c>
    </row>
    <row r="960" spans="1:6" x14ac:dyDescent="0.2">
      <c r="A960" t="s">
        <v>2127</v>
      </c>
      <c r="B960" t="s">
        <v>2128</v>
      </c>
      <c r="C960" t="s">
        <v>2129</v>
      </c>
      <c r="D960" s="1" t="s">
        <v>114</v>
      </c>
      <c r="E960" t="s">
        <v>337</v>
      </c>
      <c r="F960" s="5" t="str">
        <f>HYPERLINK("http://www.otzar.org/book.asp?626352","המסילה - ו")</f>
        <v>המסילה - ו</v>
      </c>
    </row>
    <row r="961" spans="1:6" x14ac:dyDescent="0.2">
      <c r="A961" t="s">
        <v>2130</v>
      </c>
      <c r="B961" t="s">
        <v>2131</v>
      </c>
      <c r="C961" t="s">
        <v>2132</v>
      </c>
      <c r="D961" s="1" t="s">
        <v>29</v>
      </c>
      <c r="E961" t="s">
        <v>214</v>
      </c>
      <c r="F961" s="5" t="str">
        <f>HYPERLINK("http://www.otzar.org/book.asp?626607","המסילה - 7 כר'")</f>
        <v>המסילה - 7 כר'</v>
      </c>
    </row>
    <row r="962" spans="1:6" x14ac:dyDescent="0.2">
      <c r="A962" t="s">
        <v>2133</v>
      </c>
      <c r="B962" t="s">
        <v>2134</v>
      </c>
      <c r="D962" s="1" t="s">
        <v>268</v>
      </c>
      <c r="E962" t="s">
        <v>34</v>
      </c>
      <c r="F962" s="5" t="str">
        <f>HYPERLINK("http://www.otzar.org/book.asp?628235","המסע אל האושר")</f>
        <v>המסע אל האושר</v>
      </c>
    </row>
    <row r="963" spans="1:6" x14ac:dyDescent="0.2">
      <c r="A963" t="s">
        <v>2135</v>
      </c>
      <c r="B963" t="s">
        <v>482</v>
      </c>
      <c r="C963" t="s">
        <v>136</v>
      </c>
      <c r="D963" s="1" t="s">
        <v>9</v>
      </c>
      <c r="E963" t="s">
        <v>49</v>
      </c>
      <c r="F963" s="5" t="str">
        <f>HYPERLINK("http://www.otzar.org/book.asp?625797","המסר שיש ללמוד ממהומות הר הבית")</f>
        <v>המסר שיש ללמוד ממהומות הר הבית</v>
      </c>
    </row>
    <row r="964" spans="1:6" x14ac:dyDescent="0.2">
      <c r="A964" t="s">
        <v>2136</v>
      </c>
      <c r="B964" t="s">
        <v>2137</v>
      </c>
      <c r="C964" t="s">
        <v>13</v>
      </c>
      <c r="D964" s="1" t="s">
        <v>2138</v>
      </c>
      <c r="E964" t="s">
        <v>214</v>
      </c>
      <c r="F964" s="5" t="str">
        <f>HYPERLINK("http://www.otzar.org/book.asp?628132","המעין - 5 כר'")</f>
        <v>המעין - 5 כר'</v>
      </c>
    </row>
    <row r="965" spans="1:6" x14ac:dyDescent="0.2">
      <c r="A965" t="s">
        <v>2139</v>
      </c>
      <c r="B965" t="s">
        <v>2140</v>
      </c>
      <c r="C965" t="s">
        <v>8</v>
      </c>
      <c r="D965" s="1" t="s">
        <v>64</v>
      </c>
      <c r="E965" t="s">
        <v>37</v>
      </c>
      <c r="F965" s="5" t="str">
        <f>HYPERLINK("http://www.otzar.org/book.asp?626424","המצוה המבוארת - 10 כר'")</f>
        <v>המצוה המבוארת - 10 כר'</v>
      </c>
    </row>
    <row r="966" spans="1:6" x14ac:dyDescent="0.2">
      <c r="A966" t="s">
        <v>2141</v>
      </c>
      <c r="B966" t="s">
        <v>2142</v>
      </c>
      <c r="C966" t="s">
        <v>76</v>
      </c>
      <c r="D966" s="1" t="s">
        <v>29</v>
      </c>
      <c r="E966" t="s">
        <v>2143</v>
      </c>
      <c r="F966" s="5" t="str">
        <f>HYPERLINK("http://www.otzar.org/book.asp?629103","המקבץ - ד")</f>
        <v>המקבץ - ד</v>
      </c>
    </row>
    <row r="967" spans="1:6" x14ac:dyDescent="0.2">
      <c r="A967" t="s">
        <v>2144</v>
      </c>
      <c r="B967" t="s">
        <v>1391</v>
      </c>
      <c r="C967" t="s">
        <v>13</v>
      </c>
      <c r="D967" s="1" t="s">
        <v>52</v>
      </c>
      <c r="E967" t="s">
        <v>17</v>
      </c>
      <c r="F967" s="5" t="str">
        <f>HYPERLINK("http://www.otzar.org/book.asp?630829","המקורבים - תשע""ט")</f>
        <v>המקורבים - תשע"ט</v>
      </c>
    </row>
    <row r="968" spans="1:6" x14ac:dyDescent="0.2">
      <c r="A968" t="s">
        <v>2145</v>
      </c>
      <c r="B968" t="s">
        <v>2146</v>
      </c>
      <c r="C968" t="s">
        <v>13</v>
      </c>
      <c r="D968" s="1" t="s">
        <v>29</v>
      </c>
      <c r="E968" t="s">
        <v>61</v>
      </c>
      <c r="F968" s="5" t="str">
        <f>HYPERLINK("http://www.otzar.org/book.asp?623412","המקצוע - א")</f>
        <v>המקצוע - א</v>
      </c>
    </row>
    <row r="969" spans="1:6" x14ac:dyDescent="0.2">
      <c r="A969" t="s">
        <v>2147</v>
      </c>
      <c r="B969" t="s">
        <v>2148</v>
      </c>
      <c r="C969" t="s">
        <v>1788</v>
      </c>
      <c r="D969" s="1" t="s">
        <v>9</v>
      </c>
      <c r="E969" t="s">
        <v>49</v>
      </c>
      <c r="F969" s="5" t="str">
        <f>HYPERLINK("http://www.otzar.org/book.asp?625367","המרד של מארדי")</f>
        <v>המרד של מארדי</v>
      </c>
    </row>
    <row r="970" spans="1:6" x14ac:dyDescent="0.2">
      <c r="A970" t="s">
        <v>2149</v>
      </c>
      <c r="B970" t="s">
        <v>2150</v>
      </c>
      <c r="C970" t="s">
        <v>8</v>
      </c>
      <c r="D970" s="1" t="s">
        <v>9</v>
      </c>
      <c r="E970" t="s">
        <v>37</v>
      </c>
      <c r="F970" s="5" t="str">
        <f>HYPERLINK("http://www.otzar.org/book.asp?625496","המשפחה בישראל")</f>
        <v>המשפחה בישראל</v>
      </c>
    </row>
    <row r="971" spans="1:6" x14ac:dyDescent="0.2">
      <c r="A971" t="s">
        <v>2149</v>
      </c>
      <c r="B971" t="s">
        <v>1213</v>
      </c>
      <c r="C971" t="s">
        <v>8</v>
      </c>
      <c r="D971" s="1" t="s">
        <v>14</v>
      </c>
      <c r="E971" t="s">
        <v>49</v>
      </c>
      <c r="F971" s="5" t="str">
        <f>HYPERLINK("http://www.otzar.org/book.asp?625570","המשפחה בישראל")</f>
        <v>המשפחה בישראל</v>
      </c>
    </row>
    <row r="972" spans="1:6" x14ac:dyDescent="0.2">
      <c r="A972" t="s">
        <v>2151</v>
      </c>
      <c r="B972" t="s">
        <v>2152</v>
      </c>
      <c r="C972" t="s">
        <v>2153</v>
      </c>
      <c r="D972" s="1" t="s">
        <v>29</v>
      </c>
      <c r="E972" t="s">
        <v>214</v>
      </c>
      <c r="F972" s="5" t="str">
        <f>HYPERLINK("http://www.otzar.org/book.asp?626518","המתיבתא - 6 כר'")</f>
        <v>המתיבתא - 6 כר'</v>
      </c>
    </row>
    <row r="973" spans="1:6" x14ac:dyDescent="0.2">
      <c r="A973" t="s">
        <v>2154</v>
      </c>
      <c r="B973" t="s">
        <v>364</v>
      </c>
      <c r="C973" t="s">
        <v>2155</v>
      </c>
      <c r="D973" s="1" t="s">
        <v>471</v>
      </c>
      <c r="E973" t="s">
        <v>214</v>
      </c>
      <c r="F973" s="5" t="str">
        <f>HYPERLINK("http://www.otzar.org/book.asp?623423","הנאמן - 4 כר'")</f>
        <v>הנאמן - 4 כר'</v>
      </c>
    </row>
    <row r="974" spans="1:6" x14ac:dyDescent="0.2">
      <c r="A974" t="s">
        <v>2156</v>
      </c>
      <c r="B974" t="s">
        <v>2157</v>
      </c>
      <c r="C974" t="s">
        <v>1127</v>
      </c>
      <c r="D974" s="1" t="s">
        <v>158</v>
      </c>
      <c r="E974" t="s">
        <v>30</v>
      </c>
      <c r="F974" s="5" t="str">
        <f>HYPERLINK("http://www.otzar.org/book.asp?624922","הנדר מסיביר למירון")</f>
        <v>הנדר מסיביר למירון</v>
      </c>
    </row>
    <row r="975" spans="1:6" x14ac:dyDescent="0.2">
      <c r="A975" t="s">
        <v>2158</v>
      </c>
      <c r="B975" t="s">
        <v>2159</v>
      </c>
      <c r="C975" t="s">
        <v>606</v>
      </c>
      <c r="D975" s="1" t="s">
        <v>9</v>
      </c>
      <c r="E975" t="s">
        <v>49</v>
      </c>
      <c r="F975" s="5" t="str">
        <f>HYPERLINK("http://www.otzar.org/book.asp?625406","הנהגות ואורחות חיים")</f>
        <v>הנהגות ואורחות חיים</v>
      </c>
    </row>
    <row r="976" spans="1:6" x14ac:dyDescent="0.2">
      <c r="A976" t="s">
        <v>2160</v>
      </c>
      <c r="B976" t="s">
        <v>2161</v>
      </c>
      <c r="C976" t="s">
        <v>20</v>
      </c>
      <c r="D976" s="1" t="s">
        <v>1280</v>
      </c>
      <c r="E976" t="s">
        <v>34</v>
      </c>
      <c r="F976" s="5" t="str">
        <f>HYPERLINK("http://www.otzar.org/book.asp?627456","הנהגות - 4 כר'")</f>
        <v>הנהגות - 4 כר'</v>
      </c>
    </row>
    <row r="977" spans="1:6" x14ac:dyDescent="0.2">
      <c r="A977" t="s">
        <v>2162</v>
      </c>
      <c r="B977" t="s">
        <v>2163</v>
      </c>
      <c r="C977" t="s">
        <v>1066</v>
      </c>
      <c r="D977" s="1" t="s">
        <v>9</v>
      </c>
      <c r="E977" t="s">
        <v>49</v>
      </c>
      <c r="F977" s="5" t="str">
        <f>HYPERLINK("http://www.otzar.org/book.asp?625571","הנוער והחנוך")</f>
        <v>הנוער והחנוך</v>
      </c>
    </row>
    <row r="978" spans="1:6" x14ac:dyDescent="0.2">
      <c r="A978" t="s">
        <v>2164</v>
      </c>
      <c r="B978" t="s">
        <v>2165</v>
      </c>
      <c r="C978" t="s">
        <v>8</v>
      </c>
      <c r="D978" s="1" t="s">
        <v>52</v>
      </c>
      <c r="E978" t="s">
        <v>49</v>
      </c>
      <c r="F978" s="5" t="str">
        <f>HYPERLINK("http://www.otzar.org/book.asp?627544","הנותן ליעף כח")</f>
        <v>הנותן ליעף כח</v>
      </c>
    </row>
    <row r="979" spans="1:6" x14ac:dyDescent="0.2">
      <c r="A979" t="s">
        <v>2166</v>
      </c>
      <c r="B979" t="s">
        <v>2167</v>
      </c>
      <c r="C979" t="s">
        <v>123</v>
      </c>
      <c r="D979" s="1" t="s">
        <v>9</v>
      </c>
      <c r="E979" t="s">
        <v>37</v>
      </c>
      <c r="F979" s="5" t="str">
        <f>HYPERLINK("http://www.otzar.org/book.asp?623852","הנחית הלכתיות לצוות הסיעודי")</f>
        <v>הנחית הלכתיות לצוות הסיעודי</v>
      </c>
    </row>
    <row r="980" spans="1:6" x14ac:dyDescent="0.2">
      <c r="A980" t="s">
        <v>2168</v>
      </c>
      <c r="B980" t="s">
        <v>2169</v>
      </c>
      <c r="C980" t="s">
        <v>8</v>
      </c>
      <c r="D980" s="1" t="s">
        <v>2170</v>
      </c>
      <c r="E980" t="s">
        <v>22</v>
      </c>
      <c r="F980" s="5" t="str">
        <f>HYPERLINK("http://www.otzar.org/book.asp?623314","הנחמדים מזהב - ביצה")</f>
        <v>הנחמדים מזהב - ביצה</v>
      </c>
    </row>
    <row r="981" spans="1:6" x14ac:dyDescent="0.2">
      <c r="A981" t="s">
        <v>2171</v>
      </c>
      <c r="B981" t="s">
        <v>2172</v>
      </c>
      <c r="C981" t="s">
        <v>13</v>
      </c>
      <c r="D981" s="1" t="s">
        <v>9</v>
      </c>
      <c r="E981" t="s">
        <v>375</v>
      </c>
      <c r="F981" s="5" t="str">
        <f>HYPERLINK("http://www.otzar.org/book.asp?629899","הנחמדים מזהב")</f>
        <v>הנחמדים מזהב</v>
      </c>
    </row>
    <row r="982" spans="1:6" x14ac:dyDescent="0.2">
      <c r="A982" t="s">
        <v>2173</v>
      </c>
      <c r="B982" t="s">
        <v>2174</v>
      </c>
      <c r="C982" t="s">
        <v>8</v>
      </c>
      <c r="D982" s="1" t="s">
        <v>52</v>
      </c>
      <c r="E982" t="s">
        <v>17</v>
      </c>
      <c r="F982" s="5" t="str">
        <f>HYPERLINK("http://www.otzar.org/book.asp?622524","הניגון של הצדיק")</f>
        <v>הניגון של הצדיק</v>
      </c>
    </row>
    <row r="983" spans="1:6" x14ac:dyDescent="0.2">
      <c r="A983" t="s">
        <v>2175</v>
      </c>
      <c r="B983" t="s">
        <v>94</v>
      </c>
      <c r="C983" t="s">
        <v>8</v>
      </c>
      <c r="D983" s="1" t="s">
        <v>52</v>
      </c>
      <c r="F983" s="5" t="str">
        <f>HYPERLINK("http://www.otzar.org/book.asp?632040","הסגולה - במעלת תוספת שבת")</f>
        <v>הסגולה - במעלת תוספת שבת</v>
      </c>
    </row>
    <row r="984" spans="1:6" x14ac:dyDescent="0.2">
      <c r="A984" t="s">
        <v>2176</v>
      </c>
      <c r="B984" t="s">
        <v>2177</v>
      </c>
      <c r="C984" t="s">
        <v>13</v>
      </c>
      <c r="D984" s="1" t="s">
        <v>52</v>
      </c>
      <c r="E984" t="s">
        <v>154</v>
      </c>
      <c r="F984" s="5" t="str">
        <f>HYPERLINK("http://www.otzar.org/book.asp?630827","הסוגיא להלכה - הלכות לולב")</f>
        <v>הסוגיא להלכה - הלכות לולב</v>
      </c>
    </row>
    <row r="985" spans="1:6" x14ac:dyDescent="0.2">
      <c r="A985" t="s">
        <v>2178</v>
      </c>
      <c r="B985" t="s">
        <v>2179</v>
      </c>
      <c r="C985" t="s">
        <v>1074</v>
      </c>
      <c r="D985" s="1" t="s">
        <v>29</v>
      </c>
      <c r="E985" t="s">
        <v>214</v>
      </c>
      <c r="F985" s="5" t="str">
        <f>HYPERLINK("http://www.otzar.org/book.asp?624497","הסופר - 8 כר'")</f>
        <v>הסופר - 8 כר'</v>
      </c>
    </row>
    <row r="986" spans="1:6" x14ac:dyDescent="0.2">
      <c r="A986" t="s">
        <v>2180</v>
      </c>
      <c r="B986" t="s">
        <v>2181</v>
      </c>
      <c r="C986" t="s">
        <v>8</v>
      </c>
      <c r="D986" s="1" t="s">
        <v>52</v>
      </c>
      <c r="E986" t="s">
        <v>34</v>
      </c>
      <c r="F986" s="5" t="str">
        <f>HYPERLINK("http://www.otzar.org/book.asp?626216","הסינון הסופי")</f>
        <v>הסינון הסופי</v>
      </c>
    </row>
    <row r="987" spans="1:6" x14ac:dyDescent="0.2">
      <c r="A987" t="s">
        <v>2182</v>
      </c>
      <c r="B987" t="s">
        <v>2183</v>
      </c>
      <c r="C987" t="s">
        <v>2184</v>
      </c>
      <c r="D987" s="1" t="s">
        <v>9</v>
      </c>
      <c r="E987" t="s">
        <v>121</v>
      </c>
      <c r="F987" s="5" t="str">
        <f>HYPERLINK("http://www.otzar.org/book.asp?625395","הסכמת בעלי הועד בענין ישוב הארץ")</f>
        <v>הסכמת בעלי הועד בענין ישוב הארץ</v>
      </c>
    </row>
    <row r="988" spans="1:6" x14ac:dyDescent="0.2">
      <c r="A988" t="s">
        <v>2185</v>
      </c>
      <c r="B988" t="s">
        <v>2186</v>
      </c>
      <c r="E988" t="s">
        <v>187</v>
      </c>
      <c r="F988" s="5" t="str">
        <f>HYPERLINK("http://www.otzar.org/book.asp?628016","הספדו של חכם")</f>
        <v>הספדו של חכם</v>
      </c>
    </row>
    <row r="989" spans="1:6" x14ac:dyDescent="0.2">
      <c r="A989" t="s">
        <v>2187</v>
      </c>
      <c r="B989" t="s">
        <v>94</v>
      </c>
      <c r="C989" t="s">
        <v>572</v>
      </c>
      <c r="D989" s="1" t="s">
        <v>14</v>
      </c>
      <c r="E989" t="s">
        <v>49</v>
      </c>
      <c r="F989" s="5" t="str">
        <f>HYPERLINK("http://www.otzar.org/book.asp?627016","הספר הלבן")</f>
        <v>הספר הלבן</v>
      </c>
    </row>
    <row r="990" spans="1:6" x14ac:dyDescent="0.2">
      <c r="A990" t="s">
        <v>2188</v>
      </c>
      <c r="B990" t="s">
        <v>2189</v>
      </c>
      <c r="E990" t="s">
        <v>214</v>
      </c>
      <c r="F990" s="5" t="str">
        <f>HYPERLINK("http://www.otzar.org/book.asp?623288","העדה - הוספה לגליון ערב שבועות תשס""ד")</f>
        <v>העדה - הוספה לגליון ערב שבועות תשס"ד</v>
      </c>
    </row>
    <row r="991" spans="1:6" x14ac:dyDescent="0.2">
      <c r="A991" t="s">
        <v>2190</v>
      </c>
      <c r="C991" t="s">
        <v>40</v>
      </c>
      <c r="D991" s="1" t="s">
        <v>29</v>
      </c>
      <c r="E991" t="s">
        <v>30</v>
      </c>
      <c r="F991" s="5" t="str">
        <f>HYPERLINK("http://www.otzar.org/book.asp?627075","העילוי דיום ז""ך")</f>
        <v>העילוי דיום ז"ך</v>
      </c>
    </row>
    <row r="992" spans="1:6" x14ac:dyDescent="0.2">
      <c r="A992" t="s">
        <v>2191</v>
      </c>
      <c r="B992" t="s">
        <v>2192</v>
      </c>
      <c r="C992" t="s">
        <v>13</v>
      </c>
      <c r="D992" s="1" t="s">
        <v>9</v>
      </c>
      <c r="E992" t="s">
        <v>22</v>
      </c>
      <c r="F992" s="5" t="str">
        <f>HYPERLINK("http://www.otzar.org/book.asp?630486","העיר ממזרח - 5 כר'")</f>
        <v>העיר ממזרח - 5 כר'</v>
      </c>
    </row>
    <row r="993" spans="1:6" x14ac:dyDescent="0.2">
      <c r="A993" t="s">
        <v>2193</v>
      </c>
      <c r="B993" t="s">
        <v>2194</v>
      </c>
      <c r="D993" s="1" t="s">
        <v>557</v>
      </c>
      <c r="E993" t="s">
        <v>108</v>
      </c>
      <c r="F993" s="5" t="str">
        <f>HYPERLINK("http://www.otzar.org/book.asp?626689","העם הנבחר")</f>
        <v>העם הנבחר</v>
      </c>
    </row>
    <row r="994" spans="1:6" x14ac:dyDescent="0.2">
      <c r="A994" t="s">
        <v>2195</v>
      </c>
      <c r="B994" t="s">
        <v>2196</v>
      </c>
      <c r="C994" t="s">
        <v>13</v>
      </c>
      <c r="D994" s="1" t="s">
        <v>52</v>
      </c>
      <c r="E994" t="s">
        <v>168</v>
      </c>
      <c r="F994" s="5" t="str">
        <f>HYPERLINK("http://www.otzar.org/book.asp?629252","העמדת להררי עוז")</f>
        <v>העמדת להררי עוז</v>
      </c>
    </row>
    <row r="995" spans="1:6" x14ac:dyDescent="0.2">
      <c r="A995" t="s">
        <v>2197</v>
      </c>
      <c r="B995" t="s">
        <v>897</v>
      </c>
      <c r="C995" t="s">
        <v>2198</v>
      </c>
      <c r="D995" s="1" t="s">
        <v>9</v>
      </c>
      <c r="E995" t="s">
        <v>214</v>
      </c>
      <c r="F995" s="5" t="str">
        <f>HYPERLINK("http://www.otzar.org/book.asp?624512","העמק - 2 כר'")</f>
        <v>העמק - 2 כר'</v>
      </c>
    </row>
    <row r="996" spans="1:6" x14ac:dyDescent="0.2">
      <c r="A996" t="s">
        <v>2199</v>
      </c>
      <c r="B996" t="s">
        <v>364</v>
      </c>
      <c r="C996" t="s">
        <v>20</v>
      </c>
      <c r="D996" s="1" t="s">
        <v>2200</v>
      </c>
      <c r="E996" t="s">
        <v>30</v>
      </c>
      <c r="F996" s="5" t="str">
        <f>HYPERLINK("http://www.otzar.org/book.asp?620717","הערות התמימים ואנ""ש - 5 כר'")</f>
        <v>הערות התמימים ואנ"ש - 5 כר'</v>
      </c>
    </row>
    <row r="997" spans="1:6" x14ac:dyDescent="0.2">
      <c r="A997" t="s">
        <v>2201</v>
      </c>
      <c r="B997" t="s">
        <v>923</v>
      </c>
      <c r="C997" t="s">
        <v>8</v>
      </c>
      <c r="D997" s="1" t="s">
        <v>14</v>
      </c>
      <c r="E997" t="s">
        <v>49</v>
      </c>
      <c r="F997" s="5" t="str">
        <f>HYPERLINK("http://www.otzar.org/book.asp?623219","הערות וביאורים בספר מוצל מאש")</f>
        <v>הערות וביאורים בספר מוצל מאש</v>
      </c>
    </row>
    <row r="998" spans="1:6" x14ac:dyDescent="0.2">
      <c r="A998" t="s">
        <v>2202</v>
      </c>
      <c r="B998" t="s">
        <v>2203</v>
      </c>
      <c r="C998" t="s">
        <v>25</v>
      </c>
      <c r="D998" s="1" t="s">
        <v>21</v>
      </c>
      <c r="E998" t="s">
        <v>22</v>
      </c>
      <c r="F998" s="5" t="str">
        <f>HYPERLINK("http://www.otzar.org/book.asp?627654","הערות וביאורים - שבועות פרקים ה-ו")</f>
        <v>הערות וביאורים - שבועות פרקים ה-ו</v>
      </c>
    </row>
    <row r="999" spans="1:6" x14ac:dyDescent="0.2">
      <c r="A999" t="s">
        <v>2204</v>
      </c>
      <c r="B999" t="s">
        <v>2205</v>
      </c>
      <c r="C999" t="s">
        <v>13</v>
      </c>
      <c r="D999" s="1" t="s">
        <v>803</v>
      </c>
      <c r="E999" t="s">
        <v>154</v>
      </c>
      <c r="F999" s="5" t="str">
        <f>HYPERLINK("http://www.otzar.org/book.asp?626225","הערות והארות בעניני אפית מצות")</f>
        <v>הערות והארות בעניני אפית מצות</v>
      </c>
    </row>
    <row r="1000" spans="1:6" x14ac:dyDescent="0.2">
      <c r="A1000" t="s">
        <v>2206</v>
      </c>
      <c r="B1000" t="s">
        <v>2207</v>
      </c>
      <c r="C1000" t="s">
        <v>2208</v>
      </c>
      <c r="D1000" s="1" t="s">
        <v>2209</v>
      </c>
      <c r="E1000" t="s">
        <v>168</v>
      </c>
      <c r="F1000" s="5" t="str">
        <f>HYPERLINK("http://www.otzar.org/book.asp?626496","הערות והארות בפירוש הרמב""ן על התורה")</f>
        <v>הערות והארות בפירוש הרמב"ן על התורה</v>
      </c>
    </row>
    <row r="1001" spans="1:6" x14ac:dyDescent="0.2">
      <c r="A1001" t="s">
        <v>2210</v>
      </c>
      <c r="B1001" t="s">
        <v>923</v>
      </c>
      <c r="C1001" t="s">
        <v>386</v>
      </c>
      <c r="D1001" s="1" t="s">
        <v>14</v>
      </c>
      <c r="E1001" t="s">
        <v>22</v>
      </c>
      <c r="F1001" s="5" t="str">
        <f>HYPERLINK("http://www.otzar.org/book.asp?623224","הערות וחידושים במסכת ב""ק")</f>
        <v>הערות וחידושים במסכת ב"ק</v>
      </c>
    </row>
    <row r="1002" spans="1:6" x14ac:dyDescent="0.2">
      <c r="A1002" t="s">
        <v>2211</v>
      </c>
      <c r="B1002" t="s">
        <v>923</v>
      </c>
      <c r="C1002" t="s">
        <v>386</v>
      </c>
      <c r="D1002" s="1" t="s">
        <v>14</v>
      </c>
      <c r="E1002" t="s">
        <v>22</v>
      </c>
      <c r="F1002" s="5" t="str">
        <f>HYPERLINK("http://www.otzar.org/book.asp?623225","הערות וחידושים במסכת גיטין")</f>
        <v>הערות וחידושים במסכת גיטין</v>
      </c>
    </row>
    <row r="1003" spans="1:6" x14ac:dyDescent="0.2">
      <c r="A1003" t="s">
        <v>2212</v>
      </c>
      <c r="B1003" t="s">
        <v>2213</v>
      </c>
      <c r="C1003" t="s">
        <v>20</v>
      </c>
      <c r="D1003" s="1" t="s">
        <v>14</v>
      </c>
      <c r="E1003" t="s">
        <v>37</v>
      </c>
      <c r="F1003" s="5" t="str">
        <f>HYPERLINK("http://www.otzar.org/book.asp?629328","הערות וחידושים - 2 כר'")</f>
        <v>הערות וחידושים - 2 כר'</v>
      </c>
    </row>
    <row r="1004" spans="1:6" x14ac:dyDescent="0.2">
      <c r="A1004" t="s">
        <v>2214</v>
      </c>
      <c r="B1004" t="s">
        <v>1244</v>
      </c>
      <c r="C1004" t="s">
        <v>13</v>
      </c>
      <c r="D1004" s="1" t="s">
        <v>9</v>
      </c>
      <c r="E1004" t="s">
        <v>61</v>
      </c>
      <c r="F1004" s="5" t="str">
        <f>HYPERLINK("http://www.otzar.org/book.asp?629798","הערות לשו""ע חו""מ מאת מרן החיד""א")</f>
        <v>הערות לשו"ע חו"מ מאת מרן החיד"א</v>
      </c>
    </row>
    <row r="1005" spans="1:6" x14ac:dyDescent="0.2">
      <c r="A1005" t="s">
        <v>2215</v>
      </c>
      <c r="B1005" t="s">
        <v>2216</v>
      </c>
      <c r="C1005" t="s">
        <v>13</v>
      </c>
      <c r="D1005" s="1" t="s">
        <v>9</v>
      </c>
      <c r="E1005" t="s">
        <v>22</v>
      </c>
      <c r="F1005" s="5" t="str">
        <f>HYPERLINK("http://www.otzar.org/book.asp?627636","הערות על הקהילות יעקב - ברכות")</f>
        <v>הערות על הקהילות יעקב - ברכות</v>
      </c>
    </row>
    <row r="1006" spans="1:6" x14ac:dyDescent="0.2">
      <c r="A1006" t="s">
        <v>2217</v>
      </c>
      <c r="B1006" t="s">
        <v>2218</v>
      </c>
      <c r="C1006" t="s">
        <v>8</v>
      </c>
      <c r="D1006" s="1" t="s">
        <v>14</v>
      </c>
      <c r="E1006" t="s">
        <v>49</v>
      </c>
      <c r="F1006" s="5" t="str">
        <f>HYPERLINK("http://www.otzar.org/book.asp?630809","הערות על קונטרס אחרון של שו""ע הרב - הלכות תלמוד תורה")</f>
        <v>הערות על קונטרס אחרון של שו"ע הרב - הלכות תלמוד תורה</v>
      </c>
    </row>
    <row r="1007" spans="1:6" x14ac:dyDescent="0.2">
      <c r="A1007" t="s">
        <v>2219</v>
      </c>
      <c r="B1007" t="s">
        <v>2220</v>
      </c>
      <c r="C1007" t="s">
        <v>13</v>
      </c>
      <c r="D1007" s="1" t="s">
        <v>1948</v>
      </c>
      <c r="E1007" t="s">
        <v>171</v>
      </c>
      <c r="F1007" s="5" t="str">
        <f>HYPERLINK("http://www.otzar.org/book.asp?628062","הפיוט בר יוחאי")</f>
        <v>הפיוט בר יוחאי</v>
      </c>
    </row>
    <row r="1008" spans="1:6" x14ac:dyDescent="0.2">
      <c r="A1008" t="s">
        <v>2221</v>
      </c>
      <c r="B1008" t="s">
        <v>2222</v>
      </c>
      <c r="C1008" t="s">
        <v>1755</v>
      </c>
      <c r="D1008" s="1" t="s">
        <v>1325</v>
      </c>
      <c r="E1008" t="s">
        <v>22</v>
      </c>
      <c r="F1008" s="5" t="str">
        <f>HYPERLINK("http://www.otzar.org/book.asp?623916","הפך בה דכולה בה - א")</f>
        <v>הפך בה דכולה בה - א</v>
      </c>
    </row>
    <row r="1009" spans="1:6" x14ac:dyDescent="0.2">
      <c r="A1009" t="s">
        <v>2223</v>
      </c>
      <c r="B1009" t="s">
        <v>2224</v>
      </c>
      <c r="C1009" t="s">
        <v>383</v>
      </c>
      <c r="D1009" s="1" t="s">
        <v>9</v>
      </c>
      <c r="E1009" t="s">
        <v>22</v>
      </c>
      <c r="F1009" s="5" t="str">
        <f>HYPERLINK("http://www.otzar.org/book.asp?627429","הפלאות נדרים &lt;מהדורה חדשה&gt;")</f>
        <v>הפלאות נדרים &lt;מהדורה חדשה&gt;</v>
      </c>
    </row>
    <row r="1010" spans="1:6" x14ac:dyDescent="0.2">
      <c r="A1010" t="s">
        <v>2225</v>
      </c>
      <c r="B1010" t="s">
        <v>2226</v>
      </c>
      <c r="C1010" t="s">
        <v>2227</v>
      </c>
      <c r="D1010" s="1" t="s">
        <v>144</v>
      </c>
      <c r="E1010" t="s">
        <v>49</v>
      </c>
      <c r="F1010" s="5" t="str">
        <f>HYPERLINK("http://www.otzar.org/book.asp?625118","הפלחים")</f>
        <v>הפלחים</v>
      </c>
    </row>
    <row r="1011" spans="1:6" x14ac:dyDescent="0.2">
      <c r="A1011" t="s">
        <v>2228</v>
      </c>
      <c r="B1011" t="s">
        <v>94</v>
      </c>
      <c r="C1011" t="s">
        <v>8</v>
      </c>
      <c r="D1011" s="1" t="s">
        <v>52</v>
      </c>
      <c r="E1011" t="s">
        <v>683</v>
      </c>
      <c r="F1011" s="5" t="str">
        <f>HYPERLINK("http://www.otzar.org/book.asp?628148","הפצות וחיזוקים")</f>
        <v>הפצות וחיזוקים</v>
      </c>
    </row>
    <row r="1012" spans="1:6" x14ac:dyDescent="0.2">
      <c r="A1012" t="s">
        <v>2229</v>
      </c>
      <c r="B1012" t="s">
        <v>2230</v>
      </c>
      <c r="C1012" t="s">
        <v>1127</v>
      </c>
      <c r="D1012" s="1" t="s">
        <v>29</v>
      </c>
      <c r="E1012" t="s">
        <v>214</v>
      </c>
      <c r="F1012" s="5" t="str">
        <f>HYPERLINK("http://www.otzar.org/book.asp?627184","הפרדס - 33 כר'")</f>
        <v>הפרדס - 33 כר'</v>
      </c>
    </row>
    <row r="1013" spans="1:6" x14ac:dyDescent="0.2">
      <c r="A1013" t="s">
        <v>2231</v>
      </c>
      <c r="B1013" t="s">
        <v>1141</v>
      </c>
      <c r="C1013" t="s">
        <v>8</v>
      </c>
      <c r="D1013" s="1" t="s">
        <v>1142</v>
      </c>
      <c r="E1013" t="s">
        <v>2232</v>
      </c>
      <c r="F1013" s="5" t="str">
        <f>HYPERLINK("http://www.otzar.org/book.asp?626622","הצדיקים חיים")</f>
        <v>הצדיקים חיים</v>
      </c>
    </row>
    <row r="1014" spans="1:6" x14ac:dyDescent="0.2">
      <c r="A1014" t="s">
        <v>2233</v>
      </c>
      <c r="B1014" t="s">
        <v>364</v>
      </c>
      <c r="C1014" t="s">
        <v>427</v>
      </c>
      <c r="D1014" s="1" t="s">
        <v>9</v>
      </c>
      <c r="E1014" t="s">
        <v>214</v>
      </c>
      <c r="F1014" s="5" t="str">
        <f>HYPERLINK("http://www.otzar.org/book.asp?627392","הצופה לחכמת ישראל - מפתח")</f>
        <v>הצופה לחכמת ישראל - מפתח</v>
      </c>
    </row>
    <row r="1015" spans="1:6" x14ac:dyDescent="0.2">
      <c r="A1015" t="s">
        <v>2234</v>
      </c>
      <c r="B1015" t="s">
        <v>2235</v>
      </c>
      <c r="C1015" t="s">
        <v>25</v>
      </c>
      <c r="D1015" s="1" t="s">
        <v>52</v>
      </c>
      <c r="E1015" t="s">
        <v>49</v>
      </c>
      <c r="F1015" s="5" t="str">
        <f>HYPERLINK("http://www.otzar.org/book.asp?630329","הצלת בית החיים של רביז""ל")</f>
        <v>הצלת בית החיים של רביז"ל</v>
      </c>
    </row>
    <row r="1016" spans="1:6" x14ac:dyDescent="0.2">
      <c r="A1016" t="s">
        <v>2236</v>
      </c>
      <c r="B1016" t="s">
        <v>786</v>
      </c>
      <c r="C1016" t="s">
        <v>226</v>
      </c>
      <c r="D1016" s="1" t="s">
        <v>9</v>
      </c>
      <c r="E1016" t="s">
        <v>242</v>
      </c>
      <c r="F1016" s="5" t="str">
        <f>HYPERLINK("http://www.otzar.org/book.asp?625457","הצעות לקבלת מידע רפואי בשבת")</f>
        <v>הצעות לקבלת מידע רפואי בשבת</v>
      </c>
    </row>
    <row r="1017" spans="1:6" x14ac:dyDescent="0.2">
      <c r="A1017" t="s">
        <v>2237</v>
      </c>
      <c r="B1017" t="s">
        <v>2238</v>
      </c>
      <c r="C1017" t="s">
        <v>190</v>
      </c>
      <c r="D1017" s="1" t="s">
        <v>9</v>
      </c>
      <c r="E1017" t="s">
        <v>17</v>
      </c>
      <c r="F1017" s="5" t="str">
        <f>HYPERLINK("http://www.otzar.org/book.asp?628077","הקבצו - 5 כר'")</f>
        <v>הקבצו - 5 כר'</v>
      </c>
    </row>
    <row r="1018" spans="1:6" x14ac:dyDescent="0.2">
      <c r="A1018" t="s">
        <v>2239</v>
      </c>
      <c r="B1018" t="s">
        <v>482</v>
      </c>
      <c r="C1018" t="s">
        <v>8</v>
      </c>
      <c r="D1018" s="1" t="s">
        <v>9</v>
      </c>
      <c r="E1018" t="s">
        <v>49</v>
      </c>
      <c r="F1018" s="5" t="str">
        <f>HYPERLINK("http://www.otzar.org/book.asp?625795","הקדמה לספר ויואל משה החדש")</f>
        <v>הקדמה לספר ויואל משה החדש</v>
      </c>
    </row>
    <row r="1019" spans="1:6" x14ac:dyDescent="0.2">
      <c r="A1019" t="s">
        <v>2240</v>
      </c>
      <c r="B1019" t="s">
        <v>2241</v>
      </c>
      <c r="D1019" s="1" t="s">
        <v>14</v>
      </c>
      <c r="E1019" t="s">
        <v>44</v>
      </c>
      <c r="F1019" s="5" t="str">
        <f>HYPERLINK("http://www.otzar.org/book.asp?629318","הקדמת הזהר עם שינוי נוסחאות")</f>
        <v>הקדמת הזהר עם שינוי נוסחאות</v>
      </c>
    </row>
    <row r="1020" spans="1:6" x14ac:dyDescent="0.2">
      <c r="A1020" t="s">
        <v>2242</v>
      </c>
      <c r="B1020" t="s">
        <v>2243</v>
      </c>
      <c r="C1020" t="s">
        <v>397</v>
      </c>
      <c r="D1020" s="1" t="s">
        <v>9</v>
      </c>
      <c r="E1020" t="s">
        <v>2244</v>
      </c>
      <c r="F1020" s="5" t="str">
        <f>HYPERLINK("http://www.otzar.org/book.asp?626752","הקדמת הרוקח")</f>
        <v>הקדמת הרוקח</v>
      </c>
    </row>
    <row r="1021" spans="1:6" x14ac:dyDescent="0.2">
      <c r="A1021" t="s">
        <v>2245</v>
      </c>
      <c r="B1021" t="s">
        <v>2246</v>
      </c>
      <c r="C1021" t="s">
        <v>8</v>
      </c>
      <c r="D1021" s="1" t="s">
        <v>229</v>
      </c>
      <c r="E1021" t="s">
        <v>2247</v>
      </c>
      <c r="F1021" s="5" t="str">
        <f>HYPERLINK("http://www.otzar.org/book.asp?629281","הקדמת ספר מסילת ישרים ע""פ סלו המסילה")</f>
        <v>הקדמת ספר מסילת ישרים ע"פ סלו המסילה</v>
      </c>
    </row>
    <row r="1022" spans="1:6" x14ac:dyDescent="0.2">
      <c r="A1022" t="s">
        <v>2248</v>
      </c>
      <c r="B1022" t="s">
        <v>2249</v>
      </c>
      <c r="C1022" t="s">
        <v>106</v>
      </c>
      <c r="D1022" s="1" t="s">
        <v>158</v>
      </c>
      <c r="E1022" t="s">
        <v>30</v>
      </c>
      <c r="F1022" s="5" t="str">
        <f>HYPERLINK("http://www.otzar.org/book.asp?627068","הקהל")</f>
        <v>הקהל</v>
      </c>
    </row>
    <row r="1023" spans="1:6" x14ac:dyDescent="0.2">
      <c r="A1023" t="s">
        <v>2250</v>
      </c>
      <c r="B1023" t="s">
        <v>2251</v>
      </c>
      <c r="C1023" t="s">
        <v>13</v>
      </c>
      <c r="D1023" s="1" t="s">
        <v>52</v>
      </c>
      <c r="E1023" t="s">
        <v>477</v>
      </c>
      <c r="F1023" s="5" t="str">
        <f>HYPERLINK("http://www.otzar.org/book.asp?630110","הקול קול יעקב")</f>
        <v>הקול קול יעקב</v>
      </c>
    </row>
    <row r="1024" spans="1:6" x14ac:dyDescent="0.2">
      <c r="A1024" t="s">
        <v>2252</v>
      </c>
      <c r="B1024" t="s">
        <v>94</v>
      </c>
      <c r="C1024" t="s">
        <v>8</v>
      </c>
      <c r="D1024" s="1" t="s">
        <v>52</v>
      </c>
      <c r="E1024" t="s">
        <v>37</v>
      </c>
      <c r="F1024" s="5" t="str">
        <f>HYPERLINK("http://www.otzar.org/book.asp?629876","הקריאה והקדושה")</f>
        <v>הקריאה והקדושה</v>
      </c>
    </row>
    <row r="1025" spans="1:6" x14ac:dyDescent="0.2">
      <c r="A1025" t="s">
        <v>2253</v>
      </c>
      <c r="B1025" t="s">
        <v>2254</v>
      </c>
      <c r="C1025" t="s">
        <v>20</v>
      </c>
      <c r="D1025" s="1" t="s">
        <v>9</v>
      </c>
      <c r="E1025" t="s">
        <v>187</v>
      </c>
      <c r="F1025" s="5" t="str">
        <f>HYPERLINK("http://www.otzar.org/book.asp?627671","הקשורים ליעקב &lt;זכרון אהרן&gt;")</f>
        <v>הקשורים ליעקב &lt;זכרון אהרן&gt;</v>
      </c>
    </row>
    <row r="1026" spans="1:6" x14ac:dyDescent="0.2">
      <c r="A1026" t="s">
        <v>2255</v>
      </c>
      <c r="B1026" t="s">
        <v>482</v>
      </c>
      <c r="C1026" t="s">
        <v>8</v>
      </c>
      <c r="D1026" s="1" t="s">
        <v>9</v>
      </c>
      <c r="E1026" t="s">
        <v>49</v>
      </c>
      <c r="F1026" s="5" t="str">
        <f>HYPERLINK("http://www.otzar.org/book.asp?625782","הקשר שבין עם ישראל למצרים")</f>
        <v>הקשר שבין עם ישראל למצרים</v>
      </c>
    </row>
    <row r="1027" spans="1:6" x14ac:dyDescent="0.2">
      <c r="A1027" t="s">
        <v>2256</v>
      </c>
      <c r="B1027" t="s">
        <v>2257</v>
      </c>
      <c r="C1027" t="s">
        <v>13</v>
      </c>
      <c r="D1027" s="1" t="s">
        <v>21</v>
      </c>
      <c r="E1027" t="s">
        <v>1334</v>
      </c>
      <c r="F1027" s="5" t="str">
        <f>HYPERLINK("http://www.otzar.org/book.asp?627281","הר יראה - אלול, ימים נוראים")</f>
        <v>הר יראה - אלול, ימים נוראים</v>
      </c>
    </row>
    <row r="1028" spans="1:6" x14ac:dyDescent="0.2">
      <c r="A1028" t="s">
        <v>2258</v>
      </c>
      <c r="B1028" t="s">
        <v>2259</v>
      </c>
      <c r="E1028" t="s">
        <v>49</v>
      </c>
      <c r="F1028" s="5" t="str">
        <f>HYPERLINK("http://www.otzar.org/book.asp?626036","הר עיבל הר השמחה")</f>
        <v>הר עיבל הר השמחה</v>
      </c>
    </row>
    <row r="1029" spans="1:6" x14ac:dyDescent="0.2">
      <c r="A1029" t="s">
        <v>2260</v>
      </c>
      <c r="B1029" t="s">
        <v>2261</v>
      </c>
      <c r="C1029" t="s">
        <v>25</v>
      </c>
      <c r="D1029" s="1" t="s">
        <v>29</v>
      </c>
      <c r="E1029" t="s">
        <v>752</v>
      </c>
      <c r="F1029" s="5" t="str">
        <f>HYPERLINK("http://www.otzar.org/book.asp?631164","הר צבי")</f>
        <v>הר צבי</v>
      </c>
    </row>
    <row r="1030" spans="1:6" x14ac:dyDescent="0.2">
      <c r="A1030" t="s">
        <v>2262</v>
      </c>
      <c r="B1030" t="s">
        <v>2263</v>
      </c>
      <c r="C1030" t="s">
        <v>2129</v>
      </c>
      <c r="D1030" s="1" t="s">
        <v>29</v>
      </c>
      <c r="E1030" t="s">
        <v>371</v>
      </c>
      <c r="F1030" s="5" t="str">
        <f>HYPERLINK("http://www.otzar.org/book.asp?627368","הרב יהודה אבידע ז""ל")</f>
        <v>הרב יהודה אבידע ז"ל</v>
      </c>
    </row>
    <row r="1031" spans="1:6" x14ac:dyDescent="0.2">
      <c r="A1031" t="s">
        <v>2264</v>
      </c>
      <c r="B1031" t="s">
        <v>1597</v>
      </c>
      <c r="C1031" t="s">
        <v>694</v>
      </c>
      <c r="D1031" s="1" t="s">
        <v>9</v>
      </c>
      <c r="E1031" t="s">
        <v>371</v>
      </c>
      <c r="F1031" s="5" t="str">
        <f>HYPERLINK("http://www.otzar.org/book.asp?625748","הרב יעקב מאיר הראשון לציון")</f>
        <v>הרב יעקב מאיר הראשון לציון</v>
      </c>
    </row>
    <row r="1032" spans="1:6" x14ac:dyDescent="0.2">
      <c r="A1032" t="s">
        <v>2265</v>
      </c>
      <c r="B1032" t="s">
        <v>2266</v>
      </c>
      <c r="C1032" t="s">
        <v>206</v>
      </c>
      <c r="D1032" s="1" t="s">
        <v>2267</v>
      </c>
      <c r="E1032" t="s">
        <v>37</v>
      </c>
      <c r="F1032" s="5" t="str">
        <f>HYPERLINK("http://www.otzar.org/book.asp?624721","הרב על הקו")</f>
        <v>הרב על הקו</v>
      </c>
    </row>
    <row r="1033" spans="1:6" x14ac:dyDescent="0.2">
      <c r="A1033" t="s">
        <v>2268</v>
      </c>
      <c r="B1033" t="s">
        <v>2269</v>
      </c>
      <c r="C1033" t="s">
        <v>411</v>
      </c>
      <c r="D1033" s="1" t="s">
        <v>9</v>
      </c>
      <c r="F1033" s="5" t="str">
        <f>HYPERLINK("http://www.otzar.org/book.asp?630396","הרב ר' משה סגל נאוועמעסטע המבורגר")</f>
        <v>הרב ר' משה סגל נאוועמעסטע המבורגר</v>
      </c>
    </row>
    <row r="1034" spans="1:6" x14ac:dyDescent="0.2">
      <c r="A1034" t="s">
        <v>2270</v>
      </c>
      <c r="B1034" t="s">
        <v>2271</v>
      </c>
      <c r="C1034" t="s">
        <v>248</v>
      </c>
      <c r="D1034" s="1" t="s">
        <v>158</v>
      </c>
      <c r="E1034" t="s">
        <v>30</v>
      </c>
      <c r="F1034" s="5" t="str">
        <f>HYPERLINK("http://www.otzar.org/book.asp?627074","הרבי מליובאוויטש")</f>
        <v>הרבי מליובאוויטש</v>
      </c>
    </row>
    <row r="1035" spans="1:6" x14ac:dyDescent="0.2">
      <c r="A1035" t="s">
        <v>2272</v>
      </c>
      <c r="B1035" t="s">
        <v>1611</v>
      </c>
      <c r="C1035" t="s">
        <v>1385</v>
      </c>
      <c r="D1035" s="1" t="s">
        <v>14</v>
      </c>
      <c r="E1035" t="s">
        <v>371</v>
      </c>
      <c r="F1035" s="5" t="str">
        <f>HYPERLINK("http://www.otzar.org/book.asp?623632","הרבי ר' צבי אלימלך מדינוב - 3 כר'")</f>
        <v>הרבי ר' צבי אלימלך מדינוב - 3 כר'</v>
      </c>
    </row>
    <row r="1036" spans="1:6" x14ac:dyDescent="0.2">
      <c r="A1036" t="s">
        <v>2273</v>
      </c>
      <c r="B1036" t="s">
        <v>2274</v>
      </c>
      <c r="C1036" t="s">
        <v>13</v>
      </c>
      <c r="D1036" s="1" t="s">
        <v>29</v>
      </c>
      <c r="E1036" t="s">
        <v>2275</v>
      </c>
      <c r="F1036" s="5" t="str">
        <f>HYPERLINK("http://www.otzar.org/book.asp?630886","הרהורי תורה")</f>
        <v>הרהורי תורה</v>
      </c>
    </row>
    <row r="1037" spans="1:6" x14ac:dyDescent="0.2">
      <c r="A1037" t="s">
        <v>2276</v>
      </c>
      <c r="B1037" t="s">
        <v>1597</v>
      </c>
      <c r="C1037" t="s">
        <v>1002</v>
      </c>
      <c r="D1037" s="1" t="s">
        <v>9</v>
      </c>
      <c r="E1037" t="s">
        <v>121</v>
      </c>
      <c r="F1037" s="5" t="str">
        <f>HYPERLINK("http://www.otzar.org/book.asp?623867","הרובע היהודי בירושלים העתיקה")</f>
        <v>הרובע היהודי בירושלים העתיקה</v>
      </c>
    </row>
    <row r="1038" spans="1:6" x14ac:dyDescent="0.2">
      <c r="A1038" t="s">
        <v>2277</v>
      </c>
      <c r="B1038" t="s">
        <v>2278</v>
      </c>
      <c r="C1038" t="s">
        <v>20</v>
      </c>
      <c r="D1038" s="1" t="s">
        <v>9</v>
      </c>
      <c r="E1038" t="s">
        <v>49</v>
      </c>
      <c r="F1038" s="5" t="str">
        <f>HYPERLINK("http://www.otzar.org/book.asp?629089","הרופא והשד -מהדורה מדעית של ספר שעשועים")</f>
        <v>הרופא והשד -מהדורה מדעית של ספר שעשועים</v>
      </c>
    </row>
    <row r="1039" spans="1:6" x14ac:dyDescent="0.2">
      <c r="A1039" t="s">
        <v>2279</v>
      </c>
      <c r="B1039" t="s">
        <v>2280</v>
      </c>
      <c r="C1039" t="s">
        <v>255</v>
      </c>
      <c r="D1039" s="1" t="s">
        <v>9</v>
      </c>
      <c r="E1039" t="s">
        <v>371</v>
      </c>
      <c r="F1039" s="5" t="str">
        <f>HYPERLINK("http://www.otzar.org/book.asp?628659","הרמב""ם והגאונים")</f>
        <v>הרמב"ם והגאונים</v>
      </c>
    </row>
    <row r="1040" spans="1:6" x14ac:dyDescent="0.2">
      <c r="A1040" t="s">
        <v>2281</v>
      </c>
      <c r="B1040" t="s">
        <v>2282</v>
      </c>
      <c r="C1040" t="s">
        <v>1385</v>
      </c>
      <c r="D1040" s="1" t="s">
        <v>2283</v>
      </c>
      <c r="E1040" t="s">
        <v>168</v>
      </c>
      <c r="F1040" s="5" t="str">
        <f>HYPERLINK("http://www.otzar.org/book.asp?625741","הרעה בשושנים - עיונים במגילת שיר השירים")</f>
        <v>הרעה בשושנים - עיונים במגילת שיר השירים</v>
      </c>
    </row>
    <row r="1041" spans="1:6" x14ac:dyDescent="0.2">
      <c r="A1041" t="s">
        <v>2284</v>
      </c>
      <c r="B1041" t="s">
        <v>2285</v>
      </c>
      <c r="C1041" t="s">
        <v>248</v>
      </c>
      <c r="D1041" s="1" t="s">
        <v>120</v>
      </c>
      <c r="E1041" t="s">
        <v>22</v>
      </c>
      <c r="F1041" s="5" t="str">
        <f>HYPERLINK("http://www.otzar.org/book.asp?625443","השולח סבלונות")</f>
        <v>השולח סבלונות</v>
      </c>
    </row>
    <row r="1042" spans="1:6" x14ac:dyDescent="0.2">
      <c r="A1042" t="s">
        <v>2286</v>
      </c>
      <c r="B1042" t="s">
        <v>94</v>
      </c>
      <c r="C1042" t="s">
        <v>25</v>
      </c>
      <c r="D1042" s="1" t="s">
        <v>52</v>
      </c>
      <c r="E1042" t="s">
        <v>49</v>
      </c>
      <c r="F1042" s="5" t="str">
        <f>HYPERLINK("http://www.otzar.org/book.asp?628660","השיבה שופטינו כבראשונה")</f>
        <v>השיבה שופטינו כבראשונה</v>
      </c>
    </row>
    <row r="1043" spans="1:6" x14ac:dyDescent="0.2">
      <c r="A1043" t="s">
        <v>2287</v>
      </c>
      <c r="B1043" t="s">
        <v>2288</v>
      </c>
      <c r="C1043" t="s">
        <v>8</v>
      </c>
      <c r="D1043" s="1" t="s">
        <v>2289</v>
      </c>
      <c r="E1043" t="s">
        <v>295</v>
      </c>
      <c r="F1043" s="5" t="str">
        <f>HYPERLINK("http://www.otzar.org/book.asp?625765","השיר והפיוט")</f>
        <v>השיר והפיוט</v>
      </c>
    </row>
    <row r="1044" spans="1:6" x14ac:dyDescent="0.2">
      <c r="A1044" t="s">
        <v>2290</v>
      </c>
      <c r="B1044" t="s">
        <v>2291</v>
      </c>
      <c r="C1044" t="s">
        <v>76</v>
      </c>
      <c r="D1044" s="1" t="s">
        <v>9</v>
      </c>
      <c r="E1044" t="s">
        <v>214</v>
      </c>
      <c r="F1044" s="5" t="str">
        <f>HYPERLINK("http://www.otzar.org/book.asp?623328","השכל - 2 כר'")</f>
        <v>השכל - 2 כר'</v>
      </c>
    </row>
    <row r="1045" spans="1:6" x14ac:dyDescent="0.2">
      <c r="A1045" t="s">
        <v>2292</v>
      </c>
      <c r="B1045" t="s">
        <v>1732</v>
      </c>
      <c r="C1045" t="s">
        <v>20</v>
      </c>
      <c r="D1045" s="1" t="s">
        <v>52</v>
      </c>
      <c r="E1045" t="s">
        <v>37</v>
      </c>
      <c r="F1045" s="5" t="str">
        <f>HYPERLINK("http://www.otzar.org/book.asp?627282","השלחן הבהיר")</f>
        <v>השלחן הבהיר</v>
      </c>
    </row>
    <row r="1046" spans="1:6" x14ac:dyDescent="0.2">
      <c r="A1046" t="s">
        <v>2293</v>
      </c>
      <c r="B1046" t="s">
        <v>2294</v>
      </c>
      <c r="C1046" t="s">
        <v>13</v>
      </c>
      <c r="D1046" s="1" t="s">
        <v>52</v>
      </c>
      <c r="E1046" t="s">
        <v>242</v>
      </c>
      <c r="F1046" s="5" t="str">
        <f>HYPERLINK("http://www.otzar.org/book.asp?623675","השמחה בתפארתה")</f>
        <v>השמחה בתפארתה</v>
      </c>
    </row>
    <row r="1047" spans="1:6" x14ac:dyDescent="0.2">
      <c r="A1047" t="s">
        <v>2295</v>
      </c>
      <c r="B1047" t="s">
        <v>800</v>
      </c>
      <c r="C1047" t="s">
        <v>73</v>
      </c>
      <c r="D1047" s="1" t="s">
        <v>213</v>
      </c>
      <c r="E1047" t="s">
        <v>49</v>
      </c>
      <c r="F1047" s="5" t="str">
        <f>HYPERLINK("http://www.otzar.org/book.asp?627285","השמעת כלאים - 2 כר'")</f>
        <v>השמעת כלאים - 2 כר'</v>
      </c>
    </row>
    <row r="1048" spans="1:6" x14ac:dyDescent="0.2">
      <c r="A1048" t="s">
        <v>2296</v>
      </c>
      <c r="B1048" t="s">
        <v>2297</v>
      </c>
      <c r="C1048" t="s">
        <v>463</v>
      </c>
      <c r="D1048" s="1" t="s">
        <v>14</v>
      </c>
      <c r="E1048" t="s">
        <v>49</v>
      </c>
      <c r="F1048" s="5" t="str">
        <f>HYPERLINK("http://www.otzar.org/book.asp?623759","השפה האלוקית")</f>
        <v>השפה האלוקית</v>
      </c>
    </row>
    <row r="1049" spans="1:6" x14ac:dyDescent="0.2">
      <c r="A1049" t="s">
        <v>2298</v>
      </c>
      <c r="B1049" t="s">
        <v>2299</v>
      </c>
      <c r="C1049" t="s">
        <v>606</v>
      </c>
      <c r="D1049" s="1" t="s">
        <v>400</v>
      </c>
      <c r="E1049" t="s">
        <v>34</v>
      </c>
      <c r="F1049" s="5" t="str">
        <f>HYPERLINK("http://www.otzar.org/book.asp?623512","השקפת המקרא")</f>
        <v>השקפת המקרא</v>
      </c>
    </row>
    <row r="1050" spans="1:6" x14ac:dyDescent="0.2">
      <c r="A1050" t="s">
        <v>2300</v>
      </c>
      <c r="B1050" t="s">
        <v>1997</v>
      </c>
      <c r="C1050" t="s">
        <v>2301</v>
      </c>
      <c r="D1050" s="1" t="s">
        <v>1526</v>
      </c>
      <c r="E1050" t="s">
        <v>171</v>
      </c>
      <c r="F1050" s="5" t="str">
        <f>HYPERLINK("http://www.otzar.org/book.asp?623445","השתפכות הנפש")</f>
        <v>השתפכות הנפש</v>
      </c>
    </row>
    <row r="1051" spans="1:6" x14ac:dyDescent="0.2">
      <c r="A1051" t="s">
        <v>2302</v>
      </c>
      <c r="B1051" t="s">
        <v>2303</v>
      </c>
      <c r="C1051" t="s">
        <v>190</v>
      </c>
      <c r="D1051" s="1" t="s">
        <v>2304</v>
      </c>
      <c r="E1051" t="s">
        <v>121</v>
      </c>
      <c r="F1051" s="5" t="str">
        <f>HYPERLINK("http://www.otzar.org/book.asp?625648","התאחדות התימנים בארץ ישראל")</f>
        <v>התאחדות התימנים בארץ ישראל</v>
      </c>
    </row>
    <row r="1052" spans="1:6" x14ac:dyDescent="0.2">
      <c r="A1052" t="s">
        <v>2305</v>
      </c>
      <c r="B1052" t="s">
        <v>2181</v>
      </c>
      <c r="C1052" t="s">
        <v>136</v>
      </c>
      <c r="D1052" s="1" t="s">
        <v>52</v>
      </c>
      <c r="E1052" t="s">
        <v>34</v>
      </c>
      <c r="F1052" s="5" t="str">
        <f>HYPERLINK("http://www.otzar.org/book.asp?626217","התהום")</f>
        <v>התהום</v>
      </c>
    </row>
    <row r="1053" spans="1:6" x14ac:dyDescent="0.2">
      <c r="A1053" t="s">
        <v>2306</v>
      </c>
      <c r="B1053" t="s">
        <v>2307</v>
      </c>
      <c r="C1053" t="s">
        <v>13</v>
      </c>
      <c r="D1053" s="1" t="s">
        <v>64</v>
      </c>
      <c r="E1053" t="s">
        <v>49</v>
      </c>
      <c r="F1053" s="5" t="str">
        <f>HYPERLINK("http://www.otzar.org/book.asp?626702","התודה")</f>
        <v>התודה</v>
      </c>
    </row>
    <row r="1054" spans="1:6" x14ac:dyDescent="0.2">
      <c r="A1054" t="s">
        <v>2308</v>
      </c>
      <c r="B1054" t="s">
        <v>2308</v>
      </c>
      <c r="C1054" t="s">
        <v>13</v>
      </c>
      <c r="D1054" s="1" t="s">
        <v>52</v>
      </c>
      <c r="E1054" t="s">
        <v>30</v>
      </c>
      <c r="F1054" s="5" t="str">
        <f>HYPERLINK("http://www.otzar.org/book.asp?630322","התוועדות יב-יג תמוז תשע""ט")</f>
        <v>התוועדות יב-יג תמוז תשע"ט</v>
      </c>
    </row>
    <row r="1055" spans="1:6" x14ac:dyDescent="0.2">
      <c r="A1055" t="s">
        <v>2309</v>
      </c>
      <c r="B1055" t="s">
        <v>2310</v>
      </c>
      <c r="C1055" t="s">
        <v>2311</v>
      </c>
      <c r="D1055" s="1" t="s">
        <v>114</v>
      </c>
      <c r="E1055" t="s">
        <v>49</v>
      </c>
      <c r="F1055" s="5" t="str">
        <f>HYPERLINK("http://www.otzar.org/book.asp?624770","התורה והמצוה לריצב""א")</f>
        <v>התורה והמצוה לריצב"א</v>
      </c>
    </row>
    <row r="1056" spans="1:6" x14ac:dyDescent="0.2">
      <c r="A1056" t="s">
        <v>2312</v>
      </c>
      <c r="B1056" t="s">
        <v>2313</v>
      </c>
      <c r="C1056" t="s">
        <v>143</v>
      </c>
      <c r="D1056" s="1" t="s">
        <v>144</v>
      </c>
      <c r="E1056" t="s">
        <v>34</v>
      </c>
      <c r="F1056" s="5" t="str">
        <f>HYPERLINK("http://www.otzar.org/book.asp?625573","התורה והעם")</f>
        <v>התורה והעם</v>
      </c>
    </row>
    <row r="1057" spans="1:6" x14ac:dyDescent="0.2">
      <c r="A1057" t="s">
        <v>2314</v>
      </c>
      <c r="E1057" t="s">
        <v>49</v>
      </c>
      <c r="F1057" s="5" t="str">
        <f>HYPERLINK("http://www.otzar.org/book.asp?626793","התלמוד הירושלמי")</f>
        <v>התלמוד הירושלמי</v>
      </c>
    </row>
    <row r="1058" spans="1:6" x14ac:dyDescent="0.2">
      <c r="A1058" t="s">
        <v>2315</v>
      </c>
      <c r="B1058" t="s">
        <v>2316</v>
      </c>
      <c r="C1058" t="s">
        <v>999</v>
      </c>
      <c r="D1058" s="1" t="s">
        <v>2317</v>
      </c>
      <c r="E1058" t="s">
        <v>30</v>
      </c>
      <c r="F1058" s="5" t="str">
        <f>HYPERLINK("http://www.otzar.org/book.asp?611272","התמים מוסף בית משיח - 47 כר'")</f>
        <v>התמים מוסף בית משיח - 47 כר'</v>
      </c>
    </row>
    <row r="1059" spans="1:6" x14ac:dyDescent="0.2">
      <c r="A1059" t="s">
        <v>2318</v>
      </c>
      <c r="B1059" t="s">
        <v>2319</v>
      </c>
      <c r="C1059" t="s">
        <v>8</v>
      </c>
      <c r="D1059" s="1" t="s">
        <v>52</v>
      </c>
      <c r="E1059" t="s">
        <v>371</v>
      </c>
      <c r="F1059" s="5" t="str">
        <f>HYPERLINK("http://www.otzar.org/book.asp?624736","התנאים ומשנתם - תקופת הבית (תוספת למהדורה הראשונה)")</f>
        <v>התנאים ומשנתם - תקופת הבית (תוספת למהדורה הראשונה)</v>
      </c>
    </row>
    <row r="1060" spans="1:6" x14ac:dyDescent="0.2">
      <c r="A1060" t="s">
        <v>2320</v>
      </c>
      <c r="B1060" t="s">
        <v>482</v>
      </c>
      <c r="C1060" t="s">
        <v>73</v>
      </c>
      <c r="D1060" s="1" t="s">
        <v>9</v>
      </c>
      <c r="E1060" t="s">
        <v>34</v>
      </c>
      <c r="F1060" s="5" t="str">
        <f>HYPERLINK("http://www.otzar.org/book.asp?625780","התפילה ומשמעות הזמן ביהדות")</f>
        <v>התפילה ומשמעות הזמן ביהדות</v>
      </c>
    </row>
    <row r="1061" spans="1:6" x14ac:dyDescent="0.2">
      <c r="A1061" t="s">
        <v>2321</v>
      </c>
      <c r="B1061" t="s">
        <v>2322</v>
      </c>
      <c r="C1061" t="s">
        <v>258</v>
      </c>
      <c r="D1061" s="1" t="s">
        <v>2323</v>
      </c>
      <c r="E1061" t="s">
        <v>49</v>
      </c>
      <c r="F1061" s="5" t="str">
        <f>HYPERLINK("http://www.otzar.org/book.asp?626454","התפתחות האנושות לפי מושגי התנ""ך")</f>
        <v>התפתחות האנושות לפי מושגי התנ"ך</v>
      </c>
    </row>
    <row r="1062" spans="1:6" x14ac:dyDescent="0.2">
      <c r="A1062" t="s">
        <v>2324</v>
      </c>
      <c r="B1062" t="s">
        <v>2325</v>
      </c>
      <c r="C1062" t="s">
        <v>136</v>
      </c>
      <c r="D1062" s="1" t="s">
        <v>52</v>
      </c>
      <c r="E1062" t="s">
        <v>242</v>
      </c>
      <c r="F1062" s="5" t="str">
        <f>HYPERLINK("http://www.otzar.org/book.asp?629237","התקנות והסכמות ומנהגים")</f>
        <v>התקנות והסכמות ומנהגים</v>
      </c>
    </row>
    <row r="1063" spans="1:6" x14ac:dyDescent="0.2">
      <c r="A1063" t="s">
        <v>2326</v>
      </c>
      <c r="B1063" t="s">
        <v>2327</v>
      </c>
      <c r="C1063" t="s">
        <v>13</v>
      </c>
      <c r="D1063" s="1" t="s">
        <v>14</v>
      </c>
      <c r="E1063" t="s">
        <v>168</v>
      </c>
      <c r="F1063" s="5" t="str">
        <f>HYPERLINK("http://www.otzar.org/book.asp?629842","ואחד תרגום")</f>
        <v>ואחד תרגום</v>
      </c>
    </row>
    <row r="1064" spans="1:6" x14ac:dyDescent="0.2">
      <c r="A1064" t="s">
        <v>2328</v>
      </c>
      <c r="B1064" t="s">
        <v>2329</v>
      </c>
      <c r="C1064" t="s">
        <v>136</v>
      </c>
      <c r="D1064" s="1" t="s">
        <v>52</v>
      </c>
      <c r="E1064" t="s">
        <v>37</v>
      </c>
      <c r="F1064" s="5" t="str">
        <f>HYPERLINK("http://www.otzar.org/book.asp?624824","ואין למו מכשול - 4 כר'")</f>
        <v>ואין למו מכשול - 4 כר'</v>
      </c>
    </row>
    <row r="1065" spans="1:6" x14ac:dyDescent="0.2">
      <c r="A1065" t="s">
        <v>2330</v>
      </c>
      <c r="B1065" t="s">
        <v>194</v>
      </c>
      <c r="C1065" t="s">
        <v>639</v>
      </c>
      <c r="D1065" s="1" t="s">
        <v>29</v>
      </c>
      <c r="E1065" t="s">
        <v>49</v>
      </c>
      <c r="F1065" s="5" t="str">
        <f>HYPERLINK("http://www.otzar.org/book.asp?627270","ואם תאמר - 4 כר'")</f>
        <v>ואם תאמר - 4 כר'</v>
      </c>
    </row>
    <row r="1066" spans="1:6" x14ac:dyDescent="0.2">
      <c r="A1066" t="s">
        <v>2331</v>
      </c>
      <c r="B1066" t="s">
        <v>2332</v>
      </c>
      <c r="C1066" t="s">
        <v>8</v>
      </c>
      <c r="D1066" s="1" t="s">
        <v>52</v>
      </c>
      <c r="E1066" t="s">
        <v>295</v>
      </c>
      <c r="F1066" s="5" t="str">
        <f>HYPERLINK("http://www.otzar.org/book.asp?629243","ואני תפילה")</f>
        <v>ואני תפילה</v>
      </c>
    </row>
    <row r="1067" spans="1:6" x14ac:dyDescent="0.2">
      <c r="A1067" t="s">
        <v>2333</v>
      </c>
      <c r="B1067" t="s">
        <v>802</v>
      </c>
      <c r="C1067" t="s">
        <v>307</v>
      </c>
      <c r="D1067" s="1" t="s">
        <v>803</v>
      </c>
      <c r="F1067" s="5" t="str">
        <f>HYPERLINK("http://www.otzar.org/book.asp?627299","ואת צנועים חכמה")</f>
        <v>ואת צנועים חכמה</v>
      </c>
    </row>
    <row r="1068" spans="1:6" x14ac:dyDescent="0.2">
      <c r="A1068" t="s">
        <v>2334</v>
      </c>
      <c r="B1068" t="s">
        <v>2335</v>
      </c>
      <c r="C1068" t="s">
        <v>206</v>
      </c>
      <c r="D1068" s="1" t="s">
        <v>29</v>
      </c>
      <c r="E1068" t="s">
        <v>37</v>
      </c>
      <c r="F1068" s="5" t="str">
        <f>HYPERLINK("http://www.otzar.org/book.asp?625754","ובחקתיהם לא תלכו")</f>
        <v>ובחקתיהם לא תלכו</v>
      </c>
    </row>
    <row r="1069" spans="1:6" x14ac:dyDescent="0.2">
      <c r="A1069" t="s">
        <v>2336</v>
      </c>
      <c r="B1069" t="s">
        <v>94</v>
      </c>
      <c r="C1069" t="s">
        <v>13</v>
      </c>
      <c r="D1069" s="1" t="s">
        <v>8</v>
      </c>
      <c r="E1069" t="s">
        <v>49</v>
      </c>
      <c r="F1069" s="5" t="str">
        <f>HYPERLINK("http://www.otzar.org/book.asp?627129","ובחרת בחיים")</f>
        <v>ובחרת בחיים</v>
      </c>
    </row>
    <row r="1070" spans="1:6" x14ac:dyDescent="0.2">
      <c r="A1070" t="s">
        <v>2336</v>
      </c>
      <c r="B1070" t="s">
        <v>2337</v>
      </c>
      <c r="C1070" t="s">
        <v>190</v>
      </c>
      <c r="D1070" s="1" t="s">
        <v>14</v>
      </c>
      <c r="E1070" t="s">
        <v>49</v>
      </c>
      <c r="F1070" s="5" t="str">
        <f>HYPERLINK("http://www.otzar.org/book.asp?626052","ובחרת בחיים")</f>
        <v>ובחרת בחיים</v>
      </c>
    </row>
    <row r="1071" spans="1:6" x14ac:dyDescent="0.2">
      <c r="A1071" t="s">
        <v>2338</v>
      </c>
      <c r="B1071" t="s">
        <v>903</v>
      </c>
      <c r="C1071" t="s">
        <v>190</v>
      </c>
      <c r="D1071" s="1" t="s">
        <v>14</v>
      </c>
      <c r="E1071" t="s">
        <v>37</v>
      </c>
      <c r="F1071" s="5" t="str">
        <f>HYPERLINK("http://www.otzar.org/book.asp?623294","ובראשי חדשיכם")</f>
        <v>ובראשי חדשיכם</v>
      </c>
    </row>
    <row r="1072" spans="1:6" x14ac:dyDescent="0.2">
      <c r="A1072" t="s">
        <v>2339</v>
      </c>
      <c r="B1072" t="s">
        <v>2340</v>
      </c>
      <c r="C1072" t="s">
        <v>20</v>
      </c>
      <c r="D1072" s="1" t="s">
        <v>429</v>
      </c>
      <c r="E1072" t="s">
        <v>2341</v>
      </c>
      <c r="F1072" s="5" t="str">
        <f>HYPERLINK("http://www.otzar.org/book.asp?628661","ובשנה השביעית")</f>
        <v>ובשנה השביעית</v>
      </c>
    </row>
    <row r="1073" spans="1:6" x14ac:dyDescent="0.2">
      <c r="A1073" t="s">
        <v>2342</v>
      </c>
      <c r="B1073" t="s">
        <v>2343</v>
      </c>
      <c r="C1073" t="s">
        <v>307</v>
      </c>
      <c r="D1073" s="1" t="s">
        <v>471</v>
      </c>
      <c r="E1073" t="s">
        <v>10</v>
      </c>
      <c r="F1073" s="5" t="str">
        <f>HYPERLINK("http://www.otzar.org/book.asp?624669","ודברת בם")</f>
        <v>ודברת בם</v>
      </c>
    </row>
    <row r="1074" spans="1:6" x14ac:dyDescent="0.2">
      <c r="A1074" t="s">
        <v>2344</v>
      </c>
      <c r="B1074" t="s">
        <v>2345</v>
      </c>
      <c r="C1074" t="s">
        <v>606</v>
      </c>
      <c r="D1074" s="1" t="s">
        <v>9</v>
      </c>
      <c r="E1074" t="s">
        <v>37</v>
      </c>
      <c r="F1074" s="5" t="str">
        <f>HYPERLINK("http://www.otzar.org/book.asp?628730","ודברת בם - 2 כר'")</f>
        <v>ודברת בם - 2 כר'</v>
      </c>
    </row>
    <row r="1075" spans="1:6" x14ac:dyDescent="0.2">
      <c r="A1075" t="s">
        <v>2346</v>
      </c>
      <c r="B1075" t="s">
        <v>2347</v>
      </c>
      <c r="C1075" t="s">
        <v>136</v>
      </c>
      <c r="D1075" s="1" t="s">
        <v>52</v>
      </c>
      <c r="E1075" t="s">
        <v>41</v>
      </c>
      <c r="F1075" s="5" t="str">
        <f>HYPERLINK("http://www.otzar.org/book.asp?626068","ודברת בם - ב")</f>
        <v>ודברת בם - ב</v>
      </c>
    </row>
    <row r="1076" spans="1:6" x14ac:dyDescent="0.2">
      <c r="A1076" t="s">
        <v>2342</v>
      </c>
      <c r="B1076" t="s">
        <v>2348</v>
      </c>
      <c r="C1076" t="s">
        <v>73</v>
      </c>
      <c r="D1076" s="1" t="s">
        <v>2349</v>
      </c>
      <c r="E1076" t="s">
        <v>836</v>
      </c>
      <c r="F1076" s="5" t="str">
        <f>HYPERLINK("http://www.otzar.org/book.asp?625653","ודברת בם")</f>
        <v>ודברת בם</v>
      </c>
    </row>
    <row r="1077" spans="1:6" x14ac:dyDescent="0.2">
      <c r="A1077" t="s">
        <v>2350</v>
      </c>
      <c r="B1077" t="s">
        <v>2351</v>
      </c>
      <c r="C1077" t="s">
        <v>20</v>
      </c>
      <c r="D1077" s="1" t="s">
        <v>9</v>
      </c>
      <c r="E1077" t="s">
        <v>168</v>
      </c>
      <c r="F1077" s="5" t="str">
        <f>HYPERLINK("http://www.otzar.org/book.asp?628213","ודרשת וחקרת - 2 כר'")</f>
        <v>ודרשת וחקרת - 2 כר'</v>
      </c>
    </row>
    <row r="1078" spans="1:6" x14ac:dyDescent="0.2">
      <c r="A1078" t="s">
        <v>2352</v>
      </c>
      <c r="B1078" t="s">
        <v>2353</v>
      </c>
      <c r="C1078" t="s">
        <v>136</v>
      </c>
      <c r="D1078" s="1" t="s">
        <v>1341</v>
      </c>
      <c r="E1078" t="s">
        <v>128</v>
      </c>
      <c r="F1078" s="5" t="str">
        <f>HYPERLINK("http://www.otzar.org/book.asp?623248","והאר עינינו")</f>
        <v>והאר עינינו</v>
      </c>
    </row>
    <row r="1079" spans="1:6" x14ac:dyDescent="0.2">
      <c r="A1079" t="s">
        <v>2354</v>
      </c>
      <c r="B1079" t="s">
        <v>2355</v>
      </c>
      <c r="D1079" s="1" t="s">
        <v>14</v>
      </c>
      <c r="E1079" t="s">
        <v>22</v>
      </c>
      <c r="F1079" s="5" t="str">
        <f>HYPERLINK("http://www.otzar.org/book.asp?628729","והב בסופה")</f>
        <v>והב בסופה</v>
      </c>
    </row>
    <row r="1080" spans="1:6" x14ac:dyDescent="0.2">
      <c r="A1080" t="s">
        <v>2356</v>
      </c>
      <c r="B1080" t="s">
        <v>260</v>
      </c>
      <c r="C1080" t="s">
        <v>136</v>
      </c>
      <c r="D1080" s="1" t="s">
        <v>9</v>
      </c>
      <c r="E1080" t="s">
        <v>305</v>
      </c>
      <c r="F1080" s="5" t="str">
        <f>HYPERLINK("http://www.otzar.org/book.asp?627621","והזהיר - 2 כר'")</f>
        <v>והזהיר - 2 כר'</v>
      </c>
    </row>
    <row r="1081" spans="1:6" x14ac:dyDescent="0.2">
      <c r="A1081" t="s">
        <v>2357</v>
      </c>
      <c r="B1081" t="s">
        <v>2358</v>
      </c>
      <c r="C1081" t="s">
        <v>8</v>
      </c>
      <c r="D1081" s="1" t="s">
        <v>52</v>
      </c>
      <c r="E1081" t="s">
        <v>37</v>
      </c>
      <c r="F1081" s="5" t="str">
        <f>HYPERLINK("http://www.otzar.org/book.asp?629565","והיה העקב למישור")</f>
        <v>והיה העקב למישור</v>
      </c>
    </row>
    <row r="1082" spans="1:6" x14ac:dyDescent="0.2">
      <c r="A1082" t="s">
        <v>2359</v>
      </c>
      <c r="B1082" t="s">
        <v>2360</v>
      </c>
      <c r="C1082" t="s">
        <v>1385</v>
      </c>
      <c r="D1082" s="1" t="s">
        <v>9</v>
      </c>
      <c r="E1082" t="s">
        <v>34</v>
      </c>
      <c r="F1082" s="5" t="str">
        <f>HYPERLINK("http://www.otzar.org/book.asp?625455","והיה עקב תשמעון")</f>
        <v>והיה עקב תשמעון</v>
      </c>
    </row>
    <row r="1083" spans="1:6" x14ac:dyDescent="0.2">
      <c r="A1083" t="s">
        <v>2361</v>
      </c>
      <c r="B1083" t="s">
        <v>2362</v>
      </c>
      <c r="C1083" t="s">
        <v>190</v>
      </c>
      <c r="D1083" s="1" t="s">
        <v>14</v>
      </c>
      <c r="F1083" s="5" t="str">
        <f>HYPERLINK("http://www.otzar.org/book.asp?630388","והיו הדברים האלה")</f>
        <v>והיו הדברים האלה</v>
      </c>
    </row>
    <row r="1084" spans="1:6" x14ac:dyDescent="0.2">
      <c r="A1084" t="s">
        <v>2363</v>
      </c>
      <c r="B1084" t="s">
        <v>2364</v>
      </c>
      <c r="C1084" t="s">
        <v>245</v>
      </c>
      <c r="D1084" s="1" t="s">
        <v>9</v>
      </c>
      <c r="F1084" s="5" t="str">
        <f>HYPERLINK("http://www.otzar.org/book.asp?630744","והיו לאחדים - א")</f>
        <v>והיו לאחדים - א</v>
      </c>
    </row>
    <row r="1085" spans="1:6" x14ac:dyDescent="0.2">
      <c r="A1085" t="s">
        <v>2365</v>
      </c>
      <c r="B1085" t="s">
        <v>2366</v>
      </c>
      <c r="C1085" t="s">
        <v>20</v>
      </c>
      <c r="D1085" s="1" t="s">
        <v>476</v>
      </c>
      <c r="E1085" t="s">
        <v>37</v>
      </c>
      <c r="F1085" s="5" t="str">
        <f>HYPERLINK("http://www.otzar.org/book.asp?623305","והייתם קדושים (הלכות תולעים)")</f>
        <v>והייתם קדושים (הלכות תולעים)</v>
      </c>
    </row>
    <row r="1086" spans="1:6" x14ac:dyDescent="0.2">
      <c r="A1086" t="s">
        <v>2367</v>
      </c>
      <c r="B1086" t="s">
        <v>2368</v>
      </c>
      <c r="C1086" t="s">
        <v>20</v>
      </c>
      <c r="D1086" s="1" t="s">
        <v>9</v>
      </c>
      <c r="E1086" t="s">
        <v>37</v>
      </c>
      <c r="F1086" s="5" t="str">
        <f>HYPERLINK("http://www.otzar.org/book.asp?630453","והלא קצץ")</f>
        <v>והלא קצץ</v>
      </c>
    </row>
    <row r="1087" spans="1:6" x14ac:dyDescent="0.2">
      <c r="A1087" t="s">
        <v>2369</v>
      </c>
      <c r="B1087" t="s">
        <v>2370</v>
      </c>
      <c r="C1087" t="s">
        <v>73</v>
      </c>
      <c r="D1087" s="1" t="s">
        <v>9</v>
      </c>
      <c r="E1087" t="s">
        <v>49</v>
      </c>
      <c r="F1087" s="5" t="str">
        <f>HYPERLINK("http://www.otzar.org/book.asp?630826","והנה רבקה יוצאת")</f>
        <v>והנה רבקה יוצאת</v>
      </c>
    </row>
    <row r="1088" spans="1:6" x14ac:dyDescent="0.2">
      <c r="A1088" t="s">
        <v>2371</v>
      </c>
      <c r="B1088" t="s">
        <v>2372</v>
      </c>
      <c r="C1088" t="s">
        <v>73</v>
      </c>
      <c r="D1088" s="1" t="s">
        <v>2373</v>
      </c>
      <c r="E1088" t="s">
        <v>61</v>
      </c>
      <c r="F1088" s="5" t="str">
        <f>HYPERLINK("http://www.otzar.org/book.asp?625641","והניף הכהן")</f>
        <v>והניף הכהן</v>
      </c>
    </row>
    <row r="1089" spans="1:6" x14ac:dyDescent="0.2">
      <c r="A1089" t="s">
        <v>2374</v>
      </c>
      <c r="B1089" t="s">
        <v>2375</v>
      </c>
      <c r="C1089" t="s">
        <v>13</v>
      </c>
      <c r="D1089" s="1" t="s">
        <v>9</v>
      </c>
      <c r="E1089" t="s">
        <v>1207</v>
      </c>
      <c r="F1089" s="5" t="str">
        <f>HYPERLINK("http://www.otzar.org/book.asp?630026","והשיב הכהן")</f>
        <v>והשיב הכהן</v>
      </c>
    </row>
    <row r="1090" spans="1:6" x14ac:dyDescent="0.2">
      <c r="A1090" t="s">
        <v>2376</v>
      </c>
      <c r="B1090" t="s">
        <v>2377</v>
      </c>
      <c r="E1090" t="s">
        <v>41</v>
      </c>
      <c r="F1090" s="5" t="str">
        <f>HYPERLINK("http://www.otzar.org/book.asp?622736","ווי העמודים")</f>
        <v>ווי העמודים</v>
      </c>
    </row>
    <row r="1091" spans="1:6" x14ac:dyDescent="0.2">
      <c r="A1091" t="s">
        <v>2378</v>
      </c>
      <c r="B1091" t="s">
        <v>2379</v>
      </c>
      <c r="C1091" t="s">
        <v>73</v>
      </c>
      <c r="D1091" s="1" t="s">
        <v>64</v>
      </c>
      <c r="E1091" t="s">
        <v>37</v>
      </c>
      <c r="F1091" s="5" t="str">
        <f>HYPERLINK("http://www.otzar.org/book.asp?629762","וזאת התורה")</f>
        <v>וזאת התורה</v>
      </c>
    </row>
    <row r="1092" spans="1:6" x14ac:dyDescent="0.2">
      <c r="A1092" t="s">
        <v>2380</v>
      </c>
      <c r="B1092" t="s">
        <v>1356</v>
      </c>
      <c r="C1092" t="s">
        <v>190</v>
      </c>
      <c r="D1092" s="1" t="s">
        <v>52</v>
      </c>
      <c r="E1092" t="s">
        <v>214</v>
      </c>
      <c r="F1092" s="5" t="str">
        <f>HYPERLINK("http://www.otzar.org/book.asp?625589","וזאת התורה - 2 כר'")</f>
        <v>וזאת התורה - 2 כר'</v>
      </c>
    </row>
    <row r="1093" spans="1:6" x14ac:dyDescent="0.2">
      <c r="A1093" t="s">
        <v>2381</v>
      </c>
      <c r="B1093" t="s">
        <v>2382</v>
      </c>
      <c r="C1093" t="s">
        <v>630</v>
      </c>
      <c r="D1093" s="1" t="s">
        <v>2383</v>
      </c>
      <c r="E1093" t="s">
        <v>49</v>
      </c>
      <c r="F1093" s="5" t="str">
        <f>HYPERLINK("http://www.otzar.org/book.asp?627344","וזאת ליהודה")</f>
        <v>וזאת ליהודה</v>
      </c>
    </row>
    <row r="1094" spans="1:6" x14ac:dyDescent="0.2">
      <c r="A1094" t="s">
        <v>2381</v>
      </c>
      <c r="B1094" t="s">
        <v>2384</v>
      </c>
      <c r="C1094" t="s">
        <v>73</v>
      </c>
      <c r="D1094" s="1" t="s">
        <v>9</v>
      </c>
      <c r="E1094" t="s">
        <v>836</v>
      </c>
      <c r="F1094" s="5" t="str">
        <f>HYPERLINK("http://www.otzar.org/book.asp?627844","וזאת ליהודה")</f>
        <v>וזאת ליהודה</v>
      </c>
    </row>
    <row r="1095" spans="1:6" x14ac:dyDescent="0.2">
      <c r="A1095" t="s">
        <v>2381</v>
      </c>
      <c r="B1095" t="s">
        <v>2385</v>
      </c>
      <c r="C1095" t="s">
        <v>2227</v>
      </c>
      <c r="D1095" s="1" t="s">
        <v>2386</v>
      </c>
      <c r="E1095" t="s">
        <v>34</v>
      </c>
      <c r="F1095" s="5" t="str">
        <f>HYPERLINK("http://www.otzar.org/book.asp?624649","וזאת ליהודה")</f>
        <v>וזאת ליהודה</v>
      </c>
    </row>
    <row r="1096" spans="1:6" x14ac:dyDescent="0.2">
      <c r="A1096" t="s">
        <v>2387</v>
      </c>
      <c r="B1096" t="s">
        <v>2388</v>
      </c>
      <c r="C1096" t="s">
        <v>20</v>
      </c>
      <c r="D1096" s="1" t="s">
        <v>14</v>
      </c>
      <c r="E1096" t="s">
        <v>37</v>
      </c>
      <c r="F1096" s="5" t="str">
        <f>HYPERLINK("http://www.otzar.org/book.asp?624813","וזבחת כאשר ציויתך")</f>
        <v>וזבחת כאשר ציויתך</v>
      </c>
    </row>
    <row r="1097" spans="1:6" x14ac:dyDescent="0.2">
      <c r="A1097" t="s">
        <v>2389</v>
      </c>
      <c r="B1097" t="s">
        <v>2390</v>
      </c>
      <c r="C1097" t="s">
        <v>13</v>
      </c>
      <c r="D1097" s="1" t="s">
        <v>1364</v>
      </c>
      <c r="E1097" t="s">
        <v>37</v>
      </c>
      <c r="F1097" s="5" t="str">
        <f>HYPERLINK("http://www.otzar.org/book.asp?626030","וחי אחיך")</f>
        <v>וחי אחיך</v>
      </c>
    </row>
    <row r="1098" spans="1:6" x14ac:dyDescent="0.2">
      <c r="A1098" t="s">
        <v>2391</v>
      </c>
      <c r="B1098" t="s">
        <v>94</v>
      </c>
      <c r="C1098" t="s">
        <v>73</v>
      </c>
      <c r="D1098" s="1" t="s">
        <v>14</v>
      </c>
      <c r="E1098" t="s">
        <v>17</v>
      </c>
      <c r="F1098" s="5" t="str">
        <f>HYPERLINK("http://www.otzar.org/book.asp?628149","וחי בהם")</f>
        <v>וחי בהם</v>
      </c>
    </row>
    <row r="1099" spans="1:6" x14ac:dyDescent="0.2">
      <c r="A1099" t="s">
        <v>2392</v>
      </c>
      <c r="B1099" t="s">
        <v>2393</v>
      </c>
      <c r="C1099" t="s">
        <v>307</v>
      </c>
      <c r="D1099" s="1" t="s">
        <v>9</v>
      </c>
      <c r="E1099" t="s">
        <v>22</v>
      </c>
      <c r="F1099" s="5" t="str">
        <f>HYPERLINK("http://www.otzar.org/book.asp?629125","ויאמר אליהו")</f>
        <v>ויאמר אליהו</v>
      </c>
    </row>
    <row r="1100" spans="1:6" x14ac:dyDescent="0.2">
      <c r="A1100" t="s">
        <v>2394</v>
      </c>
      <c r="B1100" t="s">
        <v>2395</v>
      </c>
      <c r="C1100" t="s">
        <v>25</v>
      </c>
      <c r="D1100" s="1" t="s">
        <v>9</v>
      </c>
      <c r="E1100" t="s">
        <v>660</v>
      </c>
      <c r="F1100" s="5" t="str">
        <f>HYPERLINK("http://www.otzar.org/book.asp?629991","ויברך דוד - עירובין, ברכות, אהלות")</f>
        <v>ויברך דוד - עירובין, ברכות, אהלות</v>
      </c>
    </row>
    <row r="1101" spans="1:6" x14ac:dyDescent="0.2">
      <c r="A1101" t="s">
        <v>2396</v>
      </c>
      <c r="B1101" t="s">
        <v>897</v>
      </c>
      <c r="C1101" t="s">
        <v>25</v>
      </c>
      <c r="D1101" s="1" t="s">
        <v>64</v>
      </c>
      <c r="E1101" t="s">
        <v>214</v>
      </c>
      <c r="F1101" s="5" t="str">
        <f>HYPERLINK("http://www.otzar.org/book.asp?629266","ויברך יהודה - ז")</f>
        <v>ויברך יהודה - ז</v>
      </c>
    </row>
    <row r="1102" spans="1:6" x14ac:dyDescent="0.2">
      <c r="A1102" t="s">
        <v>2397</v>
      </c>
      <c r="B1102" t="s">
        <v>2398</v>
      </c>
      <c r="C1102" t="s">
        <v>290</v>
      </c>
      <c r="D1102" s="1" t="s">
        <v>9</v>
      </c>
      <c r="E1102" t="s">
        <v>37</v>
      </c>
      <c r="F1102" s="5" t="str">
        <f>HYPERLINK("http://www.otzar.org/book.asp?629225","ויברך עזרא")</f>
        <v>ויברך עזרא</v>
      </c>
    </row>
    <row r="1103" spans="1:6" x14ac:dyDescent="0.2">
      <c r="A1103" t="s">
        <v>2399</v>
      </c>
      <c r="B1103" t="s">
        <v>2400</v>
      </c>
      <c r="C1103" t="s">
        <v>383</v>
      </c>
      <c r="D1103" s="1" t="s">
        <v>29</v>
      </c>
      <c r="E1103" t="s">
        <v>10</v>
      </c>
      <c r="F1103" s="5" t="str">
        <f>HYPERLINK("http://www.otzar.org/book.asp?626103","ויגד משה - אבות")</f>
        <v>ויגד משה - אבות</v>
      </c>
    </row>
    <row r="1104" spans="1:6" x14ac:dyDescent="0.2">
      <c r="A1104" t="s">
        <v>2401</v>
      </c>
      <c r="B1104" t="s">
        <v>2393</v>
      </c>
      <c r="C1104" t="s">
        <v>73</v>
      </c>
      <c r="D1104" s="1" t="s">
        <v>9</v>
      </c>
      <c r="E1104" t="s">
        <v>199</v>
      </c>
      <c r="F1104" s="5" t="str">
        <f>HYPERLINK("http://www.otzar.org/book.asp?629126","ויגש אליהו")</f>
        <v>ויגש אליהו</v>
      </c>
    </row>
    <row r="1105" spans="1:6" x14ac:dyDescent="0.2">
      <c r="A1105" t="s">
        <v>2402</v>
      </c>
      <c r="B1105" t="s">
        <v>2403</v>
      </c>
      <c r="C1105" t="s">
        <v>2404</v>
      </c>
      <c r="D1105" s="1" t="s">
        <v>2405</v>
      </c>
      <c r="F1105" s="5" t="str">
        <f>HYPERLINK("http://www.otzar.org/book.asp?624907","וידבר יוסף")</f>
        <v>וידבר יוסף</v>
      </c>
    </row>
    <row r="1106" spans="1:6" x14ac:dyDescent="0.2">
      <c r="A1106" t="s">
        <v>2406</v>
      </c>
      <c r="B1106" t="s">
        <v>1822</v>
      </c>
      <c r="C1106" t="s">
        <v>73</v>
      </c>
      <c r="D1106" s="1" t="s">
        <v>1280</v>
      </c>
      <c r="F1106" s="5" t="str">
        <f>HYPERLINK("http://www.otzar.org/book.asp?625834","וידבר משה - אלול תשרי")</f>
        <v>וידבר משה - אלול תשרי</v>
      </c>
    </row>
    <row r="1107" spans="1:6" x14ac:dyDescent="0.2">
      <c r="A1107" t="s">
        <v>2407</v>
      </c>
      <c r="B1107" t="s">
        <v>1849</v>
      </c>
      <c r="C1107" t="s">
        <v>40</v>
      </c>
      <c r="D1107" s="1" t="s">
        <v>14</v>
      </c>
      <c r="E1107" t="s">
        <v>49</v>
      </c>
      <c r="F1107" s="5" t="str">
        <f>HYPERLINK("http://www.otzar.org/book.asp?624929","וידבר משה")</f>
        <v>וידבר משה</v>
      </c>
    </row>
    <row r="1108" spans="1:6" x14ac:dyDescent="0.2">
      <c r="A1108" t="s">
        <v>2408</v>
      </c>
      <c r="B1108" t="s">
        <v>2409</v>
      </c>
      <c r="C1108" t="s">
        <v>2410</v>
      </c>
      <c r="D1108" s="1" t="s">
        <v>2411</v>
      </c>
      <c r="E1108" t="s">
        <v>671</v>
      </c>
      <c r="F1108" s="5" t="str">
        <f>HYPERLINK("http://www.otzar.org/book.asp?623723","וידבר משה - מועדים א")</f>
        <v>וידבר משה - מועדים א</v>
      </c>
    </row>
    <row r="1109" spans="1:6" x14ac:dyDescent="0.2">
      <c r="A1109" t="s">
        <v>2412</v>
      </c>
      <c r="B1109" t="s">
        <v>2413</v>
      </c>
      <c r="C1109" t="s">
        <v>29</v>
      </c>
      <c r="D1109" s="1" t="s">
        <v>52</v>
      </c>
      <c r="E1109" t="s">
        <v>17</v>
      </c>
      <c r="F1109" s="5" t="str">
        <f>HYPERLINK("http://www.otzar.org/book.asp?624647","ויהי בנסוע")</f>
        <v>ויהי בנסוע</v>
      </c>
    </row>
    <row r="1110" spans="1:6" x14ac:dyDescent="0.2">
      <c r="A1110" t="s">
        <v>2414</v>
      </c>
      <c r="B1110" t="s">
        <v>2415</v>
      </c>
      <c r="C1110" t="s">
        <v>25</v>
      </c>
      <c r="D1110" s="1" t="s">
        <v>29</v>
      </c>
      <c r="E1110" t="s">
        <v>30</v>
      </c>
      <c r="F1110" s="5" t="str">
        <f>HYPERLINK("http://www.otzar.org/book.asp?630118","ויהי בשבעים שנה")</f>
        <v>ויהי בשבעים שנה</v>
      </c>
    </row>
    <row r="1111" spans="1:6" x14ac:dyDescent="0.2">
      <c r="A1111" t="s">
        <v>2416</v>
      </c>
      <c r="B1111" t="s">
        <v>2417</v>
      </c>
      <c r="C1111" t="s">
        <v>73</v>
      </c>
      <c r="E1111" t="s">
        <v>49</v>
      </c>
      <c r="F1111" s="5" t="str">
        <f>HYPERLINK("http://www.otzar.org/book.asp?627916","ויהי ידיו אמונה")</f>
        <v>ויהי ידיו אמונה</v>
      </c>
    </row>
    <row r="1112" spans="1:6" x14ac:dyDescent="0.2">
      <c r="A1112" t="s">
        <v>2416</v>
      </c>
      <c r="B1112" t="s">
        <v>2418</v>
      </c>
      <c r="C1112" t="s">
        <v>13</v>
      </c>
      <c r="D1112" s="1" t="s">
        <v>52</v>
      </c>
      <c r="E1112" t="s">
        <v>49</v>
      </c>
      <c r="F1112" s="5" t="str">
        <f>HYPERLINK("http://www.otzar.org/book.asp?629672","ויהי ידיו אמונה")</f>
        <v>ויהי ידיו אמונה</v>
      </c>
    </row>
    <row r="1113" spans="1:6" x14ac:dyDescent="0.2">
      <c r="A1113" t="s">
        <v>2419</v>
      </c>
      <c r="B1113" t="s">
        <v>2420</v>
      </c>
      <c r="E1113" t="s">
        <v>168</v>
      </c>
      <c r="F1113" s="5" t="str">
        <f>HYPERLINK("http://www.otzar.org/book.asp?625757","ויואל יצחק - במדבר")</f>
        <v>ויואל יצחק - במדבר</v>
      </c>
    </row>
    <row r="1114" spans="1:6" x14ac:dyDescent="0.2">
      <c r="A1114" t="s">
        <v>2421</v>
      </c>
      <c r="B1114" t="s">
        <v>2422</v>
      </c>
      <c r="C1114" t="s">
        <v>73</v>
      </c>
      <c r="D1114" s="1" t="s">
        <v>864</v>
      </c>
      <c r="E1114" t="s">
        <v>49</v>
      </c>
      <c r="F1114" s="5" t="str">
        <f>HYPERLINK("http://www.otzar.org/book.asp?627278","ויואל משה עם ביאור כי טוב")</f>
        <v>ויואל משה עם ביאור כי טוב</v>
      </c>
    </row>
    <row r="1115" spans="1:6" x14ac:dyDescent="0.2">
      <c r="A1115" t="s">
        <v>2423</v>
      </c>
      <c r="B1115" t="s">
        <v>2424</v>
      </c>
      <c r="C1115" t="s">
        <v>694</v>
      </c>
      <c r="D1115" s="1" t="s">
        <v>1280</v>
      </c>
      <c r="F1115" s="5" t="str">
        <f>HYPERLINK("http://www.otzar.org/book.asp?631534","ויוסף אברהם &lt;מהדורה חדשה&gt;")</f>
        <v>ויוסף אברהם &lt;מהדורה חדשה&gt;</v>
      </c>
    </row>
    <row r="1116" spans="1:6" x14ac:dyDescent="0.2">
      <c r="A1116" t="s">
        <v>2425</v>
      </c>
      <c r="B1116" t="s">
        <v>2426</v>
      </c>
      <c r="C1116" t="s">
        <v>40</v>
      </c>
      <c r="D1116" s="1" t="s">
        <v>1096</v>
      </c>
      <c r="E1116" t="s">
        <v>41</v>
      </c>
      <c r="F1116" s="5" t="str">
        <f>HYPERLINK("http://www.otzar.org/book.asp?629259","ויזבח אלקנה - 5 כר'")</f>
        <v>ויזבח אלקנה - 5 כר'</v>
      </c>
    </row>
    <row r="1117" spans="1:6" x14ac:dyDescent="0.2">
      <c r="A1117" t="s">
        <v>2427</v>
      </c>
      <c r="B1117" t="s">
        <v>2428</v>
      </c>
      <c r="C1117" t="s">
        <v>383</v>
      </c>
      <c r="D1117" s="1" t="s">
        <v>52</v>
      </c>
      <c r="E1117" t="s">
        <v>34</v>
      </c>
      <c r="F1117" s="5" t="str">
        <f>HYPERLINK("http://www.otzar.org/book.asp?625957","ויחד לבבנו באמונתך - רבי משה לוי")</f>
        <v>ויחד לבבנו באמונתך - רבי משה לוי</v>
      </c>
    </row>
    <row r="1118" spans="1:6" x14ac:dyDescent="0.2">
      <c r="A1118" t="s">
        <v>2429</v>
      </c>
      <c r="B1118" t="s">
        <v>2430</v>
      </c>
      <c r="C1118" t="s">
        <v>2431</v>
      </c>
      <c r="D1118" s="1" t="s">
        <v>144</v>
      </c>
      <c r="E1118" t="s">
        <v>371</v>
      </c>
      <c r="F1118" s="5" t="str">
        <f>HYPERLINK("http://www.otzar.org/book.asp?623863","וילנה הציונית ועסקניה")</f>
        <v>וילנה הציונית ועסקניה</v>
      </c>
    </row>
    <row r="1119" spans="1:6" x14ac:dyDescent="0.2">
      <c r="A1119" t="s">
        <v>2432</v>
      </c>
      <c r="B1119" t="s">
        <v>2433</v>
      </c>
      <c r="C1119" t="s">
        <v>73</v>
      </c>
      <c r="D1119" s="1" t="s">
        <v>52</v>
      </c>
      <c r="E1119" t="s">
        <v>49</v>
      </c>
      <c r="F1119" s="5" t="str">
        <f>HYPERLINK("http://www.otzar.org/book.asp?626567","וימצא כתוב")</f>
        <v>וימצא כתוב</v>
      </c>
    </row>
    <row r="1120" spans="1:6" x14ac:dyDescent="0.2">
      <c r="A1120" t="s">
        <v>2434</v>
      </c>
      <c r="B1120" t="s">
        <v>897</v>
      </c>
      <c r="C1120" t="s">
        <v>190</v>
      </c>
      <c r="D1120" s="1" t="s">
        <v>9</v>
      </c>
      <c r="E1120" t="s">
        <v>214</v>
      </c>
      <c r="F1120" s="5" t="str">
        <f>HYPERLINK("http://www.otzar.org/book.asp?627856","ויעודם - 18 כר'")</f>
        <v>ויעודם - 18 כר'</v>
      </c>
    </row>
    <row r="1121" spans="1:6" x14ac:dyDescent="0.2">
      <c r="A1121" t="s">
        <v>2435</v>
      </c>
      <c r="B1121" t="s">
        <v>2436</v>
      </c>
      <c r="C1121" t="s">
        <v>383</v>
      </c>
      <c r="E1121" t="s">
        <v>41</v>
      </c>
      <c r="F1121" s="5" t="str">
        <f>HYPERLINK("http://www.otzar.org/book.asp?629254","ויען הכהן - 2 כר'")</f>
        <v>ויען הכהן - 2 כר'</v>
      </c>
    </row>
    <row r="1122" spans="1:6" x14ac:dyDescent="0.2">
      <c r="A1122" t="s">
        <v>2437</v>
      </c>
      <c r="B1122" t="s">
        <v>2438</v>
      </c>
      <c r="C1122" t="s">
        <v>20</v>
      </c>
      <c r="D1122" s="1" t="s">
        <v>29</v>
      </c>
      <c r="E1122" t="s">
        <v>41</v>
      </c>
      <c r="F1122" s="5" t="str">
        <f>HYPERLINK("http://www.otzar.org/book.asp?626128","ויען יוסף - יורה דעה ג")</f>
        <v>ויען יוסף - יורה דעה ג</v>
      </c>
    </row>
    <row r="1123" spans="1:6" x14ac:dyDescent="0.2">
      <c r="A1123" t="s">
        <v>2439</v>
      </c>
      <c r="B1123" t="s">
        <v>2440</v>
      </c>
      <c r="C1123" t="s">
        <v>136</v>
      </c>
      <c r="D1123" s="1" t="s">
        <v>471</v>
      </c>
      <c r="E1123" t="s">
        <v>61</v>
      </c>
      <c r="F1123" s="5" t="str">
        <f>HYPERLINK("http://www.otzar.org/book.asp?625828","ויקבוץ יוסף")</f>
        <v>ויקבוץ יוסף</v>
      </c>
    </row>
    <row r="1124" spans="1:6" x14ac:dyDescent="0.2">
      <c r="A1124" t="s">
        <v>2441</v>
      </c>
      <c r="B1124" t="s">
        <v>2442</v>
      </c>
      <c r="C1124" t="s">
        <v>92</v>
      </c>
      <c r="D1124" s="1" t="s">
        <v>9</v>
      </c>
      <c r="E1124" t="s">
        <v>154</v>
      </c>
      <c r="F1124" s="5" t="str">
        <f>HYPERLINK("http://www.otzar.org/book.asp?623644","ויקהל משה")</f>
        <v>ויקהל משה</v>
      </c>
    </row>
    <row r="1125" spans="1:6" x14ac:dyDescent="0.2">
      <c r="A1125" t="s">
        <v>2443</v>
      </c>
      <c r="B1125" t="s">
        <v>2444</v>
      </c>
      <c r="C1125" t="s">
        <v>2445</v>
      </c>
      <c r="D1125" s="1" t="s">
        <v>14</v>
      </c>
      <c r="E1125" t="s">
        <v>37</v>
      </c>
      <c r="F1125" s="5" t="str">
        <f>HYPERLINK("http://www.otzar.org/book.asp?623249","ויקהל משה - ה")</f>
        <v>ויקהל משה - ה</v>
      </c>
    </row>
    <row r="1126" spans="1:6" x14ac:dyDescent="0.2">
      <c r="A1126" t="s">
        <v>2446</v>
      </c>
      <c r="B1126" t="s">
        <v>2447</v>
      </c>
      <c r="C1126" t="s">
        <v>694</v>
      </c>
      <c r="D1126" s="1" t="s">
        <v>1906</v>
      </c>
      <c r="E1126" t="s">
        <v>37</v>
      </c>
      <c r="F1126" s="5" t="str">
        <f>HYPERLINK("http://www.otzar.org/book.asp?623930","ויקם עזרא - יחוד")</f>
        <v>ויקם עזרא - יחוד</v>
      </c>
    </row>
    <row r="1127" spans="1:6" x14ac:dyDescent="0.2">
      <c r="A1127" t="s">
        <v>2448</v>
      </c>
      <c r="B1127" t="s">
        <v>1796</v>
      </c>
      <c r="C1127" t="s">
        <v>13</v>
      </c>
      <c r="E1127" t="s">
        <v>2449</v>
      </c>
      <c r="F1127" s="5" t="str">
        <f>HYPERLINK("http://www.otzar.org/book.asp?626028","ויקרא בהם שמי - יבמות, חנוכה")</f>
        <v>ויקרא בהם שמי - יבמות, חנוכה</v>
      </c>
    </row>
    <row r="1128" spans="1:6" x14ac:dyDescent="0.2">
      <c r="A1128" t="s">
        <v>2450</v>
      </c>
      <c r="B1128" t="s">
        <v>2451</v>
      </c>
      <c r="C1128" t="s">
        <v>13</v>
      </c>
      <c r="D1128" s="1" t="s">
        <v>14</v>
      </c>
      <c r="E1128" t="s">
        <v>168</v>
      </c>
      <c r="F1128" s="5" t="str">
        <f>HYPERLINK("http://www.otzar.org/book.asp?627533","וירא יעקב - שמיני, תזריע, מצורע")</f>
        <v>וירא יעקב - שמיני, תזריע, מצורע</v>
      </c>
    </row>
    <row r="1129" spans="1:6" x14ac:dyDescent="0.2">
      <c r="A1129" t="s">
        <v>2452</v>
      </c>
      <c r="B1129" t="s">
        <v>2453</v>
      </c>
      <c r="C1129" t="s">
        <v>73</v>
      </c>
      <c r="D1129" s="1" t="s">
        <v>64</v>
      </c>
      <c r="E1129" t="s">
        <v>41</v>
      </c>
      <c r="F1129" s="5" t="str">
        <f>HYPERLINK("http://www.otzar.org/book.asp?629244","וישמע משה - 2 כר'")</f>
        <v>וישמע משה - 2 כר'</v>
      </c>
    </row>
    <row r="1130" spans="1:6" x14ac:dyDescent="0.2">
      <c r="A1130" t="s">
        <v>2454</v>
      </c>
      <c r="B1130" t="s">
        <v>2455</v>
      </c>
      <c r="C1130" t="s">
        <v>73</v>
      </c>
      <c r="D1130" s="1" t="s">
        <v>9</v>
      </c>
      <c r="E1130" t="s">
        <v>121</v>
      </c>
      <c r="F1130" s="5" t="str">
        <f>HYPERLINK("http://www.otzar.org/book.asp?629097","וישמע קולי")</f>
        <v>וישמע קולי</v>
      </c>
    </row>
    <row r="1131" spans="1:6" x14ac:dyDescent="0.2">
      <c r="A1131" t="s">
        <v>2456</v>
      </c>
      <c r="B1131" t="s">
        <v>156</v>
      </c>
      <c r="C1131" t="s">
        <v>206</v>
      </c>
      <c r="D1131" s="1" t="s">
        <v>158</v>
      </c>
      <c r="E1131" t="s">
        <v>2457</v>
      </c>
      <c r="F1131" s="5" t="str">
        <f>HYPERLINK("http://www.otzar.org/book.asp?626909","וכמטמונים תחפשנה - 2 כר'")</f>
        <v>וכמטמונים תחפשנה - 2 כר'</v>
      </c>
    </row>
    <row r="1132" spans="1:6" x14ac:dyDescent="0.2">
      <c r="A1132" t="s">
        <v>2458</v>
      </c>
      <c r="B1132" t="s">
        <v>2459</v>
      </c>
      <c r="E1132" t="s">
        <v>41</v>
      </c>
      <c r="F1132" s="5" t="str">
        <f>HYPERLINK("http://www.otzar.org/book.asp?623095","וכתב משה")</f>
        <v>וכתב משה</v>
      </c>
    </row>
    <row r="1133" spans="1:6" x14ac:dyDescent="0.2">
      <c r="A1133" t="s">
        <v>2460</v>
      </c>
      <c r="B1133" t="s">
        <v>2461</v>
      </c>
      <c r="C1133" t="s">
        <v>8</v>
      </c>
      <c r="D1133" s="1" t="s">
        <v>52</v>
      </c>
      <c r="E1133" t="s">
        <v>34</v>
      </c>
      <c r="F1133" s="5" t="str">
        <f>HYPERLINK("http://www.otzar.org/book.asp?629372","ולא בעל שבט הלוי בלבד")</f>
        <v>ולא בעל שבט הלוי בלבד</v>
      </c>
    </row>
    <row r="1134" spans="1:6" x14ac:dyDescent="0.2">
      <c r="A1134" t="s">
        <v>2462</v>
      </c>
      <c r="B1134" t="s">
        <v>2463</v>
      </c>
      <c r="C1134" t="s">
        <v>40</v>
      </c>
      <c r="D1134" s="1" t="s">
        <v>29</v>
      </c>
      <c r="E1134" t="s">
        <v>168</v>
      </c>
      <c r="F1134" s="5" t="str">
        <f>HYPERLINK("http://www.otzar.org/book.asp?626104","ולאשר אמר, ויגד משה - 3 כר'")</f>
        <v>ולאשר אמר, ויגד משה - 3 כר'</v>
      </c>
    </row>
    <row r="1135" spans="1:6" x14ac:dyDescent="0.2">
      <c r="A1135" t="s">
        <v>2464</v>
      </c>
      <c r="B1135" t="s">
        <v>2465</v>
      </c>
      <c r="C1135" t="s">
        <v>133</v>
      </c>
      <c r="D1135" s="1" t="s">
        <v>9</v>
      </c>
      <c r="E1135" t="s">
        <v>168</v>
      </c>
      <c r="F1135" s="5" t="str">
        <f>HYPERLINK("http://www.otzar.org/book.asp?629823","ומדותי פעולתם")</f>
        <v>ומדותי פעולתם</v>
      </c>
    </row>
    <row r="1136" spans="1:6" x14ac:dyDescent="0.2">
      <c r="A1136" t="s">
        <v>2466</v>
      </c>
      <c r="B1136" t="s">
        <v>156</v>
      </c>
      <c r="C1136" t="s">
        <v>174</v>
      </c>
      <c r="D1136" s="1" t="s">
        <v>158</v>
      </c>
      <c r="E1136" t="s">
        <v>683</v>
      </c>
      <c r="F1136" s="5" t="str">
        <f>HYPERLINK("http://www.otzar.org/book.asp?628548","וממנה יוושע")</f>
        <v>וממנה יוושע</v>
      </c>
    </row>
    <row r="1137" spans="1:6" x14ac:dyDescent="0.2">
      <c r="A1137" t="s">
        <v>2467</v>
      </c>
      <c r="B1137" t="s">
        <v>2468</v>
      </c>
      <c r="C1137" t="s">
        <v>73</v>
      </c>
      <c r="D1137" s="1" t="s">
        <v>52</v>
      </c>
      <c r="E1137" t="s">
        <v>214</v>
      </c>
      <c r="F1137" s="5" t="str">
        <f>HYPERLINK("http://www.otzar.org/book.asp?625749","ומקדשי תיראו - 5 כר'")</f>
        <v>ומקדשי תיראו - 5 כר'</v>
      </c>
    </row>
    <row r="1138" spans="1:6" x14ac:dyDescent="0.2">
      <c r="A1138" t="s">
        <v>2469</v>
      </c>
      <c r="B1138" t="s">
        <v>2470</v>
      </c>
      <c r="C1138" t="s">
        <v>13</v>
      </c>
      <c r="D1138" s="1" t="s">
        <v>14</v>
      </c>
      <c r="E1138" t="s">
        <v>22</v>
      </c>
      <c r="F1138" s="5" t="str">
        <f>HYPERLINK("http://www.otzar.org/book.asp?626000","ומתוקים מדבש")</f>
        <v>ומתוקים מדבש</v>
      </c>
    </row>
    <row r="1139" spans="1:6" x14ac:dyDescent="0.2">
      <c r="A1139" t="s">
        <v>2471</v>
      </c>
      <c r="B1139" t="s">
        <v>1565</v>
      </c>
      <c r="C1139" t="s">
        <v>190</v>
      </c>
      <c r="D1139" s="1" t="s">
        <v>29</v>
      </c>
      <c r="E1139" t="s">
        <v>49</v>
      </c>
      <c r="F1139" s="5" t="str">
        <f>HYPERLINK("http://www.otzar.org/book.asp?624657","ונבנתה עיר")</f>
        <v>ונבנתה עיר</v>
      </c>
    </row>
    <row r="1140" spans="1:6" x14ac:dyDescent="0.2">
      <c r="A1140" t="s">
        <v>2472</v>
      </c>
      <c r="C1140" t="s">
        <v>13</v>
      </c>
      <c r="D1140" s="1" t="s">
        <v>52</v>
      </c>
      <c r="E1140" t="s">
        <v>89</v>
      </c>
      <c r="F1140" s="5" t="str">
        <f>HYPERLINK("http://www.otzar.org/book.asp?628050","ונשמע פתגם - פורים")</f>
        <v>ונשמע פתגם - פורים</v>
      </c>
    </row>
    <row r="1141" spans="1:6" x14ac:dyDescent="0.2">
      <c r="A1141" t="s">
        <v>2473</v>
      </c>
      <c r="B1141" t="s">
        <v>2473</v>
      </c>
      <c r="C1141" t="s">
        <v>8</v>
      </c>
      <c r="D1141" s="1" t="s">
        <v>52</v>
      </c>
      <c r="E1141" t="s">
        <v>34</v>
      </c>
      <c r="F1141" s="5" t="str">
        <f>HYPERLINK("http://www.otzar.org/book.asp?630249","ונשמרתם")</f>
        <v>ונשמרתם</v>
      </c>
    </row>
    <row r="1142" spans="1:6" x14ac:dyDescent="0.2">
      <c r="A1142" t="s">
        <v>2474</v>
      </c>
      <c r="B1142" t="s">
        <v>2475</v>
      </c>
      <c r="C1142" t="s">
        <v>13</v>
      </c>
      <c r="D1142" s="1" t="s">
        <v>52</v>
      </c>
      <c r="E1142" t="s">
        <v>2476</v>
      </c>
      <c r="F1142" s="5" t="str">
        <f>HYPERLINK("http://www.otzar.org/book.asp?630521","ועבדי דוד -תדפיס")</f>
        <v>ועבדי דוד -תדפיס</v>
      </c>
    </row>
    <row r="1143" spans="1:6" x14ac:dyDescent="0.2">
      <c r="A1143" t="s">
        <v>2477</v>
      </c>
      <c r="B1143" t="s">
        <v>2478</v>
      </c>
      <c r="C1143" t="s">
        <v>606</v>
      </c>
      <c r="D1143" s="1" t="s">
        <v>2479</v>
      </c>
      <c r="E1143" t="s">
        <v>214</v>
      </c>
      <c r="F1143" s="5" t="str">
        <f>HYPERLINK("http://www.otzar.org/book.asp?628744","ועלה האיש")</f>
        <v>ועלה האיש</v>
      </c>
    </row>
    <row r="1144" spans="1:6" x14ac:dyDescent="0.2">
      <c r="A1144" t="s">
        <v>2480</v>
      </c>
      <c r="B1144" t="s">
        <v>2375</v>
      </c>
      <c r="C1144" t="s">
        <v>13</v>
      </c>
      <c r="D1144" s="1" t="s">
        <v>9</v>
      </c>
      <c r="E1144" t="s">
        <v>242</v>
      </c>
      <c r="F1144" s="5" t="str">
        <f>HYPERLINK("http://www.otzar.org/book.asp?630027","וערך הכהן")</f>
        <v>וערך הכהן</v>
      </c>
    </row>
    <row r="1145" spans="1:6" x14ac:dyDescent="0.2">
      <c r="A1145" t="s">
        <v>2481</v>
      </c>
      <c r="B1145" t="s">
        <v>94</v>
      </c>
      <c r="C1145" t="s">
        <v>20</v>
      </c>
      <c r="D1145" s="1" t="s">
        <v>1280</v>
      </c>
      <c r="E1145" t="s">
        <v>214</v>
      </c>
      <c r="F1145" s="5" t="str">
        <f>HYPERLINK("http://www.otzar.org/book.asp?629779","ועתה כתבו לכם - הלכות שבת ויום טוב")</f>
        <v>ועתה כתבו לכם - הלכות שבת ויום טוב</v>
      </c>
    </row>
    <row r="1146" spans="1:6" x14ac:dyDescent="0.2">
      <c r="A1146" t="s">
        <v>2482</v>
      </c>
      <c r="B1146" t="s">
        <v>2483</v>
      </c>
      <c r="C1146" t="s">
        <v>245</v>
      </c>
      <c r="D1146" s="1" t="s">
        <v>2484</v>
      </c>
      <c r="E1146" t="s">
        <v>49</v>
      </c>
      <c r="F1146" s="5" t="str">
        <f>HYPERLINK("http://www.otzar.org/book.asp?626075","ופרוס עליה סוכת שלומך")</f>
        <v>ופרוס עליה סוכת שלומך</v>
      </c>
    </row>
    <row r="1147" spans="1:6" x14ac:dyDescent="0.2">
      <c r="A1147" t="s">
        <v>2485</v>
      </c>
      <c r="B1147" t="s">
        <v>2486</v>
      </c>
      <c r="C1147" t="s">
        <v>8</v>
      </c>
      <c r="D1147" s="1" t="s">
        <v>14</v>
      </c>
      <c r="E1147" t="s">
        <v>37</v>
      </c>
      <c r="F1147" s="5" t="str">
        <f>HYPERLINK("http://www.otzar.org/book.asp?626602","וקראת לשבת עונג - מי שלא קידש בלילה")</f>
        <v>וקראת לשבת עונג - מי שלא קידש בלילה</v>
      </c>
    </row>
    <row r="1148" spans="1:6" x14ac:dyDescent="0.2">
      <c r="A1148" t="s">
        <v>2487</v>
      </c>
      <c r="B1148" t="s">
        <v>506</v>
      </c>
      <c r="C1148" t="s">
        <v>8</v>
      </c>
      <c r="D1148" s="1" t="s">
        <v>14</v>
      </c>
      <c r="E1148" t="s">
        <v>49</v>
      </c>
      <c r="F1148" s="5" t="str">
        <f>HYPERLINK("http://www.otzar.org/book.asp?629379","ורפא ירפא")</f>
        <v>ורפא ירפא</v>
      </c>
    </row>
    <row r="1149" spans="1:6" x14ac:dyDescent="0.2">
      <c r="A1149" t="s">
        <v>2488</v>
      </c>
      <c r="B1149" t="s">
        <v>2489</v>
      </c>
      <c r="C1149" t="s">
        <v>136</v>
      </c>
      <c r="D1149" s="1" t="s">
        <v>213</v>
      </c>
      <c r="E1149" t="s">
        <v>37</v>
      </c>
      <c r="F1149" s="5" t="str">
        <f>HYPERLINK("http://www.otzar.org/book.asp?623976","ושכנתי בתוכם")</f>
        <v>ושכנתי בתוכם</v>
      </c>
    </row>
    <row r="1150" spans="1:6" x14ac:dyDescent="0.2">
      <c r="A1150" t="s">
        <v>2490</v>
      </c>
      <c r="B1150" t="s">
        <v>2491</v>
      </c>
      <c r="C1150" t="s">
        <v>8</v>
      </c>
      <c r="D1150" s="1" t="s">
        <v>14</v>
      </c>
      <c r="E1150" t="s">
        <v>371</v>
      </c>
      <c r="F1150" s="5" t="str">
        <f>HYPERLINK("http://www.otzar.org/book.asp?626241","ושמואל בקראי שמו")</f>
        <v>ושמואל בקראי שמו</v>
      </c>
    </row>
    <row r="1151" spans="1:6" x14ac:dyDescent="0.2">
      <c r="A1151" t="s">
        <v>2492</v>
      </c>
      <c r="B1151" t="s">
        <v>28</v>
      </c>
      <c r="C1151" t="s">
        <v>73</v>
      </c>
      <c r="D1151" s="1" t="s">
        <v>29</v>
      </c>
      <c r="E1151" t="s">
        <v>30</v>
      </c>
      <c r="F1151" s="5" t="str">
        <f>HYPERLINK("http://www.otzar.org/book.asp?627069","ושמחת בחגך - חג הסוכות ה")</f>
        <v>ושמחת בחגך - חג הסוכות ה</v>
      </c>
    </row>
    <row r="1152" spans="1:6" x14ac:dyDescent="0.2">
      <c r="A1152" t="s">
        <v>2493</v>
      </c>
      <c r="B1152" t="s">
        <v>2494</v>
      </c>
      <c r="C1152" t="s">
        <v>20</v>
      </c>
      <c r="D1152" s="1" t="s">
        <v>52</v>
      </c>
      <c r="E1152" t="s">
        <v>34</v>
      </c>
      <c r="F1152" s="5" t="str">
        <f>HYPERLINK("http://www.otzar.org/book.asp?625860","ושמחת בחייך")</f>
        <v>ושמחת בחייך</v>
      </c>
    </row>
    <row r="1153" spans="1:6" x14ac:dyDescent="0.2">
      <c r="A1153" t="s">
        <v>2495</v>
      </c>
      <c r="B1153" t="s">
        <v>2496</v>
      </c>
      <c r="C1153" t="s">
        <v>13</v>
      </c>
      <c r="D1153" s="1" t="s">
        <v>14</v>
      </c>
      <c r="E1153" t="s">
        <v>22</v>
      </c>
      <c r="F1153" s="5" t="str">
        <f>HYPERLINK("http://www.otzar.org/book.asp?627400","ושמרו - ג")</f>
        <v>ושמרו - ג</v>
      </c>
    </row>
    <row r="1154" spans="1:6" x14ac:dyDescent="0.2">
      <c r="A1154" t="s">
        <v>2497</v>
      </c>
      <c r="B1154" t="s">
        <v>2498</v>
      </c>
      <c r="C1154" t="s">
        <v>20</v>
      </c>
      <c r="D1154" s="1" t="s">
        <v>911</v>
      </c>
      <c r="E1154" t="s">
        <v>242</v>
      </c>
      <c r="F1154" s="5" t="str">
        <f>HYPERLINK("http://www.otzar.org/book.asp?623931","ושננתם לבניך")</f>
        <v>ושננתם לבניך</v>
      </c>
    </row>
    <row r="1155" spans="1:6" x14ac:dyDescent="0.2">
      <c r="A1155" t="s">
        <v>2497</v>
      </c>
      <c r="B1155" t="s">
        <v>2499</v>
      </c>
      <c r="C1155" t="s">
        <v>307</v>
      </c>
      <c r="D1155" s="1" t="s">
        <v>557</v>
      </c>
      <c r="E1155" t="s">
        <v>49</v>
      </c>
      <c r="F1155" s="5" t="str">
        <f>HYPERLINK("http://www.otzar.org/book.asp?630569","ושננתם לבניך")</f>
        <v>ושננתם לבניך</v>
      </c>
    </row>
    <row r="1156" spans="1:6" x14ac:dyDescent="0.2">
      <c r="A1156" t="s">
        <v>2500</v>
      </c>
      <c r="B1156" t="s">
        <v>2501</v>
      </c>
      <c r="C1156" t="s">
        <v>92</v>
      </c>
      <c r="D1156" s="1" t="s">
        <v>9</v>
      </c>
      <c r="E1156" t="s">
        <v>2502</v>
      </c>
      <c r="F1156" s="5" t="str">
        <f>HYPERLINK("http://www.otzar.org/book.asp?13088","ושננתם לבניך - 3 כר'")</f>
        <v>ושננתם לבניך - 3 כר'</v>
      </c>
    </row>
    <row r="1157" spans="1:6" x14ac:dyDescent="0.2">
      <c r="A1157" t="s">
        <v>2503</v>
      </c>
      <c r="B1157" t="s">
        <v>2504</v>
      </c>
      <c r="C1157" t="s">
        <v>13</v>
      </c>
      <c r="D1157" s="1" t="s">
        <v>557</v>
      </c>
      <c r="E1157" t="s">
        <v>2505</v>
      </c>
      <c r="F1157" s="5" t="str">
        <f>HYPERLINK("http://www.otzar.org/book.asp?630495","ותחי רוח יעקב")</f>
        <v>ותחי רוח יעקב</v>
      </c>
    </row>
    <row r="1158" spans="1:6" x14ac:dyDescent="0.2">
      <c r="A1158" t="s">
        <v>2506</v>
      </c>
      <c r="B1158" t="s">
        <v>2507</v>
      </c>
      <c r="C1158" t="s">
        <v>206</v>
      </c>
      <c r="D1158" s="1" t="s">
        <v>14</v>
      </c>
      <c r="E1158" t="s">
        <v>89</v>
      </c>
      <c r="F1158" s="5" t="str">
        <f>HYPERLINK("http://www.otzar.org/book.asp?629312","ותלמודו בידו - 8 כר'")</f>
        <v>ותלמודו בידו - 8 כר'</v>
      </c>
    </row>
    <row r="1159" spans="1:6" x14ac:dyDescent="0.2">
      <c r="A1159" t="s">
        <v>2508</v>
      </c>
      <c r="B1159" t="s">
        <v>2509</v>
      </c>
      <c r="C1159" t="s">
        <v>40</v>
      </c>
      <c r="D1159" s="1" t="s">
        <v>14</v>
      </c>
      <c r="E1159" t="s">
        <v>37</v>
      </c>
      <c r="F1159" s="5" t="str">
        <f>HYPERLINK("http://www.otzar.org/book.asp?626218","זאת התרומה")</f>
        <v>זאת התרומה</v>
      </c>
    </row>
    <row r="1160" spans="1:6" x14ac:dyDescent="0.2">
      <c r="A1160" t="s">
        <v>2510</v>
      </c>
      <c r="B1160" t="s">
        <v>2511</v>
      </c>
      <c r="C1160" t="s">
        <v>2512</v>
      </c>
      <c r="D1160" s="1" t="s">
        <v>2094</v>
      </c>
      <c r="E1160" t="s">
        <v>49</v>
      </c>
      <c r="F1160" s="5" t="str">
        <f>HYPERLINK("http://www.otzar.org/book.asp?624566","זאת עשו וחיו")</f>
        <v>זאת עשו וחיו</v>
      </c>
    </row>
    <row r="1161" spans="1:6" x14ac:dyDescent="0.2">
      <c r="A1161" t="s">
        <v>2513</v>
      </c>
      <c r="B1161" t="s">
        <v>2514</v>
      </c>
      <c r="C1161" t="s">
        <v>1846</v>
      </c>
      <c r="D1161" s="1" t="s">
        <v>114</v>
      </c>
      <c r="E1161" t="s">
        <v>2515</v>
      </c>
      <c r="F1161" s="5" t="str">
        <f>HYPERLINK("http://www.otzar.org/book.asp?624764","זבח תודה")</f>
        <v>זבח תודה</v>
      </c>
    </row>
    <row r="1162" spans="1:6" x14ac:dyDescent="0.2">
      <c r="A1162" t="s">
        <v>2516</v>
      </c>
      <c r="B1162" t="s">
        <v>2517</v>
      </c>
      <c r="C1162" t="s">
        <v>13</v>
      </c>
      <c r="D1162" s="1" t="s">
        <v>14</v>
      </c>
      <c r="E1162" t="s">
        <v>199</v>
      </c>
      <c r="F1162" s="5" t="str">
        <f>HYPERLINK("http://www.otzar.org/book.asp?628662","זבחי איש")</f>
        <v>זבחי איש</v>
      </c>
    </row>
    <row r="1163" spans="1:6" x14ac:dyDescent="0.2">
      <c r="A1163" t="s">
        <v>2518</v>
      </c>
      <c r="B1163" t="s">
        <v>2519</v>
      </c>
      <c r="C1163" t="s">
        <v>20</v>
      </c>
      <c r="D1163" s="1" t="s">
        <v>29</v>
      </c>
      <c r="E1163" t="s">
        <v>168</v>
      </c>
      <c r="F1163" s="5" t="str">
        <f>HYPERLINK("http://www.otzar.org/book.asp?629563","זה דודי")</f>
        <v>זה דודי</v>
      </c>
    </row>
    <row r="1164" spans="1:6" x14ac:dyDescent="0.2">
      <c r="A1164" t="s">
        <v>2520</v>
      </c>
      <c r="B1164" t="s">
        <v>2521</v>
      </c>
      <c r="C1164" t="s">
        <v>40</v>
      </c>
      <c r="D1164" s="1" t="s">
        <v>9</v>
      </c>
      <c r="E1164" t="s">
        <v>37</v>
      </c>
      <c r="F1164" s="5" t="str">
        <f>HYPERLINK("http://www.otzar.org/book.asp?630498","זה השער לה' - הלכות מזוזה")</f>
        <v>זה השער לה' - הלכות מזוזה</v>
      </c>
    </row>
    <row r="1165" spans="1:6" x14ac:dyDescent="0.2">
      <c r="A1165" t="s">
        <v>2522</v>
      </c>
      <c r="B1165" t="s">
        <v>2523</v>
      </c>
      <c r="C1165" t="s">
        <v>88</v>
      </c>
      <c r="D1165" s="1" t="s">
        <v>756</v>
      </c>
      <c r="E1165" t="s">
        <v>49</v>
      </c>
      <c r="F1165" s="5" t="str">
        <f>HYPERLINK("http://www.otzar.org/book.asp?624602","זהב הארץ")</f>
        <v>זהב הארץ</v>
      </c>
    </row>
    <row r="1166" spans="1:6" x14ac:dyDescent="0.2">
      <c r="A1166" t="s">
        <v>2524</v>
      </c>
      <c r="B1166" t="s">
        <v>2525</v>
      </c>
      <c r="C1166" t="s">
        <v>133</v>
      </c>
      <c r="D1166" s="1" t="s">
        <v>9</v>
      </c>
      <c r="E1166" t="s">
        <v>37</v>
      </c>
      <c r="F1166" s="5" t="str">
        <f>HYPERLINK("http://www.otzar.org/book.asp?631097","זהב ולבונה - ה (קשירה בשבת)")</f>
        <v>זהב ולבונה - ה (קשירה בשבת)</v>
      </c>
    </row>
    <row r="1167" spans="1:6" x14ac:dyDescent="0.2">
      <c r="A1167" t="s">
        <v>2526</v>
      </c>
      <c r="B1167" t="s">
        <v>2527</v>
      </c>
      <c r="C1167" t="s">
        <v>20</v>
      </c>
      <c r="D1167" s="1" t="s">
        <v>29</v>
      </c>
      <c r="E1167" t="s">
        <v>44</v>
      </c>
      <c r="F1167" s="5" t="str">
        <f>HYPERLINK("http://www.otzar.org/book.asp?626938","זהר &lt;פירוש זהר בהיר&gt; - 2 כר'")</f>
        <v>זהר &lt;פירוש זהר בהיר&gt; - 2 כר'</v>
      </c>
    </row>
    <row r="1168" spans="1:6" x14ac:dyDescent="0.2">
      <c r="A1168" t="s">
        <v>2528</v>
      </c>
      <c r="B1168" t="s">
        <v>2529</v>
      </c>
      <c r="C1168" t="s">
        <v>1807</v>
      </c>
      <c r="D1168" s="1" t="s">
        <v>2530</v>
      </c>
      <c r="E1168" t="s">
        <v>37</v>
      </c>
      <c r="F1168" s="5" t="str">
        <f>HYPERLINK("http://www.otzar.org/book.asp?623560","זובח תודה")</f>
        <v>זובח תודה</v>
      </c>
    </row>
    <row r="1169" spans="1:6" x14ac:dyDescent="0.2">
      <c r="A1169" t="s">
        <v>2531</v>
      </c>
      <c r="B1169" t="s">
        <v>2436</v>
      </c>
      <c r="C1169" t="s">
        <v>20</v>
      </c>
      <c r="E1169" t="s">
        <v>37</v>
      </c>
      <c r="F1169" s="5" t="str">
        <f>HYPERLINK("http://www.otzar.org/book.asp?624821","זוהר הרקיע")</f>
        <v>זוהר הרקיע</v>
      </c>
    </row>
    <row r="1170" spans="1:6" x14ac:dyDescent="0.2">
      <c r="A1170" t="s">
        <v>2532</v>
      </c>
      <c r="B1170" t="s">
        <v>2533</v>
      </c>
      <c r="C1170" t="s">
        <v>13</v>
      </c>
      <c r="D1170" s="1" t="s">
        <v>14</v>
      </c>
      <c r="E1170" t="s">
        <v>10</v>
      </c>
      <c r="F1170" s="5" t="str">
        <f>HYPERLINK("http://www.otzar.org/book.asp?625746","זיו אבות - אבות פרק ב")</f>
        <v>זיו אבות - אבות פרק ב</v>
      </c>
    </row>
    <row r="1171" spans="1:6" x14ac:dyDescent="0.2">
      <c r="A1171" t="s">
        <v>2534</v>
      </c>
      <c r="B1171" t="s">
        <v>2519</v>
      </c>
      <c r="C1171" t="s">
        <v>73</v>
      </c>
      <c r="D1171" s="1" t="s">
        <v>29</v>
      </c>
      <c r="E1171" t="s">
        <v>168</v>
      </c>
      <c r="F1171" s="5" t="str">
        <f>HYPERLINK("http://www.otzar.org/book.asp?629562","זיו החכמה")</f>
        <v>זיו החכמה</v>
      </c>
    </row>
    <row r="1172" spans="1:6" x14ac:dyDescent="0.2">
      <c r="A1172" t="s">
        <v>2535</v>
      </c>
      <c r="B1172" t="s">
        <v>2536</v>
      </c>
      <c r="D1172" s="1" t="s">
        <v>557</v>
      </c>
      <c r="E1172" t="s">
        <v>22</v>
      </c>
      <c r="F1172" s="5" t="str">
        <f>HYPERLINK("http://www.otzar.org/book.asp?622544","זיו קידושין")</f>
        <v>זיו קידושין</v>
      </c>
    </row>
    <row r="1173" spans="1:6" x14ac:dyDescent="0.2">
      <c r="A1173" t="s">
        <v>2537</v>
      </c>
      <c r="B1173" t="s">
        <v>2538</v>
      </c>
      <c r="C1173" t="s">
        <v>386</v>
      </c>
      <c r="D1173" s="1" t="s">
        <v>14</v>
      </c>
      <c r="E1173" t="s">
        <v>37</v>
      </c>
      <c r="F1173" s="5" t="str">
        <f>HYPERLINK("http://www.otzar.org/book.asp?623933","זיווג משמים")</f>
        <v>זיווג משמים</v>
      </c>
    </row>
    <row r="1174" spans="1:6" x14ac:dyDescent="0.2">
      <c r="A1174" t="s">
        <v>2539</v>
      </c>
      <c r="B1174" t="s">
        <v>2540</v>
      </c>
      <c r="C1174" t="s">
        <v>133</v>
      </c>
      <c r="D1174" s="1" t="s">
        <v>9</v>
      </c>
      <c r="F1174" s="5" t="str">
        <f>HYPERLINK("http://www.otzar.org/book.asp?630259","זכור ברית")</f>
        <v>זכור ברית</v>
      </c>
    </row>
    <row r="1175" spans="1:6" x14ac:dyDescent="0.2">
      <c r="A1175" t="s">
        <v>2541</v>
      </c>
      <c r="B1175" t="s">
        <v>2542</v>
      </c>
      <c r="C1175" t="s">
        <v>454</v>
      </c>
      <c r="D1175" s="1" t="s">
        <v>9</v>
      </c>
      <c r="E1175" t="s">
        <v>214</v>
      </c>
      <c r="F1175" s="5" t="str">
        <f>HYPERLINK("http://www.otzar.org/book.asp?627386","זכור זאת ליעקב")</f>
        <v>זכור זאת ליעקב</v>
      </c>
    </row>
    <row r="1176" spans="1:6" x14ac:dyDescent="0.2">
      <c r="A1176" t="s">
        <v>2543</v>
      </c>
      <c r="B1176" t="s">
        <v>2544</v>
      </c>
      <c r="C1176" t="s">
        <v>13</v>
      </c>
      <c r="D1176" s="1" t="s">
        <v>107</v>
      </c>
      <c r="E1176" t="s">
        <v>154</v>
      </c>
      <c r="F1176" s="5" t="str">
        <f>HYPERLINK("http://www.otzar.org/book.asp?630507","זכור לאברהם - 2 כר'")</f>
        <v>זכור לאברהם - 2 כר'</v>
      </c>
    </row>
    <row r="1177" spans="1:6" x14ac:dyDescent="0.2">
      <c r="A1177" t="s">
        <v>2545</v>
      </c>
      <c r="B1177" t="s">
        <v>2546</v>
      </c>
      <c r="C1177" t="s">
        <v>206</v>
      </c>
      <c r="D1177" s="1" t="s">
        <v>229</v>
      </c>
      <c r="E1177" t="s">
        <v>2547</v>
      </c>
      <c r="F1177" s="5" t="str">
        <f>HYPERLINK("http://www.otzar.org/book.asp?624894","זכור לדוד - תורה ומועדים")</f>
        <v>זכור לדוד - תורה ומועדים</v>
      </c>
    </row>
    <row r="1178" spans="1:6" x14ac:dyDescent="0.2">
      <c r="A1178" t="s">
        <v>2548</v>
      </c>
      <c r="B1178" t="s">
        <v>2549</v>
      </c>
      <c r="C1178" t="s">
        <v>1385</v>
      </c>
      <c r="D1178" s="1" t="s">
        <v>14</v>
      </c>
      <c r="F1178" s="5" t="str">
        <f>HYPERLINK("http://www.otzar.org/book.asp?632034","זכור למרים")</f>
        <v>זכור למרים</v>
      </c>
    </row>
    <row r="1179" spans="1:6" x14ac:dyDescent="0.2">
      <c r="A1179" t="s">
        <v>2550</v>
      </c>
      <c r="B1179" t="s">
        <v>2551</v>
      </c>
      <c r="E1179" t="s">
        <v>2552</v>
      </c>
      <c r="F1179" s="5" t="str">
        <f>HYPERLINK("http://www.otzar.org/book.asp?626503","זכות לאהרן")</f>
        <v>זכות לאהרן</v>
      </c>
    </row>
    <row r="1180" spans="1:6" x14ac:dyDescent="0.2">
      <c r="A1180" t="s">
        <v>2553</v>
      </c>
      <c r="B1180" t="s">
        <v>1166</v>
      </c>
      <c r="C1180" t="s">
        <v>73</v>
      </c>
      <c r="D1180" s="1" t="s">
        <v>14</v>
      </c>
      <c r="E1180" t="s">
        <v>121</v>
      </c>
      <c r="F1180" s="5" t="str">
        <f>HYPERLINK("http://www.otzar.org/book.asp?628581","זכותא דיעקב")</f>
        <v>זכותא דיעקב</v>
      </c>
    </row>
    <row r="1181" spans="1:6" x14ac:dyDescent="0.2">
      <c r="A1181" t="s">
        <v>2554</v>
      </c>
      <c r="B1181" t="s">
        <v>2555</v>
      </c>
      <c r="C1181" t="s">
        <v>2556</v>
      </c>
      <c r="D1181" s="1" t="s">
        <v>537</v>
      </c>
      <c r="E1181" t="s">
        <v>34</v>
      </c>
      <c r="F1181" s="5" t="str">
        <f>HYPERLINK("http://www.otzar.org/book.asp?624577","זכר לחיים")</f>
        <v>זכר לחיים</v>
      </c>
    </row>
    <row r="1182" spans="1:6" x14ac:dyDescent="0.2">
      <c r="A1182" t="s">
        <v>2557</v>
      </c>
      <c r="B1182" t="s">
        <v>2558</v>
      </c>
      <c r="E1182" t="s">
        <v>371</v>
      </c>
      <c r="F1182" s="5" t="str">
        <f>HYPERLINK("http://www.otzar.org/book.asp?622537","זכר צדיק לברכה")</f>
        <v>זכר צדיק לברכה</v>
      </c>
    </row>
    <row r="1183" spans="1:6" x14ac:dyDescent="0.2">
      <c r="A1183" t="s">
        <v>2559</v>
      </c>
      <c r="B1183" t="s">
        <v>482</v>
      </c>
      <c r="C1183" t="s">
        <v>8</v>
      </c>
      <c r="D1183" s="1" t="s">
        <v>9</v>
      </c>
      <c r="E1183" t="s">
        <v>37</v>
      </c>
      <c r="F1183" s="5" t="str">
        <f>HYPERLINK("http://www.otzar.org/book.asp?625781","זכרו לעולם בריתו")</f>
        <v>זכרו לעולם בריתו</v>
      </c>
    </row>
    <row r="1184" spans="1:6" x14ac:dyDescent="0.2">
      <c r="A1184" t="s">
        <v>2560</v>
      </c>
      <c r="B1184" t="s">
        <v>2561</v>
      </c>
      <c r="C1184" t="s">
        <v>2562</v>
      </c>
      <c r="D1184" s="1" t="s">
        <v>9</v>
      </c>
      <c r="E1184" t="s">
        <v>37</v>
      </c>
      <c r="F1184" s="5" t="str">
        <f>HYPERLINK("http://www.otzar.org/book.asp?623767","זכרו תורת משה &lt;מהדורה חדשה&gt;")</f>
        <v>זכרו תורת משה &lt;מהדורה חדשה&gt;</v>
      </c>
    </row>
    <row r="1185" spans="1:6" x14ac:dyDescent="0.2">
      <c r="A1185" t="s">
        <v>2563</v>
      </c>
      <c r="B1185" t="s">
        <v>2561</v>
      </c>
      <c r="C1185" t="s">
        <v>2564</v>
      </c>
      <c r="D1185" s="1" t="s">
        <v>355</v>
      </c>
      <c r="E1185" t="s">
        <v>154</v>
      </c>
      <c r="F1185" s="5" t="str">
        <f>HYPERLINK("http://www.otzar.org/book.asp?624778","זכרו תורת משה - 2 כר'")</f>
        <v>זכרו תורת משה - 2 כר'</v>
      </c>
    </row>
    <row r="1186" spans="1:6" x14ac:dyDescent="0.2">
      <c r="A1186" t="s">
        <v>2565</v>
      </c>
      <c r="B1186" t="s">
        <v>2566</v>
      </c>
      <c r="C1186" t="s">
        <v>133</v>
      </c>
      <c r="D1186" s="1" t="s">
        <v>2567</v>
      </c>
      <c r="E1186" t="s">
        <v>214</v>
      </c>
      <c r="F1186" s="5" t="str">
        <f>HYPERLINK("http://www.otzar.org/book.asp?624837","זכרון אליהו משה")</f>
        <v>זכרון אליהו משה</v>
      </c>
    </row>
    <row r="1187" spans="1:6" x14ac:dyDescent="0.2">
      <c r="A1187" t="s">
        <v>2568</v>
      </c>
      <c r="B1187" t="s">
        <v>2569</v>
      </c>
      <c r="C1187" t="s">
        <v>307</v>
      </c>
      <c r="E1187" t="s">
        <v>214</v>
      </c>
      <c r="F1187" s="5" t="str">
        <f>HYPERLINK("http://www.otzar.org/book.asp?625416","זכרון אלעזר")</f>
        <v>זכרון אלעזר</v>
      </c>
    </row>
    <row r="1188" spans="1:6" x14ac:dyDescent="0.2">
      <c r="A1188" t="s">
        <v>2570</v>
      </c>
      <c r="B1188" t="s">
        <v>2571</v>
      </c>
      <c r="C1188" t="s">
        <v>8</v>
      </c>
      <c r="D1188" s="1" t="s">
        <v>2567</v>
      </c>
      <c r="E1188" t="s">
        <v>214</v>
      </c>
      <c r="F1188" s="5" t="str">
        <f>HYPERLINK("http://www.otzar.org/book.asp?624691","זכרון ברוך")</f>
        <v>זכרון ברוך</v>
      </c>
    </row>
    <row r="1189" spans="1:6" x14ac:dyDescent="0.2">
      <c r="A1189" t="s">
        <v>2572</v>
      </c>
      <c r="B1189" t="s">
        <v>1940</v>
      </c>
      <c r="C1189" t="s">
        <v>386</v>
      </c>
      <c r="D1189" s="1" t="s">
        <v>52</v>
      </c>
      <c r="E1189" t="s">
        <v>214</v>
      </c>
      <c r="F1189" s="5" t="str">
        <f>HYPERLINK("http://www.otzar.org/book.asp?623433","זכרון ברוריה")</f>
        <v>זכרון ברוריה</v>
      </c>
    </row>
    <row r="1190" spans="1:6" x14ac:dyDescent="0.2">
      <c r="A1190" t="s">
        <v>2573</v>
      </c>
      <c r="B1190" t="s">
        <v>2574</v>
      </c>
      <c r="C1190" t="s">
        <v>2575</v>
      </c>
      <c r="D1190" s="1" t="s">
        <v>48</v>
      </c>
      <c r="F1190" s="5" t="str">
        <f>HYPERLINK("http://www.otzar.org/book.asp?627017","זכרון זאת - &lt;מהדו""ר&gt;")</f>
        <v>זכרון זאת - &lt;מהדו"ר&gt;</v>
      </c>
    </row>
    <row r="1191" spans="1:6" x14ac:dyDescent="0.2">
      <c r="A1191" t="s">
        <v>1320</v>
      </c>
      <c r="B1191" t="s">
        <v>2576</v>
      </c>
      <c r="C1191" t="s">
        <v>13</v>
      </c>
      <c r="D1191" s="1" t="s">
        <v>29</v>
      </c>
      <c r="E1191" t="s">
        <v>10</v>
      </c>
      <c r="F1191" s="5" t="str">
        <f>HYPERLINK("http://www.otzar.org/book.asp?628743","זכרון יעקב")</f>
        <v>זכרון יעקב</v>
      </c>
    </row>
    <row r="1192" spans="1:6" x14ac:dyDescent="0.2">
      <c r="A1192" t="s">
        <v>1320</v>
      </c>
      <c r="B1192" t="s">
        <v>2577</v>
      </c>
      <c r="C1192" t="s">
        <v>206</v>
      </c>
      <c r="D1192" s="1" t="s">
        <v>9</v>
      </c>
      <c r="E1192" t="s">
        <v>214</v>
      </c>
      <c r="F1192" s="5" t="str">
        <f>HYPERLINK("http://www.otzar.org/book.asp?625579","זכרון יעקב")</f>
        <v>זכרון יעקב</v>
      </c>
    </row>
    <row r="1193" spans="1:6" x14ac:dyDescent="0.2">
      <c r="A1193" t="s">
        <v>2578</v>
      </c>
      <c r="B1193" t="s">
        <v>2579</v>
      </c>
      <c r="C1193" t="s">
        <v>13</v>
      </c>
      <c r="D1193" s="1" t="s">
        <v>14</v>
      </c>
      <c r="E1193" t="s">
        <v>22</v>
      </c>
      <c r="F1193" s="5" t="str">
        <f>HYPERLINK("http://www.otzar.org/book.asp?623800","זכרון יצחק - ד")</f>
        <v>זכרון יצחק - ד</v>
      </c>
    </row>
    <row r="1194" spans="1:6" x14ac:dyDescent="0.2">
      <c r="A1194" t="s">
        <v>2580</v>
      </c>
      <c r="B1194" t="s">
        <v>94</v>
      </c>
      <c r="C1194" t="s">
        <v>8</v>
      </c>
      <c r="D1194" s="1" t="s">
        <v>52</v>
      </c>
      <c r="E1194" t="s">
        <v>214</v>
      </c>
      <c r="F1194" s="5" t="str">
        <f>HYPERLINK("http://www.otzar.org/book.asp?629689","זכרון לידיה")</f>
        <v>זכרון לידיה</v>
      </c>
    </row>
    <row r="1195" spans="1:6" x14ac:dyDescent="0.2">
      <c r="A1195" t="s">
        <v>2581</v>
      </c>
      <c r="B1195" t="s">
        <v>2451</v>
      </c>
      <c r="C1195" t="s">
        <v>133</v>
      </c>
      <c r="D1195" s="1" t="s">
        <v>14</v>
      </c>
      <c r="F1195" s="5" t="str">
        <f>HYPERLINK("http://www.otzar.org/book.asp?630767","זכרון מאיר - ב")</f>
        <v>זכרון מאיר - ב</v>
      </c>
    </row>
    <row r="1196" spans="1:6" x14ac:dyDescent="0.2">
      <c r="A1196" t="s">
        <v>2582</v>
      </c>
      <c r="B1196" t="s">
        <v>2583</v>
      </c>
      <c r="C1196" t="s">
        <v>2584</v>
      </c>
      <c r="D1196" s="1" t="s">
        <v>52</v>
      </c>
      <c r="E1196" t="s">
        <v>30</v>
      </c>
      <c r="F1196" s="5" t="str">
        <f>HYPERLINK("http://www.otzar.org/book.asp?620713","זכרון מנחם מאיר (ב)")</f>
        <v>זכרון מנחם מאיר (ב)</v>
      </c>
    </row>
    <row r="1197" spans="1:6" x14ac:dyDescent="0.2">
      <c r="A1197" t="s">
        <v>2585</v>
      </c>
      <c r="B1197" t="s">
        <v>2586</v>
      </c>
      <c r="C1197" t="s">
        <v>639</v>
      </c>
      <c r="D1197" s="1" t="s">
        <v>2567</v>
      </c>
      <c r="E1197" t="s">
        <v>214</v>
      </c>
      <c r="F1197" s="5" t="str">
        <f>HYPERLINK("http://www.otzar.org/book.asp?624836","זכרון נתנאל")</f>
        <v>זכרון נתנאל</v>
      </c>
    </row>
    <row r="1198" spans="1:6" x14ac:dyDescent="0.2">
      <c r="A1198" t="s">
        <v>2587</v>
      </c>
      <c r="B1198" t="s">
        <v>2588</v>
      </c>
      <c r="C1198" t="s">
        <v>383</v>
      </c>
      <c r="D1198" s="1" t="s">
        <v>471</v>
      </c>
      <c r="E1198" t="s">
        <v>214</v>
      </c>
      <c r="F1198" s="5" t="str">
        <f>HYPERLINK("http://www.otzar.org/book.asp?626186","זכרון צבי - 6 כר'")</f>
        <v>זכרון צבי - 6 כר'</v>
      </c>
    </row>
    <row r="1199" spans="1:6" x14ac:dyDescent="0.2">
      <c r="A1199" t="s">
        <v>2589</v>
      </c>
      <c r="B1199" t="s">
        <v>2590</v>
      </c>
      <c r="C1199" t="s">
        <v>13</v>
      </c>
      <c r="D1199" s="1" t="s">
        <v>14</v>
      </c>
      <c r="E1199" t="s">
        <v>22</v>
      </c>
      <c r="F1199" s="5" t="str">
        <f>HYPERLINK("http://www.otzar.org/book.asp?629787","זכרון שאול - 2 כר'")</f>
        <v>זכרון שאול - 2 כר'</v>
      </c>
    </row>
    <row r="1200" spans="1:6" x14ac:dyDescent="0.2">
      <c r="A1200" t="s">
        <v>2591</v>
      </c>
      <c r="B1200" t="s">
        <v>2592</v>
      </c>
      <c r="C1200" t="s">
        <v>133</v>
      </c>
      <c r="D1200" s="1" t="s">
        <v>114</v>
      </c>
      <c r="E1200" t="s">
        <v>168</v>
      </c>
      <c r="F1200" s="5" t="str">
        <f>HYPERLINK("http://www.otzar.org/book.asp?624864","זכרון שלמה - כיבוד אב")</f>
        <v>זכרון שלמה - כיבוד אב</v>
      </c>
    </row>
    <row r="1201" spans="1:6" x14ac:dyDescent="0.2">
      <c r="A1201" t="s">
        <v>2593</v>
      </c>
      <c r="B1201" t="s">
        <v>2594</v>
      </c>
      <c r="C1201" t="s">
        <v>606</v>
      </c>
      <c r="D1201" s="1" t="s">
        <v>114</v>
      </c>
      <c r="E1201" t="s">
        <v>22</v>
      </c>
      <c r="F1201" s="5" t="str">
        <f>HYPERLINK("http://www.otzar.org/book.asp?624866","זכרון שלמה, אבני זכרון")</f>
        <v>זכרון שלמה, אבני זכרון</v>
      </c>
    </row>
    <row r="1202" spans="1:6" x14ac:dyDescent="0.2">
      <c r="A1202" t="s">
        <v>2595</v>
      </c>
      <c r="B1202" t="s">
        <v>2596</v>
      </c>
      <c r="E1202" t="s">
        <v>26</v>
      </c>
      <c r="F1202" s="5" t="str">
        <f>HYPERLINK("http://www.otzar.org/book.asp?628026","זכרון שמואל")</f>
        <v>זכרון שמואל</v>
      </c>
    </row>
    <row r="1203" spans="1:6" x14ac:dyDescent="0.2">
      <c r="A1203" t="s">
        <v>2597</v>
      </c>
      <c r="B1203" t="s">
        <v>2598</v>
      </c>
      <c r="E1203" t="s">
        <v>30</v>
      </c>
      <c r="F1203" s="5" t="str">
        <f>HYPERLINK("http://www.otzar.org/book.asp?627083","זכרונות רבי יצחק מנחם מנדל ליס")</f>
        <v>זכרונות רבי יצחק מנחם מנדל ליס</v>
      </c>
    </row>
    <row r="1204" spans="1:6" x14ac:dyDescent="0.2">
      <c r="A1204" t="s">
        <v>2599</v>
      </c>
      <c r="B1204" t="s">
        <v>677</v>
      </c>
      <c r="C1204" t="s">
        <v>206</v>
      </c>
      <c r="D1204" s="1" t="s">
        <v>9</v>
      </c>
      <c r="E1204" t="s">
        <v>171</v>
      </c>
      <c r="F1204" s="5" t="str">
        <f>HYPERLINK("http://www.otzar.org/book.asp?625507","זמירות המבוארות לשבת")</f>
        <v>זמירות המבוארות לשבת</v>
      </c>
    </row>
    <row r="1205" spans="1:6" x14ac:dyDescent="0.2">
      <c r="A1205" t="s">
        <v>2600</v>
      </c>
      <c r="B1205" t="s">
        <v>94</v>
      </c>
      <c r="C1205" t="s">
        <v>13</v>
      </c>
      <c r="D1205" s="1" t="s">
        <v>9</v>
      </c>
      <c r="E1205" t="s">
        <v>295</v>
      </c>
      <c r="F1205" s="5" t="str">
        <f>HYPERLINK("http://www.otzar.org/book.asp?629374","זמירות ישראל")</f>
        <v>זמירות ישראל</v>
      </c>
    </row>
    <row r="1206" spans="1:6" x14ac:dyDescent="0.2">
      <c r="A1206" t="s">
        <v>2601</v>
      </c>
      <c r="B1206" t="s">
        <v>2602</v>
      </c>
      <c r="C1206" t="s">
        <v>13</v>
      </c>
      <c r="D1206" s="1" t="s">
        <v>911</v>
      </c>
      <c r="E1206" t="s">
        <v>171</v>
      </c>
      <c r="F1206" s="5" t="str">
        <f>HYPERLINK("http://www.otzar.org/book.asp?630500","זמירות לשבת ויום טוב &lt;אמרי משה&gt;")</f>
        <v>זמירות לשבת ויום טוב &lt;אמרי משה&gt;</v>
      </c>
    </row>
    <row r="1207" spans="1:6" x14ac:dyDescent="0.2">
      <c r="A1207" t="s">
        <v>2603</v>
      </c>
      <c r="B1207" t="s">
        <v>2604</v>
      </c>
      <c r="C1207" t="s">
        <v>13</v>
      </c>
      <c r="D1207" s="1" t="s">
        <v>14</v>
      </c>
      <c r="E1207" t="s">
        <v>2605</v>
      </c>
      <c r="F1207" s="5" t="str">
        <f>HYPERLINK("http://www.otzar.org/book.asp?629635","זמירות לשבת קודש - קאברין")</f>
        <v>זמירות לשבת קודש - קאברין</v>
      </c>
    </row>
    <row r="1208" spans="1:6" x14ac:dyDescent="0.2">
      <c r="A1208" t="s">
        <v>2606</v>
      </c>
      <c r="B1208" t="s">
        <v>2607</v>
      </c>
      <c r="C1208" t="s">
        <v>694</v>
      </c>
      <c r="D1208" s="1" t="s">
        <v>14</v>
      </c>
      <c r="E1208" t="s">
        <v>1197</v>
      </c>
      <c r="F1208" s="5" t="str">
        <f>HYPERLINK("http://www.otzar.org/book.asp?623300","זמירות לשבת - קונטרס שלחן גבוה")</f>
        <v>זמירות לשבת - קונטרס שלחן גבוה</v>
      </c>
    </row>
    <row r="1209" spans="1:6" x14ac:dyDescent="0.2">
      <c r="A1209" t="s">
        <v>2608</v>
      </c>
      <c r="B1209" t="s">
        <v>2609</v>
      </c>
      <c r="C1209" t="s">
        <v>639</v>
      </c>
      <c r="D1209" s="1" t="s">
        <v>268</v>
      </c>
      <c r="E1209" t="s">
        <v>171</v>
      </c>
      <c r="F1209" s="5" t="str">
        <f>HYPERLINK("http://www.otzar.org/book.asp?625756","זמירות שבת &lt;פניני מהרא""ל&gt;")</f>
        <v>זמירות שבת &lt;פניני מהרא"ל&gt;</v>
      </c>
    </row>
    <row r="1210" spans="1:6" x14ac:dyDescent="0.2">
      <c r="A1210" t="s">
        <v>2610</v>
      </c>
      <c r="B1210" t="s">
        <v>2611</v>
      </c>
      <c r="C1210" t="s">
        <v>13</v>
      </c>
      <c r="D1210" s="1" t="s">
        <v>52</v>
      </c>
      <c r="E1210" t="s">
        <v>2605</v>
      </c>
      <c r="F1210" s="5" t="str">
        <f>HYPERLINK("http://www.otzar.org/book.asp?628663","זמירות שבת - משנה שכיר")</f>
        <v>זמירות שבת - משנה שכיר</v>
      </c>
    </row>
    <row r="1211" spans="1:6" x14ac:dyDescent="0.2">
      <c r="A1211" t="s">
        <v>2612</v>
      </c>
      <c r="B1211" t="s">
        <v>2613</v>
      </c>
      <c r="C1211" t="s">
        <v>25</v>
      </c>
      <c r="D1211" s="1" t="s">
        <v>9</v>
      </c>
      <c r="E1211" t="s">
        <v>242</v>
      </c>
      <c r="F1211" s="5" t="str">
        <f>HYPERLINK("http://www.otzar.org/book.asp?630592","זמנים כהלכתם - 2 כר'")</f>
        <v>זמנים כהלכתם - 2 כר'</v>
      </c>
    </row>
    <row r="1212" spans="1:6" x14ac:dyDescent="0.2">
      <c r="A1212" t="s">
        <v>2614</v>
      </c>
      <c r="B1212" t="s">
        <v>2615</v>
      </c>
      <c r="F1212" s="5" t="str">
        <f>HYPERLINK("http://www.otzar.org/book.asp?630371","זקן גרשון")</f>
        <v>זקן גרשון</v>
      </c>
    </row>
    <row r="1213" spans="1:6" x14ac:dyDescent="0.2">
      <c r="A1213" t="s">
        <v>2616</v>
      </c>
      <c r="B1213" t="s">
        <v>2617</v>
      </c>
      <c r="C1213" t="s">
        <v>13</v>
      </c>
      <c r="D1213" s="1" t="s">
        <v>64</v>
      </c>
      <c r="E1213" t="s">
        <v>2618</v>
      </c>
      <c r="F1213" s="5" t="str">
        <f>HYPERLINK("http://www.otzar.org/book.asp?627558","זר זהב &lt;מהדורת זכרון אהרן&gt;")</f>
        <v>זר זהב &lt;מהדורת זכרון אהרן&gt;</v>
      </c>
    </row>
    <row r="1214" spans="1:6" x14ac:dyDescent="0.2">
      <c r="A1214" t="s">
        <v>2619</v>
      </c>
      <c r="B1214" t="s">
        <v>2620</v>
      </c>
      <c r="C1214" t="s">
        <v>8</v>
      </c>
      <c r="D1214" s="1" t="s">
        <v>9</v>
      </c>
      <c r="E1214" t="s">
        <v>2621</v>
      </c>
      <c r="F1214" s="5" t="str">
        <f>HYPERLINK("http://www.otzar.org/book.asp?626134","זריזותא דאברהם &lt;מהדורה חדשה&gt;")</f>
        <v>זריזותא דאברהם &lt;מהדורה חדשה&gt;</v>
      </c>
    </row>
    <row r="1215" spans="1:6" x14ac:dyDescent="0.2">
      <c r="A1215" t="s">
        <v>2622</v>
      </c>
      <c r="B1215" t="s">
        <v>2623</v>
      </c>
      <c r="C1215" t="s">
        <v>1023</v>
      </c>
      <c r="D1215" s="1" t="s">
        <v>29</v>
      </c>
      <c r="E1215" t="s">
        <v>214</v>
      </c>
      <c r="F1215" s="5" t="str">
        <f>HYPERLINK("http://www.otzar.org/book.asp?627145","זרע יעקב - 2 כר'")</f>
        <v>זרע יעקב - 2 כר'</v>
      </c>
    </row>
    <row r="1216" spans="1:6" x14ac:dyDescent="0.2">
      <c r="A1216" t="s">
        <v>2624</v>
      </c>
      <c r="B1216" t="s">
        <v>2625</v>
      </c>
      <c r="C1216" t="s">
        <v>8</v>
      </c>
      <c r="D1216" s="1" t="s">
        <v>52</v>
      </c>
      <c r="E1216" t="s">
        <v>168</v>
      </c>
      <c r="F1216" s="5" t="str">
        <f>HYPERLINK("http://www.otzar.org/book.asp?630906","זרע שמשון - מאמרים עם פירוש פרי שמשון")</f>
        <v>זרע שמשון - מאמרים עם פירוש פרי שמשון</v>
      </c>
    </row>
    <row r="1217" spans="1:6" x14ac:dyDescent="0.2">
      <c r="A1217" t="s">
        <v>2626</v>
      </c>
      <c r="B1217" t="s">
        <v>94</v>
      </c>
      <c r="C1217" t="s">
        <v>8</v>
      </c>
      <c r="D1217" s="1" t="s">
        <v>21</v>
      </c>
      <c r="E1217" t="s">
        <v>49</v>
      </c>
      <c r="F1217" s="5" t="str">
        <f>HYPERLINK("http://www.otzar.org/book.asp?629992","זרעא חייא וקיימא")</f>
        <v>זרעא חייא וקיימא</v>
      </c>
    </row>
    <row r="1218" spans="1:6" x14ac:dyDescent="0.2">
      <c r="A1218" t="s">
        <v>2627</v>
      </c>
      <c r="B1218" t="s">
        <v>2628</v>
      </c>
      <c r="C1218" t="s">
        <v>307</v>
      </c>
      <c r="D1218" s="1" t="s">
        <v>9</v>
      </c>
      <c r="F1218" s="5" t="str">
        <f>HYPERLINK("http://www.otzar.org/book.asp?630404","חבורות במסכת ברכות")</f>
        <v>חבורות במסכת ברכות</v>
      </c>
    </row>
    <row r="1219" spans="1:6" x14ac:dyDescent="0.2">
      <c r="A1219" t="s">
        <v>2629</v>
      </c>
      <c r="B1219" t="s">
        <v>94</v>
      </c>
      <c r="C1219" t="s">
        <v>8</v>
      </c>
      <c r="D1219" s="1" t="s">
        <v>52</v>
      </c>
      <c r="E1219" t="s">
        <v>108</v>
      </c>
      <c r="F1219" s="5" t="str">
        <f>HYPERLINK("http://www.otzar.org/book.asp?629875","חביבות הצניעות")</f>
        <v>חביבות הצניעות</v>
      </c>
    </row>
    <row r="1220" spans="1:6" x14ac:dyDescent="0.2">
      <c r="A1220" t="s">
        <v>2630</v>
      </c>
      <c r="B1220" t="s">
        <v>2631</v>
      </c>
      <c r="C1220" t="s">
        <v>25</v>
      </c>
      <c r="D1220" s="1" t="s">
        <v>2632</v>
      </c>
      <c r="E1220" t="s">
        <v>41</v>
      </c>
      <c r="F1220" s="5" t="str">
        <f>HYPERLINK("http://www.otzar.org/book.asp?630048","חבל נחלתו - כב")</f>
        <v>חבל נחלתו - כב</v>
      </c>
    </row>
    <row r="1221" spans="1:6" x14ac:dyDescent="0.2">
      <c r="A1221" t="s">
        <v>2633</v>
      </c>
      <c r="B1221" t="s">
        <v>2634</v>
      </c>
      <c r="C1221" t="s">
        <v>40</v>
      </c>
      <c r="D1221" s="1" t="s">
        <v>9</v>
      </c>
      <c r="E1221" t="s">
        <v>168</v>
      </c>
      <c r="F1221" s="5" t="str">
        <f>HYPERLINK("http://www.otzar.org/book.asp?627195","חבצלת השרון - 2 כר'")</f>
        <v>חבצלת השרון - 2 כר'</v>
      </c>
    </row>
    <row r="1222" spans="1:6" x14ac:dyDescent="0.2">
      <c r="A1222" t="s">
        <v>2635</v>
      </c>
      <c r="B1222" t="s">
        <v>210</v>
      </c>
      <c r="C1222" t="s">
        <v>20</v>
      </c>
      <c r="D1222" s="1" t="s">
        <v>9</v>
      </c>
      <c r="E1222" t="s">
        <v>49</v>
      </c>
      <c r="F1222" s="5" t="str">
        <f>HYPERLINK("http://www.otzar.org/book.asp?626230","חג האסיף")</f>
        <v>חג האסיף</v>
      </c>
    </row>
    <row r="1223" spans="1:6" x14ac:dyDescent="0.2">
      <c r="A1223" t="s">
        <v>2636</v>
      </c>
      <c r="B1223" t="s">
        <v>2637</v>
      </c>
      <c r="C1223" t="s">
        <v>103</v>
      </c>
      <c r="D1223" s="1" t="s">
        <v>1134</v>
      </c>
      <c r="E1223" t="s">
        <v>89</v>
      </c>
      <c r="F1223" s="5" t="str">
        <f>HYPERLINK("http://www.otzar.org/book.asp?628733","חג הפסח")</f>
        <v>חג הפסח</v>
      </c>
    </row>
    <row r="1224" spans="1:6" x14ac:dyDescent="0.2">
      <c r="A1224" t="s">
        <v>2638</v>
      </c>
      <c r="B1224" t="s">
        <v>2639</v>
      </c>
      <c r="C1224" t="s">
        <v>13</v>
      </c>
      <c r="D1224" s="1" t="s">
        <v>1341</v>
      </c>
      <c r="E1224" t="s">
        <v>168</v>
      </c>
      <c r="F1224" s="5" t="str">
        <f>HYPERLINK("http://www.otzar.org/book.asp?630505","חגוי הסלע - חמשה חומשי תורה")</f>
        <v>חגוי הסלע - חמשה חומשי תורה</v>
      </c>
    </row>
    <row r="1225" spans="1:6" x14ac:dyDescent="0.2">
      <c r="A1225" t="s">
        <v>2640</v>
      </c>
      <c r="B1225" t="s">
        <v>2641</v>
      </c>
      <c r="E1225" t="s">
        <v>49</v>
      </c>
      <c r="F1225" s="5" t="str">
        <f>HYPERLINK("http://www.otzar.org/book.asp?624376","חד וחלק - 4 כר'")</f>
        <v>חד וחלק - 4 כר'</v>
      </c>
    </row>
    <row r="1226" spans="1:6" x14ac:dyDescent="0.2">
      <c r="A1226" t="s">
        <v>2642</v>
      </c>
      <c r="B1226" t="s">
        <v>2643</v>
      </c>
      <c r="C1226" t="s">
        <v>20</v>
      </c>
      <c r="D1226" s="1" t="s">
        <v>29</v>
      </c>
      <c r="E1226" t="s">
        <v>26</v>
      </c>
      <c r="F1226" s="5" t="str">
        <f>HYPERLINK("http://www.otzar.org/book.asp?630558","חדוותא דשמעתתא זכרון שמואל - עירובין")</f>
        <v>חדוותא דשמעתתא זכרון שמואל - עירובין</v>
      </c>
    </row>
    <row r="1227" spans="1:6" x14ac:dyDescent="0.2">
      <c r="A1227" t="s">
        <v>2644</v>
      </c>
      <c r="B1227" t="s">
        <v>2645</v>
      </c>
      <c r="C1227" t="s">
        <v>2646</v>
      </c>
      <c r="D1227" s="1" t="s">
        <v>2647</v>
      </c>
      <c r="E1227" t="s">
        <v>22</v>
      </c>
      <c r="F1227" s="5" t="str">
        <f>HYPERLINK("http://www.otzar.org/book.asp?628256","חדושי הרב רבנו נסים (חידושי הר""ן לגיטין)")</f>
        <v>חדושי הרב רבנו נסים (חידושי הר"ן לגיטין)</v>
      </c>
    </row>
    <row r="1228" spans="1:6" x14ac:dyDescent="0.2">
      <c r="A1228" t="s">
        <v>2648</v>
      </c>
      <c r="B1228" t="s">
        <v>1049</v>
      </c>
      <c r="C1228" t="s">
        <v>1050</v>
      </c>
      <c r="D1228" s="1" t="s">
        <v>1051</v>
      </c>
      <c r="E1228" t="s">
        <v>22</v>
      </c>
      <c r="F1228" s="5" t="str">
        <f>HYPERLINK("http://www.otzar.org/book.asp?625977","חדושי מהרא""י")</f>
        <v>חדושי מהרא"י</v>
      </c>
    </row>
    <row r="1229" spans="1:6" x14ac:dyDescent="0.2">
      <c r="A1229" t="s">
        <v>2649</v>
      </c>
      <c r="B1229" t="s">
        <v>890</v>
      </c>
      <c r="C1229" t="s">
        <v>8</v>
      </c>
      <c r="D1229" s="1" t="s">
        <v>52</v>
      </c>
      <c r="E1229" t="s">
        <v>168</v>
      </c>
      <c r="F1229" s="5" t="str">
        <f>HYPERLINK("http://www.otzar.org/book.asp?630509","חדושים על התורה מתלמידי מרן החזו""א")</f>
        <v>חדושים על התורה מתלמידי מרן החזו"א</v>
      </c>
    </row>
    <row r="1230" spans="1:6" x14ac:dyDescent="0.2">
      <c r="A1230" t="s">
        <v>2650</v>
      </c>
      <c r="B1230" t="s">
        <v>2651</v>
      </c>
      <c r="C1230" t="s">
        <v>136</v>
      </c>
      <c r="D1230" s="1" t="s">
        <v>557</v>
      </c>
      <c r="E1230" t="s">
        <v>37</v>
      </c>
      <c r="F1230" s="5" t="str">
        <f>HYPERLINK("http://www.otzar.org/book.asp?629697","חדות המועדים - 2 כר'")</f>
        <v>חדות המועדים - 2 כר'</v>
      </c>
    </row>
    <row r="1231" spans="1:6" x14ac:dyDescent="0.2">
      <c r="A1231" t="s">
        <v>2652</v>
      </c>
      <c r="B1231" t="s">
        <v>2653</v>
      </c>
      <c r="C1231" t="s">
        <v>13</v>
      </c>
      <c r="D1231" s="1" t="s">
        <v>29</v>
      </c>
      <c r="E1231" t="s">
        <v>538</v>
      </c>
      <c r="F1231" s="5" t="str">
        <f>HYPERLINK("http://www.otzar.org/book.asp?626106","חדות השם - שלוש רגלים")</f>
        <v>חדות השם - שלוש רגלים</v>
      </c>
    </row>
    <row r="1232" spans="1:6" x14ac:dyDescent="0.2">
      <c r="A1232" t="s">
        <v>2654</v>
      </c>
      <c r="B1232" t="s">
        <v>1545</v>
      </c>
      <c r="C1232" t="s">
        <v>40</v>
      </c>
      <c r="D1232" s="1" t="s">
        <v>874</v>
      </c>
      <c r="E1232" t="s">
        <v>37</v>
      </c>
      <c r="F1232" s="5" t="str">
        <f>HYPERLINK("http://www.otzar.org/book.asp?629640","חדרי דעת - 4 כר'")</f>
        <v>חדרי דעת - 4 כר'</v>
      </c>
    </row>
    <row r="1233" spans="1:6" x14ac:dyDescent="0.2">
      <c r="A1233" t="s">
        <v>2655</v>
      </c>
      <c r="B1233" t="s">
        <v>364</v>
      </c>
      <c r="C1233" t="s">
        <v>13</v>
      </c>
      <c r="D1233" s="1" t="s">
        <v>52</v>
      </c>
      <c r="E1233" t="s">
        <v>214</v>
      </c>
      <c r="F1233" s="5" t="str">
        <f>HYPERLINK("http://www.otzar.org/book.asp?626192","חדש בקרבי - ד")</f>
        <v>חדש בקרבי - ד</v>
      </c>
    </row>
    <row r="1234" spans="1:6" x14ac:dyDescent="0.2">
      <c r="A1234" t="s">
        <v>2656</v>
      </c>
      <c r="B1234" t="s">
        <v>2657</v>
      </c>
      <c r="D1234" s="1" t="s">
        <v>9</v>
      </c>
      <c r="E1234" t="s">
        <v>22</v>
      </c>
      <c r="F1234" s="5" t="str">
        <f>HYPERLINK("http://www.otzar.org/book.asp?627955","חדשים גם ישנים - 2 כר'")</f>
        <v>חדשים גם ישנים - 2 כר'</v>
      </c>
    </row>
    <row r="1235" spans="1:6" x14ac:dyDescent="0.2">
      <c r="A1235" t="s">
        <v>2658</v>
      </c>
      <c r="B1235" t="s">
        <v>2659</v>
      </c>
      <c r="C1235" t="s">
        <v>2660</v>
      </c>
      <c r="D1235" s="1" t="s">
        <v>355</v>
      </c>
      <c r="E1235" t="s">
        <v>34</v>
      </c>
      <c r="F1235" s="5" t="str">
        <f>HYPERLINK("http://www.otzar.org/book.asp?623528","חובות הלבבות - 2 כר'")</f>
        <v>חובות הלבבות - 2 כר'</v>
      </c>
    </row>
    <row r="1236" spans="1:6" x14ac:dyDescent="0.2">
      <c r="A1236" t="s">
        <v>2661</v>
      </c>
      <c r="B1236" t="s">
        <v>2662</v>
      </c>
      <c r="C1236" t="s">
        <v>13</v>
      </c>
      <c r="D1236" s="1" t="s">
        <v>52</v>
      </c>
      <c r="E1236" t="s">
        <v>37</v>
      </c>
      <c r="F1236" s="5" t="str">
        <f>HYPERLINK("http://www.otzar.org/book.asp?629886","חוברת מבוא להלכות תחום שבת")</f>
        <v>חוברת מבוא להלכות תחום שבת</v>
      </c>
    </row>
    <row r="1237" spans="1:6" x14ac:dyDescent="0.2">
      <c r="A1237" t="s">
        <v>2663</v>
      </c>
      <c r="B1237" t="s">
        <v>2664</v>
      </c>
      <c r="C1237" t="s">
        <v>20</v>
      </c>
      <c r="D1237" s="1" t="s">
        <v>64</v>
      </c>
      <c r="E1237" t="s">
        <v>49</v>
      </c>
      <c r="F1237" s="5" t="str">
        <f>HYPERLINK("http://www.otzar.org/book.asp?626725","חוג הראי""ה - 2 כר'")</f>
        <v>חוג הראי"ה - 2 כר'</v>
      </c>
    </row>
    <row r="1238" spans="1:6" x14ac:dyDescent="0.2">
      <c r="A1238" t="s">
        <v>2665</v>
      </c>
      <c r="B1238" t="s">
        <v>2666</v>
      </c>
      <c r="C1238" t="s">
        <v>25</v>
      </c>
      <c r="D1238" s="1" t="s">
        <v>229</v>
      </c>
      <c r="E1238" t="s">
        <v>2667</v>
      </c>
      <c r="F1238" s="5" t="str">
        <f>HYPERLINK("http://www.otzar.org/book.asp?631190","חוויות בעבודת ה' בספר התניא")</f>
        <v>חוויות בעבודת ה' בספר התניא</v>
      </c>
    </row>
    <row r="1239" spans="1:6" x14ac:dyDescent="0.2">
      <c r="A1239" t="s">
        <v>2668</v>
      </c>
      <c r="B1239" t="s">
        <v>2666</v>
      </c>
      <c r="C1239" t="s">
        <v>20</v>
      </c>
      <c r="D1239" s="1" t="s">
        <v>803</v>
      </c>
      <c r="E1239" t="s">
        <v>168</v>
      </c>
      <c r="F1239" s="5" t="str">
        <f>HYPERLINK("http://www.otzar.org/book.asp?623245","חוזה לך ברח - עמוס")</f>
        <v>חוזה לך ברח - עמוס</v>
      </c>
    </row>
    <row r="1240" spans="1:6" x14ac:dyDescent="0.2">
      <c r="A1240" t="s">
        <v>2669</v>
      </c>
      <c r="B1240" t="s">
        <v>2670</v>
      </c>
      <c r="C1240" t="s">
        <v>20</v>
      </c>
      <c r="D1240" s="1" t="s">
        <v>2671</v>
      </c>
      <c r="E1240" t="s">
        <v>168</v>
      </c>
      <c r="F1240" s="5" t="str">
        <f>HYPERLINK("http://www.otzar.org/book.asp?625742","חוכי ישועות")</f>
        <v>חוכי ישועות</v>
      </c>
    </row>
    <row r="1241" spans="1:6" x14ac:dyDescent="0.2">
      <c r="A1241" t="s">
        <v>2672</v>
      </c>
      <c r="B1241" t="s">
        <v>2673</v>
      </c>
      <c r="C1241" t="s">
        <v>2674</v>
      </c>
      <c r="D1241" s="1" t="s">
        <v>2675</v>
      </c>
      <c r="F1241" s="5" t="str">
        <f>HYPERLINK("http://www.otzar.org/book.asp?623432","חומת אש לציון")</f>
        <v>חומת אש לציון</v>
      </c>
    </row>
    <row r="1242" spans="1:6" x14ac:dyDescent="0.2">
      <c r="A1242" t="s">
        <v>2676</v>
      </c>
      <c r="B1242" t="s">
        <v>2677</v>
      </c>
      <c r="E1242" t="s">
        <v>37</v>
      </c>
      <c r="F1242" s="5" t="str">
        <f>HYPERLINK("http://www.otzar.org/book.asp?628214","חופה וקידושין כהלכתה, שמעתתא כהלכה, לקראת שבת")</f>
        <v>חופה וקידושין כהלכתה, שמעתתא כהלכה, לקראת שבת</v>
      </c>
    </row>
    <row r="1243" spans="1:6" x14ac:dyDescent="0.2">
      <c r="A1243" t="s">
        <v>2678</v>
      </c>
      <c r="B1243" t="s">
        <v>2679</v>
      </c>
      <c r="C1243" t="s">
        <v>73</v>
      </c>
      <c r="D1243" s="1" t="s">
        <v>9</v>
      </c>
      <c r="E1243" t="s">
        <v>37</v>
      </c>
      <c r="F1243" s="5" t="str">
        <f>HYPERLINK("http://www.otzar.org/book.asp?628008","חופה וקידושין למעשה")</f>
        <v>חופה וקידושין למעשה</v>
      </c>
    </row>
    <row r="1244" spans="1:6" x14ac:dyDescent="0.2">
      <c r="A1244" t="s">
        <v>2680</v>
      </c>
      <c r="B1244" t="s">
        <v>2681</v>
      </c>
      <c r="C1244" t="s">
        <v>136</v>
      </c>
      <c r="D1244" s="1" t="s">
        <v>14</v>
      </c>
      <c r="E1244" t="s">
        <v>49</v>
      </c>
      <c r="F1244" s="5" t="str">
        <f>HYPERLINK("http://www.otzar.org/book.asp?629780","חופת שלמה - בית שלמה")</f>
        <v>חופת שלמה - בית שלמה</v>
      </c>
    </row>
    <row r="1245" spans="1:6" x14ac:dyDescent="0.2">
      <c r="A1245" t="s">
        <v>2682</v>
      </c>
      <c r="B1245" t="s">
        <v>2683</v>
      </c>
      <c r="C1245" t="s">
        <v>8</v>
      </c>
      <c r="D1245" s="1" t="s">
        <v>9</v>
      </c>
      <c r="E1245" t="s">
        <v>49</v>
      </c>
      <c r="F1245" s="5" t="str">
        <f>HYPERLINK("http://www.otzar.org/book.asp?626065","חוקי ישראל - 2 כר'")</f>
        <v>חוקי ישראל - 2 כר'</v>
      </c>
    </row>
    <row r="1246" spans="1:6" x14ac:dyDescent="0.2">
      <c r="A1246" t="s">
        <v>2684</v>
      </c>
      <c r="B1246" t="s">
        <v>2685</v>
      </c>
      <c r="C1246" t="s">
        <v>2686</v>
      </c>
      <c r="D1246" s="1" t="s">
        <v>1526</v>
      </c>
      <c r="E1246" t="s">
        <v>37</v>
      </c>
      <c r="F1246" s="5" t="str">
        <f>HYPERLINK("http://www.otzar.org/book.asp?624655","חוקת ישראל - ב א")</f>
        <v>חוקת ישראל - ב א</v>
      </c>
    </row>
    <row r="1247" spans="1:6" x14ac:dyDescent="0.2">
      <c r="A1247" t="s">
        <v>2687</v>
      </c>
      <c r="B1247" t="s">
        <v>94</v>
      </c>
      <c r="C1247" t="s">
        <v>40</v>
      </c>
      <c r="D1247" s="1" t="s">
        <v>841</v>
      </c>
      <c r="E1247" t="s">
        <v>89</v>
      </c>
      <c r="F1247" s="5" t="str">
        <f>HYPERLINK("http://www.otzar.org/book.asp?623554","חותם האבות - 3 כר'")</f>
        <v>חותם האבות - 3 כר'</v>
      </c>
    </row>
    <row r="1248" spans="1:6" x14ac:dyDescent="0.2">
      <c r="A1248" t="s">
        <v>2688</v>
      </c>
      <c r="B1248" t="s">
        <v>2689</v>
      </c>
      <c r="C1248" t="s">
        <v>2690</v>
      </c>
      <c r="D1248" s="1" t="s">
        <v>1526</v>
      </c>
      <c r="E1248" t="s">
        <v>49</v>
      </c>
      <c r="F1248" s="5" t="str">
        <f>HYPERLINK("http://www.otzar.org/book.asp?625986","חזון נחום")</f>
        <v>חזון נחום</v>
      </c>
    </row>
    <row r="1249" spans="1:6" x14ac:dyDescent="0.2">
      <c r="A1249" t="s">
        <v>2691</v>
      </c>
      <c r="B1249" t="s">
        <v>2692</v>
      </c>
      <c r="C1249" t="s">
        <v>397</v>
      </c>
      <c r="D1249" s="1" t="s">
        <v>268</v>
      </c>
      <c r="E1249" t="s">
        <v>41</v>
      </c>
      <c r="F1249" s="5" t="str">
        <f>HYPERLINK("http://www.otzar.org/book.asp?627831","חזקת אהרן")</f>
        <v>חזקת אהרן</v>
      </c>
    </row>
    <row r="1250" spans="1:6" x14ac:dyDescent="0.2">
      <c r="A1250" t="s">
        <v>2693</v>
      </c>
      <c r="B1250" t="s">
        <v>2694</v>
      </c>
      <c r="C1250" t="s">
        <v>2695</v>
      </c>
      <c r="D1250" s="1" t="s">
        <v>186</v>
      </c>
      <c r="E1250" t="s">
        <v>49</v>
      </c>
      <c r="F1250" s="5" t="str">
        <f>HYPERLINK("http://www.otzar.org/book.asp?626596","חיבור יפה מהישועה")</f>
        <v>חיבור יפה מהישועה</v>
      </c>
    </row>
    <row r="1251" spans="1:6" x14ac:dyDescent="0.2">
      <c r="A1251" t="s">
        <v>2696</v>
      </c>
      <c r="B1251" t="s">
        <v>2697</v>
      </c>
      <c r="C1251" t="s">
        <v>25</v>
      </c>
      <c r="D1251" s="1" t="s">
        <v>52</v>
      </c>
      <c r="E1251" t="s">
        <v>168</v>
      </c>
      <c r="F1251" s="5" t="str">
        <f>HYPERLINK("http://www.otzar.org/book.asp?627670","חידודי דוד")</f>
        <v>חידודי דוד</v>
      </c>
    </row>
    <row r="1252" spans="1:6" x14ac:dyDescent="0.2">
      <c r="A1252" t="s">
        <v>2698</v>
      </c>
      <c r="B1252" t="s">
        <v>1851</v>
      </c>
      <c r="C1252" t="s">
        <v>1755</v>
      </c>
      <c r="D1252" s="1" t="s">
        <v>9</v>
      </c>
      <c r="F1252" s="5" t="str">
        <f>HYPERLINK("http://www.otzar.org/book.asp?632830","חידושי אגדות מהר""ם שיק עמ""ס אבות")</f>
        <v>חידושי אגדות מהר"ם שיק עמ"ס אבות</v>
      </c>
    </row>
    <row r="1253" spans="1:6" x14ac:dyDescent="0.2">
      <c r="A1253" t="s">
        <v>2699</v>
      </c>
      <c r="B1253" t="s">
        <v>2700</v>
      </c>
      <c r="C1253" t="s">
        <v>13</v>
      </c>
      <c r="D1253" s="1" t="s">
        <v>14</v>
      </c>
      <c r="E1253" t="s">
        <v>22</v>
      </c>
      <c r="F1253" s="5" t="str">
        <f>HYPERLINK("http://www.otzar.org/book.asp?627553","חידושי אגדות מהרש""א השלם &lt;לב אגדות&gt; - ד")</f>
        <v>חידושי אגדות מהרש"א השלם &lt;לב אגדות&gt; - ד</v>
      </c>
    </row>
    <row r="1254" spans="1:6" x14ac:dyDescent="0.2">
      <c r="A1254" t="s">
        <v>2701</v>
      </c>
      <c r="B1254" t="s">
        <v>2702</v>
      </c>
      <c r="D1254" s="1" t="s">
        <v>14</v>
      </c>
      <c r="E1254" t="s">
        <v>22</v>
      </c>
      <c r="F1254" s="5" t="str">
        <f>HYPERLINK("http://www.otzar.org/book.asp?626608","חידושי אמרי משה")</f>
        <v>חידושי אמרי משה</v>
      </c>
    </row>
    <row r="1255" spans="1:6" x14ac:dyDescent="0.2">
      <c r="A1255" t="s">
        <v>2703</v>
      </c>
      <c r="B1255" t="s">
        <v>2704</v>
      </c>
      <c r="D1255" s="1" t="s">
        <v>9</v>
      </c>
      <c r="E1255" t="s">
        <v>22</v>
      </c>
      <c r="F1255" s="5" t="str">
        <f>HYPERLINK("http://www.otzar.org/book.asp?623628","חידושי הגרנ""ט - נזיקין")</f>
        <v>חידושי הגרנ"ט - נזיקין</v>
      </c>
    </row>
    <row r="1256" spans="1:6" x14ac:dyDescent="0.2">
      <c r="A1256" t="s">
        <v>2705</v>
      </c>
      <c r="B1256" t="s">
        <v>1705</v>
      </c>
      <c r="C1256" t="s">
        <v>1385</v>
      </c>
      <c r="D1256" s="1" t="s">
        <v>14</v>
      </c>
      <c r="E1256" t="s">
        <v>37</v>
      </c>
      <c r="F1256" s="5" t="str">
        <f>HYPERLINK("http://www.otzar.org/book.asp?623649","חידושי הלכות מבעל הבני יששכר")</f>
        <v>חידושי הלכות מבעל הבני יששכר</v>
      </c>
    </row>
    <row r="1257" spans="1:6" x14ac:dyDescent="0.2">
      <c r="A1257" t="s">
        <v>2706</v>
      </c>
      <c r="B1257" t="s">
        <v>2707</v>
      </c>
      <c r="C1257" t="s">
        <v>13</v>
      </c>
      <c r="D1257" s="1" t="s">
        <v>1295</v>
      </c>
      <c r="E1257" t="s">
        <v>22</v>
      </c>
      <c r="F1257" s="5" t="str">
        <f>HYPERLINK("http://www.otzar.org/book.asp?625670","חידושי המהריל""ד - מכות")</f>
        <v>חידושי המהריל"ד - מכות</v>
      </c>
    </row>
    <row r="1258" spans="1:6" x14ac:dyDescent="0.2">
      <c r="A1258" t="s">
        <v>2708</v>
      </c>
      <c r="B1258" t="s">
        <v>2709</v>
      </c>
      <c r="C1258" t="s">
        <v>148</v>
      </c>
      <c r="D1258" s="1" t="s">
        <v>14</v>
      </c>
      <c r="E1258" t="s">
        <v>22</v>
      </c>
      <c r="F1258" s="5" t="str">
        <f>HYPERLINK("http://www.otzar.org/book.asp?629159","חידושי הר""ן &lt;הוצאת פרדס&gt; - 15 כר'")</f>
        <v>חידושי הר"ן &lt;הוצאת פרדס&gt; - 15 כר'</v>
      </c>
    </row>
    <row r="1259" spans="1:6" x14ac:dyDescent="0.2">
      <c r="A1259" t="s">
        <v>2710</v>
      </c>
      <c r="B1259" t="s">
        <v>2711</v>
      </c>
      <c r="C1259" t="s">
        <v>383</v>
      </c>
      <c r="D1259" s="1" t="s">
        <v>114</v>
      </c>
      <c r="E1259" t="s">
        <v>22</v>
      </c>
      <c r="F1259" s="5" t="str">
        <f>HYPERLINK("http://www.otzar.org/book.asp?629068","חידושי הרז""ה &lt;זכרון אהרן&gt; - 2 כר'")</f>
        <v>חידושי הרז"ה &lt;זכרון אהרן&gt; - 2 כר'</v>
      </c>
    </row>
    <row r="1260" spans="1:6" x14ac:dyDescent="0.2">
      <c r="A1260" t="s">
        <v>2712</v>
      </c>
      <c r="B1260" t="s">
        <v>2713</v>
      </c>
      <c r="C1260" t="s">
        <v>13</v>
      </c>
      <c r="D1260" s="1" t="s">
        <v>803</v>
      </c>
      <c r="E1260" t="s">
        <v>61</v>
      </c>
      <c r="F1260" s="5" t="str">
        <f>HYPERLINK("http://www.otzar.org/book.asp?630340","חידושי הרי""מ &lt;מהדורה חדשה&gt; - אה""ע")</f>
        <v>חידושי הרי"מ &lt;מהדורה חדשה&gt; - אה"ע</v>
      </c>
    </row>
    <row r="1261" spans="1:6" x14ac:dyDescent="0.2">
      <c r="A1261" t="s">
        <v>2714</v>
      </c>
      <c r="B1261" t="s">
        <v>2715</v>
      </c>
      <c r="C1261" t="s">
        <v>572</v>
      </c>
      <c r="E1261" t="s">
        <v>2716</v>
      </c>
      <c r="F1261" s="5" t="str">
        <f>HYPERLINK("http://www.otzar.org/book.asp?626400","חידושי וכתבי הר""י הורביץ")</f>
        <v>חידושי וכתבי הר"י הורביץ</v>
      </c>
    </row>
    <row r="1262" spans="1:6" x14ac:dyDescent="0.2">
      <c r="A1262" t="s">
        <v>2717</v>
      </c>
      <c r="B1262" t="s">
        <v>2718</v>
      </c>
      <c r="C1262" t="s">
        <v>379</v>
      </c>
      <c r="D1262" s="1" t="s">
        <v>1325</v>
      </c>
      <c r="E1262" t="s">
        <v>61</v>
      </c>
      <c r="F1262" s="5" t="str">
        <f>HYPERLINK("http://www.otzar.org/book.asp?624932","חידושי חתם סופר - יורה דעה")</f>
        <v>חידושי חתם סופר - יורה דעה</v>
      </c>
    </row>
    <row r="1263" spans="1:6" x14ac:dyDescent="0.2">
      <c r="A1263" t="s">
        <v>2719</v>
      </c>
      <c r="B1263" t="s">
        <v>2720</v>
      </c>
      <c r="C1263" t="s">
        <v>13</v>
      </c>
      <c r="D1263" s="1" t="s">
        <v>52</v>
      </c>
      <c r="E1263" t="s">
        <v>22</v>
      </c>
      <c r="F1263" s="5" t="str">
        <f>HYPERLINK("http://www.otzar.org/book.asp?631098","חידושי כריתות")</f>
        <v>חידושי כריתות</v>
      </c>
    </row>
    <row r="1264" spans="1:6" x14ac:dyDescent="0.2">
      <c r="A1264" t="s">
        <v>2721</v>
      </c>
      <c r="B1264" t="s">
        <v>2722</v>
      </c>
      <c r="C1264" t="s">
        <v>1506</v>
      </c>
      <c r="D1264" s="1" t="s">
        <v>48</v>
      </c>
      <c r="E1264" t="s">
        <v>22</v>
      </c>
      <c r="F1264" s="5" t="str">
        <f>HYPERLINK("http://www.otzar.org/book.asp?625975","חידושי מהר""ם צבי")</f>
        <v>חידושי מהר"ם צבי</v>
      </c>
    </row>
    <row r="1265" spans="1:6" x14ac:dyDescent="0.2">
      <c r="A1265" t="s">
        <v>2723</v>
      </c>
      <c r="B1265" t="s">
        <v>2724</v>
      </c>
      <c r="C1265" t="s">
        <v>88</v>
      </c>
      <c r="D1265" s="1" t="s">
        <v>14</v>
      </c>
      <c r="E1265" t="s">
        <v>22</v>
      </c>
      <c r="F1265" s="5" t="str">
        <f>HYPERLINK("http://www.otzar.org/book.asp?628229","חידושי מהרא""ש אסאד - כתובות")</f>
        <v>חידושי מהרא"ש אסאד - כתובות</v>
      </c>
    </row>
    <row r="1266" spans="1:6" x14ac:dyDescent="0.2">
      <c r="A1266" t="s">
        <v>2725</v>
      </c>
      <c r="B1266" t="s">
        <v>2726</v>
      </c>
      <c r="C1266" t="s">
        <v>136</v>
      </c>
      <c r="D1266" s="1" t="s">
        <v>9</v>
      </c>
      <c r="E1266" t="s">
        <v>168</v>
      </c>
      <c r="F1266" s="5" t="str">
        <f>HYPERLINK("http://www.otzar.org/book.asp?623405","חידושי מרן הגר""ח קניבסקי - 5 כר'")</f>
        <v>חידושי מרן הגר"ח קניבסקי - 5 כר'</v>
      </c>
    </row>
    <row r="1267" spans="1:6" x14ac:dyDescent="0.2">
      <c r="A1267" t="s">
        <v>2727</v>
      </c>
      <c r="B1267" t="s">
        <v>2728</v>
      </c>
      <c r="C1267" t="s">
        <v>52</v>
      </c>
      <c r="D1267" s="1" t="s">
        <v>29</v>
      </c>
      <c r="E1267" t="s">
        <v>22</v>
      </c>
      <c r="F1267" s="5" t="str">
        <f>HYPERLINK("http://www.otzar.org/book.asp?632110","חידושי רבי אפרים מרדכי - עם הוספות ומכתבים")</f>
        <v>חידושי רבי אפרים מרדכי - עם הוספות ומכתבים</v>
      </c>
    </row>
    <row r="1268" spans="1:6" x14ac:dyDescent="0.2">
      <c r="A1268" t="s">
        <v>2729</v>
      </c>
      <c r="B1268" t="s">
        <v>2730</v>
      </c>
      <c r="C1268" t="s">
        <v>383</v>
      </c>
      <c r="D1268" s="1" t="s">
        <v>9</v>
      </c>
      <c r="E1268" t="s">
        <v>660</v>
      </c>
      <c r="F1268" s="5" t="str">
        <f>HYPERLINK("http://www.otzar.org/book.asp?630796","חידושי רבינו אברהם שאג - 3 כר'")</f>
        <v>חידושי רבינו אברהם שאג - 3 כר'</v>
      </c>
    </row>
    <row r="1269" spans="1:6" x14ac:dyDescent="0.2">
      <c r="A1269" t="s">
        <v>2731</v>
      </c>
      <c r="B1269" t="s">
        <v>2732</v>
      </c>
      <c r="C1269" t="s">
        <v>13</v>
      </c>
      <c r="D1269" s="1" t="s">
        <v>21</v>
      </c>
      <c r="E1269" t="s">
        <v>22</v>
      </c>
      <c r="F1269" s="5" t="str">
        <f>HYPERLINK("http://www.otzar.org/book.asp?629555","חידושי רבינו אפרים - נדה")</f>
        <v>חידושי רבינו אפרים - נדה</v>
      </c>
    </row>
    <row r="1270" spans="1:6" x14ac:dyDescent="0.2">
      <c r="A1270" t="s">
        <v>2733</v>
      </c>
      <c r="B1270" t="s">
        <v>2734</v>
      </c>
      <c r="C1270" t="s">
        <v>13</v>
      </c>
      <c r="D1270" s="1" t="s">
        <v>9</v>
      </c>
      <c r="E1270" t="s">
        <v>22</v>
      </c>
      <c r="F1270" s="5" t="str">
        <f>HYPERLINK("http://www.otzar.org/book.asp?630028","חידושי רבינו משה מאימראן - סוטה, הוריות")</f>
        <v>חידושי רבינו משה מאימראן - סוטה, הוריות</v>
      </c>
    </row>
    <row r="1271" spans="1:6" x14ac:dyDescent="0.2">
      <c r="A1271" t="s">
        <v>2735</v>
      </c>
      <c r="B1271" t="s">
        <v>2736</v>
      </c>
      <c r="C1271" t="s">
        <v>606</v>
      </c>
      <c r="D1271" s="1" t="s">
        <v>2737</v>
      </c>
      <c r="E1271" t="s">
        <v>26</v>
      </c>
      <c r="F1271" s="5" t="str">
        <f>HYPERLINK("http://www.otzar.org/book.asp?625445","חידושי תורה על מסכת בבא בתרא")</f>
        <v>חידושי תורה על מסכת בבא בתרא</v>
      </c>
    </row>
    <row r="1272" spans="1:6" x14ac:dyDescent="0.2">
      <c r="A1272" t="s">
        <v>2738</v>
      </c>
      <c r="B1272" t="s">
        <v>1518</v>
      </c>
      <c r="C1272" t="s">
        <v>2739</v>
      </c>
      <c r="D1272" s="1" t="s">
        <v>9</v>
      </c>
      <c r="F1272" s="5" t="str">
        <f>HYPERLINK("http://www.otzar.org/book.asp?630403","חידושי תורה שנשמעו מכ""ק מרן אדמו""ר שליט""א מסאטמאר")</f>
        <v>חידושי תורה שנשמעו מכ"ק מרן אדמו"ר שליט"א מסאטמאר</v>
      </c>
    </row>
    <row r="1273" spans="1:6" x14ac:dyDescent="0.2">
      <c r="A1273" t="s">
        <v>2740</v>
      </c>
      <c r="B1273" t="s">
        <v>2741</v>
      </c>
      <c r="E1273" t="s">
        <v>22</v>
      </c>
      <c r="F1273" s="5" t="str">
        <f>HYPERLINK("http://www.otzar.org/book.asp?623707","חידושים וביאורים במסכת כתובות")</f>
        <v>חידושים וביאורים במסכת כתובות</v>
      </c>
    </row>
    <row r="1274" spans="1:6" x14ac:dyDescent="0.2">
      <c r="A1274" t="s">
        <v>2742</v>
      </c>
      <c r="B1274" t="s">
        <v>2743</v>
      </c>
      <c r="C1274" t="s">
        <v>9</v>
      </c>
      <c r="D1274" s="1" t="s">
        <v>73</v>
      </c>
      <c r="E1274" t="s">
        <v>168</v>
      </c>
      <c r="F1274" s="5" t="str">
        <f>HYPERLINK("http://www.otzar.org/book.asp?631003","חידושים על התורה לרבינו תם ובית מדרשו")</f>
        <v>חידושים על התורה לרבינו תם ובית מדרשו</v>
      </c>
    </row>
    <row r="1275" spans="1:6" x14ac:dyDescent="0.2">
      <c r="A1275" t="s">
        <v>2744</v>
      </c>
      <c r="B1275" t="s">
        <v>2561</v>
      </c>
      <c r="C1275" t="s">
        <v>2745</v>
      </c>
      <c r="D1275" s="1" t="s">
        <v>2746</v>
      </c>
      <c r="E1275" t="s">
        <v>37</v>
      </c>
      <c r="F1275" s="5" t="str">
        <f>HYPERLINK("http://www.otzar.org/book.asp?624648","חיי אדם - ג")</f>
        <v>חיי אדם - ג</v>
      </c>
    </row>
    <row r="1276" spans="1:6" x14ac:dyDescent="0.2">
      <c r="A1276" t="s">
        <v>2747</v>
      </c>
      <c r="B1276" t="s">
        <v>2748</v>
      </c>
      <c r="C1276" t="s">
        <v>1602</v>
      </c>
      <c r="D1276" s="1" t="s">
        <v>9</v>
      </c>
      <c r="E1276" t="s">
        <v>49</v>
      </c>
      <c r="F1276" s="5" t="str">
        <f>HYPERLINK("http://www.otzar.org/book.asp?626512","חיי המוסר - ג")</f>
        <v>חיי המוסר - ג</v>
      </c>
    </row>
    <row r="1277" spans="1:6" x14ac:dyDescent="0.2">
      <c r="A1277" t="s">
        <v>2749</v>
      </c>
      <c r="B1277" t="s">
        <v>1141</v>
      </c>
      <c r="C1277" t="s">
        <v>20</v>
      </c>
      <c r="D1277" s="1" t="s">
        <v>1142</v>
      </c>
      <c r="E1277" t="s">
        <v>108</v>
      </c>
      <c r="F1277" s="5" t="str">
        <f>HYPERLINK("http://www.otzar.org/book.asp?626623","חיי הקיבוץ")</f>
        <v>חיי הקיבוץ</v>
      </c>
    </row>
    <row r="1278" spans="1:6" x14ac:dyDescent="0.2">
      <c r="A1278" t="s">
        <v>2750</v>
      </c>
      <c r="B1278" t="s">
        <v>2751</v>
      </c>
      <c r="C1278" t="s">
        <v>20</v>
      </c>
      <c r="D1278" s="1" t="s">
        <v>14</v>
      </c>
      <c r="E1278" t="s">
        <v>199</v>
      </c>
      <c r="F1278" s="5" t="str">
        <f>HYPERLINK("http://www.otzar.org/book.asp?626219","חיי ורפואת ישראל בשבת")</f>
        <v>חיי ורפואת ישראל בשבת</v>
      </c>
    </row>
    <row r="1279" spans="1:6" x14ac:dyDescent="0.2">
      <c r="A1279" t="s">
        <v>2752</v>
      </c>
      <c r="B1279" t="s">
        <v>1166</v>
      </c>
      <c r="C1279" t="s">
        <v>73</v>
      </c>
      <c r="D1279" s="1" t="s">
        <v>52</v>
      </c>
      <c r="E1279" t="s">
        <v>2753</v>
      </c>
      <c r="F1279" s="5" t="str">
        <f>HYPERLINK("http://www.otzar.org/book.asp?628592","חיי יעקב")</f>
        <v>חיי יעקב</v>
      </c>
    </row>
    <row r="1280" spans="1:6" x14ac:dyDescent="0.2">
      <c r="A1280" t="s">
        <v>2754</v>
      </c>
      <c r="B1280" t="s">
        <v>2754</v>
      </c>
      <c r="E1280" t="s">
        <v>49</v>
      </c>
      <c r="F1280" s="5" t="str">
        <f>HYPERLINK("http://www.otzar.org/book.asp?626300","חיי ירושלים")</f>
        <v>חיי ירושלים</v>
      </c>
    </row>
    <row r="1281" spans="1:6" x14ac:dyDescent="0.2">
      <c r="A1281" t="s">
        <v>2755</v>
      </c>
      <c r="B1281" t="s">
        <v>2756</v>
      </c>
      <c r="C1281" t="s">
        <v>2757</v>
      </c>
      <c r="D1281" s="1" t="s">
        <v>2758</v>
      </c>
      <c r="F1281" s="5" t="str">
        <f>HYPERLINK("http://www.otzar.org/book.asp?623688","חיי כרמיה")</f>
        <v>חיי כרמיה</v>
      </c>
    </row>
    <row r="1282" spans="1:6" x14ac:dyDescent="0.2">
      <c r="A1282" t="s">
        <v>2759</v>
      </c>
      <c r="B1282" t="s">
        <v>2760</v>
      </c>
      <c r="C1282" t="s">
        <v>126</v>
      </c>
      <c r="D1282" s="1" t="s">
        <v>14</v>
      </c>
      <c r="E1282" t="s">
        <v>295</v>
      </c>
      <c r="F1282" s="5" t="str">
        <f>HYPERLINK("http://www.otzar.org/book.asp?623471","חיי עד")</f>
        <v>חיי עד</v>
      </c>
    </row>
    <row r="1283" spans="1:6" x14ac:dyDescent="0.2">
      <c r="A1283" t="s">
        <v>2761</v>
      </c>
      <c r="B1283" t="s">
        <v>94</v>
      </c>
      <c r="C1283" t="s">
        <v>25</v>
      </c>
      <c r="D1283" s="1" t="s">
        <v>14</v>
      </c>
      <c r="E1283" t="s">
        <v>44</v>
      </c>
      <c r="F1283" s="5" t="str">
        <f>HYPERLINK("http://www.otzar.org/book.asp?629385","חיי עולם &lt;עץ חיים&gt; ב")</f>
        <v>חיי עולם &lt;עץ חיים&gt; ב</v>
      </c>
    </row>
    <row r="1284" spans="1:6" x14ac:dyDescent="0.2">
      <c r="A1284" t="s">
        <v>2762</v>
      </c>
      <c r="B1284" t="s">
        <v>94</v>
      </c>
      <c r="C1284" t="s">
        <v>25</v>
      </c>
      <c r="D1284" s="1" t="s">
        <v>14</v>
      </c>
      <c r="E1284" t="s">
        <v>44</v>
      </c>
      <c r="F1284" s="5" t="str">
        <f>HYPERLINK("http://www.otzar.org/book.asp?629386","חיי עולם &lt;עץ חיים&gt; ג")</f>
        <v>חיי עולם &lt;עץ חיים&gt; ג</v>
      </c>
    </row>
    <row r="1285" spans="1:6" x14ac:dyDescent="0.2">
      <c r="A1285" t="s">
        <v>2763</v>
      </c>
      <c r="B1285" t="s">
        <v>94</v>
      </c>
      <c r="C1285" t="s">
        <v>25</v>
      </c>
      <c r="D1285" s="1" t="s">
        <v>14</v>
      </c>
      <c r="E1285" t="s">
        <v>44</v>
      </c>
      <c r="F1285" s="5" t="str">
        <f>HYPERLINK("http://www.otzar.org/book.asp?629387","חיי עולם &lt;עץ חיים&gt; ד")</f>
        <v>חיי עולם &lt;עץ חיים&gt; ד</v>
      </c>
    </row>
    <row r="1286" spans="1:6" x14ac:dyDescent="0.2">
      <c r="A1286" t="s">
        <v>2764</v>
      </c>
      <c r="B1286" t="s">
        <v>94</v>
      </c>
      <c r="C1286" t="s">
        <v>25</v>
      </c>
      <c r="D1286" s="1" t="s">
        <v>14</v>
      </c>
      <c r="E1286" t="s">
        <v>44</v>
      </c>
      <c r="F1286" s="5" t="str">
        <f>HYPERLINK("http://www.otzar.org/book.asp?629388","חיי עולם &lt;שער הכוונות, מועדים&gt; ה")</f>
        <v>חיי עולם &lt;שער הכוונות, מועדים&gt; ה</v>
      </c>
    </row>
    <row r="1287" spans="1:6" x14ac:dyDescent="0.2">
      <c r="A1287" t="s">
        <v>2765</v>
      </c>
      <c r="B1287" t="s">
        <v>2766</v>
      </c>
      <c r="C1287" t="s">
        <v>20</v>
      </c>
      <c r="D1287" s="1" t="s">
        <v>14</v>
      </c>
      <c r="E1287" t="s">
        <v>49</v>
      </c>
      <c r="F1287" s="5" t="str">
        <f>HYPERLINK("http://www.otzar.org/book.asp?630632","חיים בריאים כהלכה")</f>
        <v>חיים בריאים כהלכה</v>
      </c>
    </row>
    <row r="1288" spans="1:6" x14ac:dyDescent="0.2">
      <c r="A1288" t="s">
        <v>2767</v>
      </c>
      <c r="B1288" t="s">
        <v>1800</v>
      </c>
      <c r="C1288" t="s">
        <v>307</v>
      </c>
      <c r="D1288" s="1" t="s">
        <v>9</v>
      </c>
      <c r="E1288" t="s">
        <v>34</v>
      </c>
      <c r="F1288" s="5" t="str">
        <f>HYPERLINK("http://www.otzar.org/book.asp?625398","חיים של קידוש ה'")</f>
        <v>חיים של קידוש ה'</v>
      </c>
    </row>
    <row r="1289" spans="1:6" x14ac:dyDescent="0.2">
      <c r="A1289" t="s">
        <v>2768</v>
      </c>
      <c r="B1289" t="s">
        <v>2769</v>
      </c>
      <c r="F1289" s="5" t="str">
        <f>HYPERLINK("http://www.otzar.org/book.asp?630393","חייקינים")</f>
        <v>חייקינים</v>
      </c>
    </row>
    <row r="1290" spans="1:6" x14ac:dyDescent="0.2">
      <c r="A1290" t="s">
        <v>2770</v>
      </c>
      <c r="B1290" t="s">
        <v>2771</v>
      </c>
      <c r="C1290" t="s">
        <v>40</v>
      </c>
      <c r="D1290" s="1" t="s">
        <v>9</v>
      </c>
      <c r="E1290" t="s">
        <v>41</v>
      </c>
      <c r="F1290" s="5" t="str">
        <f>HYPERLINK("http://www.otzar.org/book.asp?627565","חינוך בית יהודא &lt;מהדורת זכרון אהרן&gt;")</f>
        <v>חינוך בית יהודא &lt;מהדורת זכרון אהרן&gt;</v>
      </c>
    </row>
    <row r="1291" spans="1:6" x14ac:dyDescent="0.2">
      <c r="A1291" t="s">
        <v>2772</v>
      </c>
      <c r="B1291" t="s">
        <v>2773</v>
      </c>
      <c r="D1291" s="1" t="s">
        <v>9</v>
      </c>
      <c r="E1291" t="s">
        <v>37</v>
      </c>
      <c r="F1291" s="5" t="str">
        <f>HYPERLINK("http://www.otzar.org/book.asp?625534","חינוך הבית למצות ודיני קטן")</f>
        <v>חינוך הבית למצות ודיני קטן</v>
      </c>
    </row>
    <row r="1292" spans="1:6" x14ac:dyDescent="0.2">
      <c r="A1292" t="s">
        <v>2774</v>
      </c>
      <c r="B1292" t="s">
        <v>2775</v>
      </c>
      <c r="C1292" t="s">
        <v>1105</v>
      </c>
      <c r="D1292" s="1" t="s">
        <v>471</v>
      </c>
      <c r="E1292" t="s">
        <v>49</v>
      </c>
      <c r="F1292" s="5" t="str">
        <f>HYPERLINK("http://www.otzar.org/book.asp?156928","חינוך ילדים - 2 כר'")</f>
        <v>חינוך ילדים - 2 כר'</v>
      </c>
    </row>
    <row r="1293" spans="1:6" x14ac:dyDescent="0.2">
      <c r="A1293" t="s">
        <v>2776</v>
      </c>
      <c r="B1293" t="s">
        <v>2777</v>
      </c>
      <c r="C1293" t="s">
        <v>13</v>
      </c>
      <c r="D1293" s="1" t="s">
        <v>21</v>
      </c>
      <c r="E1293" t="s">
        <v>108</v>
      </c>
      <c r="F1293" s="5" t="str">
        <f>HYPERLINK("http://www.otzar.org/book.asp?625771","חישבתי דרכי - ב")</f>
        <v>חישבתי דרכי - ב</v>
      </c>
    </row>
    <row r="1294" spans="1:6" x14ac:dyDescent="0.2">
      <c r="A1294" t="s">
        <v>2778</v>
      </c>
      <c r="B1294" t="s">
        <v>2779</v>
      </c>
      <c r="C1294" t="s">
        <v>2780</v>
      </c>
      <c r="D1294" s="1" t="s">
        <v>2781</v>
      </c>
      <c r="E1294" t="s">
        <v>34</v>
      </c>
      <c r="F1294" s="5" t="str">
        <f>HYPERLINK("http://www.otzar.org/book.asp?625996","חכמה ומוסר")</f>
        <v>חכמה ומוסר</v>
      </c>
    </row>
    <row r="1295" spans="1:6" x14ac:dyDescent="0.2">
      <c r="A1295" t="s">
        <v>2782</v>
      </c>
      <c r="B1295" t="s">
        <v>2561</v>
      </c>
      <c r="C1295" t="s">
        <v>2783</v>
      </c>
      <c r="D1295" s="1" t="s">
        <v>2784</v>
      </c>
      <c r="E1295" t="s">
        <v>37</v>
      </c>
      <c r="F1295" s="5" t="str">
        <f>HYPERLINK("http://www.otzar.org/book.asp?624772","חכמת אדם")</f>
        <v>חכמת אדם</v>
      </c>
    </row>
    <row r="1296" spans="1:6" x14ac:dyDescent="0.2">
      <c r="A1296" t="s">
        <v>2785</v>
      </c>
      <c r="B1296" t="s">
        <v>2786</v>
      </c>
      <c r="C1296" t="s">
        <v>8</v>
      </c>
      <c r="D1296" s="1" t="s">
        <v>9</v>
      </c>
      <c r="E1296" t="s">
        <v>34</v>
      </c>
      <c r="F1296" s="5" t="str">
        <f>HYPERLINK("http://www.otzar.org/book.asp?628251","חכמת המוסר")</f>
        <v>חכמת המוסר</v>
      </c>
    </row>
    <row r="1297" spans="1:6" x14ac:dyDescent="0.2">
      <c r="A1297" t="s">
        <v>2787</v>
      </c>
      <c r="B1297" t="s">
        <v>2788</v>
      </c>
      <c r="C1297" t="s">
        <v>383</v>
      </c>
      <c r="D1297" s="1" t="s">
        <v>14</v>
      </c>
      <c r="E1297" t="s">
        <v>22</v>
      </c>
      <c r="F1297" s="5" t="str">
        <f>HYPERLINK("http://www.otzar.org/book.asp?626185","חכמת לב - סוכה")</f>
        <v>חכמת לב - סוכה</v>
      </c>
    </row>
    <row r="1298" spans="1:6" x14ac:dyDescent="0.2">
      <c r="A1298" t="s">
        <v>2789</v>
      </c>
      <c r="B1298" t="s">
        <v>2790</v>
      </c>
      <c r="C1298" t="s">
        <v>73</v>
      </c>
      <c r="D1298" s="1" t="s">
        <v>52</v>
      </c>
      <c r="E1298" t="s">
        <v>49</v>
      </c>
      <c r="F1298" s="5" t="str">
        <f>HYPERLINK("http://www.otzar.org/book.asp?626742","חכמת נשים")</f>
        <v>חכמת נשים</v>
      </c>
    </row>
    <row r="1299" spans="1:6" x14ac:dyDescent="0.2">
      <c r="A1299" t="s">
        <v>2791</v>
      </c>
      <c r="B1299" t="s">
        <v>2792</v>
      </c>
      <c r="C1299" t="s">
        <v>307</v>
      </c>
      <c r="D1299" s="1" t="s">
        <v>9</v>
      </c>
      <c r="E1299" t="s">
        <v>168</v>
      </c>
      <c r="F1299" s="5" t="str">
        <f>HYPERLINK("http://www.otzar.org/book.asp?623478","חכמת שלמה")</f>
        <v>חכמת שלמה</v>
      </c>
    </row>
    <row r="1300" spans="1:6" x14ac:dyDescent="0.2">
      <c r="A1300" t="s">
        <v>2793</v>
      </c>
      <c r="B1300" t="s">
        <v>2794</v>
      </c>
      <c r="C1300" t="s">
        <v>463</v>
      </c>
      <c r="D1300" s="1" t="s">
        <v>1096</v>
      </c>
      <c r="E1300" t="s">
        <v>1207</v>
      </c>
      <c r="F1300" s="5" t="str">
        <f>HYPERLINK("http://www.otzar.org/book.asp?623941","חלק הלוי - נשיאת כפיים")</f>
        <v>חלק הלוי - נשיאת כפיים</v>
      </c>
    </row>
    <row r="1301" spans="1:6" x14ac:dyDescent="0.2">
      <c r="A1301" t="s">
        <v>2795</v>
      </c>
      <c r="B1301" t="s">
        <v>800</v>
      </c>
      <c r="C1301" t="s">
        <v>73</v>
      </c>
      <c r="D1301" s="1" t="s">
        <v>213</v>
      </c>
      <c r="E1301" t="s">
        <v>49</v>
      </c>
      <c r="F1301" s="5" t="str">
        <f>HYPERLINK("http://www.otzar.org/book.asp?627397","חלקנו עמהם")</f>
        <v>חלקנו עמהם</v>
      </c>
    </row>
    <row r="1302" spans="1:6" x14ac:dyDescent="0.2">
      <c r="A1302" t="s">
        <v>2796</v>
      </c>
      <c r="B1302" t="s">
        <v>2797</v>
      </c>
      <c r="C1302" t="s">
        <v>13</v>
      </c>
      <c r="D1302" s="1" t="s">
        <v>557</v>
      </c>
      <c r="E1302" t="s">
        <v>37</v>
      </c>
      <c r="F1302" s="5" t="str">
        <f>HYPERLINK("http://www.otzar.org/book.asp?627229","חלקת אליהו - 5 כר'")</f>
        <v>חלקת אליהו - 5 כר'</v>
      </c>
    </row>
    <row r="1303" spans="1:6" x14ac:dyDescent="0.2">
      <c r="A1303" t="s">
        <v>2798</v>
      </c>
      <c r="B1303" t="s">
        <v>2799</v>
      </c>
      <c r="C1303" t="s">
        <v>133</v>
      </c>
      <c r="D1303" s="1" t="s">
        <v>1341</v>
      </c>
      <c r="E1303" t="s">
        <v>22</v>
      </c>
      <c r="F1303" s="5" t="str">
        <f>HYPERLINK("http://www.otzar.org/book.asp?628756","חלקת חיים - ע""ז, חולין, נדה")</f>
        <v>חלקת חיים - ע"ז, חולין, נדה</v>
      </c>
    </row>
    <row r="1304" spans="1:6" x14ac:dyDescent="0.2">
      <c r="A1304" t="s">
        <v>2800</v>
      </c>
      <c r="B1304" t="s">
        <v>2801</v>
      </c>
      <c r="C1304" t="s">
        <v>13</v>
      </c>
      <c r="D1304" s="1" t="s">
        <v>9</v>
      </c>
      <c r="E1304" t="s">
        <v>2802</v>
      </c>
      <c r="F1304" s="5" t="str">
        <f>HYPERLINK("http://www.otzar.org/book.asp?630292","חלקת חנוך - מקוואות")</f>
        <v>חלקת חנוך - מקוואות</v>
      </c>
    </row>
    <row r="1305" spans="1:6" x14ac:dyDescent="0.2">
      <c r="A1305" t="s">
        <v>2803</v>
      </c>
      <c r="B1305" t="s">
        <v>94</v>
      </c>
      <c r="C1305" t="s">
        <v>694</v>
      </c>
      <c r="D1305" s="1" t="s">
        <v>9</v>
      </c>
      <c r="E1305" t="s">
        <v>34</v>
      </c>
      <c r="F1305" s="5" t="str">
        <f>HYPERLINK("http://www.otzar.org/book.asp?623532","חמדה גנוזה")</f>
        <v>חמדה גנוזה</v>
      </c>
    </row>
    <row r="1306" spans="1:6" x14ac:dyDescent="0.2">
      <c r="A1306" t="s">
        <v>2803</v>
      </c>
      <c r="B1306" t="s">
        <v>2804</v>
      </c>
      <c r="C1306" t="s">
        <v>20</v>
      </c>
      <c r="D1306" s="1" t="s">
        <v>607</v>
      </c>
      <c r="E1306" t="s">
        <v>108</v>
      </c>
      <c r="F1306" s="5" t="str">
        <f>HYPERLINK("http://www.otzar.org/book.asp?630315","חמדה גנוזה")</f>
        <v>חמדה גנוזה</v>
      </c>
    </row>
    <row r="1307" spans="1:6" x14ac:dyDescent="0.2">
      <c r="A1307" t="s">
        <v>2805</v>
      </c>
      <c r="B1307" t="s">
        <v>2806</v>
      </c>
      <c r="C1307" t="s">
        <v>2807</v>
      </c>
      <c r="D1307" s="1" t="s">
        <v>2808</v>
      </c>
      <c r="E1307" t="s">
        <v>49</v>
      </c>
      <c r="F1307" s="5" t="str">
        <f>HYPERLINK("http://www.otzar.org/book.asp?625994","חמדת יוסף - ב")</f>
        <v>חמדת יוסף - ב</v>
      </c>
    </row>
    <row r="1308" spans="1:6" x14ac:dyDescent="0.2">
      <c r="A1308" t="s">
        <v>2809</v>
      </c>
      <c r="B1308" t="s">
        <v>2810</v>
      </c>
      <c r="C1308" t="s">
        <v>20</v>
      </c>
      <c r="D1308" s="1" t="s">
        <v>9</v>
      </c>
      <c r="E1308" t="s">
        <v>214</v>
      </c>
      <c r="F1308" s="5" t="str">
        <f>HYPERLINK("http://www.otzar.org/book.asp?626014","חמדת ישראל - קידושין")</f>
        <v>חמדת ישראל - קידושין</v>
      </c>
    </row>
    <row r="1309" spans="1:6" x14ac:dyDescent="0.2">
      <c r="A1309" t="s">
        <v>2811</v>
      </c>
      <c r="B1309" t="s">
        <v>2812</v>
      </c>
      <c r="C1309" t="s">
        <v>307</v>
      </c>
      <c r="D1309" s="1" t="s">
        <v>14</v>
      </c>
      <c r="E1309" t="s">
        <v>168</v>
      </c>
      <c r="F1309" s="5" t="str">
        <f>HYPERLINK("http://www.otzar.org/book.asp?626332","חמישה שיעורים - 5 כר'")</f>
        <v>חמישה שיעורים - 5 כר'</v>
      </c>
    </row>
    <row r="1310" spans="1:6" x14ac:dyDescent="0.2">
      <c r="A1310" t="s">
        <v>2813</v>
      </c>
      <c r="B1310" t="s">
        <v>2814</v>
      </c>
      <c r="C1310" t="s">
        <v>13</v>
      </c>
      <c r="D1310" s="1" t="s">
        <v>9</v>
      </c>
      <c r="E1310" t="s">
        <v>214</v>
      </c>
      <c r="F1310" s="5" t="str">
        <f>HYPERLINK("http://www.otzar.org/book.asp?628693","חמישים שנה של תורה בישיבת איתרי")</f>
        <v>חמישים שנה של תורה בישיבת איתרי</v>
      </c>
    </row>
    <row r="1311" spans="1:6" x14ac:dyDescent="0.2">
      <c r="A1311" t="s">
        <v>2815</v>
      </c>
      <c r="B1311" t="s">
        <v>2816</v>
      </c>
      <c r="C1311" t="s">
        <v>13</v>
      </c>
      <c r="D1311" s="1" t="s">
        <v>52</v>
      </c>
      <c r="E1311" t="s">
        <v>37</v>
      </c>
      <c r="F1311" s="5" t="str">
        <f>HYPERLINK("http://www.otzar.org/book.asp?627632","חמר משה")</f>
        <v>חמר משה</v>
      </c>
    </row>
    <row r="1312" spans="1:6" x14ac:dyDescent="0.2">
      <c r="A1312" t="s">
        <v>2817</v>
      </c>
      <c r="B1312" t="s">
        <v>2818</v>
      </c>
      <c r="C1312" t="s">
        <v>2819</v>
      </c>
      <c r="D1312" s="1" t="s">
        <v>2820</v>
      </c>
      <c r="E1312" t="s">
        <v>168</v>
      </c>
      <c r="F1312" s="5" t="str">
        <f>HYPERLINK("http://www.otzar.org/book.asp?627306","חמשה חומשי תורה &lt;עם תרגום אונקלוס מדויק ע""פ כ""י&gt; - 5 כר'")</f>
        <v>חמשה חומשי תורה &lt;עם תרגום אונקלוס מדויק ע"פ כ"י&gt; - 5 כר'</v>
      </c>
    </row>
    <row r="1313" spans="1:6" x14ac:dyDescent="0.2">
      <c r="A1313" t="s">
        <v>2821</v>
      </c>
      <c r="B1313" t="s">
        <v>2822</v>
      </c>
      <c r="C1313" t="s">
        <v>334</v>
      </c>
      <c r="D1313" s="1" t="s">
        <v>2823</v>
      </c>
      <c r="E1313" t="s">
        <v>168</v>
      </c>
      <c r="F1313" s="5" t="str">
        <f>HYPERLINK("http://www.otzar.org/book.asp?626612","חמשה חומשי תורה &lt;החלוקה על פי מסורת חז""ל&gt;")</f>
        <v>חמשה חומשי תורה &lt;החלוקה על פי מסורת חז"ל&gt;</v>
      </c>
    </row>
    <row r="1314" spans="1:6" x14ac:dyDescent="0.2">
      <c r="A1314" t="s">
        <v>2824</v>
      </c>
      <c r="B1314" t="s">
        <v>482</v>
      </c>
      <c r="C1314" t="s">
        <v>13</v>
      </c>
      <c r="D1314" s="1" t="s">
        <v>9</v>
      </c>
      <c r="E1314" t="s">
        <v>89</v>
      </c>
      <c r="F1314" s="5" t="str">
        <f>HYPERLINK("http://www.otzar.org/book.asp?623488","חנוכה, צום עשרה בטבת, ט""ו בשבט")</f>
        <v>חנוכה, צום עשרה בטבת, ט"ו בשבט</v>
      </c>
    </row>
    <row r="1315" spans="1:6" x14ac:dyDescent="0.2">
      <c r="A1315" t="s">
        <v>2825</v>
      </c>
      <c r="B1315" t="s">
        <v>1055</v>
      </c>
      <c r="C1315" t="s">
        <v>40</v>
      </c>
      <c r="D1315" s="1" t="s">
        <v>1257</v>
      </c>
      <c r="E1315" t="s">
        <v>154</v>
      </c>
      <c r="F1315" s="5" t="str">
        <f>HYPERLINK("http://www.otzar.org/book.asp?625558","חנוכת הבית")</f>
        <v>חנוכת הבית</v>
      </c>
    </row>
    <row r="1316" spans="1:6" x14ac:dyDescent="0.2">
      <c r="A1316" t="s">
        <v>2826</v>
      </c>
      <c r="B1316" t="s">
        <v>2827</v>
      </c>
      <c r="C1316" t="s">
        <v>13</v>
      </c>
      <c r="D1316" s="1" t="s">
        <v>14</v>
      </c>
      <c r="E1316" t="s">
        <v>214</v>
      </c>
      <c r="F1316" s="5" t="str">
        <f>HYPERLINK("http://www.otzar.org/book.asp?626094","חנוכת המזבח")</f>
        <v>חנוכת המזבח</v>
      </c>
    </row>
    <row r="1317" spans="1:6" x14ac:dyDescent="0.2">
      <c r="A1317" t="s">
        <v>2828</v>
      </c>
      <c r="B1317" t="s">
        <v>2829</v>
      </c>
      <c r="C1317" t="s">
        <v>298</v>
      </c>
      <c r="D1317" s="1" t="s">
        <v>9</v>
      </c>
      <c r="E1317" t="s">
        <v>41</v>
      </c>
      <c r="F1317" s="5" t="str">
        <f>HYPERLINK("http://www.otzar.org/book.asp?629253","חסד ה'")</f>
        <v>חסד ה'</v>
      </c>
    </row>
    <row r="1318" spans="1:6" x14ac:dyDescent="0.2">
      <c r="A1318" t="s">
        <v>2830</v>
      </c>
      <c r="B1318" t="s">
        <v>138</v>
      </c>
      <c r="C1318" t="s">
        <v>20</v>
      </c>
      <c r="D1318" s="1" t="s">
        <v>52</v>
      </c>
      <c r="E1318" t="s">
        <v>89</v>
      </c>
      <c r="F1318" s="5" t="str">
        <f>HYPERLINK("http://www.otzar.org/book.asp?629657","חסד ואמת נפגשו - סדר אושפיזין")</f>
        <v>חסד ואמת נפגשו - סדר אושפיזין</v>
      </c>
    </row>
    <row r="1319" spans="1:6" x14ac:dyDescent="0.2">
      <c r="A1319" t="s">
        <v>2831</v>
      </c>
      <c r="B1319" t="s">
        <v>2832</v>
      </c>
      <c r="C1319" t="s">
        <v>73</v>
      </c>
      <c r="D1319" s="1" t="s">
        <v>2833</v>
      </c>
      <c r="E1319" t="s">
        <v>41</v>
      </c>
      <c r="F1319" s="5" t="str">
        <f>HYPERLINK("http://www.otzar.org/book.asp?624797","חסד לאברהם - שו""ת ב")</f>
        <v>חסד לאברהם - שו"ת ב</v>
      </c>
    </row>
    <row r="1320" spans="1:6" x14ac:dyDescent="0.2">
      <c r="A1320" t="s">
        <v>2834</v>
      </c>
      <c r="B1320" t="s">
        <v>2835</v>
      </c>
      <c r="C1320" t="s">
        <v>20</v>
      </c>
      <c r="D1320" s="1" t="s">
        <v>9</v>
      </c>
      <c r="E1320" t="s">
        <v>2836</v>
      </c>
      <c r="F1320" s="5" t="str">
        <f>HYPERLINK("http://www.otzar.org/book.asp?627133","חסד לאברהם - זרעים")</f>
        <v>חסד לאברהם - זרעים</v>
      </c>
    </row>
    <row r="1321" spans="1:6" x14ac:dyDescent="0.2">
      <c r="A1321" t="s">
        <v>2837</v>
      </c>
      <c r="B1321" t="s">
        <v>156</v>
      </c>
      <c r="C1321" t="s">
        <v>2838</v>
      </c>
      <c r="D1321" s="1" t="s">
        <v>158</v>
      </c>
      <c r="E1321" t="s">
        <v>44</v>
      </c>
      <c r="F1321" s="5" t="str">
        <f>HYPERLINK("http://www.otzar.org/book.asp?626849","חסדי דוד הנאמנים - 12 כר'")</f>
        <v>חסדי דוד הנאמנים - 12 כר'</v>
      </c>
    </row>
    <row r="1322" spans="1:6" x14ac:dyDescent="0.2">
      <c r="A1322" t="s">
        <v>2839</v>
      </c>
      <c r="B1322" t="s">
        <v>2840</v>
      </c>
      <c r="C1322" t="s">
        <v>88</v>
      </c>
      <c r="D1322" s="1" t="s">
        <v>29</v>
      </c>
      <c r="E1322" t="s">
        <v>168</v>
      </c>
      <c r="F1322" s="5" t="str">
        <f>HYPERLINK("http://www.otzar.org/book.asp?626633","חסדי השם על התורה")</f>
        <v>חסדי השם על התורה</v>
      </c>
    </row>
    <row r="1323" spans="1:6" x14ac:dyDescent="0.2">
      <c r="A1323" t="s">
        <v>2841</v>
      </c>
      <c r="B1323" t="s">
        <v>2840</v>
      </c>
      <c r="C1323" t="s">
        <v>40</v>
      </c>
      <c r="D1323" s="1" t="s">
        <v>29</v>
      </c>
      <c r="E1323" t="s">
        <v>22</v>
      </c>
      <c r="F1323" s="5" t="str">
        <f>HYPERLINK("http://www.otzar.org/book.asp?626630","חסדי השם על עין יעקב - 7 כר'")</f>
        <v>חסדי השם על עין יעקב - 7 כר'</v>
      </c>
    </row>
    <row r="1324" spans="1:6" x14ac:dyDescent="0.2">
      <c r="A1324" t="s">
        <v>2842</v>
      </c>
      <c r="B1324" t="s">
        <v>674</v>
      </c>
      <c r="C1324" t="s">
        <v>136</v>
      </c>
      <c r="D1324" s="1" t="s">
        <v>9</v>
      </c>
      <c r="E1324" t="s">
        <v>675</v>
      </c>
      <c r="F1324" s="5" t="str">
        <f>HYPERLINK("http://www.otzar.org/book.asp?623582","חסידות - כו (עבודת המידות ב)")</f>
        <v>חסידות - כו (עבודת המידות ב)</v>
      </c>
    </row>
    <row r="1325" spans="1:6" x14ac:dyDescent="0.2">
      <c r="A1325" t="s">
        <v>2843</v>
      </c>
      <c r="B1325" t="s">
        <v>2844</v>
      </c>
      <c r="C1325" t="s">
        <v>136</v>
      </c>
      <c r="D1325" s="1" t="s">
        <v>9</v>
      </c>
      <c r="E1325" t="s">
        <v>37</v>
      </c>
      <c r="F1325" s="5" t="str">
        <f>HYPERLINK("http://www.otzar.org/book.asp?629731","חפץ חיים &lt;שי""ח התמר&gt;")</f>
        <v>חפץ חיים &lt;שי"ח התמר&gt;</v>
      </c>
    </row>
    <row r="1326" spans="1:6" x14ac:dyDescent="0.2">
      <c r="A1326" t="s">
        <v>2845</v>
      </c>
      <c r="B1326" t="s">
        <v>2846</v>
      </c>
      <c r="E1326" t="s">
        <v>37</v>
      </c>
      <c r="F1326" s="5" t="str">
        <f>HYPERLINK("http://www.otzar.org/book.asp?630780","חפץ חיים &lt;עם הערות&gt;")</f>
        <v>חפץ חיים &lt;עם הערות&gt;</v>
      </c>
    </row>
    <row r="1327" spans="1:6" x14ac:dyDescent="0.2">
      <c r="A1327" t="s">
        <v>2847</v>
      </c>
      <c r="B1327" t="s">
        <v>2848</v>
      </c>
      <c r="C1327" t="s">
        <v>13</v>
      </c>
      <c r="D1327" s="1" t="s">
        <v>52</v>
      </c>
      <c r="E1327" t="s">
        <v>37</v>
      </c>
      <c r="F1327" s="5" t="str">
        <f>HYPERLINK("http://www.otzar.org/book.asp?630510","חפץ חיים &lt;עקבי חיים&gt;")</f>
        <v>חפץ חיים &lt;עקבי חיים&gt;</v>
      </c>
    </row>
    <row r="1328" spans="1:6" x14ac:dyDescent="0.2">
      <c r="A1328" t="s">
        <v>2849</v>
      </c>
      <c r="B1328" t="s">
        <v>2850</v>
      </c>
      <c r="C1328" t="s">
        <v>2851</v>
      </c>
      <c r="D1328" s="1" t="s">
        <v>471</v>
      </c>
      <c r="E1328" t="s">
        <v>2232</v>
      </c>
      <c r="F1328" s="5" t="str">
        <f>HYPERLINK("http://www.otzar.org/book.asp?623338","חפץ חיים &lt;משכיל על נגינות, משכיל שיר ידידות&gt;")</f>
        <v>חפץ חיים &lt;משכיל על נגינות, משכיל שיר ידידות&gt;</v>
      </c>
    </row>
    <row r="1329" spans="1:6" x14ac:dyDescent="0.2">
      <c r="A1329" t="s">
        <v>2852</v>
      </c>
      <c r="B1329" t="s">
        <v>2853</v>
      </c>
      <c r="C1329" t="s">
        <v>136</v>
      </c>
      <c r="D1329" s="1" t="s">
        <v>64</v>
      </c>
      <c r="E1329" t="s">
        <v>37</v>
      </c>
      <c r="F1329" s="5" t="str">
        <f>HYPERLINK("http://www.otzar.org/book.asp?625520","חפץ חיים עם ביאור שיח התמר")</f>
        <v>חפץ חיים עם ביאור שיח התמר</v>
      </c>
    </row>
    <row r="1330" spans="1:6" x14ac:dyDescent="0.2">
      <c r="A1330" t="s">
        <v>2854</v>
      </c>
      <c r="B1330" t="s">
        <v>484</v>
      </c>
      <c r="C1330" t="s">
        <v>136</v>
      </c>
      <c r="D1330" s="1" t="s">
        <v>14</v>
      </c>
      <c r="E1330" t="s">
        <v>89</v>
      </c>
      <c r="F1330" s="5" t="str">
        <f>HYPERLINK("http://www.otzar.org/book.asp?629133","חציו לה' וחציו לכם")</f>
        <v>חציו לה' וחציו לכם</v>
      </c>
    </row>
    <row r="1331" spans="1:6" x14ac:dyDescent="0.2">
      <c r="A1331" t="s">
        <v>2855</v>
      </c>
      <c r="B1331" t="s">
        <v>420</v>
      </c>
      <c r="C1331" t="s">
        <v>25</v>
      </c>
      <c r="D1331" s="1" t="s">
        <v>14</v>
      </c>
      <c r="E1331" t="s">
        <v>17</v>
      </c>
      <c r="F1331" s="5" t="str">
        <f>HYPERLINK("http://www.otzar.org/book.asp?629619","חצר אמונים - 3 כר'")</f>
        <v>חצר אמונים - 3 כר'</v>
      </c>
    </row>
    <row r="1332" spans="1:6" x14ac:dyDescent="0.2">
      <c r="A1332" t="s">
        <v>2856</v>
      </c>
      <c r="B1332" t="s">
        <v>2857</v>
      </c>
      <c r="C1332" t="s">
        <v>13</v>
      </c>
      <c r="D1332" s="1" t="s">
        <v>9</v>
      </c>
      <c r="E1332" t="s">
        <v>375</v>
      </c>
      <c r="F1332" s="5" t="str">
        <f>HYPERLINK("http://www.otzar.org/book.asp?627497","חצרות ישע")</f>
        <v>חצרות ישע</v>
      </c>
    </row>
    <row r="1333" spans="1:6" x14ac:dyDescent="0.2">
      <c r="A1333" t="s">
        <v>2858</v>
      </c>
      <c r="B1333" t="s">
        <v>2859</v>
      </c>
      <c r="C1333" t="s">
        <v>264</v>
      </c>
      <c r="D1333" s="1" t="s">
        <v>14</v>
      </c>
      <c r="E1333" t="s">
        <v>168</v>
      </c>
      <c r="F1333" s="5" t="str">
        <f>HYPERLINK("http://www.otzar.org/book.asp?623273","חק המוסר - 2 כר'")</f>
        <v>חק המוסר - 2 כר'</v>
      </c>
    </row>
    <row r="1334" spans="1:6" x14ac:dyDescent="0.2">
      <c r="A1334" t="s">
        <v>2860</v>
      </c>
      <c r="B1334" t="s">
        <v>2861</v>
      </c>
      <c r="C1334" t="s">
        <v>20</v>
      </c>
      <c r="D1334" s="1" t="s">
        <v>52</v>
      </c>
      <c r="E1334" t="s">
        <v>34</v>
      </c>
      <c r="F1334" s="5" t="str">
        <f>HYPERLINK("http://www.otzar.org/book.asp?622534","חקל חיים - קב הישר")</f>
        <v>חקל חיים - קב הישר</v>
      </c>
    </row>
    <row r="1335" spans="1:6" x14ac:dyDescent="0.2">
      <c r="A1335" t="s">
        <v>2862</v>
      </c>
      <c r="B1335" t="s">
        <v>2863</v>
      </c>
      <c r="C1335" t="s">
        <v>13</v>
      </c>
      <c r="D1335" s="1" t="s">
        <v>52</v>
      </c>
      <c r="E1335" t="s">
        <v>836</v>
      </c>
      <c r="F1335" s="5" t="str">
        <f>HYPERLINK("http://www.otzar.org/book.asp?628180","חקר ועיון - 24 כר'")</f>
        <v>חקר ועיון - 24 כר'</v>
      </c>
    </row>
    <row r="1336" spans="1:6" x14ac:dyDescent="0.2">
      <c r="A1336" t="s">
        <v>2864</v>
      </c>
      <c r="B1336" t="s">
        <v>2865</v>
      </c>
      <c r="C1336" t="s">
        <v>13</v>
      </c>
      <c r="D1336" s="1" t="s">
        <v>158</v>
      </c>
      <c r="E1336" t="s">
        <v>37</v>
      </c>
      <c r="F1336" s="5" t="str">
        <f>HYPERLINK("http://www.otzar.org/book.asp?630139","חקרי הלכות - 2 כר'")</f>
        <v>חקרי הלכות - 2 כר'</v>
      </c>
    </row>
    <row r="1337" spans="1:6" x14ac:dyDescent="0.2">
      <c r="A1337" t="s">
        <v>2866</v>
      </c>
      <c r="B1337" t="s">
        <v>150</v>
      </c>
      <c r="C1337" t="s">
        <v>25</v>
      </c>
      <c r="D1337" s="1" t="s">
        <v>14</v>
      </c>
      <c r="E1337" t="s">
        <v>37</v>
      </c>
      <c r="F1337" s="5" t="str">
        <f>HYPERLINK("http://www.otzar.org/book.asp?629351","חרב פיפיות")</f>
        <v>חרב פיפיות</v>
      </c>
    </row>
    <row r="1338" spans="1:6" x14ac:dyDescent="0.2">
      <c r="A1338" t="s">
        <v>2867</v>
      </c>
      <c r="B1338" t="s">
        <v>2868</v>
      </c>
      <c r="C1338" t="s">
        <v>8</v>
      </c>
      <c r="D1338" s="1" t="s">
        <v>52</v>
      </c>
      <c r="E1338" t="s">
        <v>108</v>
      </c>
      <c r="F1338" s="5" t="str">
        <f>HYPERLINK("http://www.otzar.org/book.asp?624502","חשב האפד - מ""ח דברים שהתורה נקנית בהם")</f>
        <v>חשב האפד - מ"ח דברים שהתורה נקנית בהם</v>
      </c>
    </row>
    <row r="1339" spans="1:6" x14ac:dyDescent="0.2">
      <c r="A1339" t="s">
        <v>2869</v>
      </c>
      <c r="B1339" t="s">
        <v>1139</v>
      </c>
      <c r="C1339" t="s">
        <v>25</v>
      </c>
      <c r="D1339" s="1" t="s">
        <v>9</v>
      </c>
      <c r="F1339" s="5" t="str">
        <f>HYPERLINK("http://www.otzar.org/book.asp?629632","חתן ותורה")</f>
        <v>חתן ותורה</v>
      </c>
    </row>
    <row r="1340" spans="1:6" x14ac:dyDescent="0.2">
      <c r="A1340" t="s">
        <v>2870</v>
      </c>
      <c r="B1340" t="s">
        <v>156</v>
      </c>
      <c r="C1340" t="s">
        <v>174</v>
      </c>
      <c r="D1340" s="1" t="s">
        <v>158</v>
      </c>
      <c r="E1340" t="s">
        <v>683</v>
      </c>
      <c r="F1340" s="5" t="str">
        <f>HYPERLINK("http://www.otzar.org/book.asp?628549","חתן עם הכלה")</f>
        <v>חתן עם הכלה</v>
      </c>
    </row>
    <row r="1341" spans="1:6" x14ac:dyDescent="0.2">
      <c r="A1341" t="s">
        <v>2871</v>
      </c>
      <c r="B1341" t="s">
        <v>903</v>
      </c>
      <c r="C1341" t="s">
        <v>386</v>
      </c>
      <c r="D1341" s="1" t="s">
        <v>14</v>
      </c>
      <c r="E1341" t="s">
        <v>89</v>
      </c>
      <c r="F1341" s="5" t="str">
        <f>HYPERLINK("http://www.otzar.org/book.asp?623292","ט""ו בשבט בהלכה")</f>
        <v>ט"ו בשבט בהלכה</v>
      </c>
    </row>
    <row r="1342" spans="1:6" x14ac:dyDescent="0.2">
      <c r="A1342" t="s">
        <v>2872</v>
      </c>
      <c r="B1342" t="s">
        <v>2873</v>
      </c>
      <c r="C1342" t="s">
        <v>694</v>
      </c>
      <c r="D1342" s="1" t="s">
        <v>64</v>
      </c>
      <c r="E1342" t="s">
        <v>89</v>
      </c>
      <c r="F1342" s="5" t="str">
        <f>HYPERLINK("http://www.otzar.org/book.asp?623764","ט""ו בשבט - הלכות ומנהגים")</f>
        <v>ט"ו בשבט - הלכות ומנהגים</v>
      </c>
    </row>
    <row r="1343" spans="1:6" x14ac:dyDescent="0.2">
      <c r="A1343" t="s">
        <v>2874</v>
      </c>
      <c r="B1343" t="s">
        <v>2875</v>
      </c>
      <c r="C1343" t="s">
        <v>694</v>
      </c>
      <c r="D1343" s="1" t="s">
        <v>1364</v>
      </c>
      <c r="E1343" t="s">
        <v>37</v>
      </c>
      <c r="F1343" s="5" t="str">
        <f>HYPERLINK("http://www.otzar.org/book.asp?623346","טבח והכן &lt;מהדורה חדשה&gt;")</f>
        <v>טבח והכן &lt;מהדורה חדשה&gt;</v>
      </c>
    </row>
    <row r="1344" spans="1:6" x14ac:dyDescent="0.2">
      <c r="A1344" t="s">
        <v>2876</v>
      </c>
      <c r="B1344" t="s">
        <v>1686</v>
      </c>
      <c r="C1344" t="s">
        <v>13</v>
      </c>
      <c r="D1344" s="1" t="s">
        <v>14</v>
      </c>
      <c r="F1344" s="5" t="str">
        <f>HYPERLINK("http://www.otzar.org/book.asp?632027","טבעת המלך")</f>
        <v>טבעת המלך</v>
      </c>
    </row>
    <row r="1345" spans="1:6" x14ac:dyDescent="0.2">
      <c r="A1345" t="s">
        <v>2877</v>
      </c>
      <c r="B1345" t="s">
        <v>2878</v>
      </c>
      <c r="C1345" t="s">
        <v>20</v>
      </c>
      <c r="D1345" s="1" t="s">
        <v>9</v>
      </c>
      <c r="E1345" t="s">
        <v>37</v>
      </c>
      <c r="F1345" s="5" t="str">
        <f>HYPERLINK("http://www.otzar.org/book.asp?626692","טהרת הכלים - ה")</f>
        <v>טהרת הכלים - ה</v>
      </c>
    </row>
    <row r="1346" spans="1:6" x14ac:dyDescent="0.2">
      <c r="A1346" t="s">
        <v>2879</v>
      </c>
      <c r="B1346" t="s">
        <v>2880</v>
      </c>
      <c r="C1346" t="s">
        <v>25</v>
      </c>
      <c r="D1346" s="1" t="s">
        <v>2881</v>
      </c>
      <c r="F1346" s="5" t="str">
        <f>HYPERLINK("http://www.otzar.org/book.asp?632832","טהרת ישראל")</f>
        <v>טהרת ישראל</v>
      </c>
    </row>
    <row r="1347" spans="1:6" x14ac:dyDescent="0.2">
      <c r="A1347" t="s">
        <v>2882</v>
      </c>
      <c r="B1347" t="s">
        <v>2883</v>
      </c>
      <c r="C1347" t="s">
        <v>13</v>
      </c>
      <c r="D1347" s="1" t="s">
        <v>64</v>
      </c>
      <c r="E1347" t="s">
        <v>2884</v>
      </c>
      <c r="F1347" s="5" t="str">
        <f>HYPERLINK("http://www.otzar.org/book.asp?630585","טהרת ישראל - א")</f>
        <v>טהרת ישראל - א</v>
      </c>
    </row>
    <row r="1348" spans="1:6" x14ac:dyDescent="0.2">
      <c r="A1348" t="s">
        <v>2885</v>
      </c>
      <c r="B1348" t="s">
        <v>1213</v>
      </c>
      <c r="C1348" t="s">
        <v>88</v>
      </c>
      <c r="D1348" s="1" t="s">
        <v>14</v>
      </c>
      <c r="E1348" t="s">
        <v>2275</v>
      </c>
      <c r="F1348" s="5" t="str">
        <f>HYPERLINK("http://www.otzar.org/book.asp?623779","טהרת מירון - הר המערות")</f>
        <v>טהרת מירון - הר המערות</v>
      </c>
    </row>
    <row r="1349" spans="1:6" x14ac:dyDescent="0.2">
      <c r="A1349" t="s">
        <v>2886</v>
      </c>
      <c r="B1349" t="s">
        <v>2887</v>
      </c>
      <c r="C1349" t="s">
        <v>13</v>
      </c>
      <c r="D1349" s="1" t="s">
        <v>9</v>
      </c>
      <c r="E1349" t="s">
        <v>168</v>
      </c>
      <c r="F1349" s="5" t="str">
        <f>HYPERLINK("http://www.otzar.org/book.asp?627845","טוב הלל")</f>
        <v>טוב הלל</v>
      </c>
    </row>
    <row r="1350" spans="1:6" x14ac:dyDescent="0.2">
      <c r="A1350" t="s">
        <v>2888</v>
      </c>
      <c r="B1350" t="s">
        <v>2889</v>
      </c>
      <c r="C1350" t="s">
        <v>13</v>
      </c>
      <c r="D1350" s="1" t="s">
        <v>874</v>
      </c>
      <c r="E1350" t="s">
        <v>22</v>
      </c>
      <c r="F1350" s="5" t="str">
        <f>HYPERLINK("http://www.otzar.org/book.asp?629647","טוב טעם - כריתות")</f>
        <v>טוב טעם - כריתות</v>
      </c>
    </row>
    <row r="1351" spans="1:6" x14ac:dyDescent="0.2">
      <c r="A1351" t="s">
        <v>2890</v>
      </c>
      <c r="B1351" t="s">
        <v>2494</v>
      </c>
      <c r="C1351" t="s">
        <v>20</v>
      </c>
      <c r="D1351" s="1" t="s">
        <v>52</v>
      </c>
      <c r="E1351" t="s">
        <v>49</v>
      </c>
      <c r="F1351" s="5" t="str">
        <f>HYPERLINK("http://www.otzar.org/book.asp?625822","טוב להודות לה'")</f>
        <v>טוב להודות לה'</v>
      </c>
    </row>
    <row r="1352" spans="1:6" x14ac:dyDescent="0.2">
      <c r="A1352" t="s">
        <v>2891</v>
      </c>
      <c r="B1352" t="s">
        <v>2892</v>
      </c>
      <c r="C1352" t="s">
        <v>8</v>
      </c>
      <c r="D1352" s="1" t="s">
        <v>52</v>
      </c>
      <c r="E1352" t="s">
        <v>34</v>
      </c>
      <c r="F1352" s="5" t="str">
        <f>HYPERLINK("http://www.otzar.org/book.asp?627748","טוב להודות - על מזמור לתודה")</f>
        <v>טוב להודות - על מזמור לתודה</v>
      </c>
    </row>
    <row r="1353" spans="1:6" x14ac:dyDescent="0.2">
      <c r="A1353" t="s">
        <v>2893</v>
      </c>
      <c r="B1353" t="s">
        <v>482</v>
      </c>
      <c r="C1353" t="s">
        <v>386</v>
      </c>
      <c r="D1353" s="1" t="s">
        <v>9</v>
      </c>
      <c r="E1353" t="s">
        <v>34</v>
      </c>
      <c r="F1353" s="5" t="str">
        <f>HYPERLINK("http://www.otzar.org/book.asp?623497","טוב עין הוא יבורך")</f>
        <v>טוב עין הוא יבורך</v>
      </c>
    </row>
    <row r="1354" spans="1:6" x14ac:dyDescent="0.2">
      <c r="A1354" t="s">
        <v>2894</v>
      </c>
      <c r="B1354" t="s">
        <v>2895</v>
      </c>
      <c r="E1354" t="s">
        <v>371</v>
      </c>
      <c r="F1354" s="5" t="str">
        <f>HYPERLINK("http://www.otzar.org/book.asp?627929","טובה ראייתו -מסלונים עד טבריה")</f>
        <v>טובה ראייתו -מסלונים עד טבריה</v>
      </c>
    </row>
    <row r="1355" spans="1:6" x14ac:dyDescent="0.2">
      <c r="A1355" t="s">
        <v>2896</v>
      </c>
      <c r="B1355" t="s">
        <v>2897</v>
      </c>
      <c r="C1355" t="s">
        <v>2898</v>
      </c>
      <c r="D1355" s="1" t="s">
        <v>1543</v>
      </c>
      <c r="E1355" t="s">
        <v>37</v>
      </c>
      <c r="F1355" s="5" t="str">
        <f>HYPERLINK("http://www.otzar.org/book.asp?626450","טור - יורה דעה &lt;ונציה שי""א&gt;")</f>
        <v>טור - יורה דעה &lt;ונציה שי"א&gt;</v>
      </c>
    </row>
    <row r="1356" spans="1:6" x14ac:dyDescent="0.2">
      <c r="A1356" t="s">
        <v>2899</v>
      </c>
      <c r="B1356" t="s">
        <v>2900</v>
      </c>
      <c r="C1356" t="s">
        <v>13</v>
      </c>
      <c r="D1356" s="1" t="s">
        <v>1295</v>
      </c>
      <c r="E1356" t="s">
        <v>22</v>
      </c>
      <c r="F1356" s="5" t="str">
        <f>HYPERLINK("http://www.otzar.org/book.asp?632634","טורי אבן &lt;מהדורה חדשה&gt; - ראש השנה")</f>
        <v>טורי אבן &lt;מהדורה חדשה&gt; - ראש השנה</v>
      </c>
    </row>
    <row r="1357" spans="1:6" x14ac:dyDescent="0.2">
      <c r="A1357" t="s">
        <v>2901</v>
      </c>
      <c r="B1357" t="s">
        <v>2902</v>
      </c>
      <c r="C1357" t="s">
        <v>8</v>
      </c>
      <c r="D1357" s="1" t="s">
        <v>14</v>
      </c>
      <c r="E1357" t="s">
        <v>89</v>
      </c>
      <c r="F1357" s="5" t="str">
        <f>HYPERLINK("http://www.otzar.org/book.asp?624893","טיב ההגדה - ג")</f>
        <v>טיב ההגדה - ג</v>
      </c>
    </row>
    <row r="1358" spans="1:6" x14ac:dyDescent="0.2">
      <c r="A1358" t="s">
        <v>2903</v>
      </c>
      <c r="B1358" t="s">
        <v>2904</v>
      </c>
      <c r="C1358" t="s">
        <v>20</v>
      </c>
      <c r="D1358" s="1" t="s">
        <v>9</v>
      </c>
      <c r="E1358" t="s">
        <v>168</v>
      </c>
      <c r="F1358" s="5" t="str">
        <f>HYPERLINK("http://www.otzar.org/book.asp?628203","טיב הקהילה")</f>
        <v>טיב הקהילה</v>
      </c>
    </row>
    <row r="1359" spans="1:6" x14ac:dyDescent="0.2">
      <c r="A1359" t="s">
        <v>2905</v>
      </c>
      <c r="B1359" t="s">
        <v>2904</v>
      </c>
      <c r="C1359" t="s">
        <v>13</v>
      </c>
      <c r="D1359" s="1" t="s">
        <v>9</v>
      </c>
      <c r="E1359" t="s">
        <v>34</v>
      </c>
      <c r="F1359" s="5" t="str">
        <f>HYPERLINK("http://www.otzar.org/book.asp?628204","טיב התחזקות - ב")</f>
        <v>טיב התחזקות - ב</v>
      </c>
    </row>
    <row r="1360" spans="1:6" x14ac:dyDescent="0.2">
      <c r="A1360" t="s">
        <v>2906</v>
      </c>
      <c r="B1360" t="s">
        <v>1322</v>
      </c>
      <c r="C1360" t="s">
        <v>20</v>
      </c>
      <c r="D1360" s="1" t="s">
        <v>9</v>
      </c>
      <c r="E1360" t="s">
        <v>2907</v>
      </c>
      <c r="F1360" s="5" t="str">
        <f>HYPERLINK("http://www.otzar.org/book.asp?628695","טיסה נעימה")</f>
        <v>טיסה נעימה</v>
      </c>
    </row>
    <row r="1361" spans="1:6" x14ac:dyDescent="0.2">
      <c r="A1361" t="s">
        <v>2908</v>
      </c>
      <c r="B1361" t="s">
        <v>2909</v>
      </c>
      <c r="C1361" t="s">
        <v>1525</v>
      </c>
      <c r="D1361" s="1" t="s">
        <v>1325</v>
      </c>
      <c r="E1361" t="s">
        <v>154</v>
      </c>
      <c r="F1361" s="5" t="str">
        <f>HYPERLINK("http://www.otzar.org/book.asp?623921","טל השמים")</f>
        <v>טל השמים</v>
      </c>
    </row>
    <row r="1362" spans="1:6" x14ac:dyDescent="0.2">
      <c r="A1362" t="s">
        <v>2910</v>
      </c>
      <c r="B1362" t="s">
        <v>1722</v>
      </c>
      <c r="C1362" t="s">
        <v>8</v>
      </c>
      <c r="D1362" s="1" t="s">
        <v>52</v>
      </c>
      <c r="E1362" t="s">
        <v>17</v>
      </c>
      <c r="F1362" s="5" t="str">
        <f>HYPERLINK("http://www.otzar.org/book.asp?622517","טלא דבדולחא")</f>
        <v>טלא דבדולחא</v>
      </c>
    </row>
    <row r="1363" spans="1:6" x14ac:dyDescent="0.2">
      <c r="A1363" t="s">
        <v>2911</v>
      </c>
      <c r="B1363" t="s">
        <v>2912</v>
      </c>
      <c r="C1363" t="s">
        <v>133</v>
      </c>
      <c r="D1363" s="1" t="s">
        <v>495</v>
      </c>
      <c r="E1363" t="s">
        <v>37</v>
      </c>
      <c r="F1363" s="5" t="str">
        <f>HYPERLINK("http://www.otzar.org/book.asp?625745","טלה חלב")</f>
        <v>טלה חלב</v>
      </c>
    </row>
    <row r="1364" spans="1:6" x14ac:dyDescent="0.2">
      <c r="A1364" t="s">
        <v>2913</v>
      </c>
      <c r="B1364" t="s">
        <v>2914</v>
      </c>
      <c r="C1364" t="s">
        <v>20</v>
      </c>
      <c r="D1364" s="1" t="s">
        <v>14</v>
      </c>
      <c r="E1364" t="s">
        <v>168</v>
      </c>
      <c r="F1364" s="5" t="str">
        <f>HYPERLINK("http://www.otzar.org/book.asp?627168","טנא פירות העמל - 7 כר'")</f>
        <v>טנא פירות העמל - 7 כר'</v>
      </c>
    </row>
    <row r="1365" spans="1:6" x14ac:dyDescent="0.2">
      <c r="A1365" t="s">
        <v>2915</v>
      </c>
      <c r="B1365" t="s">
        <v>2916</v>
      </c>
      <c r="E1365" t="s">
        <v>49</v>
      </c>
      <c r="F1365" s="5" t="str">
        <f>HYPERLINK("http://www.otzar.org/book.asp?627089","טנא")</f>
        <v>טנא</v>
      </c>
    </row>
    <row r="1366" spans="1:6" x14ac:dyDescent="0.2">
      <c r="A1366" t="s">
        <v>2917</v>
      </c>
      <c r="B1366" t="s">
        <v>2918</v>
      </c>
      <c r="C1366" t="s">
        <v>2919</v>
      </c>
      <c r="D1366" s="1" t="s">
        <v>537</v>
      </c>
      <c r="E1366" t="s">
        <v>22</v>
      </c>
      <c r="F1366" s="5" t="str">
        <f>HYPERLINK("http://www.otzar.org/book.asp?625373","טפה מן הים")</f>
        <v>טפה מן הים</v>
      </c>
    </row>
    <row r="1367" spans="1:6" x14ac:dyDescent="0.2">
      <c r="A1367" t="s">
        <v>2920</v>
      </c>
      <c r="B1367" t="s">
        <v>2921</v>
      </c>
      <c r="C1367" t="s">
        <v>40</v>
      </c>
      <c r="D1367" s="1" t="s">
        <v>1364</v>
      </c>
      <c r="E1367" t="s">
        <v>214</v>
      </c>
      <c r="F1367" s="5" t="str">
        <f>HYPERLINK("http://www.otzar.org/book.asp?623602","טראבלס של מעלה - 8 כר'")</f>
        <v>טראבלס של מעלה - 8 כר'</v>
      </c>
    </row>
    <row r="1368" spans="1:6" x14ac:dyDescent="0.2">
      <c r="A1368" t="s">
        <v>2922</v>
      </c>
      <c r="B1368" t="s">
        <v>1722</v>
      </c>
      <c r="C1368" t="s">
        <v>8</v>
      </c>
      <c r="D1368" s="1" t="s">
        <v>52</v>
      </c>
      <c r="E1368" t="s">
        <v>44</v>
      </c>
      <c r="F1368" s="5" t="str">
        <f>HYPERLINK("http://www.otzar.org/book.asp?622526","יאיר מבין")</f>
        <v>יאיר מבין</v>
      </c>
    </row>
    <row r="1369" spans="1:6" x14ac:dyDescent="0.2">
      <c r="A1369" t="s">
        <v>2923</v>
      </c>
      <c r="B1369" t="s">
        <v>2924</v>
      </c>
      <c r="C1369" t="s">
        <v>20</v>
      </c>
      <c r="D1369" s="1" t="s">
        <v>9</v>
      </c>
      <c r="E1369" t="s">
        <v>41</v>
      </c>
      <c r="F1369" s="5" t="str">
        <f>HYPERLINK("http://www.otzar.org/book.asp?625530","יאיר נתיב - א")</f>
        <v>יאיר נתיב - א</v>
      </c>
    </row>
    <row r="1370" spans="1:6" x14ac:dyDescent="0.2">
      <c r="A1370" t="s">
        <v>2925</v>
      </c>
      <c r="B1370" t="s">
        <v>2926</v>
      </c>
      <c r="C1370" t="s">
        <v>1429</v>
      </c>
      <c r="D1370" s="1" t="s">
        <v>471</v>
      </c>
      <c r="E1370" t="s">
        <v>49</v>
      </c>
      <c r="F1370" s="5" t="str">
        <f>HYPERLINK("http://www.otzar.org/book.asp?629147","יאקובינה")</f>
        <v>יאקובינה</v>
      </c>
    </row>
    <row r="1371" spans="1:6" x14ac:dyDescent="0.2">
      <c r="A1371" t="s">
        <v>2927</v>
      </c>
      <c r="B1371" t="s">
        <v>2928</v>
      </c>
      <c r="C1371" t="s">
        <v>13</v>
      </c>
      <c r="D1371" s="1" t="s">
        <v>52</v>
      </c>
      <c r="E1371" t="s">
        <v>89</v>
      </c>
      <c r="F1371" s="5" t="str">
        <f>HYPERLINK("http://www.otzar.org/book.asp?627412","יאר יעקב")</f>
        <v>יאר יעקב</v>
      </c>
    </row>
    <row r="1372" spans="1:6" x14ac:dyDescent="0.2">
      <c r="A1372" t="s">
        <v>2929</v>
      </c>
      <c r="B1372" t="s">
        <v>2930</v>
      </c>
      <c r="C1372" t="s">
        <v>20</v>
      </c>
      <c r="D1372" s="1" t="s">
        <v>14</v>
      </c>
      <c r="E1372" t="s">
        <v>22</v>
      </c>
      <c r="F1372" s="5" t="str">
        <f>HYPERLINK("http://www.otzar.org/book.asp?629316","יאר פנים - עבודה זרה")</f>
        <v>יאר פנים - עבודה זרה</v>
      </c>
    </row>
    <row r="1373" spans="1:6" x14ac:dyDescent="0.2">
      <c r="A1373" t="s">
        <v>2931</v>
      </c>
      <c r="B1373" t="s">
        <v>2932</v>
      </c>
      <c r="C1373" t="s">
        <v>383</v>
      </c>
      <c r="D1373" s="1" t="s">
        <v>1146</v>
      </c>
      <c r="E1373" t="s">
        <v>22</v>
      </c>
      <c r="F1373" s="5" t="str">
        <f>HYPERLINK("http://www.otzar.org/book.asp?629673","יבמה כאשת איש")</f>
        <v>יבמה כאשת איש</v>
      </c>
    </row>
    <row r="1374" spans="1:6" x14ac:dyDescent="0.2">
      <c r="A1374" t="s">
        <v>2933</v>
      </c>
      <c r="B1374" t="s">
        <v>2934</v>
      </c>
      <c r="C1374" t="s">
        <v>606</v>
      </c>
      <c r="D1374" s="1" t="s">
        <v>795</v>
      </c>
      <c r="E1374" t="s">
        <v>371</v>
      </c>
      <c r="F1374" s="5" t="str">
        <f>HYPERLINK("http://www.otzar.org/book.asp?626556","יבנה וחכמיה")</f>
        <v>יבנה וחכמיה</v>
      </c>
    </row>
    <row r="1375" spans="1:6" x14ac:dyDescent="0.2">
      <c r="A1375" t="s">
        <v>2935</v>
      </c>
      <c r="B1375" t="s">
        <v>2936</v>
      </c>
      <c r="C1375" t="s">
        <v>1127</v>
      </c>
      <c r="D1375" s="1" t="s">
        <v>9</v>
      </c>
      <c r="E1375" t="s">
        <v>154</v>
      </c>
      <c r="F1375" s="5" t="str">
        <f>HYPERLINK("http://www.otzar.org/book.asp?627826","יבקש תורה - שבת")</f>
        <v>יבקש תורה - שבת</v>
      </c>
    </row>
    <row r="1376" spans="1:6" x14ac:dyDescent="0.2">
      <c r="A1376" t="s">
        <v>2937</v>
      </c>
      <c r="B1376" t="s">
        <v>1722</v>
      </c>
      <c r="C1376" t="s">
        <v>8</v>
      </c>
      <c r="D1376" s="1" t="s">
        <v>52</v>
      </c>
      <c r="E1376" t="s">
        <v>49</v>
      </c>
      <c r="F1376" s="5" t="str">
        <f>HYPERLINK("http://www.otzar.org/book.asp?622521","יברך את עמו בשלום")</f>
        <v>יברך את עמו בשלום</v>
      </c>
    </row>
    <row r="1377" spans="1:6" x14ac:dyDescent="0.2">
      <c r="A1377" t="s">
        <v>2938</v>
      </c>
      <c r="B1377" t="s">
        <v>2939</v>
      </c>
      <c r="C1377" t="s">
        <v>40</v>
      </c>
      <c r="D1377" s="1" t="s">
        <v>9</v>
      </c>
      <c r="E1377" t="s">
        <v>22</v>
      </c>
      <c r="F1377" s="5" t="str">
        <f>HYPERLINK("http://www.otzar.org/book.asp?622452","יברך ישראל - 2 כר'")</f>
        <v>יברך ישראל - 2 כר'</v>
      </c>
    </row>
    <row r="1378" spans="1:6" x14ac:dyDescent="0.2">
      <c r="A1378" t="s">
        <v>2940</v>
      </c>
      <c r="B1378" t="s">
        <v>2941</v>
      </c>
      <c r="C1378" t="s">
        <v>572</v>
      </c>
      <c r="D1378" s="1" t="s">
        <v>1134</v>
      </c>
      <c r="E1378" t="s">
        <v>214</v>
      </c>
      <c r="F1378" s="5" t="str">
        <f>HYPERLINK("http://www.otzar.org/book.asp?626464","יגדיל תורה &lt;לונדון&gt; - 5 כר'")</f>
        <v>יגדיל תורה &lt;לונדון&gt; - 5 כר'</v>
      </c>
    </row>
    <row r="1379" spans="1:6" x14ac:dyDescent="0.2">
      <c r="A1379" t="s">
        <v>2942</v>
      </c>
      <c r="B1379" t="s">
        <v>2943</v>
      </c>
      <c r="C1379" t="s">
        <v>13</v>
      </c>
      <c r="D1379" s="1" t="s">
        <v>52</v>
      </c>
      <c r="E1379" t="s">
        <v>44</v>
      </c>
      <c r="F1379" s="5" t="str">
        <f>HYPERLINK("http://www.otzar.org/book.asp?628697","יגיה שביב - 1")</f>
        <v>יגיה שביב - 1</v>
      </c>
    </row>
    <row r="1380" spans="1:6" x14ac:dyDescent="0.2">
      <c r="A1380" t="s">
        <v>2944</v>
      </c>
      <c r="B1380" t="s">
        <v>32</v>
      </c>
      <c r="C1380" t="s">
        <v>136</v>
      </c>
      <c r="D1380" s="1" t="s">
        <v>33</v>
      </c>
      <c r="E1380" t="s">
        <v>295</v>
      </c>
      <c r="F1380" s="5" t="str">
        <f>HYPERLINK("http://www.otzar.org/book.asp?625813","יגל יעקב")</f>
        <v>יגל יעקב</v>
      </c>
    </row>
    <row r="1381" spans="1:6" x14ac:dyDescent="0.2">
      <c r="A1381" t="s">
        <v>2945</v>
      </c>
      <c r="B1381" t="s">
        <v>2946</v>
      </c>
      <c r="C1381" t="s">
        <v>20</v>
      </c>
      <c r="D1381" s="1" t="s">
        <v>9</v>
      </c>
      <c r="F1381" s="5" t="str">
        <f>HYPERLINK("http://www.otzar.org/book.asp?633159","יד דוד - 2 כר'")</f>
        <v>יד דוד - 2 כר'</v>
      </c>
    </row>
    <row r="1382" spans="1:6" x14ac:dyDescent="0.2">
      <c r="A1382" t="s">
        <v>2947</v>
      </c>
      <c r="B1382" t="s">
        <v>2948</v>
      </c>
      <c r="C1382" t="s">
        <v>383</v>
      </c>
      <c r="D1382" s="1" t="s">
        <v>14</v>
      </c>
      <c r="E1382" t="s">
        <v>22</v>
      </c>
      <c r="F1382" s="5" t="str">
        <f>HYPERLINK("http://www.otzar.org/book.asp?625410","יד הלוי - פסחים")</f>
        <v>יד הלוי - פסחים</v>
      </c>
    </row>
    <row r="1383" spans="1:6" x14ac:dyDescent="0.2">
      <c r="A1383" t="s">
        <v>2949</v>
      </c>
      <c r="B1383" t="s">
        <v>2950</v>
      </c>
      <c r="C1383" t="s">
        <v>2951</v>
      </c>
      <c r="D1383" s="1" t="s">
        <v>2952</v>
      </c>
      <c r="E1383" t="s">
        <v>37</v>
      </c>
      <c r="F1383" s="5" t="str">
        <f>HYPERLINK("http://www.otzar.org/book.asp?625364","יד הקטנה")</f>
        <v>יד הקטנה</v>
      </c>
    </row>
    <row r="1384" spans="1:6" x14ac:dyDescent="0.2">
      <c r="A1384" t="s">
        <v>2953</v>
      </c>
      <c r="B1384" t="s">
        <v>2954</v>
      </c>
      <c r="C1384" t="s">
        <v>8</v>
      </c>
      <c r="E1384" t="s">
        <v>49</v>
      </c>
      <c r="F1384" s="5" t="str">
        <f>HYPERLINK("http://www.otzar.org/book.asp?624769","יד לנתיבתי")</f>
        <v>יד לנתיבתי</v>
      </c>
    </row>
    <row r="1385" spans="1:6" x14ac:dyDescent="0.2">
      <c r="A1385" t="s">
        <v>2955</v>
      </c>
      <c r="B1385" t="s">
        <v>2956</v>
      </c>
      <c r="C1385" t="s">
        <v>818</v>
      </c>
      <c r="D1385" s="1" t="s">
        <v>9</v>
      </c>
      <c r="E1385" t="s">
        <v>214</v>
      </c>
      <c r="F1385" s="5" t="str">
        <f>HYPERLINK("http://www.otzar.org/book.asp?624561","יד מיכאל")</f>
        <v>יד מיכאל</v>
      </c>
    </row>
    <row r="1386" spans="1:6" x14ac:dyDescent="0.2">
      <c r="A1386" t="s">
        <v>2957</v>
      </c>
      <c r="B1386" t="s">
        <v>2958</v>
      </c>
      <c r="C1386" t="s">
        <v>20</v>
      </c>
      <c r="D1386" s="1" t="s">
        <v>9</v>
      </c>
      <c r="F1386" s="5" t="str">
        <f>HYPERLINK("http://www.otzar.org/book.asp?633158","יד מלאכי &lt;מכון ירושלים&gt; - ג")</f>
        <v>יד מלאכי &lt;מכון ירושלים&gt; - ג</v>
      </c>
    </row>
    <row r="1387" spans="1:6" x14ac:dyDescent="0.2">
      <c r="A1387" t="s">
        <v>2959</v>
      </c>
      <c r="B1387" t="s">
        <v>2960</v>
      </c>
      <c r="C1387" t="s">
        <v>174</v>
      </c>
      <c r="D1387" s="1" t="s">
        <v>14</v>
      </c>
      <c r="E1387" t="s">
        <v>37</v>
      </c>
      <c r="F1387" s="5" t="str">
        <f>HYPERLINK("http://www.otzar.org/book.asp?626485","יד מלכים")</f>
        <v>יד מלכים</v>
      </c>
    </row>
    <row r="1388" spans="1:6" x14ac:dyDescent="0.2">
      <c r="A1388" t="s">
        <v>2961</v>
      </c>
      <c r="B1388" t="s">
        <v>2962</v>
      </c>
      <c r="C1388" t="s">
        <v>2963</v>
      </c>
      <c r="D1388" s="1" t="s">
        <v>1526</v>
      </c>
      <c r="E1388" t="s">
        <v>49</v>
      </c>
      <c r="F1388" s="5" t="str">
        <f>HYPERLINK("http://www.otzar.org/book.asp?626411","יד נתן")</f>
        <v>יד נתן</v>
      </c>
    </row>
    <row r="1389" spans="1:6" x14ac:dyDescent="0.2">
      <c r="A1389" t="s">
        <v>2964</v>
      </c>
      <c r="B1389" t="s">
        <v>2965</v>
      </c>
      <c r="C1389" t="s">
        <v>255</v>
      </c>
      <c r="D1389" s="1" t="s">
        <v>29</v>
      </c>
      <c r="E1389" t="s">
        <v>41</v>
      </c>
      <c r="F1389" s="5" t="str">
        <f>HYPERLINK("http://www.otzar.org/book.asp?626600","יד שלום")</f>
        <v>יד שלום</v>
      </c>
    </row>
    <row r="1390" spans="1:6" x14ac:dyDescent="0.2">
      <c r="A1390" t="s">
        <v>2966</v>
      </c>
      <c r="B1390" t="s">
        <v>2967</v>
      </c>
      <c r="C1390" t="s">
        <v>13</v>
      </c>
      <c r="D1390" s="1" t="s">
        <v>557</v>
      </c>
      <c r="E1390" t="s">
        <v>199</v>
      </c>
      <c r="F1390" s="5" t="str">
        <f>HYPERLINK("http://www.otzar.org/book.asp?629978","ידי השלחן")</f>
        <v>ידי השלחן</v>
      </c>
    </row>
    <row r="1391" spans="1:6" x14ac:dyDescent="0.2">
      <c r="A1391" t="s">
        <v>2968</v>
      </c>
      <c r="B1391" t="s">
        <v>2969</v>
      </c>
      <c r="C1391" t="s">
        <v>639</v>
      </c>
      <c r="D1391" s="1" t="s">
        <v>557</v>
      </c>
      <c r="E1391" t="s">
        <v>37</v>
      </c>
      <c r="F1391" s="5" t="str">
        <f>HYPERLINK("http://www.otzar.org/book.asp?623978","ידי כהן - 2 כר'")</f>
        <v>ידי כהן - 2 כר'</v>
      </c>
    </row>
    <row r="1392" spans="1:6" x14ac:dyDescent="0.2">
      <c r="A1392" t="s">
        <v>2970</v>
      </c>
      <c r="B1392" t="s">
        <v>244</v>
      </c>
      <c r="C1392" t="s">
        <v>245</v>
      </c>
      <c r="D1392" s="1" t="s">
        <v>14</v>
      </c>
      <c r="E1392" t="s">
        <v>34</v>
      </c>
      <c r="F1392" s="5" t="str">
        <f>HYPERLINK("http://www.otzar.org/book.asp?623327","ידי משה ותורה אור &lt;מהדורה חדשה&gt;")</f>
        <v>ידי משה ותורה אור &lt;מהדורה חדשה&gt;</v>
      </c>
    </row>
    <row r="1393" spans="1:6" x14ac:dyDescent="0.2">
      <c r="A1393" t="s">
        <v>2971</v>
      </c>
      <c r="B1393" t="s">
        <v>2972</v>
      </c>
      <c r="C1393" t="s">
        <v>2973</v>
      </c>
      <c r="D1393" s="1" t="s">
        <v>2974</v>
      </c>
      <c r="F1393" s="5" t="str">
        <f>HYPERLINK("http://www.otzar.org/book.asp?624656","ידי משה - א")</f>
        <v>ידי משה - א</v>
      </c>
    </row>
    <row r="1394" spans="1:6" x14ac:dyDescent="0.2">
      <c r="A1394" t="s">
        <v>2975</v>
      </c>
      <c r="B1394" t="s">
        <v>2976</v>
      </c>
      <c r="C1394" t="s">
        <v>1385</v>
      </c>
      <c r="D1394" s="1" t="s">
        <v>1364</v>
      </c>
      <c r="E1394" t="s">
        <v>22</v>
      </c>
      <c r="F1394" s="5" t="str">
        <f>HYPERLINK("http://www.otzar.org/book.asp?629144","ידיד נפש על תלמוד בבלי - שבת ב")</f>
        <v>ידיד נפש על תלמוד בבלי - שבת ב</v>
      </c>
    </row>
    <row r="1395" spans="1:6" x14ac:dyDescent="0.2">
      <c r="A1395" t="s">
        <v>2977</v>
      </c>
      <c r="B1395" t="s">
        <v>2978</v>
      </c>
      <c r="C1395" t="s">
        <v>13</v>
      </c>
      <c r="D1395" s="1" t="s">
        <v>2484</v>
      </c>
      <c r="E1395" t="s">
        <v>37</v>
      </c>
      <c r="F1395" s="5" t="str">
        <f>HYPERLINK("http://www.otzar.org/book.asp?623557","ידיו אמונה - 3 כר'")</f>
        <v>ידיו אמונה - 3 כר'</v>
      </c>
    </row>
    <row r="1396" spans="1:6" x14ac:dyDescent="0.2">
      <c r="A1396" t="s">
        <v>2979</v>
      </c>
      <c r="B1396" t="s">
        <v>2980</v>
      </c>
      <c r="C1396" t="s">
        <v>2981</v>
      </c>
      <c r="D1396" s="1" t="s">
        <v>48</v>
      </c>
      <c r="E1396" t="s">
        <v>1616</v>
      </c>
      <c r="F1396" s="5" t="str">
        <f>HYPERLINK("http://www.otzar.org/book.asp?626368","ידיעות הטבע שבתלמוד")</f>
        <v>ידיעות הטבע שבתלמוד</v>
      </c>
    </row>
    <row r="1397" spans="1:6" x14ac:dyDescent="0.2">
      <c r="A1397" t="s">
        <v>2982</v>
      </c>
      <c r="B1397" t="s">
        <v>786</v>
      </c>
      <c r="C1397" t="s">
        <v>572</v>
      </c>
      <c r="D1397" s="1" t="s">
        <v>9</v>
      </c>
      <c r="E1397" t="s">
        <v>242</v>
      </c>
      <c r="F1397" s="5" t="str">
        <f>HYPERLINK("http://www.otzar.org/book.asp?625460","ידיעות המכון - תשכ""ט")</f>
        <v>ידיעות המכון - תשכ"ט</v>
      </c>
    </row>
    <row r="1398" spans="1:6" x14ac:dyDescent="0.2">
      <c r="A1398" t="s">
        <v>2983</v>
      </c>
      <c r="B1398" t="s">
        <v>2984</v>
      </c>
      <c r="C1398" t="s">
        <v>126</v>
      </c>
      <c r="D1398" s="1" t="s">
        <v>2985</v>
      </c>
      <c r="E1398" t="s">
        <v>49</v>
      </c>
      <c r="F1398" s="5" t="str">
        <f>HYPERLINK("http://www.otzar.org/book.asp?623893","ידיעות חדשות על תוספות גורניש ועניינן")</f>
        <v>ידיעות חדשות על תוספות גורניש ועניינן</v>
      </c>
    </row>
    <row r="1399" spans="1:6" x14ac:dyDescent="0.2">
      <c r="A1399" t="s">
        <v>2986</v>
      </c>
      <c r="B1399" t="s">
        <v>2987</v>
      </c>
      <c r="C1399" t="s">
        <v>174</v>
      </c>
      <c r="D1399" s="1" t="s">
        <v>9</v>
      </c>
      <c r="E1399" t="s">
        <v>49</v>
      </c>
      <c r="F1399" s="5" t="str">
        <f>HYPERLINK("http://www.otzar.org/book.asp?625470","ידעת ומצאת")</f>
        <v>ידעת ומצאת</v>
      </c>
    </row>
    <row r="1400" spans="1:6" x14ac:dyDescent="0.2">
      <c r="A1400" t="s">
        <v>2988</v>
      </c>
      <c r="B1400" t="s">
        <v>2989</v>
      </c>
      <c r="C1400" t="s">
        <v>1554</v>
      </c>
      <c r="D1400" s="1" t="s">
        <v>9</v>
      </c>
      <c r="E1400" t="s">
        <v>34</v>
      </c>
      <c r="F1400" s="5" t="str">
        <f>HYPERLINK("http://www.otzar.org/book.asp?629301","ידרך ענוים")</f>
        <v>ידרך ענוים</v>
      </c>
    </row>
    <row r="1401" spans="1:6" x14ac:dyDescent="0.2">
      <c r="A1401" t="s">
        <v>2990</v>
      </c>
      <c r="B1401" t="s">
        <v>2991</v>
      </c>
      <c r="C1401" t="s">
        <v>20</v>
      </c>
      <c r="D1401" s="1" t="s">
        <v>476</v>
      </c>
      <c r="E1401" t="s">
        <v>89</v>
      </c>
      <c r="F1401" s="5" t="str">
        <f>HYPERLINK("http://www.otzar.org/book.asp?629735","יהגה חכמה - 2 כר'")</f>
        <v>יהגה חכמה - 2 כר'</v>
      </c>
    </row>
    <row r="1402" spans="1:6" x14ac:dyDescent="0.2">
      <c r="A1402" t="s">
        <v>2992</v>
      </c>
      <c r="B1402" t="s">
        <v>94</v>
      </c>
      <c r="C1402" t="s">
        <v>13</v>
      </c>
      <c r="D1402" s="1" t="s">
        <v>52</v>
      </c>
      <c r="E1402" t="s">
        <v>2993</v>
      </c>
      <c r="F1402" s="5" t="str">
        <f>HYPERLINK("http://www.otzar.org/book.asp?629959","יהדות ומיסטיקה")</f>
        <v>יהדות ומיסטיקה</v>
      </c>
    </row>
    <row r="1403" spans="1:6" x14ac:dyDescent="0.2">
      <c r="A1403" t="s">
        <v>2994</v>
      </c>
      <c r="B1403" t="s">
        <v>2995</v>
      </c>
      <c r="C1403" t="s">
        <v>92</v>
      </c>
      <c r="D1403" s="1" t="s">
        <v>9</v>
      </c>
      <c r="E1403" t="s">
        <v>34</v>
      </c>
      <c r="F1403" s="5" t="str">
        <f>HYPERLINK("http://www.otzar.org/book.asp?626032","יהדות מהי")</f>
        <v>יהדות מהי</v>
      </c>
    </row>
    <row r="1404" spans="1:6" x14ac:dyDescent="0.2">
      <c r="A1404" t="s">
        <v>2996</v>
      </c>
      <c r="B1404" t="s">
        <v>2997</v>
      </c>
      <c r="C1404" t="s">
        <v>106</v>
      </c>
      <c r="D1404" s="1" t="s">
        <v>471</v>
      </c>
      <c r="E1404" t="s">
        <v>371</v>
      </c>
      <c r="F1404" s="5" t="str">
        <f>HYPERLINK("http://www.otzar.org/book.asp?626584","יהדות רומניה - 1")</f>
        <v>יהדות רומניה - 1</v>
      </c>
    </row>
    <row r="1405" spans="1:6" x14ac:dyDescent="0.2">
      <c r="A1405" t="s">
        <v>2998</v>
      </c>
      <c r="B1405" t="s">
        <v>2999</v>
      </c>
      <c r="C1405" t="s">
        <v>226</v>
      </c>
      <c r="D1405" s="1" t="s">
        <v>911</v>
      </c>
      <c r="E1405" t="s">
        <v>214</v>
      </c>
      <c r="F1405" s="5" t="str">
        <f>HYPERLINK("http://www.otzar.org/book.asp?626277","יהדות - 3 כר'")</f>
        <v>יהדות - 3 כר'</v>
      </c>
    </row>
    <row r="1406" spans="1:6" x14ac:dyDescent="0.2">
      <c r="A1406" t="s">
        <v>3000</v>
      </c>
      <c r="B1406" t="s">
        <v>94</v>
      </c>
      <c r="C1406" t="s">
        <v>8</v>
      </c>
      <c r="D1406" s="1" t="s">
        <v>52</v>
      </c>
      <c r="E1406" t="s">
        <v>34</v>
      </c>
      <c r="F1406" s="5" t="str">
        <f>HYPERLINK("http://www.otzar.org/book.asp?628142","יהי שלום בחילך - לנשים")</f>
        <v>יהי שלום בחילך - לנשים</v>
      </c>
    </row>
    <row r="1407" spans="1:6" x14ac:dyDescent="0.2">
      <c r="A1407" t="s">
        <v>3001</v>
      </c>
      <c r="B1407" t="s">
        <v>3002</v>
      </c>
      <c r="D1407" s="1" t="s">
        <v>9</v>
      </c>
      <c r="E1407" t="s">
        <v>34</v>
      </c>
      <c r="F1407" s="5" t="str">
        <f>HYPERLINK("http://www.otzar.org/book.asp?624796","יובל אורות")</f>
        <v>יובל אורות</v>
      </c>
    </row>
    <row r="1408" spans="1:6" x14ac:dyDescent="0.2">
      <c r="A1408" t="s">
        <v>3003</v>
      </c>
      <c r="B1408" t="s">
        <v>482</v>
      </c>
      <c r="C1408" t="s">
        <v>190</v>
      </c>
      <c r="D1408" s="1" t="s">
        <v>9</v>
      </c>
      <c r="E1408" t="s">
        <v>49</v>
      </c>
      <c r="F1408" s="5" t="str">
        <f>HYPERLINK("http://www.otzar.org/book.asp?625807","יום הבר מצוה")</f>
        <v>יום הבר מצוה</v>
      </c>
    </row>
    <row r="1409" spans="1:6" x14ac:dyDescent="0.2">
      <c r="A1409" t="s">
        <v>3004</v>
      </c>
      <c r="B1409" t="s">
        <v>3005</v>
      </c>
      <c r="C1409" t="s">
        <v>1429</v>
      </c>
      <c r="D1409" s="1" t="s">
        <v>537</v>
      </c>
      <c r="E1409" t="s">
        <v>49</v>
      </c>
      <c r="F1409" s="5" t="str">
        <f>HYPERLINK("http://www.otzar.org/book.asp?624583","יום הקדיש")</f>
        <v>יום הקדיש</v>
      </c>
    </row>
    <row r="1410" spans="1:6" x14ac:dyDescent="0.2">
      <c r="A1410" t="s">
        <v>3006</v>
      </c>
      <c r="B1410" t="s">
        <v>3007</v>
      </c>
      <c r="C1410" t="s">
        <v>133</v>
      </c>
      <c r="D1410" s="1" t="s">
        <v>9</v>
      </c>
      <c r="F1410" s="5" t="str">
        <f>HYPERLINK("http://www.otzar.org/book.asp?630392","יום שמחת כהן")</f>
        <v>יום שמחת כהן</v>
      </c>
    </row>
    <row r="1411" spans="1:6" x14ac:dyDescent="0.2">
      <c r="A1411" t="s">
        <v>3008</v>
      </c>
      <c r="B1411" t="s">
        <v>3009</v>
      </c>
      <c r="C1411" t="s">
        <v>40</v>
      </c>
      <c r="D1411" s="1" t="s">
        <v>782</v>
      </c>
      <c r="F1411" s="5" t="str">
        <f>HYPERLINK("http://www.otzar.org/book.asp?630389","יומי דפגרי")</f>
        <v>יומי דפגרי</v>
      </c>
    </row>
    <row r="1412" spans="1:6" x14ac:dyDescent="0.2">
      <c r="A1412" t="s">
        <v>3010</v>
      </c>
      <c r="B1412" t="s">
        <v>3011</v>
      </c>
      <c r="C1412" t="s">
        <v>13</v>
      </c>
      <c r="D1412" s="1" t="s">
        <v>9</v>
      </c>
      <c r="E1412" t="s">
        <v>121</v>
      </c>
      <c r="F1412" s="5" t="str">
        <f>HYPERLINK("http://www.otzar.org/book.asp?628698","יומן הרב הנזיר")</f>
        <v>יומן הרב הנזיר</v>
      </c>
    </row>
    <row r="1413" spans="1:6" x14ac:dyDescent="0.2">
      <c r="A1413" t="s">
        <v>3012</v>
      </c>
      <c r="B1413" t="s">
        <v>3013</v>
      </c>
      <c r="C1413" t="s">
        <v>8</v>
      </c>
      <c r="D1413" s="1" t="s">
        <v>29</v>
      </c>
      <c r="E1413" t="s">
        <v>30</v>
      </c>
      <c r="F1413" s="5" t="str">
        <f>HYPERLINK("http://www.otzar.org/book.asp?630128","יומן - כסלו תשכ""ה, כסלו תשכ""ח")</f>
        <v>יומן - כסלו תשכ"ה, כסלו תשכ"ח</v>
      </c>
    </row>
    <row r="1414" spans="1:6" x14ac:dyDescent="0.2">
      <c r="A1414" t="s">
        <v>3014</v>
      </c>
      <c r="B1414" t="s">
        <v>3015</v>
      </c>
      <c r="C1414" t="s">
        <v>290</v>
      </c>
      <c r="D1414" s="1" t="s">
        <v>14</v>
      </c>
      <c r="E1414" t="s">
        <v>836</v>
      </c>
      <c r="F1414" s="5" t="str">
        <f>HYPERLINK("http://www.otzar.org/book.asp?623618","יוסיף אור")</f>
        <v>יוסיף אור</v>
      </c>
    </row>
    <row r="1415" spans="1:6" x14ac:dyDescent="0.2">
      <c r="A1415" t="s">
        <v>3016</v>
      </c>
      <c r="B1415" t="s">
        <v>677</v>
      </c>
      <c r="C1415" t="s">
        <v>334</v>
      </c>
      <c r="D1415" s="1" t="s">
        <v>9</v>
      </c>
      <c r="E1415" t="s">
        <v>171</v>
      </c>
      <c r="F1415" s="5" t="str">
        <f>HYPERLINK("http://www.otzar.org/book.asp?625506","יוצרות המבואורת")</f>
        <v>יוצרות המבואורת</v>
      </c>
    </row>
    <row r="1416" spans="1:6" x14ac:dyDescent="0.2">
      <c r="A1416" t="s">
        <v>3017</v>
      </c>
      <c r="B1416" t="s">
        <v>3018</v>
      </c>
      <c r="C1416" t="s">
        <v>157</v>
      </c>
      <c r="D1416" s="1" t="s">
        <v>64</v>
      </c>
      <c r="E1416" t="s">
        <v>836</v>
      </c>
      <c r="F1416" s="5" t="str">
        <f>HYPERLINK("http://www.otzar.org/book.asp?623737","יושב אהלים")</f>
        <v>יושב אהלים</v>
      </c>
    </row>
    <row r="1417" spans="1:6" x14ac:dyDescent="0.2">
      <c r="A1417" t="s">
        <v>3017</v>
      </c>
      <c r="B1417" t="s">
        <v>3019</v>
      </c>
      <c r="C1417" t="s">
        <v>13</v>
      </c>
      <c r="D1417" s="1" t="s">
        <v>52</v>
      </c>
      <c r="E1417" t="s">
        <v>37</v>
      </c>
      <c r="F1417" s="5" t="str">
        <f>HYPERLINK("http://www.otzar.org/book.asp?624828","יושב אהלים")</f>
        <v>יושב אהלים</v>
      </c>
    </row>
    <row r="1418" spans="1:6" x14ac:dyDescent="0.2">
      <c r="A1418" t="s">
        <v>3020</v>
      </c>
      <c r="B1418" t="s">
        <v>1116</v>
      </c>
      <c r="C1418" t="s">
        <v>20</v>
      </c>
      <c r="D1418" s="1" t="s">
        <v>803</v>
      </c>
      <c r="E1418" t="s">
        <v>17</v>
      </c>
      <c r="F1418" s="5" t="str">
        <f>HYPERLINK("http://www.otzar.org/book.asp?626259","יחוד ההתבודדות (אנגלית)")</f>
        <v>יחוד ההתבודדות (אנגלית)</v>
      </c>
    </row>
    <row r="1419" spans="1:6" x14ac:dyDescent="0.2">
      <c r="A1419" t="s">
        <v>3021</v>
      </c>
      <c r="E1419" t="s">
        <v>37</v>
      </c>
      <c r="F1419" s="5" t="str">
        <f>HYPERLINK("http://www.otzar.org/book.asp?630877","יחוד")</f>
        <v>יחוד</v>
      </c>
    </row>
    <row r="1420" spans="1:6" x14ac:dyDescent="0.2">
      <c r="A1420" t="s">
        <v>3022</v>
      </c>
      <c r="B1420" t="s">
        <v>3023</v>
      </c>
      <c r="C1420" t="s">
        <v>148</v>
      </c>
      <c r="D1420" s="1" t="s">
        <v>14</v>
      </c>
      <c r="E1420" t="s">
        <v>37</v>
      </c>
      <c r="F1420" s="5" t="str">
        <f>HYPERLINK("http://www.otzar.org/book.asp?623498","יחי עזרא")</f>
        <v>יחי עזרא</v>
      </c>
    </row>
    <row r="1421" spans="1:6" x14ac:dyDescent="0.2">
      <c r="A1421" t="s">
        <v>3024</v>
      </c>
      <c r="B1421" t="s">
        <v>3025</v>
      </c>
      <c r="C1421" t="s">
        <v>148</v>
      </c>
      <c r="D1421" s="1" t="s">
        <v>9</v>
      </c>
      <c r="E1421" t="s">
        <v>3026</v>
      </c>
      <c r="F1421" s="5" t="str">
        <f>HYPERLINK("http://www.otzar.org/book.asp?619415","יחי ראובן")</f>
        <v>יחי ראובן</v>
      </c>
    </row>
    <row r="1422" spans="1:6" x14ac:dyDescent="0.2">
      <c r="A1422" t="s">
        <v>3027</v>
      </c>
      <c r="B1422" t="s">
        <v>3028</v>
      </c>
      <c r="D1422" s="1" t="s">
        <v>14</v>
      </c>
      <c r="F1422" s="5" t="str">
        <f>HYPERLINK("http://www.otzar.org/book.asp?630384","יחי שלמה")</f>
        <v>יחי שלמה</v>
      </c>
    </row>
    <row r="1423" spans="1:6" x14ac:dyDescent="0.2">
      <c r="A1423" t="s">
        <v>3029</v>
      </c>
      <c r="B1423" t="s">
        <v>3030</v>
      </c>
      <c r="C1423" t="s">
        <v>40</v>
      </c>
      <c r="D1423" s="1" t="s">
        <v>268</v>
      </c>
      <c r="E1423" t="s">
        <v>1207</v>
      </c>
      <c r="F1423" s="5" t="str">
        <f>HYPERLINK("http://www.otzar.org/book.asp?629773","יחיל מדבר")</f>
        <v>יחיל מדבר</v>
      </c>
    </row>
    <row r="1424" spans="1:6" x14ac:dyDescent="0.2">
      <c r="A1424" t="s">
        <v>3031</v>
      </c>
      <c r="B1424" t="s">
        <v>2263</v>
      </c>
      <c r="C1424" t="s">
        <v>2739</v>
      </c>
      <c r="D1424" s="1" t="s">
        <v>29</v>
      </c>
      <c r="E1424" t="s">
        <v>49</v>
      </c>
      <c r="F1424" s="5" t="str">
        <f>HYPERLINK("http://www.otzar.org/book.asp?623425","יידישע מאכלים")</f>
        <v>יידישע מאכלים</v>
      </c>
    </row>
    <row r="1425" spans="1:6" x14ac:dyDescent="0.2">
      <c r="A1425" t="s">
        <v>3032</v>
      </c>
      <c r="B1425" t="s">
        <v>3033</v>
      </c>
      <c r="C1425" t="s">
        <v>8</v>
      </c>
      <c r="D1425" s="1" t="s">
        <v>14</v>
      </c>
      <c r="E1425" t="s">
        <v>37</v>
      </c>
      <c r="F1425" s="5" t="str">
        <f>HYPERLINK("http://www.otzar.org/book.asp?626221","יין לשבת")</f>
        <v>יין לשבת</v>
      </c>
    </row>
    <row r="1426" spans="1:6" x14ac:dyDescent="0.2">
      <c r="A1426" t="s">
        <v>3034</v>
      </c>
      <c r="B1426" t="s">
        <v>156</v>
      </c>
      <c r="C1426" t="s">
        <v>3035</v>
      </c>
      <c r="D1426" s="1" t="s">
        <v>158</v>
      </c>
      <c r="E1426" t="s">
        <v>49</v>
      </c>
      <c r="F1426" s="5" t="str">
        <f>HYPERLINK("http://www.otzar.org/book.asp?626868","יין משמח - 5 כר'")</f>
        <v>יין משמח - 5 כר'</v>
      </c>
    </row>
    <row r="1427" spans="1:6" x14ac:dyDescent="0.2">
      <c r="A1427" t="s">
        <v>3036</v>
      </c>
      <c r="B1427" t="s">
        <v>3037</v>
      </c>
      <c r="C1427" t="s">
        <v>8</v>
      </c>
      <c r="D1427" s="1" t="s">
        <v>52</v>
      </c>
      <c r="E1427" t="s">
        <v>242</v>
      </c>
      <c r="F1427" s="5" t="str">
        <f>HYPERLINK("http://www.otzar.org/book.asp?630559","ילמדנו רבינו")</f>
        <v>ילמדנו רבינו</v>
      </c>
    </row>
    <row r="1428" spans="1:6" x14ac:dyDescent="0.2">
      <c r="A1428" t="s">
        <v>3038</v>
      </c>
      <c r="B1428" t="s">
        <v>3039</v>
      </c>
      <c r="C1428" t="s">
        <v>463</v>
      </c>
      <c r="D1428" s="1" t="s">
        <v>64</v>
      </c>
      <c r="E1428" t="s">
        <v>3040</v>
      </c>
      <c r="F1428" s="5" t="str">
        <f>HYPERLINK("http://www.otzar.org/book.asp?623834","ילקוט אורה ושמחה")</f>
        <v>ילקוט אורה ושמחה</v>
      </c>
    </row>
    <row r="1429" spans="1:6" x14ac:dyDescent="0.2">
      <c r="A1429" t="s">
        <v>3041</v>
      </c>
      <c r="B1429" t="s">
        <v>3042</v>
      </c>
      <c r="C1429" t="s">
        <v>8</v>
      </c>
      <c r="D1429" s="1" t="s">
        <v>471</v>
      </c>
      <c r="E1429" t="s">
        <v>683</v>
      </c>
      <c r="F1429" s="5" t="str">
        <f>HYPERLINK("http://www.otzar.org/book.asp?629313","ילקוט איים רבים - 2 כר'")</f>
        <v>ילקוט איים רבים - 2 כר'</v>
      </c>
    </row>
    <row r="1430" spans="1:6" x14ac:dyDescent="0.2">
      <c r="A1430" t="s">
        <v>3043</v>
      </c>
      <c r="B1430" t="s">
        <v>3044</v>
      </c>
      <c r="C1430" t="s">
        <v>13</v>
      </c>
      <c r="D1430" s="1" t="s">
        <v>52</v>
      </c>
      <c r="E1430" t="s">
        <v>17</v>
      </c>
      <c r="F1430" s="5" t="str">
        <f>HYPERLINK("http://www.otzar.org/book.asp?629504","ילקוט אמרי קודש")</f>
        <v>ילקוט אמרי קודש</v>
      </c>
    </row>
    <row r="1431" spans="1:6" x14ac:dyDescent="0.2">
      <c r="A1431" t="s">
        <v>3045</v>
      </c>
      <c r="B1431" t="s">
        <v>3046</v>
      </c>
      <c r="C1431" t="s">
        <v>190</v>
      </c>
      <c r="D1431" s="1" t="s">
        <v>9</v>
      </c>
      <c r="E1431" t="s">
        <v>168</v>
      </c>
      <c r="F1431" s="5" t="str">
        <f>HYPERLINK("http://www.otzar.org/book.asp?626755","ילקוט ביאור מילות רות")</f>
        <v>ילקוט ביאור מילות רות</v>
      </c>
    </row>
    <row r="1432" spans="1:6" x14ac:dyDescent="0.2">
      <c r="A1432" t="s">
        <v>3047</v>
      </c>
      <c r="B1432" t="s">
        <v>94</v>
      </c>
      <c r="C1432" t="s">
        <v>148</v>
      </c>
      <c r="D1432" s="1" t="s">
        <v>29</v>
      </c>
      <c r="F1432" s="5" t="str">
        <f>HYPERLINK("http://www.otzar.org/book.asp?632007","ילקוט ביאורים בית משה אליהו - גיטין")</f>
        <v>ילקוט ביאורים בית משה אליהו - גיטין</v>
      </c>
    </row>
    <row r="1433" spans="1:6" x14ac:dyDescent="0.2">
      <c r="A1433" t="s">
        <v>3048</v>
      </c>
      <c r="B1433" t="s">
        <v>3049</v>
      </c>
      <c r="C1433" t="s">
        <v>13</v>
      </c>
      <c r="D1433" s="1" t="s">
        <v>52</v>
      </c>
      <c r="E1433" t="s">
        <v>30</v>
      </c>
      <c r="F1433" s="5" t="str">
        <f>HYPERLINK("http://www.otzar.org/book.asp?631129","ילקוט הלכות וטעמי המנהגים חב""ד - 2 כר'")</f>
        <v>ילקוט הלכות וטעמי המנהגים חב"ד - 2 כר'</v>
      </c>
    </row>
    <row r="1434" spans="1:6" x14ac:dyDescent="0.2">
      <c r="A1434" t="s">
        <v>3050</v>
      </c>
      <c r="B1434" t="s">
        <v>3051</v>
      </c>
      <c r="C1434" t="s">
        <v>190</v>
      </c>
      <c r="D1434" s="1" t="s">
        <v>9</v>
      </c>
      <c r="E1434" t="s">
        <v>37</v>
      </c>
      <c r="F1434" s="5" t="str">
        <f>HYPERLINK("http://www.otzar.org/book.asp?630217","ילקוט הריח - 2 כר'")</f>
        <v>ילקוט הריח - 2 כר'</v>
      </c>
    </row>
    <row r="1435" spans="1:6" x14ac:dyDescent="0.2">
      <c r="A1435" t="s">
        <v>3052</v>
      </c>
      <c r="B1435" t="s">
        <v>3053</v>
      </c>
      <c r="C1435" t="s">
        <v>334</v>
      </c>
      <c r="D1435" s="1" t="s">
        <v>713</v>
      </c>
      <c r="E1435" t="s">
        <v>371</v>
      </c>
      <c r="F1435" s="5" t="str">
        <f>HYPERLINK("http://www.otzar.org/book.asp?629090","ילקוט זכרונות")</f>
        <v>ילקוט זכרונות</v>
      </c>
    </row>
    <row r="1436" spans="1:6" x14ac:dyDescent="0.2">
      <c r="A1436" t="s">
        <v>3054</v>
      </c>
      <c r="B1436" t="s">
        <v>3055</v>
      </c>
      <c r="C1436" t="s">
        <v>3056</v>
      </c>
      <c r="D1436" s="1" t="s">
        <v>3057</v>
      </c>
      <c r="E1436" t="s">
        <v>49</v>
      </c>
      <c r="F1436" s="5" t="str">
        <f>HYPERLINK("http://www.otzar.org/book.asp?626363","ילקוט ספרים")</f>
        <v>ילקוט ספרים</v>
      </c>
    </row>
    <row r="1437" spans="1:6" x14ac:dyDescent="0.2">
      <c r="A1437" t="s">
        <v>3058</v>
      </c>
      <c r="B1437" t="s">
        <v>3059</v>
      </c>
      <c r="C1437" t="s">
        <v>40</v>
      </c>
      <c r="D1437" s="1" t="s">
        <v>29</v>
      </c>
      <c r="E1437" t="s">
        <v>30</v>
      </c>
      <c r="F1437" s="5" t="str">
        <f>HYPERLINK("http://www.otzar.org/book.asp?630331","ילקוט פירושים מילקוט לוי יצחק")</f>
        <v>ילקוט פירושים מילקוט לוי יצחק</v>
      </c>
    </row>
    <row r="1438" spans="1:6" x14ac:dyDescent="0.2">
      <c r="A1438" t="s">
        <v>3060</v>
      </c>
      <c r="B1438" t="s">
        <v>3061</v>
      </c>
      <c r="C1438" t="s">
        <v>88</v>
      </c>
      <c r="D1438" s="1" t="s">
        <v>29</v>
      </c>
      <c r="E1438" t="s">
        <v>3062</v>
      </c>
      <c r="F1438" s="5" t="str">
        <f>HYPERLINK("http://www.otzar.org/book.asp?628808","ילקוט שמחת ירושלים")</f>
        <v>ילקוט שמחת ירושלים</v>
      </c>
    </row>
    <row r="1439" spans="1:6" x14ac:dyDescent="0.2">
      <c r="A1439" t="s">
        <v>3063</v>
      </c>
      <c r="B1439" t="s">
        <v>3064</v>
      </c>
      <c r="C1439" t="s">
        <v>157</v>
      </c>
      <c r="D1439" s="1" t="s">
        <v>9</v>
      </c>
      <c r="E1439" t="s">
        <v>305</v>
      </c>
      <c r="F1439" s="5" t="str">
        <f>HYPERLINK("http://www.otzar.org/book.asp?613805","ילקוט שמעוני המנוקד והמבואר - 2 כר'")</f>
        <v>ילקוט שמעוני המנוקד והמבואר - 2 כר'</v>
      </c>
    </row>
    <row r="1440" spans="1:6" x14ac:dyDescent="0.2">
      <c r="A1440" t="s">
        <v>3065</v>
      </c>
      <c r="B1440" t="s">
        <v>3066</v>
      </c>
      <c r="C1440" t="s">
        <v>190</v>
      </c>
      <c r="D1440" s="1" t="s">
        <v>52</v>
      </c>
      <c r="E1440" t="s">
        <v>37</v>
      </c>
      <c r="F1440" s="5" t="str">
        <f>HYPERLINK("http://www.otzar.org/book.asp?629500","ים ההלכה - הלכות תפילה")</f>
        <v>ים ההלכה - הלכות תפילה</v>
      </c>
    </row>
    <row r="1441" spans="1:6" x14ac:dyDescent="0.2">
      <c r="A1441" t="s">
        <v>3067</v>
      </c>
      <c r="B1441" t="s">
        <v>3068</v>
      </c>
      <c r="C1441" t="s">
        <v>25</v>
      </c>
      <c r="D1441" s="1" t="s">
        <v>1295</v>
      </c>
      <c r="E1441" t="s">
        <v>22</v>
      </c>
      <c r="F1441" s="5" t="str">
        <f>HYPERLINK("http://www.otzar.org/book.asp?632823","ים של שלמה &lt;מכון משנת רבי אהרן&gt; ב""ק א")</f>
        <v>ים של שלמה &lt;מכון משנת רבי אהרן&gt; ב"ק א</v>
      </c>
    </row>
    <row r="1442" spans="1:6" x14ac:dyDescent="0.2">
      <c r="A1442" t="s">
        <v>3069</v>
      </c>
      <c r="B1442" t="s">
        <v>3068</v>
      </c>
      <c r="C1442" t="s">
        <v>25</v>
      </c>
      <c r="D1442" s="1" t="s">
        <v>1295</v>
      </c>
      <c r="E1442" t="s">
        <v>22</v>
      </c>
      <c r="F1442" s="5" t="str">
        <f>HYPERLINK("http://www.otzar.org/book.asp?632824","ים של שלמה &lt;מכון משנת רבי אהרן&gt; ב""ק ב")</f>
        <v>ים של שלמה &lt;מכון משנת רבי אהרן&gt; ב"ק ב</v>
      </c>
    </row>
    <row r="1443" spans="1:6" x14ac:dyDescent="0.2">
      <c r="A1443" t="s">
        <v>3070</v>
      </c>
      <c r="B1443" t="s">
        <v>3071</v>
      </c>
      <c r="C1443" t="s">
        <v>8</v>
      </c>
      <c r="D1443" s="1" t="s">
        <v>52</v>
      </c>
      <c r="E1443" t="s">
        <v>30</v>
      </c>
      <c r="F1443" s="5" t="str">
        <f>HYPERLINK("http://www.otzar.org/book.asp?630321","ימי הבאנייען")</f>
        <v>ימי הבאנייען</v>
      </c>
    </row>
    <row r="1444" spans="1:6" x14ac:dyDescent="0.2">
      <c r="A1444" t="s">
        <v>3072</v>
      </c>
      <c r="B1444" t="s">
        <v>2134</v>
      </c>
      <c r="C1444" t="s">
        <v>73</v>
      </c>
      <c r="D1444" s="1" t="s">
        <v>52</v>
      </c>
      <c r="E1444" t="s">
        <v>37</v>
      </c>
      <c r="F1444" s="5" t="str">
        <f>HYPERLINK("http://www.otzar.org/book.asp?626076","ימי השובבי""ם")</f>
        <v>ימי השובבי"ם</v>
      </c>
    </row>
    <row r="1445" spans="1:6" x14ac:dyDescent="0.2">
      <c r="A1445" t="s">
        <v>3073</v>
      </c>
      <c r="B1445" t="s">
        <v>3074</v>
      </c>
      <c r="C1445" t="s">
        <v>106</v>
      </c>
      <c r="D1445" s="1" t="s">
        <v>14</v>
      </c>
      <c r="E1445" t="s">
        <v>371</v>
      </c>
      <c r="F1445" s="5" t="str">
        <f>HYPERLINK("http://www.otzar.org/book.asp?626266","ימי סופר המלך א")</f>
        <v>ימי סופר המלך א</v>
      </c>
    </row>
    <row r="1446" spans="1:6" x14ac:dyDescent="0.2">
      <c r="A1446" t="s">
        <v>3075</v>
      </c>
      <c r="B1446" t="s">
        <v>3076</v>
      </c>
      <c r="C1446" t="s">
        <v>1642</v>
      </c>
      <c r="D1446" s="1" t="s">
        <v>144</v>
      </c>
      <c r="E1446" t="s">
        <v>89</v>
      </c>
      <c r="F1446" s="5" t="str">
        <f>HYPERLINK("http://www.otzar.org/book.asp?626354","ימי תשובה")</f>
        <v>ימי תשובה</v>
      </c>
    </row>
    <row r="1447" spans="1:6" x14ac:dyDescent="0.2">
      <c r="A1447" t="s">
        <v>3077</v>
      </c>
      <c r="B1447" t="s">
        <v>94</v>
      </c>
      <c r="E1447" t="s">
        <v>17</v>
      </c>
      <c r="F1447" s="5" t="str">
        <f>HYPERLINK("http://www.otzar.org/book.asp?624804","ימים מקדם")</f>
        <v>ימים מקדם</v>
      </c>
    </row>
    <row r="1448" spans="1:6" x14ac:dyDescent="0.2">
      <c r="A1448" t="s">
        <v>3077</v>
      </c>
      <c r="B1448" t="s">
        <v>3078</v>
      </c>
      <c r="C1448" t="s">
        <v>1023</v>
      </c>
      <c r="D1448" s="1" t="s">
        <v>841</v>
      </c>
      <c r="E1448" t="s">
        <v>121</v>
      </c>
      <c r="F1448" s="5" t="str">
        <f>HYPERLINK("http://www.otzar.org/book.asp?624948","ימים מקדם")</f>
        <v>ימים מקדם</v>
      </c>
    </row>
    <row r="1449" spans="1:6" x14ac:dyDescent="0.2">
      <c r="A1449" t="s">
        <v>3079</v>
      </c>
      <c r="B1449" t="s">
        <v>1055</v>
      </c>
      <c r="C1449" t="s">
        <v>190</v>
      </c>
      <c r="D1449" s="1" t="s">
        <v>1257</v>
      </c>
      <c r="E1449" t="s">
        <v>2275</v>
      </c>
      <c r="F1449" s="5" t="str">
        <f>HYPERLINK("http://www.otzar.org/book.asp?625557","ימים נוראים")</f>
        <v>ימים נוראים</v>
      </c>
    </row>
    <row r="1450" spans="1:6" x14ac:dyDescent="0.2">
      <c r="A1450" t="s">
        <v>3080</v>
      </c>
      <c r="B1450" t="s">
        <v>3081</v>
      </c>
      <c r="C1450" t="s">
        <v>73</v>
      </c>
      <c r="D1450" s="1" t="s">
        <v>52</v>
      </c>
      <c r="E1450" t="s">
        <v>154</v>
      </c>
      <c r="F1450" s="5" t="str">
        <f>HYPERLINK("http://www.otzar.org/book.asp?625409","ימין משה")</f>
        <v>ימין משה</v>
      </c>
    </row>
    <row r="1451" spans="1:6" x14ac:dyDescent="0.2">
      <c r="A1451" t="s">
        <v>3082</v>
      </c>
      <c r="B1451" t="s">
        <v>3083</v>
      </c>
      <c r="C1451" t="s">
        <v>73</v>
      </c>
      <c r="D1451" s="1" t="s">
        <v>52</v>
      </c>
      <c r="E1451" t="s">
        <v>108</v>
      </c>
      <c r="F1451" s="5" t="str">
        <f>HYPERLINK("http://www.otzar.org/book.asp?628562","יסוד האחדות")</f>
        <v>יסוד האחדות</v>
      </c>
    </row>
    <row r="1452" spans="1:6" x14ac:dyDescent="0.2">
      <c r="A1452" t="s">
        <v>3084</v>
      </c>
      <c r="B1452" t="s">
        <v>3085</v>
      </c>
      <c r="C1452" t="s">
        <v>8</v>
      </c>
      <c r="D1452" s="1" t="s">
        <v>14</v>
      </c>
      <c r="E1452" t="s">
        <v>89</v>
      </c>
      <c r="F1452" s="5" t="str">
        <f>HYPERLINK("http://www.otzar.org/book.asp?631137","יסוד המועדים - 2 כר'")</f>
        <v>יסוד המועדים - 2 כר'</v>
      </c>
    </row>
    <row r="1453" spans="1:6" x14ac:dyDescent="0.2">
      <c r="A1453" t="s">
        <v>3086</v>
      </c>
      <c r="B1453" t="s">
        <v>3087</v>
      </c>
      <c r="C1453" t="s">
        <v>3088</v>
      </c>
      <c r="D1453" s="1" t="s">
        <v>3089</v>
      </c>
      <c r="E1453" t="s">
        <v>49</v>
      </c>
      <c r="F1453" s="5" t="str">
        <f>HYPERLINK("http://www.otzar.org/book.asp?627350","יסוד מורא")</f>
        <v>יסוד מורא</v>
      </c>
    </row>
    <row r="1454" spans="1:6" x14ac:dyDescent="0.2">
      <c r="A1454" t="s">
        <v>3090</v>
      </c>
      <c r="B1454" t="s">
        <v>3091</v>
      </c>
      <c r="C1454" t="s">
        <v>3092</v>
      </c>
      <c r="D1454" s="1" t="s">
        <v>3093</v>
      </c>
      <c r="E1454" t="s">
        <v>295</v>
      </c>
      <c r="F1454" s="5" t="str">
        <f>HYPERLINK("http://www.otzar.org/book.asp?626583","יסוד עולם")</f>
        <v>יסוד עולם</v>
      </c>
    </row>
    <row r="1455" spans="1:6" x14ac:dyDescent="0.2">
      <c r="A1455" t="s">
        <v>3094</v>
      </c>
      <c r="B1455" t="s">
        <v>3095</v>
      </c>
      <c r="C1455" t="s">
        <v>13</v>
      </c>
      <c r="D1455" s="1" t="s">
        <v>9</v>
      </c>
      <c r="E1455" t="s">
        <v>108</v>
      </c>
      <c r="F1455" s="5" t="str">
        <f>HYPERLINK("http://www.otzar.org/book.asp?625440","יסודות הבית")</f>
        <v>יסודות הבית</v>
      </c>
    </row>
    <row r="1456" spans="1:6" x14ac:dyDescent="0.2">
      <c r="A1456" t="s">
        <v>3096</v>
      </c>
      <c r="B1456" t="s">
        <v>3097</v>
      </c>
      <c r="C1456" t="s">
        <v>136</v>
      </c>
      <c r="D1456" s="1" t="s">
        <v>229</v>
      </c>
      <c r="E1456" t="s">
        <v>34</v>
      </c>
      <c r="F1456" s="5" t="str">
        <f>HYPERLINK("http://www.otzar.org/book.asp?631199","יסודות קודש - בפרדס התשובה")</f>
        <v>יסודות קודש - בפרדס התשובה</v>
      </c>
    </row>
    <row r="1457" spans="1:6" x14ac:dyDescent="0.2">
      <c r="A1457" t="s">
        <v>3098</v>
      </c>
      <c r="B1457" t="s">
        <v>3099</v>
      </c>
      <c r="C1457" t="s">
        <v>397</v>
      </c>
      <c r="D1457" s="1" t="s">
        <v>9</v>
      </c>
      <c r="E1457" t="s">
        <v>37</v>
      </c>
      <c r="F1457" s="5" t="str">
        <f>HYPERLINK("http://www.otzar.org/book.asp?626157","יסודי הצדקה")</f>
        <v>יסודי הצדקה</v>
      </c>
    </row>
    <row r="1458" spans="1:6" x14ac:dyDescent="0.2">
      <c r="A1458" t="s">
        <v>3100</v>
      </c>
      <c r="B1458" t="s">
        <v>3101</v>
      </c>
      <c r="C1458" t="s">
        <v>126</v>
      </c>
      <c r="D1458" s="1" t="s">
        <v>9</v>
      </c>
      <c r="E1458" t="s">
        <v>154</v>
      </c>
      <c r="F1458" s="5" t="str">
        <f>HYPERLINK("http://www.otzar.org/book.asp?624365","יסודי ישרון - 2 כר'")</f>
        <v>יסודי ישרון - 2 כר'</v>
      </c>
    </row>
    <row r="1459" spans="1:6" x14ac:dyDescent="0.2">
      <c r="A1459" t="s">
        <v>3102</v>
      </c>
      <c r="B1459" t="s">
        <v>364</v>
      </c>
      <c r="C1459" t="s">
        <v>8</v>
      </c>
      <c r="D1459" s="1" t="s">
        <v>14</v>
      </c>
      <c r="E1459" t="s">
        <v>214</v>
      </c>
      <c r="F1459" s="5" t="str">
        <f>HYPERLINK("http://www.otzar.org/book.asp?627468","יעלה הדס")</f>
        <v>יעלה הדס</v>
      </c>
    </row>
    <row r="1460" spans="1:6" x14ac:dyDescent="0.2">
      <c r="A1460" t="s">
        <v>3103</v>
      </c>
      <c r="B1460" t="s">
        <v>3104</v>
      </c>
      <c r="C1460" t="s">
        <v>3105</v>
      </c>
      <c r="D1460" s="1" t="s">
        <v>3106</v>
      </c>
      <c r="E1460" t="s">
        <v>3107</v>
      </c>
      <c r="F1460" s="5" t="str">
        <f>HYPERLINK("http://www.otzar.org/book.asp?628255","יערות דבש")</f>
        <v>יערות דבש</v>
      </c>
    </row>
    <row r="1461" spans="1:6" x14ac:dyDescent="0.2">
      <c r="A1461" t="s">
        <v>3108</v>
      </c>
      <c r="B1461" t="s">
        <v>1722</v>
      </c>
      <c r="C1461" t="s">
        <v>8</v>
      </c>
      <c r="D1461" s="1" t="s">
        <v>52</v>
      </c>
      <c r="E1461" t="s">
        <v>34</v>
      </c>
      <c r="F1461" s="5" t="str">
        <f>HYPERLINK("http://www.otzar.org/book.asp?622522","יערות האושר")</f>
        <v>יערות האושר</v>
      </c>
    </row>
    <row r="1462" spans="1:6" x14ac:dyDescent="0.2">
      <c r="A1462" t="s">
        <v>3109</v>
      </c>
      <c r="B1462" t="s">
        <v>3110</v>
      </c>
      <c r="C1462" t="s">
        <v>3111</v>
      </c>
      <c r="D1462" s="1" t="s">
        <v>3112</v>
      </c>
      <c r="E1462" t="s">
        <v>168</v>
      </c>
      <c r="F1462" s="5" t="str">
        <f>HYPERLINK("http://www.otzar.org/book.asp?624681","יפה וברה")</f>
        <v>יפה וברה</v>
      </c>
    </row>
    <row r="1463" spans="1:6" x14ac:dyDescent="0.2">
      <c r="A1463" t="s">
        <v>3113</v>
      </c>
      <c r="B1463" t="s">
        <v>3114</v>
      </c>
      <c r="C1463" t="s">
        <v>73</v>
      </c>
      <c r="D1463" s="1" t="s">
        <v>52</v>
      </c>
      <c r="E1463" t="s">
        <v>37</v>
      </c>
      <c r="F1463" s="5" t="str">
        <f>HYPERLINK("http://www.otzar.org/book.asp?628043","יפה לב")</f>
        <v>יפה לב</v>
      </c>
    </row>
    <row r="1464" spans="1:6" x14ac:dyDescent="0.2">
      <c r="A1464" t="s">
        <v>3115</v>
      </c>
      <c r="B1464" t="s">
        <v>3116</v>
      </c>
      <c r="C1464" t="s">
        <v>20</v>
      </c>
      <c r="D1464" s="1" t="s">
        <v>14</v>
      </c>
      <c r="E1464" t="s">
        <v>22</v>
      </c>
      <c r="F1464" s="5" t="str">
        <f>HYPERLINK("http://www.otzar.org/book.asp?626936","יפה מראה - שבועות")</f>
        <v>יפה מראה - שבועות</v>
      </c>
    </row>
    <row r="1465" spans="1:6" x14ac:dyDescent="0.2">
      <c r="A1465" t="s">
        <v>3117</v>
      </c>
      <c r="B1465" t="s">
        <v>3118</v>
      </c>
      <c r="C1465" t="s">
        <v>13</v>
      </c>
      <c r="D1465" s="1" t="s">
        <v>29</v>
      </c>
      <c r="E1465" t="s">
        <v>89</v>
      </c>
      <c r="F1465" s="5" t="str">
        <f>HYPERLINK("http://www.otzar.org/book.asp?623513","יפה נדרשת - חנוכה ב")</f>
        <v>יפה נדרשת - חנוכה ב</v>
      </c>
    </row>
    <row r="1466" spans="1:6" x14ac:dyDescent="0.2">
      <c r="A1466" t="s">
        <v>3119</v>
      </c>
      <c r="B1466" t="s">
        <v>3120</v>
      </c>
      <c r="C1466" t="s">
        <v>20</v>
      </c>
      <c r="D1466" s="1" t="s">
        <v>9</v>
      </c>
      <c r="E1466" t="s">
        <v>168</v>
      </c>
      <c r="F1466" s="5" t="str">
        <f>HYPERLINK("http://www.otzar.org/book.asp?627593","יפה תואר &lt;זכרון אהרן&gt; - 3 כר'")</f>
        <v>יפה תואר &lt;זכרון אהרן&gt; - 3 כר'</v>
      </c>
    </row>
    <row r="1467" spans="1:6" x14ac:dyDescent="0.2">
      <c r="A1467" t="s">
        <v>3121</v>
      </c>
      <c r="B1467" t="s">
        <v>3122</v>
      </c>
      <c r="C1467" t="s">
        <v>73</v>
      </c>
      <c r="D1467" s="1" t="s">
        <v>1793</v>
      </c>
      <c r="E1467" t="s">
        <v>108</v>
      </c>
      <c r="F1467" s="5" t="str">
        <f>HYPERLINK("http://www.otzar.org/book.asp?625275","יפרח כשושנה - 3 כר'")</f>
        <v>יפרח כשושנה - 3 כר'</v>
      </c>
    </row>
    <row r="1468" spans="1:6" x14ac:dyDescent="0.2">
      <c r="A1468" t="s">
        <v>3123</v>
      </c>
      <c r="B1468" t="s">
        <v>3124</v>
      </c>
      <c r="D1468" s="1" t="s">
        <v>355</v>
      </c>
      <c r="F1468" s="5" t="str">
        <f>HYPERLINK("http://www.otzar.org/book.asp?625981","יצחק ירנן")</f>
        <v>יצחק ירנן</v>
      </c>
    </row>
    <row r="1469" spans="1:6" x14ac:dyDescent="0.2">
      <c r="A1469" t="s">
        <v>3125</v>
      </c>
      <c r="B1469" t="s">
        <v>3126</v>
      </c>
      <c r="C1469" t="s">
        <v>73</v>
      </c>
      <c r="D1469" s="1" t="s">
        <v>911</v>
      </c>
      <c r="E1469" t="s">
        <v>168</v>
      </c>
      <c r="F1469" s="5" t="str">
        <f>HYPERLINK("http://www.otzar.org/book.asp?629396","יציב פתגם - במדבר")</f>
        <v>יציב פתגם - במדבר</v>
      </c>
    </row>
    <row r="1470" spans="1:6" x14ac:dyDescent="0.2">
      <c r="A1470" t="s">
        <v>3127</v>
      </c>
      <c r="B1470" t="s">
        <v>1416</v>
      </c>
      <c r="C1470" t="s">
        <v>8</v>
      </c>
      <c r="D1470" s="1" t="s">
        <v>9</v>
      </c>
      <c r="E1470" t="s">
        <v>44</v>
      </c>
      <c r="F1470" s="5" t="str">
        <f>HYPERLINK("http://www.otzar.org/book.asp?629910","יצירת אדם")</f>
        <v>יצירת אדם</v>
      </c>
    </row>
    <row r="1471" spans="1:6" x14ac:dyDescent="0.2">
      <c r="A1471" t="s">
        <v>3128</v>
      </c>
      <c r="B1471" t="s">
        <v>3129</v>
      </c>
      <c r="C1471" t="s">
        <v>290</v>
      </c>
      <c r="D1471" s="1" t="s">
        <v>29</v>
      </c>
      <c r="E1471" t="s">
        <v>631</v>
      </c>
      <c r="F1471" s="5" t="str">
        <f>HYPERLINK("http://www.otzar.org/book.asp?625951","יקהל שלמה, בית שלמה, עטרת תפארת")</f>
        <v>יקהל שלמה, בית שלמה, עטרת תפארת</v>
      </c>
    </row>
    <row r="1472" spans="1:6" x14ac:dyDescent="0.2">
      <c r="A1472" t="s">
        <v>3130</v>
      </c>
      <c r="B1472" t="s">
        <v>3131</v>
      </c>
      <c r="C1472" t="s">
        <v>136</v>
      </c>
      <c r="D1472" s="1" t="s">
        <v>52</v>
      </c>
      <c r="E1472" t="s">
        <v>22</v>
      </c>
      <c r="F1472" s="5" t="str">
        <f>HYPERLINK("http://www.otzar.org/book.asp?623252","יקום דבר - מכות")</f>
        <v>יקום דבר - מכות</v>
      </c>
    </row>
    <row r="1473" spans="1:6" x14ac:dyDescent="0.2">
      <c r="A1473" t="s">
        <v>3132</v>
      </c>
      <c r="B1473" t="s">
        <v>504</v>
      </c>
      <c r="C1473" t="s">
        <v>8</v>
      </c>
      <c r="D1473" s="1" t="s">
        <v>14</v>
      </c>
      <c r="E1473" t="s">
        <v>108</v>
      </c>
      <c r="F1473" s="5" t="str">
        <f>HYPERLINK("http://www.otzar.org/book.asp?629397","יקר חכמים")</f>
        <v>יקר חכמים</v>
      </c>
    </row>
    <row r="1474" spans="1:6" x14ac:dyDescent="0.2">
      <c r="A1474" t="s">
        <v>3133</v>
      </c>
      <c r="B1474" t="s">
        <v>3134</v>
      </c>
      <c r="C1474" t="s">
        <v>307</v>
      </c>
      <c r="D1474" s="1" t="s">
        <v>9</v>
      </c>
      <c r="E1474" t="s">
        <v>22</v>
      </c>
      <c r="F1474" s="5" t="str">
        <f>HYPERLINK("http://www.otzar.org/book.asp?628164","יקר תפארת - פרק המפקיד")</f>
        <v>יקר תפארת - פרק המפקיד</v>
      </c>
    </row>
    <row r="1475" spans="1:6" x14ac:dyDescent="0.2">
      <c r="A1475" t="s">
        <v>3135</v>
      </c>
      <c r="B1475" t="s">
        <v>3136</v>
      </c>
      <c r="C1475" t="s">
        <v>8</v>
      </c>
      <c r="D1475" s="1" t="s">
        <v>21</v>
      </c>
      <c r="E1475" t="s">
        <v>26</v>
      </c>
      <c r="F1475" s="5" t="str">
        <f>HYPERLINK("http://www.otzar.org/book.asp?628691","יקרא דאורייתא - גיטין")</f>
        <v>יקרא דאורייתא - גיטין</v>
      </c>
    </row>
    <row r="1476" spans="1:6" x14ac:dyDescent="0.2">
      <c r="A1476" t="s">
        <v>3137</v>
      </c>
      <c r="B1476" t="s">
        <v>3138</v>
      </c>
      <c r="C1476" t="s">
        <v>76</v>
      </c>
      <c r="D1476" s="1" t="s">
        <v>29</v>
      </c>
      <c r="E1476" t="s">
        <v>214</v>
      </c>
      <c r="F1476" s="5" t="str">
        <f>HYPERLINK("http://www.otzar.org/book.asp?625371","יקרא דחיים")</f>
        <v>יקרא דחיים</v>
      </c>
    </row>
    <row r="1477" spans="1:6" x14ac:dyDescent="0.2">
      <c r="A1477" t="s">
        <v>3139</v>
      </c>
      <c r="B1477" t="s">
        <v>3140</v>
      </c>
      <c r="C1477" t="s">
        <v>13</v>
      </c>
      <c r="D1477" s="1" t="s">
        <v>400</v>
      </c>
      <c r="E1477" t="s">
        <v>242</v>
      </c>
      <c r="F1477" s="5" t="str">
        <f>HYPERLINK("http://www.otzar.org/book.asp?627090","יקרא דצבורא")</f>
        <v>יקרא דצבורא</v>
      </c>
    </row>
    <row r="1478" spans="1:6" x14ac:dyDescent="0.2">
      <c r="A1478" t="s">
        <v>3141</v>
      </c>
      <c r="B1478" t="s">
        <v>3142</v>
      </c>
      <c r="C1478" t="s">
        <v>20</v>
      </c>
      <c r="D1478" s="1" t="s">
        <v>277</v>
      </c>
      <c r="E1478" t="s">
        <v>168</v>
      </c>
      <c r="F1478" s="5" t="str">
        <f>HYPERLINK("http://www.otzar.org/book.asp?630045","יקרה היא מפנינים")</f>
        <v>יקרה היא מפנינים</v>
      </c>
    </row>
    <row r="1479" spans="1:6" x14ac:dyDescent="0.2">
      <c r="A1479" t="s">
        <v>3143</v>
      </c>
      <c r="B1479" t="s">
        <v>2790</v>
      </c>
      <c r="C1479" t="s">
        <v>20</v>
      </c>
      <c r="D1479" s="1" t="s">
        <v>52</v>
      </c>
      <c r="E1479" t="s">
        <v>49</v>
      </c>
      <c r="F1479" s="5" t="str">
        <f>HYPERLINK("http://www.otzar.org/book.asp?626795","יראת השם היא אוצרו")</f>
        <v>יראת השם היא אוצרו</v>
      </c>
    </row>
    <row r="1480" spans="1:6" x14ac:dyDescent="0.2">
      <c r="A1480" t="s">
        <v>3144</v>
      </c>
      <c r="B1480" t="s">
        <v>649</v>
      </c>
      <c r="C1480" t="s">
        <v>13</v>
      </c>
      <c r="D1480" s="1" t="s">
        <v>400</v>
      </c>
      <c r="E1480" t="s">
        <v>1207</v>
      </c>
      <c r="F1480" s="5" t="str">
        <f>HYPERLINK("http://www.otzar.org/book.asp?624671","ירוץ דברו - 2 כר'")</f>
        <v>ירוץ דברו - 2 כר'</v>
      </c>
    </row>
    <row r="1481" spans="1:6" x14ac:dyDescent="0.2">
      <c r="A1481" t="s">
        <v>3145</v>
      </c>
      <c r="B1481" t="s">
        <v>3146</v>
      </c>
      <c r="C1481" t="s">
        <v>8</v>
      </c>
      <c r="D1481" s="1" t="s">
        <v>52</v>
      </c>
      <c r="E1481" t="s">
        <v>49</v>
      </c>
      <c r="F1481" s="5" t="str">
        <f>HYPERLINK("http://www.otzar.org/book.asp?625396","ירושלים של מעלה")</f>
        <v>ירושלים של מעלה</v>
      </c>
    </row>
    <row r="1482" spans="1:6" x14ac:dyDescent="0.2">
      <c r="A1482" t="s">
        <v>3147</v>
      </c>
      <c r="B1482" t="s">
        <v>3148</v>
      </c>
      <c r="C1482" t="s">
        <v>255</v>
      </c>
      <c r="D1482" s="1" t="s">
        <v>9</v>
      </c>
      <c r="E1482" t="s">
        <v>49</v>
      </c>
      <c r="F1482" s="5" t="str">
        <f>HYPERLINK("http://www.otzar.org/book.asp?624572","ירושלים - אתרים קדומים")</f>
        <v>ירושלים - אתרים קדומים</v>
      </c>
    </row>
    <row r="1483" spans="1:6" x14ac:dyDescent="0.2">
      <c r="A1483" t="s">
        <v>9</v>
      </c>
      <c r="B1483" t="s">
        <v>9</v>
      </c>
      <c r="C1483" t="s">
        <v>2311</v>
      </c>
      <c r="D1483" s="1" t="s">
        <v>3149</v>
      </c>
      <c r="E1483" t="s">
        <v>214</v>
      </c>
      <c r="F1483" s="5" t="str">
        <f>HYPERLINK("http://www.otzar.org/book.asp?625397","ירושלים")</f>
        <v>ירושלים</v>
      </c>
    </row>
    <row r="1484" spans="1:6" x14ac:dyDescent="0.2">
      <c r="A1484" t="s">
        <v>9</v>
      </c>
      <c r="B1484" t="s">
        <v>3150</v>
      </c>
      <c r="C1484" t="s">
        <v>1066</v>
      </c>
      <c r="D1484" s="1" t="s">
        <v>471</v>
      </c>
      <c r="E1484" t="s">
        <v>121</v>
      </c>
      <c r="F1484" s="5" t="str">
        <f>HYPERLINK("http://www.otzar.org/book.asp?625374","ירושלים")</f>
        <v>ירושלים</v>
      </c>
    </row>
    <row r="1485" spans="1:6" x14ac:dyDescent="0.2">
      <c r="A1485" t="s">
        <v>3151</v>
      </c>
      <c r="B1485" t="s">
        <v>3152</v>
      </c>
      <c r="C1485" t="s">
        <v>20</v>
      </c>
      <c r="D1485" s="1" t="s">
        <v>52</v>
      </c>
      <c r="E1485" t="s">
        <v>49</v>
      </c>
      <c r="F1485" s="5" t="str">
        <f>HYPERLINK("http://www.otzar.org/book.asp?626754","ירושת הארץ")</f>
        <v>ירושת הארץ</v>
      </c>
    </row>
    <row r="1486" spans="1:6" x14ac:dyDescent="0.2">
      <c r="A1486" t="s">
        <v>3153</v>
      </c>
      <c r="B1486" t="s">
        <v>3154</v>
      </c>
      <c r="C1486" t="s">
        <v>13</v>
      </c>
      <c r="D1486" s="1" t="s">
        <v>52</v>
      </c>
      <c r="E1486" t="s">
        <v>214</v>
      </c>
      <c r="F1486" s="5" t="str">
        <f>HYPERLINK("http://www.otzar.org/book.asp?629323","ירחון האוצר - 12 כר'")</f>
        <v>ירחון האוצר - 12 כר'</v>
      </c>
    </row>
    <row r="1487" spans="1:6" x14ac:dyDescent="0.2">
      <c r="A1487" t="s">
        <v>3155</v>
      </c>
      <c r="B1487" t="s">
        <v>3156</v>
      </c>
      <c r="C1487" t="s">
        <v>13</v>
      </c>
      <c r="D1487" s="1" t="s">
        <v>9</v>
      </c>
      <c r="E1487" t="s">
        <v>22</v>
      </c>
      <c r="F1487" s="5" t="str">
        <f>HYPERLINK("http://www.otzar.org/book.asp?628044","יריעות שלמה - בבא מציעא")</f>
        <v>יריעות שלמה - בבא מציעא</v>
      </c>
    </row>
    <row r="1488" spans="1:6" x14ac:dyDescent="0.2">
      <c r="A1488" t="s">
        <v>3157</v>
      </c>
      <c r="B1488" t="s">
        <v>364</v>
      </c>
      <c r="C1488" t="s">
        <v>133</v>
      </c>
      <c r="D1488" s="1" t="s">
        <v>9</v>
      </c>
      <c r="E1488" t="s">
        <v>565</v>
      </c>
      <c r="F1488" s="5" t="str">
        <f>HYPERLINK("http://www.otzar.org/book.asp?626227","ישב אהלים")</f>
        <v>ישב אהלים</v>
      </c>
    </row>
    <row r="1489" spans="1:6" x14ac:dyDescent="0.2">
      <c r="A1489" t="s">
        <v>3158</v>
      </c>
      <c r="B1489" t="s">
        <v>3159</v>
      </c>
      <c r="C1489" t="s">
        <v>20</v>
      </c>
      <c r="D1489" s="1" t="s">
        <v>9</v>
      </c>
      <c r="E1489" t="s">
        <v>3160</v>
      </c>
      <c r="F1489" s="5" t="str">
        <f>HYPERLINK("http://www.otzar.org/book.asp?624839","ישגא בקודש")</f>
        <v>ישגא בקודש</v>
      </c>
    </row>
    <row r="1490" spans="1:6" x14ac:dyDescent="0.2">
      <c r="A1490" t="s">
        <v>3161</v>
      </c>
      <c r="B1490" t="s">
        <v>3162</v>
      </c>
      <c r="C1490" t="s">
        <v>2129</v>
      </c>
      <c r="D1490" s="1" t="s">
        <v>9</v>
      </c>
      <c r="E1490" t="s">
        <v>49</v>
      </c>
      <c r="F1490" s="5" t="str">
        <f>HYPERLINK("http://www.otzar.org/book.asp?625666","ישוב ארץ ישראל בזמן הזה")</f>
        <v>ישוב ארץ ישראל בזמן הזה</v>
      </c>
    </row>
    <row r="1491" spans="1:6" x14ac:dyDescent="0.2">
      <c r="A1491" t="s">
        <v>3163</v>
      </c>
      <c r="B1491" t="s">
        <v>3154</v>
      </c>
      <c r="C1491" t="s">
        <v>3164</v>
      </c>
      <c r="D1491" s="1" t="s">
        <v>952</v>
      </c>
      <c r="F1491" s="5" t="str">
        <f>HYPERLINK("http://www.otzar.org/book.asp?628339","ישורון &lt;גרמנית&gt; - 130 כר'")</f>
        <v>ישורון &lt;גרמנית&gt; - 130 כר'</v>
      </c>
    </row>
    <row r="1492" spans="1:6" x14ac:dyDescent="0.2">
      <c r="A1492" t="s">
        <v>3165</v>
      </c>
      <c r="B1492" t="s">
        <v>3166</v>
      </c>
      <c r="C1492" t="s">
        <v>73</v>
      </c>
      <c r="D1492" s="1" t="s">
        <v>9</v>
      </c>
      <c r="F1492" s="5" t="str">
        <f>HYPERLINK("http://www.otzar.org/book.asp?632632","ישורון - 5 כר'")</f>
        <v>ישורון - 5 כר'</v>
      </c>
    </row>
    <row r="1493" spans="1:6" x14ac:dyDescent="0.2">
      <c r="A1493" t="s">
        <v>3167</v>
      </c>
      <c r="B1493" t="s">
        <v>3030</v>
      </c>
      <c r="C1493" t="s">
        <v>73</v>
      </c>
      <c r="D1493" s="1" t="s">
        <v>1096</v>
      </c>
      <c r="E1493" t="s">
        <v>56</v>
      </c>
      <c r="F1493" s="5" t="str">
        <f>HYPERLINK("http://www.otzar.org/book.asp?629775","ישלח דברו - א")</f>
        <v>ישלח דברו - א</v>
      </c>
    </row>
    <row r="1494" spans="1:6" x14ac:dyDescent="0.2">
      <c r="A1494" t="s">
        <v>3168</v>
      </c>
      <c r="B1494" t="s">
        <v>3169</v>
      </c>
      <c r="C1494" t="s">
        <v>307</v>
      </c>
      <c r="D1494" s="1" t="s">
        <v>9</v>
      </c>
      <c r="F1494" s="5" t="str">
        <f>HYPERLINK("http://www.otzar.org/book.asp?627158","ישמח יצירך")</f>
        <v>ישמח יצירך</v>
      </c>
    </row>
    <row r="1495" spans="1:6" x14ac:dyDescent="0.2">
      <c r="A1495" t="s">
        <v>3170</v>
      </c>
      <c r="B1495" t="s">
        <v>3171</v>
      </c>
      <c r="C1495" t="s">
        <v>136</v>
      </c>
      <c r="D1495" s="1" t="s">
        <v>29</v>
      </c>
      <c r="E1495" t="s">
        <v>3172</v>
      </c>
      <c r="F1495" s="5" t="str">
        <f>HYPERLINK("http://www.otzar.org/book.asp?627273","ישמח ישראל &lt;מהדורה חדשה&gt;")</f>
        <v>ישמח ישראל &lt;מהדורה חדשה&gt;</v>
      </c>
    </row>
    <row r="1496" spans="1:6" x14ac:dyDescent="0.2">
      <c r="A1496" t="s">
        <v>3173</v>
      </c>
      <c r="B1496" t="s">
        <v>3174</v>
      </c>
      <c r="C1496" t="s">
        <v>13</v>
      </c>
      <c r="D1496" s="1" t="s">
        <v>14</v>
      </c>
      <c r="E1496" t="s">
        <v>214</v>
      </c>
      <c r="F1496" s="5" t="str">
        <f>HYPERLINK("http://www.otzar.org/book.asp?626195","ישמח לב - ריבית")</f>
        <v>ישמח לב - ריבית</v>
      </c>
    </row>
    <row r="1497" spans="1:6" x14ac:dyDescent="0.2">
      <c r="A1497" t="s">
        <v>3175</v>
      </c>
      <c r="B1497" t="s">
        <v>3176</v>
      </c>
      <c r="C1497" t="s">
        <v>13</v>
      </c>
      <c r="D1497" s="1" t="s">
        <v>9</v>
      </c>
      <c r="E1497" t="s">
        <v>22</v>
      </c>
      <c r="F1497" s="5" t="str">
        <f>HYPERLINK("http://www.otzar.org/book.asp?630245","ישמח משה &lt;שיעורים&gt; - פסחים, מכות, בבא מציעא")</f>
        <v>ישמח משה &lt;שיעורים&gt; - פסחים, מכות, בבא מציעא</v>
      </c>
    </row>
    <row r="1498" spans="1:6" x14ac:dyDescent="0.2">
      <c r="A1498" t="s">
        <v>3177</v>
      </c>
      <c r="B1498" t="s">
        <v>3178</v>
      </c>
      <c r="C1498" t="s">
        <v>73</v>
      </c>
      <c r="D1498" s="1" t="s">
        <v>29</v>
      </c>
      <c r="F1498" s="5" t="str">
        <f>HYPERLINK("http://www.otzar.org/book.asp?632834","ישמח משה &lt;ליקוטים&gt; - 3 כר'")</f>
        <v>ישמח משה &lt;ליקוטים&gt; - 3 כר'</v>
      </c>
    </row>
    <row r="1499" spans="1:6" x14ac:dyDescent="0.2">
      <c r="A1499" t="s">
        <v>3179</v>
      </c>
      <c r="B1499" t="s">
        <v>3178</v>
      </c>
      <c r="C1499" t="s">
        <v>463</v>
      </c>
      <c r="D1499" s="1" t="s">
        <v>29</v>
      </c>
      <c r="E1499" t="s">
        <v>168</v>
      </c>
      <c r="F1499" s="5" t="str">
        <f>HYPERLINK("http://www.otzar.org/book.asp?629390","ישמח משה &lt;מהדורה חדשה&gt; - 2 כר'")</f>
        <v>ישמח משה &lt;מהדורה חדשה&gt; - 2 כר'</v>
      </c>
    </row>
    <row r="1500" spans="1:6" x14ac:dyDescent="0.2">
      <c r="A1500" t="s">
        <v>3180</v>
      </c>
      <c r="B1500" t="s">
        <v>3178</v>
      </c>
      <c r="C1500" t="s">
        <v>3181</v>
      </c>
      <c r="D1500" s="1" t="s">
        <v>3182</v>
      </c>
      <c r="F1500" s="5" t="str">
        <f>HYPERLINK("http://www.otzar.org/book.asp?625634","ישמח משה &lt;מהדורה ראשונה&gt; - 5 כר'")</f>
        <v>ישמח משה &lt;מהדורה ראשונה&gt; - 5 כר'</v>
      </c>
    </row>
    <row r="1501" spans="1:6" x14ac:dyDescent="0.2">
      <c r="A1501" t="s">
        <v>3183</v>
      </c>
      <c r="B1501" t="s">
        <v>3184</v>
      </c>
      <c r="C1501" t="s">
        <v>73</v>
      </c>
      <c r="D1501" s="1" t="s">
        <v>14</v>
      </c>
      <c r="E1501" t="s">
        <v>836</v>
      </c>
      <c r="F1501" s="5" t="str">
        <f>HYPERLINK("http://www.otzar.org/book.asp?629402","ישמח משה על התורה")</f>
        <v>ישמח משה על התורה</v>
      </c>
    </row>
    <row r="1502" spans="1:6" x14ac:dyDescent="0.2">
      <c r="A1502" t="s">
        <v>3185</v>
      </c>
      <c r="B1502" t="s">
        <v>3184</v>
      </c>
      <c r="C1502" t="s">
        <v>136</v>
      </c>
      <c r="D1502" s="1" t="s">
        <v>14</v>
      </c>
      <c r="E1502" t="s">
        <v>22</v>
      </c>
      <c r="F1502" s="5" t="str">
        <f>HYPERLINK("http://www.otzar.org/book.asp?629399","ישמח משה - 3 כר'")</f>
        <v>ישמח משה - 3 כר'</v>
      </c>
    </row>
    <row r="1503" spans="1:6" x14ac:dyDescent="0.2">
      <c r="A1503" t="s">
        <v>3186</v>
      </c>
      <c r="B1503" t="s">
        <v>3187</v>
      </c>
      <c r="D1503" s="1" t="s">
        <v>9</v>
      </c>
      <c r="E1503" t="s">
        <v>41</v>
      </c>
      <c r="F1503" s="5" t="str">
        <f>HYPERLINK("http://www.otzar.org/book.asp?625966","ישמח משה")</f>
        <v>ישמח משה</v>
      </c>
    </row>
    <row r="1504" spans="1:6" x14ac:dyDescent="0.2">
      <c r="A1504" t="s">
        <v>3188</v>
      </c>
      <c r="B1504" t="s">
        <v>364</v>
      </c>
      <c r="C1504" t="s">
        <v>3189</v>
      </c>
      <c r="D1504" s="1" t="s">
        <v>911</v>
      </c>
      <c r="E1504" t="s">
        <v>214</v>
      </c>
      <c r="F1504" s="5" t="str">
        <f>HYPERLINK("http://www.otzar.org/book.asp?627702","ישראל סבא - 7 כר'")</f>
        <v>ישראל סבא - 7 כר'</v>
      </c>
    </row>
    <row r="1505" spans="1:6" x14ac:dyDescent="0.2">
      <c r="A1505" t="s">
        <v>3190</v>
      </c>
      <c r="B1505" t="s">
        <v>3191</v>
      </c>
      <c r="F1505" s="5" t="str">
        <f>HYPERLINK("http://www.otzar.org/book.asp?622721","ישרון - 2 כר'")</f>
        <v>ישרון - 2 כר'</v>
      </c>
    </row>
    <row r="1506" spans="1:6" x14ac:dyDescent="0.2">
      <c r="A1506" t="s">
        <v>3192</v>
      </c>
      <c r="B1506" t="s">
        <v>3193</v>
      </c>
      <c r="C1506" t="s">
        <v>541</v>
      </c>
      <c r="D1506" s="1" t="s">
        <v>850</v>
      </c>
      <c r="E1506" t="s">
        <v>1745</v>
      </c>
      <c r="F1506" s="5" t="str">
        <f>HYPERLINK("http://www.otzar.org/book.asp?624786","ישרש יעקב")</f>
        <v>ישרש יעקב</v>
      </c>
    </row>
    <row r="1507" spans="1:6" x14ac:dyDescent="0.2">
      <c r="A1507" t="s">
        <v>3194</v>
      </c>
      <c r="B1507" t="s">
        <v>3195</v>
      </c>
      <c r="C1507" t="s">
        <v>13</v>
      </c>
      <c r="D1507" s="1" t="s">
        <v>52</v>
      </c>
      <c r="E1507" t="s">
        <v>34</v>
      </c>
      <c r="F1507" s="5" t="str">
        <f>HYPERLINK("http://www.otzar.org/book.asp?626222","יששכר וזבולון")</f>
        <v>יששכר וזבולון</v>
      </c>
    </row>
    <row r="1508" spans="1:6" x14ac:dyDescent="0.2">
      <c r="A1508" t="s">
        <v>3196</v>
      </c>
      <c r="B1508" t="s">
        <v>3197</v>
      </c>
      <c r="C1508" t="s">
        <v>307</v>
      </c>
      <c r="D1508" s="1" t="s">
        <v>1841</v>
      </c>
      <c r="E1508" t="s">
        <v>214</v>
      </c>
      <c r="F1508" s="5" t="str">
        <f>HYPERLINK("http://www.otzar.org/book.asp?623663","יתד המאיר - 9 כר'")</f>
        <v>יתד המאיר - 9 כר'</v>
      </c>
    </row>
    <row r="1509" spans="1:6" x14ac:dyDescent="0.2">
      <c r="A1509" t="s">
        <v>3198</v>
      </c>
      <c r="B1509" t="s">
        <v>3199</v>
      </c>
      <c r="C1509" t="s">
        <v>20</v>
      </c>
      <c r="D1509" s="1" t="s">
        <v>9</v>
      </c>
      <c r="E1509" t="s">
        <v>34</v>
      </c>
      <c r="F1509" s="5" t="str">
        <f>HYPERLINK("http://www.otzar.org/book.asp?625402","יתום ואלמנה יעודד")</f>
        <v>יתום ואלמנה יעודד</v>
      </c>
    </row>
    <row r="1510" spans="1:6" x14ac:dyDescent="0.2">
      <c r="A1510" t="s">
        <v>3200</v>
      </c>
      <c r="B1510" t="s">
        <v>3201</v>
      </c>
      <c r="F1510" s="5" t="str">
        <f>HYPERLINK("http://www.otzar.org/book.asp?630271","כ""ק מרן האדמו""ר מגור זצוקלל""ה")</f>
        <v>כ"ק מרן האדמו"ר מגור זצוקלל"ה</v>
      </c>
    </row>
    <row r="1511" spans="1:6" x14ac:dyDescent="0.2">
      <c r="A1511" t="s">
        <v>3202</v>
      </c>
      <c r="B1511" t="s">
        <v>3203</v>
      </c>
      <c r="C1511" t="s">
        <v>40</v>
      </c>
      <c r="D1511" s="1" t="s">
        <v>14</v>
      </c>
      <c r="E1511" t="s">
        <v>49</v>
      </c>
      <c r="F1511" s="5" t="str">
        <f>HYPERLINK("http://www.otzar.org/book.asp?629403","כאיל תערוג - ה")</f>
        <v>כאיל תערוג - ה</v>
      </c>
    </row>
    <row r="1512" spans="1:6" x14ac:dyDescent="0.2">
      <c r="A1512" t="s">
        <v>3204</v>
      </c>
      <c r="B1512" t="s">
        <v>3205</v>
      </c>
      <c r="C1512" t="s">
        <v>13</v>
      </c>
      <c r="D1512" s="1" t="s">
        <v>14</v>
      </c>
      <c r="E1512" t="s">
        <v>37</v>
      </c>
      <c r="F1512" s="5" t="str">
        <f>HYPERLINK("http://www.otzar.org/book.asp?626947","כאיל תערוג - 4 כר'")</f>
        <v>כאיל תערוג - 4 כר'</v>
      </c>
    </row>
    <row r="1513" spans="1:6" x14ac:dyDescent="0.2">
      <c r="A1513" t="s">
        <v>3206</v>
      </c>
      <c r="B1513" t="s">
        <v>3207</v>
      </c>
      <c r="C1513" t="s">
        <v>136</v>
      </c>
      <c r="D1513" s="1" t="s">
        <v>9</v>
      </c>
      <c r="E1513" t="s">
        <v>37</v>
      </c>
      <c r="F1513" s="5" t="str">
        <f>HYPERLINK("http://www.otzar.org/book.asp?627032","כאשר צוה השם")</f>
        <v>כאשר צוה השם</v>
      </c>
    </row>
    <row r="1514" spans="1:6" x14ac:dyDescent="0.2">
      <c r="A1514" t="s">
        <v>3208</v>
      </c>
      <c r="B1514" t="s">
        <v>3209</v>
      </c>
      <c r="C1514" t="s">
        <v>13</v>
      </c>
      <c r="D1514" s="1" t="s">
        <v>9</v>
      </c>
      <c r="E1514" t="s">
        <v>49</v>
      </c>
      <c r="F1514" s="5" t="str">
        <f>HYPERLINK("http://www.otzar.org/book.asp?630363","כבוד המת")</f>
        <v>כבוד המת</v>
      </c>
    </row>
    <row r="1515" spans="1:6" x14ac:dyDescent="0.2">
      <c r="A1515" t="s">
        <v>3210</v>
      </c>
      <c r="B1515" t="s">
        <v>2161</v>
      </c>
      <c r="C1515" t="s">
        <v>190</v>
      </c>
      <c r="D1515" s="1" t="s">
        <v>1280</v>
      </c>
      <c r="E1515" t="s">
        <v>171</v>
      </c>
      <c r="F1515" s="5" t="str">
        <f>HYPERLINK("http://www.otzar.org/book.asp?627462","כבוד שבת")</f>
        <v>כבוד שבת</v>
      </c>
    </row>
    <row r="1516" spans="1:6" x14ac:dyDescent="0.2">
      <c r="A1516" t="s">
        <v>3211</v>
      </c>
      <c r="B1516" t="s">
        <v>3212</v>
      </c>
      <c r="C1516" t="s">
        <v>190</v>
      </c>
      <c r="D1516" s="1" t="s">
        <v>29</v>
      </c>
      <c r="E1516" t="s">
        <v>242</v>
      </c>
      <c r="F1516" s="5" t="str">
        <f>HYPERLINK("http://www.otzar.org/book.asp?627262","כבודה בת מלך")</f>
        <v>כבודה בת מלך</v>
      </c>
    </row>
    <row r="1517" spans="1:6" x14ac:dyDescent="0.2">
      <c r="A1517" t="s">
        <v>3213</v>
      </c>
      <c r="B1517" t="s">
        <v>3214</v>
      </c>
      <c r="D1517" s="1" t="s">
        <v>64</v>
      </c>
      <c r="E1517" t="s">
        <v>154</v>
      </c>
      <c r="F1517" s="5" t="str">
        <f>HYPERLINK("http://www.otzar.org/book.asp?622732","כהלכות הפסח")</f>
        <v>כהלכות הפסח</v>
      </c>
    </row>
    <row r="1518" spans="1:6" x14ac:dyDescent="0.2">
      <c r="A1518" t="s">
        <v>3215</v>
      </c>
      <c r="B1518" t="s">
        <v>3216</v>
      </c>
      <c r="C1518" t="s">
        <v>3217</v>
      </c>
      <c r="D1518" s="1" t="s">
        <v>3218</v>
      </c>
      <c r="E1518" t="s">
        <v>1421</v>
      </c>
      <c r="F1518" s="5" t="str">
        <f>HYPERLINK("http://www.otzar.org/book.asp?625980","כוכב השחר")</f>
        <v>כוכב השחר</v>
      </c>
    </row>
    <row r="1519" spans="1:6" x14ac:dyDescent="0.2">
      <c r="A1519" t="s">
        <v>3219</v>
      </c>
      <c r="B1519" t="s">
        <v>3220</v>
      </c>
      <c r="C1519" t="s">
        <v>13</v>
      </c>
      <c r="D1519" s="1" t="s">
        <v>29</v>
      </c>
      <c r="E1519" t="s">
        <v>22</v>
      </c>
      <c r="F1519" s="5" t="str">
        <f>HYPERLINK("http://www.otzar.org/book.asp?625020","כוכבי בוקר - בכורות")</f>
        <v>כוכבי בוקר - בכורות</v>
      </c>
    </row>
    <row r="1520" spans="1:6" x14ac:dyDescent="0.2">
      <c r="A1520" t="s">
        <v>3221</v>
      </c>
      <c r="B1520" t="s">
        <v>3222</v>
      </c>
      <c r="C1520" t="s">
        <v>13</v>
      </c>
      <c r="D1520" s="1" t="s">
        <v>14</v>
      </c>
      <c r="E1520" t="s">
        <v>61</v>
      </c>
      <c r="F1520" s="5" t="str">
        <f>HYPERLINK("http://www.otzar.org/book.asp?623545","כוס ישועות")</f>
        <v>כוס ישועות</v>
      </c>
    </row>
    <row r="1521" spans="1:6" x14ac:dyDescent="0.2">
      <c r="A1521" t="s">
        <v>3223</v>
      </c>
      <c r="B1521" t="s">
        <v>3224</v>
      </c>
      <c r="C1521" t="s">
        <v>20</v>
      </c>
      <c r="D1521" s="1" t="s">
        <v>9</v>
      </c>
      <c r="E1521" t="s">
        <v>61</v>
      </c>
      <c r="F1521" s="5" t="str">
        <f>HYPERLINK("http://www.otzar.org/book.asp?623740","כור ההלכה - 11 כר'")</f>
        <v>כור ההלכה - 11 כר'</v>
      </c>
    </row>
    <row r="1522" spans="1:6" x14ac:dyDescent="0.2">
      <c r="A1522" t="s">
        <v>3225</v>
      </c>
      <c r="B1522" t="s">
        <v>3226</v>
      </c>
      <c r="C1522" t="s">
        <v>584</v>
      </c>
      <c r="D1522" s="1" t="s">
        <v>14</v>
      </c>
      <c r="E1522" t="s">
        <v>22</v>
      </c>
      <c r="F1522" s="5" t="str">
        <f>HYPERLINK("http://www.otzar.org/book.asp?629128","כור המבחן - סנהדרין")</f>
        <v>כור המבחן - סנהדרין</v>
      </c>
    </row>
    <row r="1523" spans="1:6" x14ac:dyDescent="0.2">
      <c r="A1523" t="s">
        <v>3227</v>
      </c>
      <c r="B1523" t="s">
        <v>3228</v>
      </c>
      <c r="C1523" t="s">
        <v>383</v>
      </c>
      <c r="D1523" s="1" t="s">
        <v>9</v>
      </c>
      <c r="E1523" t="s">
        <v>10</v>
      </c>
      <c r="F1523" s="5" t="str">
        <f>HYPERLINK("http://www.otzar.org/book.asp?624482","כור המשנה - 7 כר'")</f>
        <v>כור המשנה - 7 כר'</v>
      </c>
    </row>
    <row r="1524" spans="1:6" x14ac:dyDescent="0.2">
      <c r="A1524" t="s">
        <v>3229</v>
      </c>
      <c r="B1524" t="s">
        <v>3230</v>
      </c>
      <c r="C1524" t="s">
        <v>13</v>
      </c>
      <c r="D1524" s="1" t="s">
        <v>3231</v>
      </c>
      <c r="E1524" t="s">
        <v>41</v>
      </c>
      <c r="F1524" s="5" t="str">
        <f>HYPERLINK("http://www.otzar.org/book.asp?625816","כזוהר הרקיע")</f>
        <v>כזוהר הרקיע</v>
      </c>
    </row>
    <row r="1525" spans="1:6" x14ac:dyDescent="0.2">
      <c r="A1525" t="s">
        <v>3232</v>
      </c>
      <c r="B1525" t="s">
        <v>3233</v>
      </c>
      <c r="C1525" t="s">
        <v>20</v>
      </c>
      <c r="D1525" s="1" t="s">
        <v>911</v>
      </c>
      <c r="E1525" t="s">
        <v>631</v>
      </c>
      <c r="F1525" s="5" t="str">
        <f>HYPERLINK("http://www.otzar.org/book.asp?623516","כח מעשיו")</f>
        <v>כח מעשיו</v>
      </c>
    </row>
    <row r="1526" spans="1:6" x14ac:dyDescent="0.2">
      <c r="A1526" t="s">
        <v>3234</v>
      </c>
      <c r="B1526" t="s">
        <v>2790</v>
      </c>
      <c r="C1526" t="s">
        <v>73</v>
      </c>
      <c r="D1526" s="1" t="s">
        <v>52</v>
      </c>
      <c r="E1526" t="s">
        <v>89</v>
      </c>
      <c r="F1526" s="5" t="str">
        <f>HYPERLINK("http://www.otzar.org/book.asp?626744","כי עץ נשא פריו")</f>
        <v>כי עץ נשא פריו</v>
      </c>
    </row>
    <row r="1527" spans="1:6" x14ac:dyDescent="0.2">
      <c r="A1527" t="s">
        <v>3235</v>
      </c>
      <c r="B1527" t="s">
        <v>94</v>
      </c>
      <c r="D1527" s="1" t="s">
        <v>268</v>
      </c>
      <c r="E1527" t="s">
        <v>37</v>
      </c>
      <c r="F1527" s="5" t="str">
        <f>HYPERLINK("http://www.otzar.org/book.asp?624712","כי תצא למלחמה")</f>
        <v>כי תצא למלחמה</v>
      </c>
    </row>
    <row r="1528" spans="1:6" x14ac:dyDescent="0.2">
      <c r="A1528" t="s">
        <v>3235</v>
      </c>
      <c r="B1528" t="s">
        <v>1372</v>
      </c>
      <c r="C1528" t="s">
        <v>40</v>
      </c>
      <c r="D1528" s="1" t="s">
        <v>9</v>
      </c>
      <c r="E1528" t="s">
        <v>49</v>
      </c>
      <c r="F1528" s="5" t="str">
        <f>HYPERLINK("http://www.otzar.org/book.asp?625752","כי תצא למלחמה")</f>
        <v>כי תצא למלחמה</v>
      </c>
    </row>
    <row r="1529" spans="1:6" x14ac:dyDescent="0.2">
      <c r="A1529" t="s">
        <v>3236</v>
      </c>
      <c r="B1529" t="s">
        <v>3237</v>
      </c>
      <c r="C1529" t="s">
        <v>88</v>
      </c>
      <c r="D1529" s="1" t="s">
        <v>9</v>
      </c>
      <c r="E1529" t="s">
        <v>836</v>
      </c>
      <c r="F1529" s="5" t="str">
        <f>HYPERLINK("http://www.otzar.org/book.asp?628060","כיונה מארץ אשור")</f>
        <v>כיונה מארץ אשור</v>
      </c>
    </row>
    <row r="1530" spans="1:6" x14ac:dyDescent="0.2">
      <c r="A1530" t="s">
        <v>3238</v>
      </c>
      <c r="B1530" t="s">
        <v>3239</v>
      </c>
      <c r="C1530" t="s">
        <v>180</v>
      </c>
      <c r="D1530" s="1" t="s">
        <v>1526</v>
      </c>
      <c r="E1530" t="s">
        <v>37</v>
      </c>
      <c r="F1530" s="5" t="str">
        <f>HYPERLINK("http://www.otzar.org/book.asp?624909","כיצד אטפל בילדי בשבת ובחג")</f>
        <v>כיצד אטפל בילדי בשבת ובחג</v>
      </c>
    </row>
    <row r="1531" spans="1:6" x14ac:dyDescent="0.2">
      <c r="A1531" t="s">
        <v>3240</v>
      </c>
      <c r="B1531" t="s">
        <v>3241</v>
      </c>
      <c r="C1531" t="s">
        <v>13</v>
      </c>
      <c r="D1531" s="1" t="s">
        <v>9</v>
      </c>
      <c r="E1531" t="s">
        <v>49</v>
      </c>
      <c r="F1531" s="5" t="str">
        <f>HYPERLINK("http://www.otzar.org/book.asp?625436","כיצד יעלו לרגל לבית המקדש")</f>
        <v>כיצד יעלו לרגל לבית המקדש</v>
      </c>
    </row>
    <row r="1532" spans="1:6" x14ac:dyDescent="0.2">
      <c r="A1532" t="s">
        <v>3242</v>
      </c>
      <c r="B1532" t="s">
        <v>3241</v>
      </c>
      <c r="C1532" t="s">
        <v>13</v>
      </c>
      <c r="D1532" s="1" t="s">
        <v>9</v>
      </c>
      <c r="E1532" t="s">
        <v>49</v>
      </c>
      <c r="F1532" s="5" t="str">
        <f>HYPERLINK("http://www.otzar.org/book.asp?625559","כיצד ישירו וינגנו בבית המקדש")</f>
        <v>כיצד ישירו וינגנו בבית המקדש</v>
      </c>
    </row>
    <row r="1533" spans="1:6" x14ac:dyDescent="0.2">
      <c r="A1533" t="s">
        <v>3243</v>
      </c>
      <c r="B1533" t="s">
        <v>276</v>
      </c>
      <c r="C1533" t="s">
        <v>8</v>
      </c>
      <c r="D1533" s="1" t="s">
        <v>52</v>
      </c>
      <c r="E1533" t="s">
        <v>89</v>
      </c>
      <c r="F1533" s="5" t="str">
        <f>HYPERLINK("http://www.otzar.org/book.asp?627648","כיצד מנקים לפסח בשמחה ובקלות")</f>
        <v>כיצד מנקים לפסח בשמחה ובקלות</v>
      </c>
    </row>
    <row r="1534" spans="1:6" x14ac:dyDescent="0.2">
      <c r="A1534" t="s">
        <v>3244</v>
      </c>
      <c r="B1534" t="s">
        <v>3245</v>
      </c>
      <c r="C1534" t="s">
        <v>123</v>
      </c>
      <c r="D1534" s="1" t="s">
        <v>9</v>
      </c>
      <c r="E1534" t="s">
        <v>168</v>
      </c>
      <c r="F1534" s="5" t="str">
        <f>HYPERLINK("http://www.otzar.org/book.asp?625471","כך בתנ""ך")</f>
        <v>כך בתנ"ך</v>
      </c>
    </row>
    <row r="1535" spans="1:6" x14ac:dyDescent="0.2">
      <c r="A1535" t="s">
        <v>3246</v>
      </c>
      <c r="B1535" t="s">
        <v>3247</v>
      </c>
      <c r="C1535" t="s">
        <v>13</v>
      </c>
      <c r="D1535" s="1" t="s">
        <v>14</v>
      </c>
      <c r="F1535" s="5" t="str">
        <f>HYPERLINK("http://www.otzar.org/book.asp?626147","כלי חמדה - מלאכות שבת ג")</f>
        <v>כלי חמדה - מלאכות שבת ג</v>
      </c>
    </row>
    <row r="1536" spans="1:6" x14ac:dyDescent="0.2">
      <c r="A1536" t="s">
        <v>3248</v>
      </c>
      <c r="B1536" t="s">
        <v>3249</v>
      </c>
      <c r="C1536" t="s">
        <v>411</v>
      </c>
      <c r="D1536" s="1" t="s">
        <v>9</v>
      </c>
      <c r="E1536" t="s">
        <v>49</v>
      </c>
      <c r="F1536" s="5" t="str">
        <f>HYPERLINK("http://www.otzar.org/book.asp?625536","כליל תפארת")</f>
        <v>כליל תפארת</v>
      </c>
    </row>
    <row r="1537" spans="1:6" x14ac:dyDescent="0.2">
      <c r="A1537" t="s">
        <v>3250</v>
      </c>
      <c r="B1537" t="s">
        <v>3251</v>
      </c>
      <c r="C1537" t="s">
        <v>1385</v>
      </c>
      <c r="D1537" s="1" t="s">
        <v>9</v>
      </c>
      <c r="E1537" t="s">
        <v>49</v>
      </c>
      <c r="F1537" s="5" t="str">
        <f>HYPERLINK("http://www.otzar.org/book.asp?626912","כלכלה וחינוך מודרני בתימן בעת החדשה")</f>
        <v>כלכלה וחינוך מודרני בתימן בעת החדשה</v>
      </c>
    </row>
    <row r="1538" spans="1:6" x14ac:dyDescent="0.2">
      <c r="A1538" t="s">
        <v>3252</v>
      </c>
      <c r="B1538" t="s">
        <v>156</v>
      </c>
      <c r="C1538" t="s">
        <v>157</v>
      </c>
      <c r="D1538" s="1" t="s">
        <v>158</v>
      </c>
      <c r="E1538" t="s">
        <v>401</v>
      </c>
      <c r="F1538" s="5" t="str">
        <f>HYPERLINK("http://www.otzar.org/book.asp?628550","כלל גדול בתורה")</f>
        <v>כלל גדול בתורה</v>
      </c>
    </row>
    <row r="1539" spans="1:6" x14ac:dyDescent="0.2">
      <c r="A1539" t="s">
        <v>3253</v>
      </c>
      <c r="B1539" t="s">
        <v>3254</v>
      </c>
      <c r="C1539" t="s">
        <v>25</v>
      </c>
      <c r="D1539" s="1" t="s">
        <v>1280</v>
      </c>
      <c r="E1539" t="s">
        <v>37</v>
      </c>
      <c r="F1539" s="5" t="str">
        <f>HYPERLINK("http://www.otzar.org/book.asp?630020","כללי המנהגים")</f>
        <v>כללי המנהגים</v>
      </c>
    </row>
    <row r="1540" spans="1:6" x14ac:dyDescent="0.2">
      <c r="A1540" t="s">
        <v>3255</v>
      </c>
      <c r="B1540" t="s">
        <v>28</v>
      </c>
      <c r="C1540" t="s">
        <v>20</v>
      </c>
      <c r="D1540" s="1" t="s">
        <v>29</v>
      </c>
      <c r="E1540" t="s">
        <v>30</v>
      </c>
      <c r="F1540" s="5" t="str">
        <f>HYPERLINK("http://www.otzar.org/book.asp?627061","כמים לים מכסים")</f>
        <v>כמים לים מכסים</v>
      </c>
    </row>
    <row r="1541" spans="1:6" x14ac:dyDescent="0.2">
      <c r="A1541" t="s">
        <v>3256</v>
      </c>
      <c r="B1541" t="s">
        <v>94</v>
      </c>
      <c r="C1541" t="s">
        <v>8</v>
      </c>
      <c r="D1541" s="1" t="s">
        <v>52</v>
      </c>
      <c r="F1541" s="5" t="str">
        <f>HYPERLINK("http://www.otzar.org/book.asp?630088","כן ירבה")</f>
        <v>כן ירבה</v>
      </c>
    </row>
    <row r="1542" spans="1:6" x14ac:dyDescent="0.2">
      <c r="A1542" t="s">
        <v>3257</v>
      </c>
      <c r="B1542" t="s">
        <v>3258</v>
      </c>
      <c r="C1542" t="s">
        <v>20</v>
      </c>
      <c r="D1542" s="1" t="s">
        <v>9</v>
      </c>
      <c r="E1542" t="s">
        <v>49</v>
      </c>
      <c r="F1542" s="5" t="str">
        <f>HYPERLINK("http://www.otzar.org/book.asp?623353","כנס הדיינים - תשע""ח")</f>
        <v>כנס הדיינים - תשע"ח</v>
      </c>
    </row>
    <row r="1543" spans="1:6" x14ac:dyDescent="0.2">
      <c r="A1543" t="s">
        <v>3259</v>
      </c>
      <c r="C1543" t="s">
        <v>1002</v>
      </c>
      <c r="D1543" s="1" t="s">
        <v>471</v>
      </c>
      <c r="E1543" t="s">
        <v>49</v>
      </c>
      <c r="F1543" s="5" t="str">
        <f>HYPERLINK("http://www.otzar.org/book.asp?626078","כנס לביא - תשל""ה")</f>
        <v>כנס לביא - תשל"ה</v>
      </c>
    </row>
    <row r="1544" spans="1:6" x14ac:dyDescent="0.2">
      <c r="A1544" t="s">
        <v>3260</v>
      </c>
      <c r="B1544" t="s">
        <v>3261</v>
      </c>
      <c r="C1544" t="s">
        <v>174</v>
      </c>
      <c r="D1544" s="1" t="s">
        <v>229</v>
      </c>
      <c r="E1544" t="s">
        <v>22</v>
      </c>
      <c r="F1544" s="5" t="str">
        <f>HYPERLINK("http://www.otzar.org/book.asp?624715","כנסת יחזקאל - כתובות")</f>
        <v>כנסת יחזקאל - כתובות</v>
      </c>
    </row>
    <row r="1545" spans="1:6" x14ac:dyDescent="0.2">
      <c r="A1545" t="s">
        <v>3262</v>
      </c>
      <c r="B1545" t="s">
        <v>3263</v>
      </c>
      <c r="C1545" t="s">
        <v>1127</v>
      </c>
      <c r="D1545" s="1" t="s">
        <v>9</v>
      </c>
      <c r="E1545" t="s">
        <v>26</v>
      </c>
      <c r="F1545" s="5" t="str">
        <f>HYPERLINK("http://www.otzar.org/book.asp?624953","כנסת ישראל &lt;ישיבת חברון כנסת ישראל&gt; - 2 כר'")</f>
        <v>כנסת ישראל &lt;ישיבת חברון כנסת ישראל&gt; - 2 כר'</v>
      </c>
    </row>
    <row r="1546" spans="1:6" x14ac:dyDescent="0.2">
      <c r="A1546" t="s">
        <v>3264</v>
      </c>
      <c r="B1546" t="s">
        <v>1356</v>
      </c>
      <c r="C1546" t="s">
        <v>298</v>
      </c>
      <c r="D1546" s="1" t="s">
        <v>3265</v>
      </c>
      <c r="E1546" t="s">
        <v>214</v>
      </c>
      <c r="F1546" s="5" t="str">
        <f>HYPERLINK("http://www.otzar.org/book.asp?625997","כנסת ישראל (סלבודקה) - תרצ""ט יב")</f>
        <v>כנסת ישראל (סלבודקה) - תרצ"ט יב</v>
      </c>
    </row>
    <row r="1547" spans="1:6" x14ac:dyDescent="0.2">
      <c r="A1547" t="s">
        <v>3266</v>
      </c>
      <c r="B1547" t="s">
        <v>3267</v>
      </c>
      <c r="C1547" t="s">
        <v>3268</v>
      </c>
      <c r="D1547" s="1" t="s">
        <v>355</v>
      </c>
      <c r="E1547" t="s">
        <v>261</v>
      </c>
      <c r="F1547" s="5" t="str">
        <f>HYPERLINK("http://www.otzar.org/book.asp?624731","כנף רננים - 2 כר'")</f>
        <v>כנף רננים - 2 כר'</v>
      </c>
    </row>
    <row r="1548" spans="1:6" x14ac:dyDescent="0.2">
      <c r="A1548" t="s">
        <v>3269</v>
      </c>
      <c r="B1548" t="s">
        <v>3270</v>
      </c>
      <c r="C1548" t="s">
        <v>383</v>
      </c>
      <c r="D1548" s="1" t="s">
        <v>9</v>
      </c>
      <c r="E1548" t="s">
        <v>61</v>
      </c>
      <c r="F1548" s="5" t="str">
        <f>HYPERLINK("http://www.otzar.org/book.asp?627677","כנפי יונה &lt;זכרון אהרן&gt; - יורה דעה")</f>
        <v>כנפי יונה &lt;זכרון אהרן&gt; - יורה דעה</v>
      </c>
    </row>
    <row r="1549" spans="1:6" x14ac:dyDescent="0.2">
      <c r="A1549" t="s">
        <v>3271</v>
      </c>
      <c r="B1549" t="s">
        <v>3272</v>
      </c>
      <c r="C1549" t="s">
        <v>2129</v>
      </c>
      <c r="D1549" s="1" t="s">
        <v>1134</v>
      </c>
      <c r="E1549" t="s">
        <v>49</v>
      </c>
      <c r="F1549" s="5" t="str">
        <f>HYPERLINK("http://www.otzar.org/book.asp?623895","כנפי יונה - ב")</f>
        <v>כנפי יונה - ב</v>
      </c>
    </row>
    <row r="1550" spans="1:6" x14ac:dyDescent="0.2">
      <c r="A1550" t="s">
        <v>3273</v>
      </c>
      <c r="B1550" t="s">
        <v>3274</v>
      </c>
      <c r="C1550" t="s">
        <v>13</v>
      </c>
      <c r="D1550" s="1" t="s">
        <v>9</v>
      </c>
      <c r="E1550" t="s">
        <v>37</v>
      </c>
      <c r="F1550" s="5" t="str">
        <f>HYPERLINK("http://www.otzar.org/book.asp?630201","כסף כשר")</f>
        <v>כסף כשר</v>
      </c>
    </row>
    <row r="1551" spans="1:6" x14ac:dyDescent="0.2">
      <c r="A1551" t="s">
        <v>3275</v>
      </c>
      <c r="B1551" t="s">
        <v>3276</v>
      </c>
      <c r="C1551" t="s">
        <v>73</v>
      </c>
      <c r="D1551" s="1" t="s">
        <v>1134</v>
      </c>
      <c r="E1551" t="s">
        <v>214</v>
      </c>
      <c r="F1551" s="5" t="str">
        <f>HYPERLINK("http://www.otzar.org/book.asp?628199","כעץ שתול")</f>
        <v>כעץ שתול</v>
      </c>
    </row>
    <row r="1552" spans="1:6" x14ac:dyDescent="0.2">
      <c r="A1552" t="s">
        <v>3277</v>
      </c>
      <c r="B1552" t="s">
        <v>373</v>
      </c>
      <c r="C1552" t="s">
        <v>386</v>
      </c>
      <c r="D1552" s="1" t="s">
        <v>14</v>
      </c>
      <c r="E1552" t="s">
        <v>89</v>
      </c>
      <c r="F1552" s="5" t="str">
        <f>HYPERLINK("http://www.otzar.org/book.asp?626328","כעת חיה")</f>
        <v>כעת חיה</v>
      </c>
    </row>
    <row r="1553" spans="1:6" x14ac:dyDescent="0.2">
      <c r="A1553" t="s">
        <v>3278</v>
      </c>
      <c r="B1553" t="s">
        <v>3279</v>
      </c>
      <c r="C1553" t="s">
        <v>148</v>
      </c>
      <c r="D1553" s="1" t="s">
        <v>782</v>
      </c>
      <c r="E1553" t="s">
        <v>10</v>
      </c>
      <c r="F1553" s="5" t="str">
        <f>HYPERLINK("http://www.otzar.org/book.asp?630178","כעת יאמר - 2 כר'")</f>
        <v>כעת יאמר - 2 כר'</v>
      </c>
    </row>
    <row r="1554" spans="1:6" x14ac:dyDescent="0.2">
      <c r="A1554" t="s">
        <v>3280</v>
      </c>
      <c r="B1554" t="s">
        <v>3281</v>
      </c>
      <c r="C1554" t="s">
        <v>13</v>
      </c>
      <c r="D1554" s="1" t="s">
        <v>14</v>
      </c>
      <c r="E1554" t="s">
        <v>49</v>
      </c>
      <c r="F1554" s="5" t="str">
        <f>HYPERLINK("http://www.otzar.org/book.asp?623802","כף נחת")</f>
        <v>כף נחת</v>
      </c>
    </row>
    <row r="1555" spans="1:6" x14ac:dyDescent="0.2">
      <c r="A1555" t="s">
        <v>3282</v>
      </c>
      <c r="B1555" t="s">
        <v>1858</v>
      </c>
      <c r="C1555" t="s">
        <v>8</v>
      </c>
      <c r="D1555" s="1" t="s">
        <v>471</v>
      </c>
      <c r="E1555" t="s">
        <v>168</v>
      </c>
      <c r="F1555" s="5" t="str">
        <f>HYPERLINK("http://www.otzar.org/book.asp?623984","כפתור ופרח - בראשית, שמות")</f>
        <v>כפתור ופרח - בראשית, שמות</v>
      </c>
    </row>
    <row r="1556" spans="1:6" x14ac:dyDescent="0.2">
      <c r="A1556" t="s">
        <v>3283</v>
      </c>
      <c r="B1556" t="s">
        <v>3284</v>
      </c>
      <c r="C1556" t="s">
        <v>245</v>
      </c>
      <c r="D1556" s="1" t="s">
        <v>29</v>
      </c>
      <c r="F1556" s="5" t="str">
        <f>HYPERLINK("http://www.otzar.org/book.asp?630374","כרם ביבנה -  ב")</f>
        <v>כרם ביבנה -  ב</v>
      </c>
    </row>
    <row r="1557" spans="1:6" x14ac:dyDescent="0.2">
      <c r="A1557" t="s">
        <v>3285</v>
      </c>
      <c r="B1557" t="s">
        <v>3286</v>
      </c>
      <c r="C1557" t="s">
        <v>3287</v>
      </c>
      <c r="D1557" s="1" t="s">
        <v>3288</v>
      </c>
      <c r="E1557" t="s">
        <v>214</v>
      </c>
      <c r="F1557" s="5" t="str">
        <f>HYPERLINK("http://www.otzar.org/book.asp?626813","כרם בית שמואל &lt;שנה א&gt; - 3 כר'")</f>
        <v>כרם בית שמואל &lt;שנה א&gt; - 3 כר'</v>
      </c>
    </row>
    <row r="1558" spans="1:6" x14ac:dyDescent="0.2">
      <c r="A1558" t="s">
        <v>3289</v>
      </c>
      <c r="B1558" t="s">
        <v>3286</v>
      </c>
      <c r="C1558" t="s">
        <v>3287</v>
      </c>
      <c r="D1558" s="1" t="s">
        <v>3288</v>
      </c>
      <c r="E1558" t="s">
        <v>214</v>
      </c>
      <c r="F1558" s="5" t="str">
        <f>HYPERLINK("http://www.otzar.org/book.asp?626816","כרם בית שמואל &lt;שנה ב&gt; - ו")</f>
        <v>כרם בית שמואל &lt;שנה ב&gt; - ו</v>
      </c>
    </row>
    <row r="1559" spans="1:6" x14ac:dyDescent="0.2">
      <c r="A1559" t="s">
        <v>3290</v>
      </c>
      <c r="B1559" t="s">
        <v>3291</v>
      </c>
      <c r="C1559" t="s">
        <v>3292</v>
      </c>
      <c r="D1559" s="1" t="s">
        <v>294</v>
      </c>
      <c r="E1559" t="s">
        <v>214</v>
      </c>
      <c r="F1559" s="5" t="str">
        <f>HYPERLINK("http://www.otzar.org/book.asp?624547","כרם - 2 כר'")</f>
        <v>כרם - 2 כר'</v>
      </c>
    </row>
    <row r="1560" spans="1:6" x14ac:dyDescent="0.2">
      <c r="A1560" t="s">
        <v>3293</v>
      </c>
      <c r="B1560" t="s">
        <v>3294</v>
      </c>
      <c r="C1560" t="s">
        <v>133</v>
      </c>
      <c r="D1560" s="1" t="s">
        <v>9</v>
      </c>
      <c r="E1560" t="s">
        <v>22</v>
      </c>
      <c r="F1560" s="5" t="str">
        <f>HYPERLINK("http://www.otzar.org/book.asp?628675","כרמי שלי - קידושין")</f>
        <v>כרמי שלי - קידושין</v>
      </c>
    </row>
    <row r="1561" spans="1:6" x14ac:dyDescent="0.2">
      <c r="A1561" t="s">
        <v>3295</v>
      </c>
      <c r="B1561" t="s">
        <v>3104</v>
      </c>
      <c r="C1561" t="s">
        <v>133</v>
      </c>
      <c r="D1561" s="1" t="s">
        <v>9</v>
      </c>
      <c r="E1561" t="s">
        <v>61</v>
      </c>
      <c r="F1561" s="5" t="str">
        <f>HYPERLINK("http://www.otzar.org/book.asp?628389","כרתי ופלתי &lt;זכרון אהרן&gt; - ב-ג")</f>
        <v>כרתי ופלתי &lt;זכרון אהרן&gt; - ב-ג</v>
      </c>
    </row>
    <row r="1562" spans="1:6" x14ac:dyDescent="0.2">
      <c r="A1562" t="s">
        <v>3296</v>
      </c>
      <c r="B1562" t="s">
        <v>3297</v>
      </c>
      <c r="C1562" t="s">
        <v>397</v>
      </c>
      <c r="D1562" s="1" t="s">
        <v>52</v>
      </c>
      <c r="E1562" t="s">
        <v>214</v>
      </c>
      <c r="F1562" s="5" t="str">
        <f>HYPERLINK("http://www.otzar.org/book.asp?623440","כשהנשמה מאירה")</f>
        <v>כשהנשמה מאירה</v>
      </c>
    </row>
    <row r="1563" spans="1:6" x14ac:dyDescent="0.2">
      <c r="A1563" t="s">
        <v>3298</v>
      </c>
      <c r="B1563" t="s">
        <v>3299</v>
      </c>
      <c r="C1563" t="s">
        <v>73</v>
      </c>
      <c r="D1563" s="1" t="s">
        <v>14</v>
      </c>
      <c r="E1563" t="s">
        <v>37</v>
      </c>
      <c r="F1563" s="5" t="str">
        <f>HYPERLINK("http://www.otzar.org/book.asp?627631","כשחר אורך")</f>
        <v>כשחר אורך</v>
      </c>
    </row>
    <row r="1564" spans="1:6" x14ac:dyDescent="0.2">
      <c r="A1564" t="s">
        <v>3300</v>
      </c>
      <c r="B1564" t="s">
        <v>3301</v>
      </c>
      <c r="C1564" t="s">
        <v>13</v>
      </c>
      <c r="D1564" s="1" t="s">
        <v>529</v>
      </c>
      <c r="E1564" t="s">
        <v>242</v>
      </c>
      <c r="F1564" s="5" t="str">
        <f>HYPERLINK("http://www.otzar.org/book.asp?626576","כשרות כהלכה - א")</f>
        <v>כשרות כהלכה - א</v>
      </c>
    </row>
    <row r="1565" spans="1:6" x14ac:dyDescent="0.2">
      <c r="A1565" t="s">
        <v>3302</v>
      </c>
      <c r="B1565" t="s">
        <v>1774</v>
      </c>
      <c r="C1565" t="s">
        <v>136</v>
      </c>
      <c r="D1565" s="1" t="s">
        <v>14</v>
      </c>
      <c r="E1565" t="s">
        <v>22</v>
      </c>
      <c r="F1565" s="5" t="str">
        <f>HYPERLINK("http://www.otzar.org/book.asp?628689","כתב הקדש - כתובות")</f>
        <v>כתב הקדש - כתובות</v>
      </c>
    </row>
    <row r="1566" spans="1:6" x14ac:dyDescent="0.2">
      <c r="A1566" t="s">
        <v>3303</v>
      </c>
      <c r="B1566" t="s">
        <v>3304</v>
      </c>
      <c r="E1566" t="s">
        <v>3305</v>
      </c>
      <c r="F1566" s="5" t="str">
        <f>HYPERLINK("http://www.otzar.org/book.asp?626170","כתבי הגר""ח והגרי""ז")</f>
        <v>כתבי הגר"ח והגרי"ז</v>
      </c>
    </row>
    <row r="1567" spans="1:6" x14ac:dyDescent="0.2">
      <c r="A1567" t="s">
        <v>3306</v>
      </c>
      <c r="B1567" t="s">
        <v>3307</v>
      </c>
      <c r="C1567" t="s">
        <v>1429</v>
      </c>
      <c r="D1567" s="1" t="s">
        <v>3308</v>
      </c>
      <c r="E1567" t="s">
        <v>37</v>
      </c>
      <c r="F1567" s="5" t="str">
        <f>HYPERLINK("http://www.otzar.org/book.asp?626379","כתבי הריטב""א")</f>
        <v>כתבי הריטב"א</v>
      </c>
    </row>
    <row r="1568" spans="1:6" x14ac:dyDescent="0.2">
      <c r="A1568" t="s">
        <v>3309</v>
      </c>
      <c r="B1568" t="s">
        <v>3310</v>
      </c>
      <c r="C1568" t="s">
        <v>13</v>
      </c>
      <c r="D1568" s="1" t="s">
        <v>223</v>
      </c>
      <c r="E1568" t="s">
        <v>61</v>
      </c>
      <c r="F1568" s="5" t="str">
        <f>HYPERLINK("http://www.otzar.org/book.asp?629605","כתבי מרדכי - 2 כר'")</f>
        <v>כתבי מרדכי - 2 כר'</v>
      </c>
    </row>
    <row r="1569" spans="1:6" x14ac:dyDescent="0.2">
      <c r="A1569" t="s">
        <v>3311</v>
      </c>
      <c r="B1569" t="s">
        <v>3312</v>
      </c>
      <c r="C1569" t="s">
        <v>13</v>
      </c>
      <c r="D1569" s="1" t="s">
        <v>52</v>
      </c>
      <c r="E1569" t="s">
        <v>49</v>
      </c>
      <c r="F1569" s="5" t="str">
        <f>HYPERLINK("http://www.otzar.org/book.asp?627198","כתוב לאמר")</f>
        <v>כתוב לאמר</v>
      </c>
    </row>
    <row r="1570" spans="1:6" x14ac:dyDescent="0.2">
      <c r="A1570" t="s">
        <v>3313</v>
      </c>
      <c r="B1570" t="s">
        <v>3314</v>
      </c>
      <c r="C1570" t="s">
        <v>20</v>
      </c>
      <c r="D1570" s="1" t="s">
        <v>21</v>
      </c>
      <c r="E1570" t="s">
        <v>22</v>
      </c>
      <c r="F1570" s="5" t="str">
        <f>HYPERLINK("http://www.otzar.org/book.asp?628004","כתית למאור - נדה")</f>
        <v>כתית למאור - נדה</v>
      </c>
    </row>
    <row r="1571" spans="1:6" x14ac:dyDescent="0.2">
      <c r="A1571" t="s">
        <v>3315</v>
      </c>
      <c r="B1571" t="s">
        <v>2525</v>
      </c>
      <c r="C1571" t="s">
        <v>136</v>
      </c>
      <c r="D1571" s="1" t="s">
        <v>9</v>
      </c>
      <c r="E1571" t="s">
        <v>22</v>
      </c>
      <c r="F1571" s="5" t="str">
        <f>HYPERLINK("http://www.otzar.org/book.asp?630545","כתית למאור - 4 כר'")</f>
        <v>כתית למאור - 4 כר'</v>
      </c>
    </row>
    <row r="1572" spans="1:6" x14ac:dyDescent="0.2">
      <c r="A1572" t="s">
        <v>3316</v>
      </c>
      <c r="B1572" t="s">
        <v>3317</v>
      </c>
      <c r="C1572" t="s">
        <v>73</v>
      </c>
      <c r="D1572" s="1" t="s">
        <v>9</v>
      </c>
      <c r="E1572" t="s">
        <v>214</v>
      </c>
      <c r="F1572" s="5" t="str">
        <f>HYPERLINK("http://www.otzar.org/book.asp?626736","כתלנו - ספר היובל")</f>
        <v>כתלנו - ספר היובל</v>
      </c>
    </row>
    <row r="1573" spans="1:6" x14ac:dyDescent="0.2">
      <c r="A1573" t="s">
        <v>3318</v>
      </c>
      <c r="B1573" t="s">
        <v>3319</v>
      </c>
      <c r="C1573" t="s">
        <v>136</v>
      </c>
      <c r="D1573" s="1" t="s">
        <v>3320</v>
      </c>
      <c r="E1573" t="s">
        <v>168</v>
      </c>
      <c r="F1573" s="5" t="str">
        <f>HYPERLINK("http://www.otzar.org/book.asp?630053","כתר מלוכה - באור מגילת רות")</f>
        <v>כתר מלוכה - באור מגילת רות</v>
      </c>
    </row>
    <row r="1574" spans="1:6" x14ac:dyDescent="0.2">
      <c r="A1574" t="s">
        <v>3321</v>
      </c>
      <c r="B1574" t="s">
        <v>3322</v>
      </c>
      <c r="E1574" t="s">
        <v>371</v>
      </c>
      <c r="F1574" s="5" t="str">
        <f>HYPERLINK("http://www.otzar.org/book.asp?625578","כתר שם טוב")</f>
        <v>כתר שם טוב</v>
      </c>
    </row>
    <row r="1575" spans="1:6" x14ac:dyDescent="0.2">
      <c r="A1575" t="s">
        <v>3323</v>
      </c>
      <c r="B1575" t="s">
        <v>364</v>
      </c>
      <c r="C1575" t="s">
        <v>1127</v>
      </c>
      <c r="D1575" s="1" t="s">
        <v>14</v>
      </c>
      <c r="E1575" t="s">
        <v>214</v>
      </c>
      <c r="F1575" s="5" t="str">
        <f>HYPERLINK("http://www.otzar.org/book.asp?626443","כתר תורה &lt;רדומסק&gt; - ג")</f>
        <v>כתר תורה &lt;רדומסק&gt; - ג</v>
      </c>
    </row>
    <row r="1576" spans="1:6" x14ac:dyDescent="0.2">
      <c r="A1576" t="s">
        <v>3324</v>
      </c>
      <c r="B1576" t="s">
        <v>3325</v>
      </c>
      <c r="C1576" t="s">
        <v>73</v>
      </c>
      <c r="D1576" s="1" t="s">
        <v>471</v>
      </c>
      <c r="E1576" t="s">
        <v>2802</v>
      </c>
      <c r="F1576" s="5" t="str">
        <f>HYPERLINK("http://www.otzar.org/book.asp?629305","כתר תורה - שבועות ומסכת אבות")</f>
        <v>כתר תורה - שבועות ומסכת אבות</v>
      </c>
    </row>
    <row r="1577" spans="1:6" x14ac:dyDescent="0.2">
      <c r="A1577" t="s">
        <v>3326</v>
      </c>
      <c r="B1577" t="s">
        <v>899</v>
      </c>
      <c r="C1577" t="s">
        <v>40</v>
      </c>
      <c r="D1577" s="1" t="s">
        <v>9</v>
      </c>
      <c r="E1577" t="s">
        <v>154</v>
      </c>
      <c r="F1577" s="5" t="str">
        <f>HYPERLINK("http://www.otzar.org/book.asp?630580","ל""ט מלאכות שבת - לתלמידים")</f>
        <v>ל"ט מלאכות שבת - לתלמידים</v>
      </c>
    </row>
    <row r="1578" spans="1:6" x14ac:dyDescent="0.2">
      <c r="A1578" t="s">
        <v>3327</v>
      </c>
      <c r="B1578" t="s">
        <v>903</v>
      </c>
      <c r="C1578" t="s">
        <v>13</v>
      </c>
      <c r="D1578" s="1" t="s">
        <v>14</v>
      </c>
      <c r="E1578" t="s">
        <v>37</v>
      </c>
      <c r="F1578" s="5" t="str">
        <f>HYPERLINK("http://www.otzar.org/book.asp?627451","לא תתגודדו בהלכה ואגדה")</f>
        <v>לא תתגודדו בהלכה ואגדה</v>
      </c>
    </row>
    <row r="1579" spans="1:6" x14ac:dyDescent="0.2">
      <c r="A1579" t="s">
        <v>3328</v>
      </c>
      <c r="B1579" t="s">
        <v>94</v>
      </c>
      <c r="E1579" t="s">
        <v>34</v>
      </c>
      <c r="F1579" s="5" t="str">
        <f>HYPERLINK("http://www.otzar.org/book.asp?622738","לאהבה וליראה")</f>
        <v>לאהבה וליראה</v>
      </c>
    </row>
    <row r="1580" spans="1:6" x14ac:dyDescent="0.2">
      <c r="A1580" t="s">
        <v>3329</v>
      </c>
      <c r="B1580" t="s">
        <v>3330</v>
      </c>
      <c r="C1580" t="s">
        <v>13</v>
      </c>
      <c r="D1580" s="1" t="s">
        <v>3331</v>
      </c>
      <c r="E1580" t="s">
        <v>168</v>
      </c>
      <c r="F1580" s="5" t="str">
        <f>HYPERLINK("http://www.otzar.org/book.asp?626750","לאורה של תורה")</f>
        <v>לאורה של תורה</v>
      </c>
    </row>
    <row r="1581" spans="1:6" x14ac:dyDescent="0.2">
      <c r="A1581" t="s">
        <v>3332</v>
      </c>
      <c r="B1581" t="s">
        <v>3333</v>
      </c>
      <c r="C1581" t="s">
        <v>369</v>
      </c>
      <c r="D1581" s="1" t="s">
        <v>9</v>
      </c>
      <c r="E1581" t="s">
        <v>128</v>
      </c>
      <c r="F1581" s="5" t="str">
        <f>HYPERLINK("http://www.otzar.org/book.asp?624709","לב האדם לאדם")</f>
        <v>לב האדם לאדם</v>
      </c>
    </row>
    <row r="1582" spans="1:6" x14ac:dyDescent="0.2">
      <c r="A1582" t="s">
        <v>3334</v>
      </c>
      <c r="B1582" t="s">
        <v>3335</v>
      </c>
      <c r="C1582" t="s">
        <v>13</v>
      </c>
      <c r="D1582" s="1" t="s">
        <v>9</v>
      </c>
      <c r="E1582" t="s">
        <v>44</v>
      </c>
      <c r="F1582" s="5" t="str">
        <f>HYPERLINK("http://www.otzar.org/book.asp?626707","לב חכם על ספר תורת חכם - 2 כר'")</f>
        <v>לב חכם על ספר תורת חכם - 2 כר'</v>
      </c>
    </row>
    <row r="1583" spans="1:6" x14ac:dyDescent="0.2">
      <c r="A1583" t="s">
        <v>3336</v>
      </c>
      <c r="B1583" t="s">
        <v>3337</v>
      </c>
      <c r="C1583" t="s">
        <v>3338</v>
      </c>
      <c r="D1583" s="1" t="s">
        <v>2808</v>
      </c>
      <c r="F1583" s="5" t="str">
        <f>HYPERLINK("http://www.otzar.org/book.asp?624779","לב טהור")</f>
        <v>לב טהור</v>
      </c>
    </row>
    <row r="1584" spans="1:6" x14ac:dyDescent="0.2">
      <c r="A1584" t="s">
        <v>3339</v>
      </c>
      <c r="B1584" t="s">
        <v>156</v>
      </c>
      <c r="C1584" t="s">
        <v>1385</v>
      </c>
      <c r="D1584" s="1" t="s">
        <v>158</v>
      </c>
      <c r="E1584" t="s">
        <v>2667</v>
      </c>
      <c r="F1584" s="5" t="str">
        <f>HYPERLINK("http://www.otzar.org/book.asp?628551","לב לדעת")</f>
        <v>לב לדעת</v>
      </c>
    </row>
    <row r="1585" spans="1:6" x14ac:dyDescent="0.2">
      <c r="A1585" t="s">
        <v>3340</v>
      </c>
      <c r="B1585" t="s">
        <v>3341</v>
      </c>
      <c r="C1585" t="s">
        <v>13</v>
      </c>
      <c r="D1585" s="1" t="s">
        <v>518</v>
      </c>
      <c r="E1585" t="s">
        <v>41</v>
      </c>
      <c r="F1585" s="5" t="str">
        <f>HYPERLINK("http://www.otzar.org/book.asp?629686","לב מבין")</f>
        <v>לב מבין</v>
      </c>
    </row>
    <row r="1586" spans="1:6" x14ac:dyDescent="0.2">
      <c r="A1586" t="s">
        <v>3342</v>
      </c>
      <c r="B1586" t="s">
        <v>3343</v>
      </c>
      <c r="C1586" t="s">
        <v>20</v>
      </c>
      <c r="D1586" s="1" t="s">
        <v>52</v>
      </c>
      <c r="E1586" t="s">
        <v>199</v>
      </c>
      <c r="F1586" s="5" t="str">
        <f>HYPERLINK("http://www.otzar.org/book.asp?629255","לב מלכים")</f>
        <v>לב מלכים</v>
      </c>
    </row>
    <row r="1587" spans="1:6" x14ac:dyDescent="0.2">
      <c r="A1587" t="s">
        <v>3344</v>
      </c>
      <c r="B1587" t="s">
        <v>3345</v>
      </c>
      <c r="C1587" t="s">
        <v>88</v>
      </c>
      <c r="D1587" s="1" t="s">
        <v>841</v>
      </c>
      <c r="E1587" t="s">
        <v>22</v>
      </c>
      <c r="F1587" s="5" t="str">
        <f>HYPERLINK("http://www.otzar.org/book.asp?630997","לב משה - ב")</f>
        <v>לב משה - ב</v>
      </c>
    </row>
    <row r="1588" spans="1:6" x14ac:dyDescent="0.2">
      <c r="A1588" t="s">
        <v>3346</v>
      </c>
      <c r="B1588" t="s">
        <v>3347</v>
      </c>
      <c r="C1588" t="s">
        <v>13</v>
      </c>
      <c r="D1588" s="1" t="s">
        <v>29</v>
      </c>
      <c r="E1588" t="s">
        <v>168</v>
      </c>
      <c r="F1588" s="5" t="str">
        <f>HYPERLINK("http://www.otzar.org/book.asp?630547","לבב חכמה &lt;על התורה&gt; - א")</f>
        <v>לבב חכמה &lt;על התורה&gt; - א</v>
      </c>
    </row>
    <row r="1589" spans="1:6" x14ac:dyDescent="0.2">
      <c r="A1589" t="s">
        <v>3348</v>
      </c>
      <c r="B1589" t="s">
        <v>3349</v>
      </c>
      <c r="C1589" t="s">
        <v>8</v>
      </c>
      <c r="D1589" s="1" t="s">
        <v>268</v>
      </c>
      <c r="E1589" t="s">
        <v>49</v>
      </c>
      <c r="F1589" s="5" t="str">
        <f>HYPERLINK("http://www.otzar.org/book.asp?625588","לבדו")</f>
        <v>לבדו</v>
      </c>
    </row>
    <row r="1590" spans="1:6" x14ac:dyDescent="0.2">
      <c r="A1590" t="s">
        <v>3350</v>
      </c>
      <c r="B1590" t="s">
        <v>3351</v>
      </c>
      <c r="C1590" t="s">
        <v>8</v>
      </c>
      <c r="D1590" s="1" t="s">
        <v>9</v>
      </c>
      <c r="E1590" t="s">
        <v>22</v>
      </c>
      <c r="F1590" s="5" t="str">
        <f>HYPERLINK("http://www.otzar.org/book.asp?630012","לבוש יוסף")</f>
        <v>לבוש יוסף</v>
      </c>
    </row>
    <row r="1591" spans="1:6" x14ac:dyDescent="0.2">
      <c r="A1591" t="s">
        <v>3352</v>
      </c>
      <c r="B1591" t="s">
        <v>3353</v>
      </c>
      <c r="C1591" t="s">
        <v>13</v>
      </c>
      <c r="D1591" s="1" t="s">
        <v>14</v>
      </c>
      <c r="E1591" t="s">
        <v>242</v>
      </c>
      <c r="F1591" s="5" t="str">
        <f>HYPERLINK("http://www.otzar.org/book.asp?624890","לבוש מרדכי - 2 כר'")</f>
        <v>לבוש מרדכי - 2 כר'</v>
      </c>
    </row>
    <row r="1592" spans="1:6" x14ac:dyDescent="0.2">
      <c r="A1592" t="s">
        <v>3354</v>
      </c>
      <c r="B1592" t="s">
        <v>3355</v>
      </c>
      <c r="C1592" t="s">
        <v>8</v>
      </c>
      <c r="D1592" s="1" t="s">
        <v>9</v>
      </c>
      <c r="E1592" t="s">
        <v>1616</v>
      </c>
      <c r="F1592" s="5" t="str">
        <f>HYPERLINK("http://www.otzar.org/book.asp?623235","לבני בנימן &lt;דברי יעקב&gt;")</f>
        <v>לבני בנימן &lt;דברי יעקב&gt;</v>
      </c>
    </row>
    <row r="1593" spans="1:6" x14ac:dyDescent="0.2">
      <c r="A1593" t="s">
        <v>3356</v>
      </c>
      <c r="B1593" t="s">
        <v>3357</v>
      </c>
      <c r="C1593" t="s">
        <v>25</v>
      </c>
      <c r="D1593" s="1" t="s">
        <v>1257</v>
      </c>
      <c r="E1593" t="s">
        <v>199</v>
      </c>
      <c r="F1593" s="5" t="str">
        <f>HYPERLINK("http://www.otzar.org/book.asp?628066","לבנימין אמר")</f>
        <v>לבנימין אמר</v>
      </c>
    </row>
    <row r="1594" spans="1:6" x14ac:dyDescent="0.2">
      <c r="A1594" t="s">
        <v>3358</v>
      </c>
      <c r="C1594" t="s">
        <v>8</v>
      </c>
      <c r="D1594" s="1" t="s">
        <v>3359</v>
      </c>
      <c r="E1594" t="s">
        <v>49</v>
      </c>
      <c r="F1594" s="5" t="str">
        <f>HYPERLINK("http://www.otzar.org/book.asp?628151","לדוד ולזרעו")</f>
        <v>לדוד ולזרעו</v>
      </c>
    </row>
    <row r="1595" spans="1:6" x14ac:dyDescent="0.2">
      <c r="A1595" t="s">
        <v>3360</v>
      </c>
      <c r="B1595" t="s">
        <v>3361</v>
      </c>
      <c r="C1595" t="s">
        <v>383</v>
      </c>
      <c r="D1595" s="1" t="s">
        <v>114</v>
      </c>
      <c r="E1595" t="s">
        <v>187</v>
      </c>
      <c r="F1595" s="5" t="str">
        <f>HYPERLINK("http://www.otzar.org/book.asp?627739","לדור ולדורות")</f>
        <v>לדור ולדורות</v>
      </c>
    </row>
    <row r="1596" spans="1:6" x14ac:dyDescent="0.2">
      <c r="A1596" t="s">
        <v>3362</v>
      </c>
      <c r="B1596" t="s">
        <v>3363</v>
      </c>
      <c r="C1596" t="s">
        <v>40</v>
      </c>
      <c r="D1596" s="1" t="s">
        <v>9</v>
      </c>
      <c r="E1596" t="s">
        <v>214</v>
      </c>
      <c r="F1596" s="5" t="str">
        <f>HYPERLINK("http://www.otzar.org/book.asp?627902","לדורותם - 5 כר'")</f>
        <v>לדורותם - 5 כר'</v>
      </c>
    </row>
    <row r="1597" spans="1:6" x14ac:dyDescent="0.2">
      <c r="A1597" t="s">
        <v>3364</v>
      </c>
      <c r="B1597" t="s">
        <v>3365</v>
      </c>
      <c r="C1597" t="s">
        <v>3366</v>
      </c>
      <c r="D1597" s="1" t="s">
        <v>3367</v>
      </c>
      <c r="E1597" t="s">
        <v>49</v>
      </c>
      <c r="F1597" s="5" t="str">
        <f>HYPERLINK("http://www.otzar.org/book.asp?626040","לדרש אלהים - הגורלות  לאחיתופל")</f>
        <v>לדרש אלהים - הגורלות  לאחיתופל</v>
      </c>
    </row>
    <row r="1598" spans="1:6" x14ac:dyDescent="0.2">
      <c r="A1598" t="s">
        <v>3368</v>
      </c>
      <c r="B1598" t="s">
        <v>364</v>
      </c>
      <c r="C1598" t="s">
        <v>13</v>
      </c>
      <c r="D1598" s="1" t="s">
        <v>52</v>
      </c>
      <c r="E1598" t="s">
        <v>214</v>
      </c>
      <c r="F1598" s="5" t="str">
        <f>HYPERLINK("http://www.otzar.org/book.asp?630426","להאיר באור החיים - תשע""ט")</f>
        <v>להאיר באור החיים - תשע"ט</v>
      </c>
    </row>
    <row r="1599" spans="1:6" x14ac:dyDescent="0.2">
      <c r="A1599" t="s">
        <v>3369</v>
      </c>
      <c r="B1599" t="s">
        <v>3370</v>
      </c>
      <c r="C1599" t="s">
        <v>25</v>
      </c>
      <c r="D1599" s="1" t="s">
        <v>14</v>
      </c>
      <c r="E1599" t="s">
        <v>538</v>
      </c>
      <c r="F1599" s="5" t="str">
        <f>HYPERLINK("http://www.otzar.org/book.asp?629556","להאיר - חנוכה")</f>
        <v>להאיר - חנוכה</v>
      </c>
    </row>
    <row r="1600" spans="1:6" x14ac:dyDescent="0.2">
      <c r="A1600" t="s">
        <v>3371</v>
      </c>
      <c r="B1600" t="s">
        <v>3372</v>
      </c>
      <c r="C1600" t="s">
        <v>1385</v>
      </c>
      <c r="D1600" s="1" t="s">
        <v>9</v>
      </c>
      <c r="E1600" t="s">
        <v>22</v>
      </c>
      <c r="F1600" s="5" t="str">
        <f>HYPERLINK("http://www.otzar.org/book.asp?629150","להבין שמועות - מעילה")</f>
        <v>להבין שמועות - מעילה</v>
      </c>
    </row>
    <row r="1601" spans="1:6" x14ac:dyDescent="0.2">
      <c r="A1601" t="s">
        <v>3373</v>
      </c>
      <c r="B1601" t="s">
        <v>3374</v>
      </c>
      <c r="C1601" t="s">
        <v>25</v>
      </c>
      <c r="D1601" s="1" t="s">
        <v>557</v>
      </c>
      <c r="E1601" t="s">
        <v>89</v>
      </c>
      <c r="F1601" s="5" t="str">
        <f>HYPERLINK("http://www.otzar.org/book.asp?629630","להודות ולהלל")</f>
        <v>להודות ולהלל</v>
      </c>
    </row>
    <row r="1602" spans="1:6" x14ac:dyDescent="0.2">
      <c r="A1602" t="s">
        <v>3375</v>
      </c>
      <c r="B1602" t="s">
        <v>3281</v>
      </c>
      <c r="C1602" t="s">
        <v>13</v>
      </c>
      <c r="D1602" s="1" t="s">
        <v>14</v>
      </c>
      <c r="E1602" t="s">
        <v>49</v>
      </c>
      <c r="F1602" s="5" t="str">
        <f>HYPERLINK("http://www.otzar.org/book.asp?623803","להודות לה'")</f>
        <v>להודות לה'</v>
      </c>
    </row>
    <row r="1603" spans="1:6" x14ac:dyDescent="0.2">
      <c r="A1603" t="s">
        <v>3376</v>
      </c>
      <c r="B1603" t="s">
        <v>3377</v>
      </c>
      <c r="C1603" t="s">
        <v>13</v>
      </c>
      <c r="D1603" s="1" t="s">
        <v>9</v>
      </c>
      <c r="E1603" t="s">
        <v>371</v>
      </c>
      <c r="F1603" s="5" t="str">
        <f>HYPERLINK("http://www.otzar.org/book.asp?627502","להורות חכמה ומשפט")</f>
        <v>להורות חכמה ומשפט</v>
      </c>
    </row>
    <row r="1604" spans="1:6" x14ac:dyDescent="0.2">
      <c r="A1604" t="s">
        <v>3378</v>
      </c>
      <c r="B1604" t="s">
        <v>3379</v>
      </c>
      <c r="C1604" t="s">
        <v>383</v>
      </c>
      <c r="D1604" s="1" t="s">
        <v>14</v>
      </c>
      <c r="E1604" t="s">
        <v>168</v>
      </c>
      <c r="F1604" s="5" t="str">
        <f>HYPERLINK("http://www.otzar.org/book.asp?631559","להורות נתן &lt;תורה&gt; - 2 כר'")</f>
        <v>להורות נתן &lt;תורה&gt; - 2 כר'</v>
      </c>
    </row>
    <row r="1605" spans="1:6" x14ac:dyDescent="0.2">
      <c r="A1605" t="s">
        <v>3380</v>
      </c>
      <c r="B1605" t="s">
        <v>3379</v>
      </c>
      <c r="C1605" t="s">
        <v>190</v>
      </c>
      <c r="D1605" s="1" t="s">
        <v>14</v>
      </c>
      <c r="E1605" t="s">
        <v>89</v>
      </c>
      <c r="F1605" s="5" t="str">
        <f>HYPERLINK("http://www.otzar.org/book.asp?631562","להורות נתן - 4 כר'")</f>
        <v>להורות נתן - 4 כר'</v>
      </c>
    </row>
    <row r="1606" spans="1:6" x14ac:dyDescent="0.2">
      <c r="A1606" t="s">
        <v>3381</v>
      </c>
      <c r="B1606" t="s">
        <v>2494</v>
      </c>
      <c r="C1606" t="s">
        <v>73</v>
      </c>
      <c r="D1606" s="1" t="s">
        <v>52</v>
      </c>
      <c r="E1606" t="s">
        <v>108</v>
      </c>
      <c r="F1606" s="5" t="str">
        <f>HYPERLINK("http://www.otzar.org/book.asp?625823","להיות בשמחה תמיד")</f>
        <v>להיות בשמחה תמיד</v>
      </c>
    </row>
    <row r="1607" spans="1:6" x14ac:dyDescent="0.2">
      <c r="A1607" t="s">
        <v>3382</v>
      </c>
      <c r="B1607" t="s">
        <v>1686</v>
      </c>
      <c r="C1607" t="s">
        <v>13</v>
      </c>
      <c r="D1607" s="1" t="s">
        <v>14</v>
      </c>
      <c r="F1607" s="5" t="str">
        <f>HYPERLINK("http://www.otzar.org/book.asp?632029","להנחיל אהבי יש")</f>
        <v>להנחיל אהבי יש</v>
      </c>
    </row>
    <row r="1608" spans="1:6" x14ac:dyDescent="0.2">
      <c r="A1608" t="s">
        <v>3383</v>
      </c>
      <c r="B1608" t="s">
        <v>3384</v>
      </c>
      <c r="C1608" t="s">
        <v>25</v>
      </c>
      <c r="D1608" s="1" t="s">
        <v>14</v>
      </c>
      <c r="E1608" t="s">
        <v>49</v>
      </c>
      <c r="F1608" s="5" t="str">
        <f>HYPERLINK("http://www.otzar.org/book.asp?629557","להעיר להורות ולהשכיל - ט")</f>
        <v>להעיר להורות ולהשכיל - ט</v>
      </c>
    </row>
    <row r="1609" spans="1:6" x14ac:dyDescent="0.2">
      <c r="A1609" t="s">
        <v>3385</v>
      </c>
      <c r="B1609" t="s">
        <v>3386</v>
      </c>
      <c r="C1609" t="s">
        <v>386</v>
      </c>
      <c r="D1609" s="1" t="s">
        <v>1067</v>
      </c>
      <c r="E1609" t="s">
        <v>295</v>
      </c>
      <c r="F1609" s="5" t="str">
        <f>HYPERLINK("http://www.otzar.org/book.asp?619274","לו בנגינות")</f>
        <v>לו בנגינות</v>
      </c>
    </row>
    <row r="1610" spans="1:6" x14ac:dyDescent="0.2">
      <c r="A1610" t="s">
        <v>3387</v>
      </c>
      <c r="B1610" t="s">
        <v>3388</v>
      </c>
      <c r="C1610" t="s">
        <v>8</v>
      </c>
      <c r="D1610" s="1" t="s">
        <v>9</v>
      </c>
      <c r="E1610" t="s">
        <v>49</v>
      </c>
      <c r="F1610" s="5" t="str">
        <f>HYPERLINK("http://www.otzar.org/book.asp?629690","לוח הזמנים כהלכתם - תש""פ")</f>
        <v>לוח הזמנים כהלכתם - תש"פ</v>
      </c>
    </row>
    <row r="1611" spans="1:6" x14ac:dyDescent="0.2">
      <c r="A1611" t="s">
        <v>3389</v>
      </c>
      <c r="B1611" t="s">
        <v>3390</v>
      </c>
      <c r="C1611" t="s">
        <v>1788</v>
      </c>
      <c r="D1611" s="1" t="s">
        <v>471</v>
      </c>
      <c r="E1611" t="s">
        <v>37</v>
      </c>
      <c r="F1611" s="5" t="str">
        <f>HYPERLINK("http://www.otzar.org/book.asp?624702","לוח הלכות ומנהגים - 2 כר'")</f>
        <v>לוח הלכות ומנהגים - 2 כר'</v>
      </c>
    </row>
    <row r="1612" spans="1:6" x14ac:dyDescent="0.2">
      <c r="A1612" t="s">
        <v>3391</v>
      </c>
      <c r="B1612" t="s">
        <v>3392</v>
      </c>
      <c r="C1612" t="s">
        <v>3393</v>
      </c>
      <c r="D1612" s="1" t="s">
        <v>3394</v>
      </c>
      <c r="F1612" s="5" t="str">
        <f>HYPERLINK("http://www.otzar.org/book.asp?631550","לוח הנץ ושקיעת החמה לרבי נתנאל סופר - ובסופו טבלה מעודכנת")</f>
        <v>לוח הנץ ושקיעת החמה לרבי נתנאל סופר - ובסופו טבלה מעודכנת</v>
      </c>
    </row>
    <row r="1613" spans="1:6" x14ac:dyDescent="0.2">
      <c r="A1613" t="s">
        <v>3395</v>
      </c>
      <c r="B1613" t="s">
        <v>3396</v>
      </c>
      <c r="C1613" t="s">
        <v>2208</v>
      </c>
      <c r="D1613" s="1" t="s">
        <v>3397</v>
      </c>
      <c r="E1613" t="s">
        <v>49</v>
      </c>
      <c r="F1613" s="5" t="str">
        <f>HYPERLINK("http://www.otzar.org/book.asp?626073","לוח הפעלים המשכלל")</f>
        <v>לוח הפעלים המשכלל</v>
      </c>
    </row>
    <row r="1614" spans="1:6" x14ac:dyDescent="0.2">
      <c r="A1614" t="s">
        <v>3398</v>
      </c>
      <c r="B1614" t="s">
        <v>3399</v>
      </c>
      <c r="C1614" t="s">
        <v>25</v>
      </c>
      <c r="D1614" s="1" t="s">
        <v>213</v>
      </c>
      <c r="F1614" s="5" t="str">
        <f>HYPERLINK("http://www.otzar.org/book.asp?629409","לוח זמן כהלכתו &lt;רוז'ין סאדיגורה&gt; - 3 כר'")</f>
        <v>לוח זמן כהלכתו &lt;רוז'ין סאדיגורה&gt; - 3 כר'</v>
      </c>
    </row>
    <row r="1615" spans="1:6" x14ac:dyDescent="0.2">
      <c r="A1615" t="s">
        <v>3400</v>
      </c>
      <c r="B1615" t="s">
        <v>3401</v>
      </c>
      <c r="C1615" t="s">
        <v>180</v>
      </c>
      <c r="D1615" s="1" t="s">
        <v>9</v>
      </c>
      <c r="E1615" t="s">
        <v>49</v>
      </c>
      <c r="F1615" s="5" t="str">
        <f>HYPERLINK("http://www.otzar.org/book.asp?623413","לוח ירושלים - תש""ח")</f>
        <v>לוח ירושלים - תש"ח</v>
      </c>
    </row>
    <row r="1616" spans="1:6" x14ac:dyDescent="0.2">
      <c r="A1616" t="s">
        <v>3402</v>
      </c>
      <c r="B1616" t="s">
        <v>3403</v>
      </c>
      <c r="C1616">
        <v>1885</v>
      </c>
      <c r="D1616" s="1" t="s">
        <v>3404</v>
      </c>
      <c r="F1616" s="5" t="str">
        <f>HYPERLINK("http://www.otzar.org/book.asp?626349","לוח ל216 שנים תקמ""ה- תש""ס")</f>
        <v>לוח ל216 שנים תקמ"ה- תש"ס</v>
      </c>
    </row>
    <row r="1617" spans="1:6" x14ac:dyDescent="0.2">
      <c r="A1617" t="s">
        <v>3405</v>
      </c>
      <c r="B1617" t="s">
        <v>3406</v>
      </c>
      <c r="C1617" t="s">
        <v>2155</v>
      </c>
      <c r="D1617" s="1" t="s">
        <v>9</v>
      </c>
      <c r="F1617" s="5" t="str">
        <f>HYPERLINK("http://www.otzar.org/book.asp?626489","לוח לשנת תש""ז")</f>
        <v>לוח לשנת תש"ז</v>
      </c>
    </row>
    <row r="1618" spans="1:6" x14ac:dyDescent="0.2">
      <c r="A1618" t="s">
        <v>3407</v>
      </c>
      <c r="B1618" t="s">
        <v>3406</v>
      </c>
      <c r="C1618" t="s">
        <v>180</v>
      </c>
      <c r="D1618" s="1" t="s">
        <v>9</v>
      </c>
      <c r="F1618" s="5" t="str">
        <f>HYPERLINK("http://www.otzar.org/book.asp?626490","לוח לשנת תש""ח")</f>
        <v>לוח לשנת תש"ח</v>
      </c>
    </row>
    <row r="1619" spans="1:6" x14ac:dyDescent="0.2">
      <c r="A1619" t="s">
        <v>3408</v>
      </c>
      <c r="B1619" t="s">
        <v>3406</v>
      </c>
      <c r="C1619" t="s">
        <v>1788</v>
      </c>
      <c r="D1619" s="1" t="s">
        <v>9</v>
      </c>
      <c r="F1619" s="5" t="str">
        <f>HYPERLINK("http://www.otzar.org/book.asp?626492","לוח לשנת תשמ""א")</f>
        <v>לוח לשנת תשמ"א</v>
      </c>
    </row>
    <row r="1620" spans="1:6" x14ac:dyDescent="0.2">
      <c r="A1620" t="s">
        <v>3409</v>
      </c>
      <c r="B1620" t="s">
        <v>3406</v>
      </c>
      <c r="C1620" t="s">
        <v>290</v>
      </c>
      <c r="D1620" s="1" t="s">
        <v>9</v>
      </c>
      <c r="F1620" s="5" t="str">
        <f>HYPERLINK("http://www.otzar.org/book.asp?626491","לוח לשנת תשמ""ג")</f>
        <v>לוח לשנת תשמ"ג</v>
      </c>
    </row>
    <row r="1621" spans="1:6" x14ac:dyDescent="0.2">
      <c r="A1621" t="s">
        <v>3410</v>
      </c>
      <c r="C1621" t="s">
        <v>3217</v>
      </c>
      <c r="D1621" s="1" t="s">
        <v>29</v>
      </c>
      <c r="F1621" s="5" t="str">
        <f>HYPERLINK("http://www.otzar.org/book.asp?626088","לוח עברי טייטש - תר""ץ")</f>
        <v>לוח עברי טייטש - תר"ץ</v>
      </c>
    </row>
    <row r="1622" spans="1:6" x14ac:dyDescent="0.2">
      <c r="A1622" t="s">
        <v>3411</v>
      </c>
      <c r="B1622" t="s">
        <v>3412</v>
      </c>
      <c r="C1622" t="s">
        <v>666</v>
      </c>
      <c r="D1622" s="1" t="s">
        <v>3413</v>
      </c>
      <c r="F1622" s="5" t="str">
        <f>HYPERLINK("http://www.otzar.org/book.asp?626166","לוח עברי טייטש - תרע""ח")</f>
        <v>לוח עברי טייטש - תרע"ח</v>
      </c>
    </row>
    <row r="1623" spans="1:6" x14ac:dyDescent="0.2">
      <c r="A1623" t="s">
        <v>3414</v>
      </c>
      <c r="B1623" t="s">
        <v>3415</v>
      </c>
      <c r="C1623" t="s">
        <v>25</v>
      </c>
      <c r="D1623" s="1" t="s">
        <v>9</v>
      </c>
      <c r="F1623" s="5" t="str">
        <f>HYPERLINK("http://www.otzar.org/book.asp?629002","לוח שנה עיתים לבינה - 68 כר'")</f>
        <v>לוח שנה עיתים לבינה - 68 כר'</v>
      </c>
    </row>
    <row r="1624" spans="1:6" x14ac:dyDescent="0.2">
      <c r="A1624" t="s">
        <v>3416</v>
      </c>
      <c r="B1624" t="s">
        <v>2790</v>
      </c>
      <c r="C1624" t="s">
        <v>73</v>
      </c>
      <c r="D1624" s="1" t="s">
        <v>52</v>
      </c>
      <c r="E1624" t="s">
        <v>89</v>
      </c>
      <c r="F1624" s="5" t="str">
        <f>HYPERLINK("http://www.otzar.org/book.asp?627088","לזמן חרותנו")</f>
        <v>לזמן חרותנו</v>
      </c>
    </row>
    <row r="1625" spans="1:6" x14ac:dyDescent="0.2">
      <c r="A1625" t="s">
        <v>3417</v>
      </c>
      <c r="B1625" t="s">
        <v>3418</v>
      </c>
      <c r="C1625" t="s">
        <v>1780</v>
      </c>
      <c r="D1625" s="1" t="s">
        <v>471</v>
      </c>
      <c r="E1625" t="s">
        <v>89</v>
      </c>
      <c r="F1625" s="5" t="str">
        <f>HYPERLINK("http://www.otzar.org/book.asp?626598","לחג החרות")</f>
        <v>לחג החרות</v>
      </c>
    </row>
    <row r="1626" spans="1:6" x14ac:dyDescent="0.2">
      <c r="A1626" t="s">
        <v>3419</v>
      </c>
      <c r="B1626" t="s">
        <v>94</v>
      </c>
      <c r="C1626" t="s">
        <v>73</v>
      </c>
      <c r="D1626" s="1" t="s">
        <v>14</v>
      </c>
      <c r="E1626" t="s">
        <v>22</v>
      </c>
      <c r="F1626" s="5" t="str">
        <f>HYPERLINK("http://www.otzar.org/book.asp?629292","לחזות בנועם - מעילה")</f>
        <v>לחזות בנועם - מעילה</v>
      </c>
    </row>
    <row r="1627" spans="1:6" x14ac:dyDescent="0.2">
      <c r="A1627" t="s">
        <v>3420</v>
      </c>
      <c r="B1627" t="s">
        <v>3421</v>
      </c>
      <c r="C1627" t="s">
        <v>73</v>
      </c>
      <c r="D1627" s="1" t="s">
        <v>14</v>
      </c>
      <c r="E1627" t="s">
        <v>439</v>
      </c>
      <c r="F1627" s="5" t="str">
        <f>HYPERLINK("http://www.otzar.org/book.asp?629410","לחזות בנועם - 3 כר'")</f>
        <v>לחזות בנועם - 3 כר'</v>
      </c>
    </row>
    <row r="1628" spans="1:6" x14ac:dyDescent="0.2">
      <c r="A1628" t="s">
        <v>3422</v>
      </c>
      <c r="B1628" t="s">
        <v>156</v>
      </c>
      <c r="C1628" t="s">
        <v>639</v>
      </c>
      <c r="D1628" s="1" t="s">
        <v>158</v>
      </c>
      <c r="E1628" t="s">
        <v>2667</v>
      </c>
      <c r="F1628" s="5" t="str">
        <f>HYPERLINK("http://www.otzar.org/book.asp?628552","לחיות במרחב אלוקי")</f>
        <v>לחיות במרחב אלוקי</v>
      </c>
    </row>
    <row r="1629" spans="1:6" x14ac:dyDescent="0.2">
      <c r="A1629" t="s">
        <v>3423</v>
      </c>
      <c r="B1629" t="s">
        <v>156</v>
      </c>
      <c r="C1629" t="s">
        <v>3424</v>
      </c>
      <c r="D1629" s="1" t="s">
        <v>158</v>
      </c>
      <c r="E1629" t="s">
        <v>30</v>
      </c>
      <c r="F1629" s="5" t="str">
        <f>HYPERLINK("http://www.otzar.org/book.asp?626888","לחיות עם הזמן - 5 כר'")</f>
        <v>לחיות עם הזמן - 5 כר'</v>
      </c>
    </row>
    <row r="1630" spans="1:6" x14ac:dyDescent="0.2">
      <c r="A1630" t="s">
        <v>3425</v>
      </c>
      <c r="B1630" t="s">
        <v>3426</v>
      </c>
      <c r="C1630" t="s">
        <v>383</v>
      </c>
      <c r="D1630" s="1" t="s">
        <v>64</v>
      </c>
      <c r="E1630" t="s">
        <v>49</v>
      </c>
      <c r="F1630" s="5" t="str">
        <f>HYPERLINK("http://www.otzar.org/book.asp?626414","לחם הפנים")</f>
        <v>לחם הפנים</v>
      </c>
    </row>
    <row r="1631" spans="1:6" x14ac:dyDescent="0.2">
      <c r="A1631" t="s">
        <v>3427</v>
      </c>
      <c r="B1631" t="s">
        <v>220</v>
      </c>
      <c r="C1631" t="s">
        <v>174</v>
      </c>
      <c r="D1631" s="1" t="s">
        <v>14</v>
      </c>
      <c r="F1631" s="5" t="str">
        <f>HYPERLINK("http://www.otzar.org/book.asp?632587","לחם ושמלה &lt;מהדורה חדשה&gt;")</f>
        <v>לחם ושמלה &lt;מהדורה חדשה&gt;</v>
      </c>
    </row>
    <row r="1632" spans="1:6" x14ac:dyDescent="0.2">
      <c r="A1632" t="s">
        <v>3428</v>
      </c>
      <c r="B1632" t="s">
        <v>3429</v>
      </c>
      <c r="C1632" t="s">
        <v>20</v>
      </c>
      <c r="D1632" s="1" t="s">
        <v>9</v>
      </c>
      <c r="E1632" t="s">
        <v>41</v>
      </c>
      <c r="F1632" s="5" t="str">
        <f>HYPERLINK("http://www.otzar.org/book.asp?627948","לחם רב &lt;זכרון אהרן&gt;")</f>
        <v>לחם רב &lt;זכרון אהרן&gt;</v>
      </c>
    </row>
    <row r="1633" spans="1:6" x14ac:dyDescent="0.2">
      <c r="A1633" t="s">
        <v>3430</v>
      </c>
      <c r="B1633" t="s">
        <v>1686</v>
      </c>
      <c r="C1633" t="s">
        <v>13</v>
      </c>
      <c r="D1633" s="1" t="s">
        <v>14</v>
      </c>
      <c r="F1633" s="5" t="str">
        <f>HYPERLINK("http://www.otzar.org/book.asp?632025","לחם שמן")</f>
        <v>לחם שמן</v>
      </c>
    </row>
    <row r="1634" spans="1:6" x14ac:dyDescent="0.2">
      <c r="A1634" t="s">
        <v>3431</v>
      </c>
      <c r="B1634" t="s">
        <v>789</v>
      </c>
      <c r="C1634" t="s">
        <v>13</v>
      </c>
      <c r="D1634" s="1" t="s">
        <v>21</v>
      </c>
      <c r="E1634" t="s">
        <v>49</v>
      </c>
      <c r="F1634" s="5" t="str">
        <f>HYPERLINK("http://www.otzar.org/book.asp?630282","לחם תנופה")</f>
        <v>לחם תנופה</v>
      </c>
    </row>
    <row r="1635" spans="1:6" x14ac:dyDescent="0.2">
      <c r="A1635" t="s">
        <v>3432</v>
      </c>
      <c r="B1635" t="s">
        <v>890</v>
      </c>
      <c r="C1635" t="s">
        <v>13</v>
      </c>
      <c r="D1635" s="1" t="s">
        <v>14</v>
      </c>
      <c r="E1635" t="s">
        <v>10</v>
      </c>
      <c r="F1635" s="5" t="str">
        <f>HYPERLINK("http://www.otzar.org/book.asp?630135","ליגמר איניש - כלים א")</f>
        <v>ליגמר איניש - כלים א</v>
      </c>
    </row>
    <row r="1636" spans="1:6" x14ac:dyDescent="0.2">
      <c r="A1636" t="s">
        <v>3433</v>
      </c>
      <c r="B1636" t="s">
        <v>3434</v>
      </c>
      <c r="C1636" t="s">
        <v>13</v>
      </c>
      <c r="D1636" s="1" t="s">
        <v>268</v>
      </c>
      <c r="E1636" t="s">
        <v>371</v>
      </c>
      <c r="F1636" s="5" t="str">
        <f>HYPERLINK("http://www.otzar.org/book.asp?627091","ליהודה ויאמר")</f>
        <v>ליהודה ויאמר</v>
      </c>
    </row>
    <row r="1637" spans="1:6" x14ac:dyDescent="0.2">
      <c r="A1637" t="s">
        <v>3435</v>
      </c>
      <c r="B1637" t="s">
        <v>3436</v>
      </c>
      <c r="C1637" t="s">
        <v>8</v>
      </c>
      <c r="D1637" s="1" t="s">
        <v>29</v>
      </c>
      <c r="E1637" t="s">
        <v>30</v>
      </c>
      <c r="F1637" s="5" t="str">
        <f>HYPERLINK("http://www.otzar.org/book.asp?630190","ליובאוויטש שבליובאוויטש - ו-ז")</f>
        <v>ליובאוויטש שבליובאוויטש - ו-ז</v>
      </c>
    </row>
    <row r="1638" spans="1:6" x14ac:dyDescent="0.2">
      <c r="A1638" t="s">
        <v>3437</v>
      </c>
      <c r="B1638" t="s">
        <v>2060</v>
      </c>
      <c r="C1638" t="s">
        <v>13</v>
      </c>
      <c r="D1638" s="1" t="s">
        <v>9</v>
      </c>
      <c r="E1638" t="s">
        <v>89</v>
      </c>
      <c r="F1638" s="5" t="str">
        <f>HYPERLINK("http://www.otzar.org/book.asp?627746","לילה כיום יאיר")</f>
        <v>לילה כיום יאיר</v>
      </c>
    </row>
    <row r="1639" spans="1:6" x14ac:dyDescent="0.2">
      <c r="A1639" t="s">
        <v>3438</v>
      </c>
      <c r="B1639" t="s">
        <v>3439</v>
      </c>
      <c r="C1639" t="s">
        <v>20</v>
      </c>
      <c r="D1639" s="1" t="s">
        <v>158</v>
      </c>
      <c r="E1639" t="s">
        <v>30</v>
      </c>
      <c r="F1639" s="5" t="str">
        <f>HYPERLINK("http://www.otzar.org/book.asp?630548","לימוד החסידות בתומכי תמימים")</f>
        <v>לימוד החסידות בתומכי תמימים</v>
      </c>
    </row>
    <row r="1640" spans="1:6" x14ac:dyDescent="0.2">
      <c r="A1640" t="s">
        <v>3440</v>
      </c>
      <c r="B1640" t="s">
        <v>364</v>
      </c>
      <c r="C1640" t="s">
        <v>8</v>
      </c>
      <c r="D1640" s="1" t="s">
        <v>52</v>
      </c>
      <c r="E1640" t="s">
        <v>30</v>
      </c>
      <c r="F1640" s="5" t="str">
        <f>HYPERLINK("http://www.otzar.org/book.asp?630551","לימוד הפרשה בליקוטי תורה ותורה אור")</f>
        <v>לימוד הפרשה בליקוטי תורה ותורה אור</v>
      </c>
    </row>
    <row r="1641" spans="1:6" x14ac:dyDescent="0.2">
      <c r="A1641" t="s">
        <v>3441</v>
      </c>
      <c r="B1641" t="s">
        <v>3442</v>
      </c>
      <c r="D1641" s="1" t="s">
        <v>9</v>
      </c>
      <c r="E1641" t="s">
        <v>168</v>
      </c>
      <c r="F1641" s="5" t="str">
        <f>HYPERLINK("http://www.otzar.org/book.asp?624599","לימוד סוגיא בתורה עפ""י המקורות - ו")</f>
        <v>לימוד סוגיא בתורה עפ"י המקורות - ו</v>
      </c>
    </row>
    <row r="1642" spans="1:6" x14ac:dyDescent="0.2">
      <c r="A1642" t="s">
        <v>3443</v>
      </c>
      <c r="B1642" t="s">
        <v>94</v>
      </c>
      <c r="C1642" t="s">
        <v>8</v>
      </c>
      <c r="D1642" s="1" t="s">
        <v>52</v>
      </c>
      <c r="E1642" t="s">
        <v>49</v>
      </c>
      <c r="F1642" s="5" t="str">
        <f>HYPERLINK("http://www.otzar.org/book.asp?626393","ליקוט בענין בנין בית המקדש והקרבת קרבנות בזמן הזה")</f>
        <v>ליקוט בענין בנין בית המקדש והקרבת קרבנות בזמן הזה</v>
      </c>
    </row>
    <row r="1643" spans="1:6" x14ac:dyDescent="0.2">
      <c r="A1643" t="s">
        <v>3444</v>
      </c>
      <c r="B1643" t="s">
        <v>3445</v>
      </c>
      <c r="C1643" t="s">
        <v>13</v>
      </c>
      <c r="D1643" s="1" t="s">
        <v>3446</v>
      </c>
      <c r="E1643" t="s">
        <v>30</v>
      </c>
      <c r="F1643" s="5" t="str">
        <f>HYPERLINK("http://www.otzar.org/book.asp?629551","ליקוט מנהגי הרביים - ליל הסדר")</f>
        <v>ליקוט מנהגי הרביים - ליל הסדר</v>
      </c>
    </row>
    <row r="1644" spans="1:6" x14ac:dyDescent="0.2">
      <c r="A1644" t="s">
        <v>3447</v>
      </c>
      <c r="B1644" t="s">
        <v>3448</v>
      </c>
      <c r="C1644" t="s">
        <v>13</v>
      </c>
      <c r="D1644" s="1" t="s">
        <v>29</v>
      </c>
      <c r="E1644" t="s">
        <v>30</v>
      </c>
      <c r="F1644" s="5" t="str">
        <f>HYPERLINK("http://www.otzar.org/book.asp?630318","ליקוט מענות קודש - 4 כר'")</f>
        <v>ליקוט מענות קודש - 4 כר'</v>
      </c>
    </row>
    <row r="1645" spans="1:6" x14ac:dyDescent="0.2">
      <c r="A1645" t="s">
        <v>3449</v>
      </c>
      <c r="B1645" t="s">
        <v>3450</v>
      </c>
      <c r="C1645" t="s">
        <v>3451</v>
      </c>
      <c r="D1645" s="1" t="s">
        <v>29</v>
      </c>
      <c r="E1645" t="s">
        <v>30</v>
      </c>
      <c r="F1645" s="5" t="str">
        <f>HYPERLINK("http://www.otzar.org/book.asp?630057","ליקוט פירושים")</f>
        <v>ליקוט פירושים</v>
      </c>
    </row>
    <row r="1646" spans="1:6" x14ac:dyDescent="0.2">
      <c r="A1646" t="s">
        <v>3452</v>
      </c>
      <c r="B1646" t="s">
        <v>3453</v>
      </c>
      <c r="C1646" t="s">
        <v>606</v>
      </c>
      <c r="D1646" s="1" t="s">
        <v>9</v>
      </c>
      <c r="F1646" s="5" t="str">
        <f>HYPERLINK("http://www.otzar.org/book.asp?630378","ליקוטי דרשות - 2 כר'")</f>
        <v>ליקוטי דרשות - 2 כר'</v>
      </c>
    </row>
    <row r="1647" spans="1:6" x14ac:dyDescent="0.2">
      <c r="A1647" t="s">
        <v>3454</v>
      </c>
      <c r="B1647" t="s">
        <v>3455</v>
      </c>
      <c r="C1647" t="s">
        <v>3456</v>
      </c>
      <c r="D1647" s="1" t="s">
        <v>1472</v>
      </c>
      <c r="E1647" t="s">
        <v>22</v>
      </c>
      <c r="F1647" s="5" t="str">
        <f>HYPERLINK("http://www.otzar.org/book.asp?623331","ליקוטי הלכות (לקח טוב)")</f>
        <v>ליקוטי הלכות (לקח טוב)</v>
      </c>
    </row>
    <row r="1648" spans="1:6" x14ac:dyDescent="0.2">
      <c r="A1648" t="s">
        <v>3457</v>
      </c>
      <c r="B1648" t="s">
        <v>3458</v>
      </c>
      <c r="D1648" s="1" t="s">
        <v>9</v>
      </c>
      <c r="E1648" t="s">
        <v>168</v>
      </c>
      <c r="F1648" s="5" t="str">
        <f>HYPERLINK("http://www.otzar.org/book.asp?626223","ליקוטי הפרשה")</f>
        <v>ליקוטי הפרשה</v>
      </c>
    </row>
    <row r="1649" spans="1:6" x14ac:dyDescent="0.2">
      <c r="A1649" t="s">
        <v>3459</v>
      </c>
      <c r="B1649" t="s">
        <v>3460</v>
      </c>
      <c r="C1649" t="s">
        <v>1002</v>
      </c>
      <c r="D1649" s="1" t="s">
        <v>9</v>
      </c>
      <c r="E1649" t="s">
        <v>168</v>
      </c>
      <c r="F1649" s="5" t="str">
        <f>HYPERLINK("http://www.otzar.org/book.asp?626438","ליקוטי יהודה - במדבר - ב")</f>
        <v>ליקוטי יהודה - במדבר - ב</v>
      </c>
    </row>
    <row r="1650" spans="1:6" x14ac:dyDescent="0.2">
      <c r="A1650" t="s">
        <v>3461</v>
      </c>
      <c r="B1650" t="s">
        <v>3462</v>
      </c>
      <c r="C1650" t="s">
        <v>190</v>
      </c>
      <c r="D1650" s="1" t="s">
        <v>29</v>
      </c>
      <c r="E1650" t="s">
        <v>89</v>
      </c>
      <c r="F1650" s="5" t="str">
        <f>HYPERLINK("http://www.otzar.org/book.asp?623468","ליקוטי מנחת חינוך - פסח")</f>
        <v>ליקוטי מנחת חינוך - פסח</v>
      </c>
    </row>
    <row r="1651" spans="1:6" x14ac:dyDescent="0.2">
      <c r="A1651" t="s">
        <v>3463</v>
      </c>
      <c r="B1651" t="s">
        <v>3464</v>
      </c>
      <c r="C1651" t="s">
        <v>13</v>
      </c>
      <c r="D1651" s="1" t="s">
        <v>14</v>
      </c>
      <c r="E1651" t="s">
        <v>10</v>
      </c>
      <c r="F1651" s="5" t="str">
        <f>HYPERLINK("http://www.otzar.org/book.asp?625599","ליקוטי מעשרות")</f>
        <v>ליקוטי מעשרות</v>
      </c>
    </row>
    <row r="1652" spans="1:6" x14ac:dyDescent="0.2">
      <c r="A1652" t="s">
        <v>3465</v>
      </c>
      <c r="B1652" t="s">
        <v>3466</v>
      </c>
      <c r="C1652" t="s">
        <v>411</v>
      </c>
      <c r="D1652" s="1" t="s">
        <v>29</v>
      </c>
      <c r="E1652" t="s">
        <v>34</v>
      </c>
      <c r="F1652" s="5" t="str">
        <f>HYPERLINK("http://www.otzar.org/book.asp?626534","ליקוטי עצות - לשון הקודש")</f>
        <v>ליקוטי עצות - לשון הקודש</v>
      </c>
    </row>
    <row r="1653" spans="1:6" x14ac:dyDescent="0.2">
      <c r="A1653" t="s">
        <v>3467</v>
      </c>
      <c r="B1653" t="s">
        <v>3468</v>
      </c>
      <c r="C1653" t="s">
        <v>13</v>
      </c>
      <c r="D1653" s="1" t="s">
        <v>14</v>
      </c>
      <c r="E1653" t="s">
        <v>34</v>
      </c>
      <c r="F1653" s="5" t="str">
        <f>HYPERLINK("http://www.otzar.org/book.asp?631140","ליקוטי פנינים נבחרים")</f>
        <v>ליקוטי פנינים נבחרים</v>
      </c>
    </row>
    <row r="1654" spans="1:6" x14ac:dyDescent="0.2">
      <c r="A1654" t="s">
        <v>3469</v>
      </c>
      <c r="B1654" t="s">
        <v>3470</v>
      </c>
      <c r="C1654" t="s">
        <v>25</v>
      </c>
      <c r="D1654" s="1" t="s">
        <v>14</v>
      </c>
      <c r="E1654" t="s">
        <v>22</v>
      </c>
      <c r="F1654" s="5" t="str">
        <f>HYPERLINK("http://www.otzar.org/book.asp?627652","ליקוטי קצות החושן - בבא מציעא א")</f>
        <v>ליקוטי קצות החושן - בבא מציעא א</v>
      </c>
    </row>
    <row r="1655" spans="1:6" x14ac:dyDescent="0.2">
      <c r="A1655" t="s">
        <v>3471</v>
      </c>
      <c r="B1655" t="s">
        <v>3472</v>
      </c>
      <c r="E1655" t="s">
        <v>49</v>
      </c>
      <c r="F1655" s="5" t="str">
        <f>HYPERLINK("http://www.otzar.org/book.asp?622571","ליקוטי שושנים")</f>
        <v>ליקוטי שושנים</v>
      </c>
    </row>
    <row r="1656" spans="1:6" x14ac:dyDescent="0.2">
      <c r="A1656" t="s">
        <v>3473</v>
      </c>
      <c r="B1656" t="s">
        <v>3474</v>
      </c>
      <c r="C1656" t="s">
        <v>13</v>
      </c>
      <c r="D1656" s="1" t="s">
        <v>9</v>
      </c>
      <c r="E1656" t="s">
        <v>37</v>
      </c>
      <c r="F1656" s="5" t="str">
        <f>HYPERLINK("http://www.otzar.org/book.asp?627634","ליקוטי תשובות משנת יוסף - מילה")</f>
        <v>ליקוטי תשובות משנת יוסף - מילה</v>
      </c>
    </row>
    <row r="1657" spans="1:6" x14ac:dyDescent="0.2">
      <c r="A1657" t="s">
        <v>3475</v>
      </c>
      <c r="B1657" t="s">
        <v>3476</v>
      </c>
      <c r="C1657" t="s">
        <v>133</v>
      </c>
      <c r="E1657" t="s">
        <v>660</v>
      </c>
      <c r="F1657" s="5" t="str">
        <f>HYPERLINK("http://www.otzar.org/book.asp?628138","לך אלי תשוקתי")</f>
        <v>לך אלי תשוקתי</v>
      </c>
    </row>
    <row r="1658" spans="1:6" x14ac:dyDescent="0.2">
      <c r="A1658" t="s">
        <v>3477</v>
      </c>
      <c r="B1658" t="s">
        <v>2637</v>
      </c>
      <c r="C1658" t="s">
        <v>379</v>
      </c>
      <c r="D1658" s="1" t="s">
        <v>1134</v>
      </c>
      <c r="E1658" t="s">
        <v>89</v>
      </c>
      <c r="F1658" s="5" t="str">
        <f>HYPERLINK("http://www.otzar.org/book.asp?628737","לכבוד ראש השנה - 3 כר'")</f>
        <v>לכבוד ראש השנה - 3 כר'</v>
      </c>
    </row>
    <row r="1659" spans="1:6" x14ac:dyDescent="0.2">
      <c r="A1659" t="s">
        <v>3478</v>
      </c>
      <c r="B1659" t="s">
        <v>94</v>
      </c>
      <c r="C1659" t="s">
        <v>307</v>
      </c>
      <c r="D1659" s="1" t="s">
        <v>557</v>
      </c>
      <c r="E1659" t="s">
        <v>49</v>
      </c>
      <c r="F1659" s="5" t="str">
        <f>HYPERLINK("http://www.otzar.org/book.asp?630568","ללמדו תורה")</f>
        <v>ללמדו תורה</v>
      </c>
    </row>
    <row r="1660" spans="1:6" x14ac:dyDescent="0.2">
      <c r="A1660" t="s">
        <v>3479</v>
      </c>
      <c r="B1660" t="s">
        <v>3480</v>
      </c>
      <c r="C1660" t="s">
        <v>20</v>
      </c>
      <c r="E1660" t="s">
        <v>49</v>
      </c>
      <c r="F1660" s="5" t="str">
        <f>HYPERLINK("http://www.otzar.org/book.asp?626486","ללקט שושנים")</f>
        <v>ללקט שושנים</v>
      </c>
    </row>
    <row r="1661" spans="1:6" x14ac:dyDescent="0.2">
      <c r="A1661" t="s">
        <v>3481</v>
      </c>
      <c r="B1661" t="s">
        <v>3482</v>
      </c>
      <c r="C1661" t="s">
        <v>13</v>
      </c>
      <c r="D1661" s="1" t="s">
        <v>52</v>
      </c>
      <c r="E1661" t="s">
        <v>22</v>
      </c>
      <c r="F1661" s="5" t="str">
        <f>HYPERLINK("http://www.otzar.org/book.asp?629847","למודי משה - עירובין")</f>
        <v>למודי משה - עירובין</v>
      </c>
    </row>
    <row r="1662" spans="1:6" x14ac:dyDescent="0.2">
      <c r="A1662" t="s">
        <v>3483</v>
      </c>
      <c r="B1662" t="s">
        <v>3484</v>
      </c>
      <c r="C1662" t="s">
        <v>8</v>
      </c>
      <c r="D1662" s="1" t="s">
        <v>52</v>
      </c>
      <c r="E1662" t="s">
        <v>371</v>
      </c>
      <c r="F1662" s="5" t="str">
        <f>HYPERLINK("http://www.otzar.org/book.asp?629413","למנצח על אילת השחר")</f>
        <v>למנצח על אילת השחר</v>
      </c>
    </row>
    <row r="1663" spans="1:6" x14ac:dyDescent="0.2">
      <c r="A1663" t="s">
        <v>3485</v>
      </c>
      <c r="B1663" t="s">
        <v>94</v>
      </c>
      <c r="C1663" t="s">
        <v>8</v>
      </c>
      <c r="D1663" s="1" t="s">
        <v>52</v>
      </c>
      <c r="E1663" t="s">
        <v>3486</v>
      </c>
      <c r="F1663" s="5" t="str">
        <f>HYPERLINK("http://www.otzar.org/book.asp?624378","למעלה למשכיל")</f>
        <v>למעלה למשכיל</v>
      </c>
    </row>
    <row r="1664" spans="1:6" x14ac:dyDescent="0.2">
      <c r="A1664" t="s">
        <v>3487</v>
      </c>
      <c r="B1664" t="s">
        <v>3488</v>
      </c>
      <c r="C1664" t="s">
        <v>411</v>
      </c>
      <c r="D1664" s="1" t="s">
        <v>9</v>
      </c>
      <c r="E1664" t="s">
        <v>836</v>
      </c>
      <c r="F1664" s="5" t="str">
        <f>HYPERLINK("http://www.otzar.org/book.asp?623426","למען אחי ורעי")</f>
        <v>למען אחי ורעי</v>
      </c>
    </row>
    <row r="1665" spans="1:6" x14ac:dyDescent="0.2">
      <c r="A1665" t="s">
        <v>3489</v>
      </c>
      <c r="B1665" t="s">
        <v>3490</v>
      </c>
      <c r="C1665" t="s">
        <v>1385</v>
      </c>
      <c r="D1665" s="1" t="s">
        <v>9</v>
      </c>
      <c r="E1665" t="s">
        <v>214</v>
      </c>
      <c r="F1665" s="5" t="str">
        <f>HYPERLINK("http://www.otzar.org/book.asp?623242","למען איתן הנזרק בלהב אש")</f>
        <v>למען איתן הנזרק בלהב אש</v>
      </c>
    </row>
    <row r="1666" spans="1:6" x14ac:dyDescent="0.2">
      <c r="A1666" t="s">
        <v>3491</v>
      </c>
      <c r="B1666" t="s">
        <v>3131</v>
      </c>
      <c r="C1666" t="s">
        <v>190</v>
      </c>
      <c r="D1666" s="1" t="s">
        <v>52</v>
      </c>
      <c r="E1666" t="s">
        <v>22</v>
      </c>
      <c r="F1666" s="5" t="str">
        <f>HYPERLINK("http://www.otzar.org/book.asp?623253","למען דעת - עבודה זרה")</f>
        <v>למען דעת - עבודה זרה</v>
      </c>
    </row>
    <row r="1667" spans="1:6" x14ac:dyDescent="0.2">
      <c r="A1667" t="s">
        <v>3492</v>
      </c>
      <c r="B1667" t="s">
        <v>3493</v>
      </c>
      <c r="C1667" t="s">
        <v>88</v>
      </c>
      <c r="D1667" s="1" t="s">
        <v>9</v>
      </c>
      <c r="E1667" t="s">
        <v>671</v>
      </c>
      <c r="F1667" s="5" t="str">
        <f>HYPERLINK("http://www.otzar.org/book.asp?628058","למען דעת - אלול תשרי")</f>
        <v>למען דעת - אלול תשרי</v>
      </c>
    </row>
    <row r="1668" spans="1:6" x14ac:dyDescent="0.2">
      <c r="A1668" t="s">
        <v>3494</v>
      </c>
      <c r="B1668" t="s">
        <v>3495</v>
      </c>
      <c r="C1668" t="s">
        <v>463</v>
      </c>
      <c r="D1668" s="1" t="s">
        <v>518</v>
      </c>
      <c r="E1668" t="s">
        <v>371</v>
      </c>
      <c r="F1668" s="5" t="str">
        <f>HYPERLINK("http://www.otzar.org/book.asp?622645","למען ציון לא אחשה - רבי בן ציון הכהן")</f>
        <v>למען ציון לא אחשה - רבי בן ציון הכהן</v>
      </c>
    </row>
    <row r="1669" spans="1:6" x14ac:dyDescent="0.2">
      <c r="A1669" t="s">
        <v>3496</v>
      </c>
      <c r="B1669" t="s">
        <v>3335</v>
      </c>
      <c r="C1669" t="s">
        <v>8</v>
      </c>
      <c r="D1669" s="1" t="s">
        <v>9</v>
      </c>
      <c r="E1669" t="s">
        <v>61</v>
      </c>
      <c r="F1669" s="5" t="str">
        <f>HYPERLINK("http://www.otzar.org/book.asp?626709","למען תזכרו")</f>
        <v>למען תזכרו</v>
      </c>
    </row>
    <row r="1670" spans="1:6" x14ac:dyDescent="0.2">
      <c r="A1670" t="s">
        <v>3497</v>
      </c>
      <c r="B1670" t="s">
        <v>789</v>
      </c>
      <c r="C1670" t="s">
        <v>13</v>
      </c>
      <c r="D1670" s="1" t="s">
        <v>21</v>
      </c>
      <c r="E1670" t="s">
        <v>49</v>
      </c>
      <c r="F1670" s="5" t="str">
        <f>HYPERLINK("http://www.otzar.org/book.asp?630280","למשה מסיני")</f>
        <v>למשה מסיני</v>
      </c>
    </row>
    <row r="1671" spans="1:6" x14ac:dyDescent="0.2">
      <c r="A1671" t="s">
        <v>3498</v>
      </c>
      <c r="B1671" t="s">
        <v>3499</v>
      </c>
      <c r="C1671" t="s">
        <v>13</v>
      </c>
      <c r="D1671" s="1" t="s">
        <v>21</v>
      </c>
      <c r="E1671" t="s">
        <v>34</v>
      </c>
      <c r="F1671" s="5" t="str">
        <f>HYPERLINK("http://www.otzar.org/book.asp?629414","לעולם אודך - מידת הקנאה")</f>
        <v>לעולם אודך - מידת הקנאה</v>
      </c>
    </row>
    <row r="1672" spans="1:6" x14ac:dyDescent="0.2">
      <c r="A1672" t="s">
        <v>3500</v>
      </c>
      <c r="B1672" t="s">
        <v>3501</v>
      </c>
      <c r="E1672" t="s">
        <v>108</v>
      </c>
      <c r="F1672" s="5" t="str">
        <f>HYPERLINK("http://www.otzar.org/book.asp?627914","לעת דודים")</f>
        <v>לעת דודים</v>
      </c>
    </row>
    <row r="1673" spans="1:6" x14ac:dyDescent="0.2">
      <c r="A1673" t="s">
        <v>3502</v>
      </c>
      <c r="B1673" t="s">
        <v>3503</v>
      </c>
      <c r="C1673" t="s">
        <v>3504</v>
      </c>
      <c r="D1673" s="1" t="s">
        <v>3505</v>
      </c>
      <c r="F1673" s="5" t="str">
        <f>HYPERLINK("http://www.otzar.org/book.asp?630387","לעתים מזומנות")</f>
        <v>לעתים מזומנות</v>
      </c>
    </row>
    <row r="1674" spans="1:6" x14ac:dyDescent="0.2">
      <c r="A1674" t="s">
        <v>3506</v>
      </c>
      <c r="B1674" t="s">
        <v>789</v>
      </c>
      <c r="C1674" t="s">
        <v>13</v>
      </c>
      <c r="D1674" s="1" t="s">
        <v>21</v>
      </c>
      <c r="E1674" t="s">
        <v>538</v>
      </c>
      <c r="F1674" s="5" t="str">
        <f>HYPERLINK("http://www.otzar.org/book.asp?628003","לפני המלך")</f>
        <v>לפני המלך</v>
      </c>
    </row>
    <row r="1675" spans="1:6" x14ac:dyDescent="0.2">
      <c r="A1675" t="s">
        <v>3507</v>
      </c>
      <c r="B1675" t="s">
        <v>3508</v>
      </c>
      <c r="C1675" t="s">
        <v>1074</v>
      </c>
      <c r="D1675" s="1" t="s">
        <v>1364</v>
      </c>
      <c r="E1675" t="s">
        <v>168</v>
      </c>
      <c r="F1675" s="5" t="str">
        <f>HYPERLINK("http://www.otzar.org/book.asp?623925","לפשוטו של רש""י - במדבר")</f>
        <v>לפשוטו של רש"י - במדבר</v>
      </c>
    </row>
    <row r="1676" spans="1:6" x14ac:dyDescent="0.2">
      <c r="A1676" t="s">
        <v>3509</v>
      </c>
      <c r="B1676" t="s">
        <v>3510</v>
      </c>
      <c r="C1676" t="s">
        <v>190</v>
      </c>
      <c r="D1676" s="1" t="s">
        <v>229</v>
      </c>
      <c r="E1676" t="s">
        <v>371</v>
      </c>
      <c r="F1676" s="5" t="str">
        <f>HYPERLINK("http://www.otzar.org/book.asp?625358","לציון ברחמים")</f>
        <v>לציון ברחמים</v>
      </c>
    </row>
    <row r="1677" spans="1:6" x14ac:dyDescent="0.2">
      <c r="A1677" t="s">
        <v>3511</v>
      </c>
      <c r="B1677" t="s">
        <v>2707</v>
      </c>
      <c r="C1677" t="s">
        <v>3512</v>
      </c>
      <c r="D1677" s="1" t="s">
        <v>9</v>
      </c>
      <c r="E1677" t="s">
        <v>477</v>
      </c>
      <c r="F1677" s="5" t="str">
        <f>HYPERLINK("http://www.otzar.org/book.asp?624808","לקוט אמרים")</f>
        <v>לקוט אמרים</v>
      </c>
    </row>
    <row r="1678" spans="1:6" x14ac:dyDescent="0.2">
      <c r="A1678" t="s">
        <v>3513</v>
      </c>
      <c r="B1678" t="s">
        <v>3514</v>
      </c>
      <c r="C1678" t="s">
        <v>3515</v>
      </c>
      <c r="D1678" s="1" t="s">
        <v>3182</v>
      </c>
      <c r="E1678" t="s">
        <v>37</v>
      </c>
      <c r="F1678" s="5" t="str">
        <f>HYPERLINK("http://www.otzar.org/book.asp?625625","לקוטי הלכות &lt;מהדורה ראשונה&gt; - 2 כר'")</f>
        <v>לקוטי הלכות &lt;מהדורה ראשונה&gt; - 2 כר'</v>
      </c>
    </row>
    <row r="1679" spans="1:6" x14ac:dyDescent="0.2">
      <c r="A1679" t="s">
        <v>3516</v>
      </c>
      <c r="B1679" t="s">
        <v>3517</v>
      </c>
      <c r="C1679" t="s">
        <v>264</v>
      </c>
      <c r="D1679" s="1" t="s">
        <v>29</v>
      </c>
      <c r="F1679" s="5" t="str">
        <f>HYPERLINK("http://www.otzar.org/book.asp?631548","לקוטי מהרי""א השלם על ילקוט שמעוני")</f>
        <v>לקוטי מהרי"א השלם על ילקוט שמעוני</v>
      </c>
    </row>
    <row r="1680" spans="1:6" x14ac:dyDescent="0.2">
      <c r="A1680" t="s">
        <v>3518</v>
      </c>
      <c r="B1680" t="s">
        <v>3519</v>
      </c>
      <c r="C1680" t="s">
        <v>3520</v>
      </c>
      <c r="D1680" s="1" t="s">
        <v>355</v>
      </c>
      <c r="F1680" s="5" t="str">
        <f>HYPERLINK("http://www.otzar.org/book.asp?626557","לקוטי צבי")</f>
        <v>לקוטי צבי</v>
      </c>
    </row>
    <row r="1681" spans="1:6" x14ac:dyDescent="0.2">
      <c r="A1681" t="s">
        <v>3521</v>
      </c>
      <c r="B1681" t="s">
        <v>3522</v>
      </c>
      <c r="C1681" t="s">
        <v>666</v>
      </c>
      <c r="D1681" s="1" t="s">
        <v>52</v>
      </c>
      <c r="F1681" s="5" t="str">
        <f>HYPERLINK("http://www.otzar.org/book.asp?617624","לקוטי שמואל")</f>
        <v>לקוטי שמואל</v>
      </c>
    </row>
    <row r="1682" spans="1:6" x14ac:dyDescent="0.2">
      <c r="A1682" t="s">
        <v>3523</v>
      </c>
      <c r="B1682" t="s">
        <v>3524</v>
      </c>
      <c r="C1682" t="s">
        <v>2227</v>
      </c>
      <c r="D1682" s="1" t="s">
        <v>9</v>
      </c>
      <c r="E1682" t="s">
        <v>295</v>
      </c>
      <c r="F1682" s="5" t="str">
        <f>HYPERLINK("http://www.otzar.org/book.asp?624700","לקוטי תפלות ותחנונים")</f>
        <v>לקוטי תפלות ותחנונים</v>
      </c>
    </row>
    <row r="1683" spans="1:6" x14ac:dyDescent="0.2">
      <c r="A1683" t="s">
        <v>3525</v>
      </c>
      <c r="B1683" t="s">
        <v>3526</v>
      </c>
      <c r="C1683" t="s">
        <v>73</v>
      </c>
      <c r="D1683" s="1" t="s">
        <v>14</v>
      </c>
      <c r="E1683" t="s">
        <v>22</v>
      </c>
      <c r="F1683" s="5" t="str">
        <f>HYPERLINK("http://www.otzar.org/book.asp?625407","לקח טוב - ראש השנה")</f>
        <v>לקח טוב - ראש השנה</v>
      </c>
    </row>
    <row r="1684" spans="1:6" x14ac:dyDescent="0.2">
      <c r="A1684" t="s">
        <v>3527</v>
      </c>
      <c r="B1684" t="s">
        <v>260</v>
      </c>
      <c r="C1684" t="s">
        <v>136</v>
      </c>
      <c r="D1684" s="1" t="s">
        <v>9</v>
      </c>
      <c r="E1684" t="s">
        <v>305</v>
      </c>
      <c r="F1684" s="5" t="str">
        <f>HYPERLINK("http://www.otzar.org/book.asp?627656","לקח טוב - 3 כר'")</f>
        <v>לקח טוב - 3 כר'</v>
      </c>
    </row>
    <row r="1685" spans="1:6" x14ac:dyDescent="0.2">
      <c r="A1685" t="s">
        <v>3528</v>
      </c>
      <c r="B1685" t="s">
        <v>758</v>
      </c>
      <c r="C1685" t="s">
        <v>73</v>
      </c>
      <c r="D1685" s="1" t="s">
        <v>9</v>
      </c>
      <c r="E1685" t="s">
        <v>168</v>
      </c>
      <c r="F1685" s="5" t="str">
        <f>HYPERLINK("http://www.otzar.org/book.asp?627950","לקחת מוסר - 2 כר'")</f>
        <v>לקחת מוסר - 2 כר'</v>
      </c>
    </row>
    <row r="1686" spans="1:6" x14ac:dyDescent="0.2">
      <c r="A1686" t="s">
        <v>3529</v>
      </c>
      <c r="B1686" t="s">
        <v>3530</v>
      </c>
      <c r="C1686" t="s">
        <v>818</v>
      </c>
      <c r="D1686" s="1" t="s">
        <v>9</v>
      </c>
      <c r="E1686" t="s">
        <v>44</v>
      </c>
      <c r="F1686" s="5" t="str">
        <f>HYPERLINK("http://www.otzar.org/book.asp?627288","לקט אליהו")</f>
        <v>לקט אליהו</v>
      </c>
    </row>
    <row r="1687" spans="1:6" x14ac:dyDescent="0.2">
      <c r="A1687" t="s">
        <v>3531</v>
      </c>
      <c r="B1687" t="s">
        <v>3532</v>
      </c>
      <c r="C1687" t="s">
        <v>8</v>
      </c>
      <c r="D1687" s="1" t="s">
        <v>1841</v>
      </c>
      <c r="E1687" t="s">
        <v>89</v>
      </c>
      <c r="F1687" s="5" t="str">
        <f>HYPERLINK("http://www.otzar.org/book.asp?629981","לקט בעניני חג הפורים")</f>
        <v>לקט בעניני חג הפורים</v>
      </c>
    </row>
    <row r="1688" spans="1:6" x14ac:dyDescent="0.2">
      <c r="A1688" t="s">
        <v>3533</v>
      </c>
      <c r="B1688" t="s">
        <v>3532</v>
      </c>
      <c r="C1688" t="s">
        <v>8</v>
      </c>
      <c r="D1688" s="1" t="s">
        <v>1841</v>
      </c>
      <c r="E1688" t="s">
        <v>89</v>
      </c>
      <c r="F1688" s="5" t="str">
        <f>HYPERLINK("http://www.otzar.org/book.asp?629984","לקט בעניני חג הפסח - 2 כר'")</f>
        <v>לקט בעניני חג הפסח - 2 כר'</v>
      </c>
    </row>
    <row r="1689" spans="1:6" x14ac:dyDescent="0.2">
      <c r="A1689" t="s">
        <v>3534</v>
      </c>
      <c r="B1689" t="s">
        <v>3532</v>
      </c>
      <c r="C1689" t="s">
        <v>8</v>
      </c>
      <c r="D1689" s="1" t="s">
        <v>1841</v>
      </c>
      <c r="E1689" t="s">
        <v>89</v>
      </c>
      <c r="F1689" s="5" t="str">
        <f>HYPERLINK("http://www.otzar.org/book.asp?629982","לקט בעניני ראש השנה")</f>
        <v>לקט בעניני ראש השנה</v>
      </c>
    </row>
    <row r="1690" spans="1:6" x14ac:dyDescent="0.2">
      <c r="A1690" t="s">
        <v>3535</v>
      </c>
      <c r="B1690" t="s">
        <v>3532</v>
      </c>
      <c r="C1690" t="s">
        <v>13</v>
      </c>
      <c r="D1690" s="1" t="s">
        <v>1841</v>
      </c>
      <c r="E1690" t="s">
        <v>89</v>
      </c>
      <c r="F1690" s="5" t="str">
        <f>HYPERLINK("http://www.otzar.org/book.asp?629983","לקט בעניני שבועות")</f>
        <v>לקט בעניני שבועות</v>
      </c>
    </row>
    <row r="1691" spans="1:6" x14ac:dyDescent="0.2">
      <c r="A1691" t="s">
        <v>3536</v>
      </c>
      <c r="B1691" t="s">
        <v>3537</v>
      </c>
      <c r="C1691" t="s">
        <v>999</v>
      </c>
      <c r="D1691" s="1" t="s">
        <v>14</v>
      </c>
      <c r="E1691" t="s">
        <v>37</v>
      </c>
      <c r="F1691" s="5" t="str">
        <f>HYPERLINK("http://www.otzar.org/book.asp?623853","לקט הלכות ביעור מעשרות")</f>
        <v>לקט הלכות ביעור מעשרות</v>
      </c>
    </row>
    <row r="1692" spans="1:6" x14ac:dyDescent="0.2">
      <c r="A1692" t="s">
        <v>3538</v>
      </c>
      <c r="B1692" t="s">
        <v>3539</v>
      </c>
      <c r="D1692" s="1" t="s">
        <v>14</v>
      </c>
      <c r="E1692" t="s">
        <v>89</v>
      </c>
      <c r="F1692" s="5" t="str">
        <f>HYPERLINK("http://www.otzar.org/book.asp?623770","לקט הלכות ומנהגים - 7 כר'")</f>
        <v>לקט הלכות ומנהגים - 7 כר'</v>
      </c>
    </row>
    <row r="1693" spans="1:6" x14ac:dyDescent="0.2">
      <c r="A1693" t="s">
        <v>3540</v>
      </c>
      <c r="B1693" t="s">
        <v>3541</v>
      </c>
      <c r="C1693" t="s">
        <v>818</v>
      </c>
      <c r="D1693" s="1" t="s">
        <v>14</v>
      </c>
      <c r="E1693" t="s">
        <v>37</v>
      </c>
      <c r="F1693" s="5" t="str">
        <f>HYPERLINK("http://www.otzar.org/book.asp?625539","לקט הלכות יום טוב")</f>
        <v>לקט הלכות יום טוב</v>
      </c>
    </row>
    <row r="1694" spans="1:6" x14ac:dyDescent="0.2">
      <c r="A1694" t="s">
        <v>3542</v>
      </c>
      <c r="B1694" t="s">
        <v>3543</v>
      </c>
      <c r="C1694" t="s">
        <v>13</v>
      </c>
      <c r="D1694" s="1" t="s">
        <v>14</v>
      </c>
      <c r="E1694" t="s">
        <v>154</v>
      </c>
      <c r="F1694" s="5" t="str">
        <f>HYPERLINK("http://www.otzar.org/book.asp?629436","לקט הלכות - 3 כר'")</f>
        <v>לקט הלכות - 3 כר'</v>
      </c>
    </row>
    <row r="1695" spans="1:6" x14ac:dyDescent="0.2">
      <c r="A1695" t="s">
        <v>3544</v>
      </c>
      <c r="B1695" t="s">
        <v>3545</v>
      </c>
      <c r="C1695" t="s">
        <v>174</v>
      </c>
      <c r="D1695" s="1" t="s">
        <v>9</v>
      </c>
      <c r="E1695" t="s">
        <v>89</v>
      </c>
      <c r="F1695" s="5" t="str">
        <f>HYPERLINK("http://www.otzar.org/book.asp?624844","לקט מאמרים - חנוכה")</f>
        <v>לקט מאמרים - חנוכה</v>
      </c>
    </row>
    <row r="1696" spans="1:6" x14ac:dyDescent="0.2">
      <c r="A1696" t="s">
        <v>3546</v>
      </c>
      <c r="B1696" t="s">
        <v>3547</v>
      </c>
      <c r="C1696" t="s">
        <v>73</v>
      </c>
      <c r="D1696" s="1" t="s">
        <v>3548</v>
      </c>
      <c r="E1696" t="s">
        <v>49</v>
      </c>
      <c r="F1696" s="5" t="str">
        <f>HYPERLINK("http://www.otzar.org/book.asp?628748","לקט רשימות - 3 כר'")</f>
        <v>לקט רשימות - 3 כר'</v>
      </c>
    </row>
    <row r="1697" spans="1:6" x14ac:dyDescent="0.2">
      <c r="A1697" t="s">
        <v>3549</v>
      </c>
      <c r="B1697" t="s">
        <v>3550</v>
      </c>
      <c r="C1697" t="s">
        <v>25</v>
      </c>
      <c r="D1697" s="1" t="s">
        <v>229</v>
      </c>
      <c r="E1697" t="s">
        <v>22</v>
      </c>
      <c r="F1697" s="5" t="str">
        <f>HYPERLINK("http://www.otzar.org/book.asp?628776","לקט שיעורים &lt;ר""י סלבודקה&gt; - שיעורי הגרד""ל - שיעורי ר' משה הלל הירש - שיעורי רבי יצחק שוורץ - שבת")</f>
        <v>לקט שיעורים &lt;ר"י סלבודקה&gt; - שיעורי הגרד"ל - שיעורי ר' משה הלל הירש - שיעורי רבי יצחק שוורץ - שבת</v>
      </c>
    </row>
    <row r="1698" spans="1:6" x14ac:dyDescent="0.2">
      <c r="A1698" t="s">
        <v>3551</v>
      </c>
      <c r="B1698" t="s">
        <v>3552</v>
      </c>
      <c r="C1698" t="s">
        <v>1074</v>
      </c>
      <c r="D1698" s="1" t="s">
        <v>14</v>
      </c>
      <c r="E1698" t="s">
        <v>22</v>
      </c>
      <c r="F1698" s="5" t="str">
        <f>HYPERLINK("http://www.otzar.org/book.asp?626536","לקט שיעורים &lt;ר""י סלבודקה&gt; - שבת א")</f>
        <v>לקט שיעורים &lt;ר"י סלבודקה&gt; - שבת א</v>
      </c>
    </row>
    <row r="1699" spans="1:6" x14ac:dyDescent="0.2">
      <c r="A1699" t="s">
        <v>3553</v>
      </c>
      <c r="B1699" t="s">
        <v>3554</v>
      </c>
      <c r="C1699" t="s">
        <v>2023</v>
      </c>
      <c r="D1699" s="1" t="s">
        <v>14</v>
      </c>
      <c r="E1699" t="s">
        <v>22</v>
      </c>
      <c r="F1699" s="5" t="str">
        <f>HYPERLINK("http://www.otzar.org/book.asp?626537","לקט שיעורים &lt;ר""י סלבודקה&gt; - שבת ב")</f>
        <v>לקט שיעורים &lt;ר"י סלבודקה&gt; - שבת ב</v>
      </c>
    </row>
    <row r="1700" spans="1:6" x14ac:dyDescent="0.2">
      <c r="A1700" t="s">
        <v>3555</v>
      </c>
      <c r="B1700" t="s">
        <v>3550</v>
      </c>
      <c r="E1700" t="s">
        <v>22</v>
      </c>
      <c r="F1700" s="5" t="str">
        <f>HYPERLINK("http://www.otzar.org/book.asp?628076","לקט שיעורים - שבת")</f>
        <v>לקט שיעורים - שבת</v>
      </c>
    </row>
    <row r="1701" spans="1:6" x14ac:dyDescent="0.2">
      <c r="A1701" t="s">
        <v>3556</v>
      </c>
      <c r="B1701" t="s">
        <v>3557</v>
      </c>
      <c r="C1701" t="s">
        <v>606</v>
      </c>
      <c r="D1701" s="1" t="s">
        <v>29</v>
      </c>
      <c r="E1701" t="s">
        <v>168</v>
      </c>
      <c r="F1701" s="5" t="str">
        <f>HYPERLINK("http://www.otzar.org/book.asp?627071","לקראת שבת - 2 כר'")</f>
        <v>לקראת שבת - 2 כר'</v>
      </c>
    </row>
    <row r="1702" spans="1:6" x14ac:dyDescent="0.2">
      <c r="A1702" t="s">
        <v>3558</v>
      </c>
      <c r="B1702" t="s">
        <v>3559</v>
      </c>
      <c r="C1702" t="s">
        <v>25</v>
      </c>
      <c r="D1702" s="1" t="s">
        <v>9</v>
      </c>
      <c r="F1702" s="5" t="str">
        <f>HYPERLINK("http://www.otzar.org/book.asp?630134","לקראת שבת - ב")</f>
        <v>לקראת שבת - ב</v>
      </c>
    </row>
    <row r="1703" spans="1:6" x14ac:dyDescent="0.2">
      <c r="A1703" t="s">
        <v>3556</v>
      </c>
      <c r="B1703" t="s">
        <v>3560</v>
      </c>
      <c r="C1703" t="s">
        <v>20</v>
      </c>
      <c r="D1703" s="1" t="s">
        <v>9</v>
      </c>
      <c r="E1703" t="s">
        <v>214</v>
      </c>
      <c r="F1703" s="5" t="str">
        <f>HYPERLINK("http://www.otzar.org/book.asp?627694","לקראת שבת - 2 כר'")</f>
        <v>לקראת שבת - 2 כר'</v>
      </c>
    </row>
    <row r="1704" spans="1:6" x14ac:dyDescent="0.2">
      <c r="A1704" t="s">
        <v>3561</v>
      </c>
      <c r="B1704" t="s">
        <v>3562</v>
      </c>
      <c r="C1704" t="s">
        <v>123</v>
      </c>
      <c r="D1704" s="1" t="s">
        <v>1906</v>
      </c>
      <c r="E1704" t="s">
        <v>34</v>
      </c>
      <c r="F1704" s="5" t="str">
        <f>HYPERLINK("http://www.otzar.org/book.asp?624941","לרחוק ולקרוב")</f>
        <v>לרחוק ולקרוב</v>
      </c>
    </row>
    <row r="1705" spans="1:6" x14ac:dyDescent="0.2">
      <c r="A1705" t="s">
        <v>3563</v>
      </c>
      <c r="B1705" t="s">
        <v>2241</v>
      </c>
      <c r="D1705" s="1" t="s">
        <v>14</v>
      </c>
      <c r="E1705" t="s">
        <v>44</v>
      </c>
      <c r="F1705" s="5" t="str">
        <f>HYPERLINK("http://www.otzar.org/book.asp?629319","לשון זהורית - הגהות והערות")</f>
        <v>לשון זהורית - הגהות והערות</v>
      </c>
    </row>
    <row r="1706" spans="1:6" x14ac:dyDescent="0.2">
      <c r="A1706" t="s">
        <v>3564</v>
      </c>
      <c r="B1706" t="s">
        <v>3565</v>
      </c>
      <c r="C1706" t="s">
        <v>763</v>
      </c>
      <c r="D1706" s="1" t="s">
        <v>537</v>
      </c>
      <c r="E1706" t="s">
        <v>49</v>
      </c>
      <c r="F1706" s="5" t="str">
        <f>HYPERLINK("http://www.otzar.org/book.asp?627381","לשון חכמים")</f>
        <v>לשון חכמים</v>
      </c>
    </row>
    <row r="1707" spans="1:6" x14ac:dyDescent="0.2">
      <c r="A1707" t="s">
        <v>3566</v>
      </c>
      <c r="B1707" t="s">
        <v>3567</v>
      </c>
      <c r="C1707" t="s">
        <v>397</v>
      </c>
      <c r="D1707" s="1" t="s">
        <v>29</v>
      </c>
      <c r="E1707" t="s">
        <v>154</v>
      </c>
      <c r="F1707" s="5" t="str">
        <f>HYPERLINK("http://www.otzar.org/book.asp?627263","לשון מרפא - הלכות רפואה בשבת")</f>
        <v>לשון מרפא - הלכות רפואה בשבת</v>
      </c>
    </row>
    <row r="1708" spans="1:6" x14ac:dyDescent="0.2">
      <c r="A1708" t="s">
        <v>3568</v>
      </c>
      <c r="B1708" t="s">
        <v>3569</v>
      </c>
      <c r="C1708" t="s">
        <v>13</v>
      </c>
      <c r="D1708" s="1" t="s">
        <v>9</v>
      </c>
      <c r="E1708" t="s">
        <v>22</v>
      </c>
      <c r="F1708" s="5" t="str">
        <f>HYPERLINK("http://www.otzar.org/book.asp?629415","לשונות ארגמן - 2 כר'")</f>
        <v>לשונות ארגמן - 2 כר'</v>
      </c>
    </row>
    <row r="1709" spans="1:6" x14ac:dyDescent="0.2">
      <c r="A1709" t="s">
        <v>3570</v>
      </c>
      <c r="B1709" t="s">
        <v>3571</v>
      </c>
      <c r="C1709" t="s">
        <v>88</v>
      </c>
      <c r="D1709" s="1" t="s">
        <v>229</v>
      </c>
      <c r="E1709" t="s">
        <v>49</v>
      </c>
      <c r="F1709" s="5" t="str">
        <f>HYPERLINK("http://www.otzar.org/book.asp?625278","לשכנו תדרשו - 2 כר'")</f>
        <v>לשכנו תדרשו - 2 כר'</v>
      </c>
    </row>
    <row r="1710" spans="1:6" x14ac:dyDescent="0.2">
      <c r="A1710" t="s">
        <v>3572</v>
      </c>
      <c r="B1710" t="s">
        <v>3573</v>
      </c>
      <c r="C1710" t="s">
        <v>3574</v>
      </c>
      <c r="D1710" s="1" t="s">
        <v>537</v>
      </c>
      <c r="E1710" t="s">
        <v>49</v>
      </c>
      <c r="F1710" s="5" t="str">
        <f>HYPERLINK("http://www.otzar.org/book.asp?623637","לשלשה באלול - 2 כר'")</f>
        <v>לשלשה באלול - 2 כר'</v>
      </c>
    </row>
    <row r="1711" spans="1:6" x14ac:dyDescent="0.2">
      <c r="A1711" t="s">
        <v>3575</v>
      </c>
      <c r="B1711" t="s">
        <v>2666</v>
      </c>
      <c r="C1711" t="s">
        <v>25</v>
      </c>
      <c r="D1711" s="1" t="s">
        <v>229</v>
      </c>
      <c r="E1711" t="s">
        <v>30</v>
      </c>
      <c r="F1711" s="5" t="str">
        <f>HYPERLINK("http://www.otzar.org/book.asp?631189","לשם מה חייבים רבי - ואתה תצוה בעיון")</f>
        <v>לשם מה חייבים רבי - ואתה תצוה בעיון</v>
      </c>
    </row>
    <row r="1712" spans="1:6" x14ac:dyDescent="0.2">
      <c r="A1712" t="s">
        <v>3576</v>
      </c>
      <c r="B1712" t="s">
        <v>210</v>
      </c>
      <c r="C1712" t="s">
        <v>20</v>
      </c>
      <c r="D1712" s="1" t="s">
        <v>9</v>
      </c>
      <c r="E1712" t="s">
        <v>49</v>
      </c>
      <c r="F1712" s="5" t="str">
        <f>HYPERLINK("http://www.otzar.org/book.asp?626231","לשעה ולדורות")</f>
        <v>לשעה ולדורות</v>
      </c>
    </row>
    <row r="1713" spans="1:6" x14ac:dyDescent="0.2">
      <c r="A1713" t="s">
        <v>3577</v>
      </c>
      <c r="B1713" t="s">
        <v>1970</v>
      </c>
      <c r="C1713" t="s">
        <v>1727</v>
      </c>
      <c r="D1713" s="1" t="s">
        <v>3578</v>
      </c>
      <c r="E1713" t="s">
        <v>371</v>
      </c>
      <c r="F1713" s="5" t="str">
        <f>HYPERLINK("http://www.otzar.org/book.asp?627372","לתולדות ר' שמואל הנגיד")</f>
        <v>לתולדות ר' שמואל הנגיד</v>
      </c>
    </row>
    <row r="1714" spans="1:6" x14ac:dyDescent="0.2">
      <c r="A1714" t="s">
        <v>3579</v>
      </c>
      <c r="B1714" t="s">
        <v>3580</v>
      </c>
      <c r="C1714" t="s">
        <v>427</v>
      </c>
      <c r="D1714" s="1" t="s">
        <v>29</v>
      </c>
      <c r="E1714" t="s">
        <v>214</v>
      </c>
      <c r="F1714" s="5" t="str">
        <f>HYPERLINK("http://www.otzar.org/book.asp?629102","לתורה והוראה - 6 כר'")</f>
        <v>לתורה והוראה - 6 כר'</v>
      </c>
    </row>
    <row r="1715" spans="1:6" x14ac:dyDescent="0.2">
      <c r="A1715" t="s">
        <v>3581</v>
      </c>
      <c r="B1715" t="s">
        <v>3582</v>
      </c>
      <c r="C1715" t="s">
        <v>20</v>
      </c>
      <c r="D1715" s="1" t="s">
        <v>21</v>
      </c>
      <c r="E1715" t="s">
        <v>199</v>
      </c>
      <c r="F1715" s="5" t="str">
        <f>HYPERLINK("http://www.otzar.org/book.asp?628165","מ""י מנוחות - נזקי שכנים ושכירות פועלים")</f>
        <v>מ"י מנוחות - נזקי שכנים ושכירות פועלים</v>
      </c>
    </row>
    <row r="1716" spans="1:6" x14ac:dyDescent="0.2">
      <c r="A1716" t="s">
        <v>3583</v>
      </c>
      <c r="B1716" t="s">
        <v>3584</v>
      </c>
      <c r="C1716" t="s">
        <v>40</v>
      </c>
      <c r="D1716" s="1" t="s">
        <v>1948</v>
      </c>
      <c r="E1716" t="s">
        <v>89</v>
      </c>
      <c r="F1716" s="5" t="str">
        <f>HYPERLINK("http://www.otzar.org/book.asp?626723","מאבני המקום - סוכות")</f>
        <v>מאבני המקום - סוכות</v>
      </c>
    </row>
    <row r="1717" spans="1:6" x14ac:dyDescent="0.2">
      <c r="A1717" t="s">
        <v>3585</v>
      </c>
      <c r="B1717" t="s">
        <v>3586</v>
      </c>
      <c r="C1717" t="s">
        <v>13</v>
      </c>
      <c r="D1717" s="1" t="s">
        <v>9</v>
      </c>
      <c r="E1717" t="s">
        <v>41</v>
      </c>
      <c r="F1717" s="5" t="str">
        <f>HYPERLINK("http://www.otzar.org/book.asp?628000","מאבני המקום - ב")</f>
        <v>מאבני המקום - ב</v>
      </c>
    </row>
    <row r="1718" spans="1:6" x14ac:dyDescent="0.2">
      <c r="A1718" t="s">
        <v>3587</v>
      </c>
      <c r="B1718" t="s">
        <v>3588</v>
      </c>
      <c r="C1718" t="s">
        <v>369</v>
      </c>
      <c r="D1718" s="1" t="s">
        <v>1176</v>
      </c>
      <c r="E1718" t="s">
        <v>538</v>
      </c>
      <c r="F1718" s="5" t="str">
        <f>HYPERLINK("http://www.otzar.org/book.asp?627002","מאגדות החורבן")</f>
        <v>מאגדות החורבן</v>
      </c>
    </row>
    <row r="1719" spans="1:6" x14ac:dyDescent="0.2">
      <c r="A1719" t="s">
        <v>3589</v>
      </c>
      <c r="B1719" t="s">
        <v>1322</v>
      </c>
      <c r="C1719" t="s">
        <v>73</v>
      </c>
      <c r="D1719" s="1" t="s">
        <v>9</v>
      </c>
      <c r="E1719" t="s">
        <v>121</v>
      </c>
      <c r="F1719" s="5" t="str">
        <f>HYPERLINK("http://www.otzar.org/book.asp?628712","מאה שערים ושכונותיה")</f>
        <v>מאה שערים ושכונותיה</v>
      </c>
    </row>
    <row r="1720" spans="1:6" x14ac:dyDescent="0.2">
      <c r="A1720" t="s">
        <v>3590</v>
      </c>
      <c r="B1720" t="s">
        <v>3591</v>
      </c>
      <c r="C1720" t="s">
        <v>20</v>
      </c>
      <c r="D1720" s="1" t="s">
        <v>3592</v>
      </c>
      <c r="E1720" t="s">
        <v>836</v>
      </c>
      <c r="F1720" s="5" t="str">
        <f>HYPERLINK("http://www.otzar.org/book.asp?627093","מאהלי תורה - 2 כר'")</f>
        <v>מאהלי תורה - 2 כר'</v>
      </c>
    </row>
    <row r="1721" spans="1:6" x14ac:dyDescent="0.2">
      <c r="A1721" t="s">
        <v>3593</v>
      </c>
      <c r="B1721" t="s">
        <v>3594</v>
      </c>
      <c r="C1721" t="s">
        <v>13</v>
      </c>
      <c r="D1721" s="1" t="s">
        <v>803</v>
      </c>
      <c r="E1721" t="s">
        <v>836</v>
      </c>
      <c r="F1721" s="5" t="str">
        <f>HYPERLINK("http://www.otzar.org/book.asp?624473","מאוצרותיו של המגיד - פרשת תזריע, פרשת החודש, פסח")</f>
        <v>מאוצרותיו של המגיד - פרשת תזריע, פרשת החודש, פסח</v>
      </c>
    </row>
    <row r="1722" spans="1:6" x14ac:dyDescent="0.2">
      <c r="A1722" t="s">
        <v>3595</v>
      </c>
      <c r="B1722" t="s">
        <v>3596</v>
      </c>
      <c r="C1722" t="s">
        <v>133</v>
      </c>
      <c r="E1722" t="s">
        <v>227</v>
      </c>
      <c r="F1722" s="5" t="str">
        <f>HYPERLINK("http://www.otzar.org/book.asp?624806","מאור אברהם")</f>
        <v>מאור אברהם</v>
      </c>
    </row>
    <row r="1723" spans="1:6" x14ac:dyDescent="0.2">
      <c r="A1723" t="s">
        <v>3597</v>
      </c>
      <c r="B1723" t="s">
        <v>3598</v>
      </c>
      <c r="C1723" t="s">
        <v>190</v>
      </c>
      <c r="D1723" s="1" t="s">
        <v>471</v>
      </c>
      <c r="E1723" t="s">
        <v>154</v>
      </c>
      <c r="F1723" s="5" t="str">
        <f>HYPERLINK("http://www.otzar.org/book.asp?624668","מאור ההלכה")</f>
        <v>מאור ההלכה</v>
      </c>
    </row>
    <row r="1724" spans="1:6" x14ac:dyDescent="0.2">
      <c r="A1724" t="s">
        <v>3599</v>
      </c>
      <c r="B1724" t="s">
        <v>3600</v>
      </c>
      <c r="C1724" t="s">
        <v>13</v>
      </c>
      <c r="D1724" s="1" t="s">
        <v>9</v>
      </c>
      <c r="E1724" t="s">
        <v>836</v>
      </c>
      <c r="F1724" s="5" t="str">
        <f>HYPERLINK("http://www.otzar.org/book.asp?624492","מאור ושמש השלם - ו")</f>
        <v>מאור ושמש השלם - ו</v>
      </c>
    </row>
    <row r="1725" spans="1:6" x14ac:dyDescent="0.2">
      <c r="A1725" t="s">
        <v>3601</v>
      </c>
      <c r="B1725" t="s">
        <v>3602</v>
      </c>
      <c r="C1725" t="s">
        <v>8</v>
      </c>
      <c r="D1725" s="1" t="s">
        <v>52</v>
      </c>
      <c r="E1725" t="s">
        <v>22</v>
      </c>
      <c r="F1725" s="5" t="str">
        <f>HYPERLINK("http://www.otzar.org/book.asp?629813","מאור חדש")</f>
        <v>מאור חדש</v>
      </c>
    </row>
    <row r="1726" spans="1:6" x14ac:dyDescent="0.2">
      <c r="A1726" t="s">
        <v>3603</v>
      </c>
      <c r="B1726" t="s">
        <v>3604</v>
      </c>
      <c r="C1726" t="s">
        <v>174</v>
      </c>
      <c r="D1726" s="1" t="s">
        <v>9</v>
      </c>
      <c r="F1726" s="5" t="str">
        <f>HYPERLINK("http://www.otzar.org/book.asp?630382","מאורות הגדולים - שיח יצחק - הלולא דצדיקיא")</f>
        <v>מאורות הגדולים - שיח יצחק - הלולא דצדיקיא</v>
      </c>
    </row>
    <row r="1727" spans="1:6" x14ac:dyDescent="0.2">
      <c r="A1727" t="s">
        <v>3605</v>
      </c>
      <c r="B1727" t="s">
        <v>3606</v>
      </c>
      <c r="C1727" t="s">
        <v>226</v>
      </c>
      <c r="D1727" s="1" t="s">
        <v>9</v>
      </c>
      <c r="E1727" t="s">
        <v>214</v>
      </c>
      <c r="F1727" s="5" t="str">
        <f>HYPERLINK("http://www.otzar.org/book.asp?624629","מאורות - 24 כר'")</f>
        <v>מאורות - 24 כר'</v>
      </c>
    </row>
    <row r="1728" spans="1:6" x14ac:dyDescent="0.2">
      <c r="A1728" t="s">
        <v>3607</v>
      </c>
      <c r="B1728" t="s">
        <v>3607</v>
      </c>
      <c r="C1728" t="s">
        <v>3608</v>
      </c>
      <c r="D1728" s="1" t="s">
        <v>3609</v>
      </c>
      <c r="E1728" t="s">
        <v>214</v>
      </c>
      <c r="F1728" s="5" t="str">
        <f>HYPERLINK("http://www.otzar.org/book.asp?624694","מאורות")</f>
        <v>מאורות</v>
      </c>
    </row>
    <row r="1729" spans="1:6" x14ac:dyDescent="0.2">
      <c r="A1729" t="s">
        <v>3610</v>
      </c>
      <c r="B1729" t="s">
        <v>3611</v>
      </c>
      <c r="C1729" t="s">
        <v>123</v>
      </c>
      <c r="D1729" s="1" t="s">
        <v>9</v>
      </c>
      <c r="E1729" t="s">
        <v>214</v>
      </c>
      <c r="F1729" s="5" t="str">
        <f>HYPERLINK("http://www.otzar.org/book.asp?624696","מאורות - 2 כר'")</f>
        <v>מאורות - 2 כר'</v>
      </c>
    </row>
    <row r="1730" spans="1:6" x14ac:dyDescent="0.2">
      <c r="A1730" t="s">
        <v>3612</v>
      </c>
      <c r="B1730" t="s">
        <v>482</v>
      </c>
      <c r="C1730" t="s">
        <v>73</v>
      </c>
      <c r="D1730" s="1" t="s">
        <v>9</v>
      </c>
      <c r="E1730" t="s">
        <v>49</v>
      </c>
      <c r="F1730" s="5" t="str">
        <f>HYPERLINK("http://www.otzar.org/book.asp?625774","מאורעות תשע""ז - 2 כר'")</f>
        <v>מאורעות תשע"ז - 2 כר'</v>
      </c>
    </row>
    <row r="1731" spans="1:6" x14ac:dyDescent="0.2">
      <c r="A1731" t="s">
        <v>3613</v>
      </c>
      <c r="B1731" t="s">
        <v>3614</v>
      </c>
      <c r="C1731" t="s">
        <v>20</v>
      </c>
      <c r="D1731" s="1" t="s">
        <v>14</v>
      </c>
      <c r="E1731" t="s">
        <v>214</v>
      </c>
      <c r="F1731" s="5" t="str">
        <f>HYPERLINK("http://www.otzar.org/book.asp?622762","מאיר דרך 17-21")</f>
        <v>מאיר דרך 17-21</v>
      </c>
    </row>
    <row r="1732" spans="1:6" x14ac:dyDescent="0.2">
      <c r="A1732" t="s">
        <v>3615</v>
      </c>
      <c r="B1732" t="s">
        <v>3616</v>
      </c>
      <c r="C1732" t="s">
        <v>13</v>
      </c>
      <c r="D1732" s="1" t="s">
        <v>803</v>
      </c>
      <c r="E1732" t="s">
        <v>154</v>
      </c>
      <c r="F1732" s="5" t="str">
        <f>HYPERLINK("http://www.otzar.org/book.asp?627574","מאיר הלכה - הלכות שבת")</f>
        <v>מאיר הלכה - הלכות שבת</v>
      </c>
    </row>
    <row r="1733" spans="1:6" x14ac:dyDescent="0.2">
      <c r="A1733" t="s">
        <v>3617</v>
      </c>
      <c r="B1733" t="s">
        <v>3618</v>
      </c>
      <c r="C1733" t="s">
        <v>13</v>
      </c>
      <c r="D1733" s="1" t="s">
        <v>14</v>
      </c>
      <c r="E1733" t="s">
        <v>199</v>
      </c>
      <c r="F1733" s="5" t="str">
        <f>HYPERLINK("http://www.otzar.org/book.asp?628533","מאיר עוז - יא")</f>
        <v>מאיר עוז - יא</v>
      </c>
    </row>
    <row r="1734" spans="1:6" x14ac:dyDescent="0.2">
      <c r="A1734" t="s">
        <v>3619</v>
      </c>
      <c r="B1734" t="s">
        <v>3620</v>
      </c>
      <c r="C1734" t="s">
        <v>3621</v>
      </c>
      <c r="D1734" s="1" t="s">
        <v>3622</v>
      </c>
      <c r="E1734" t="s">
        <v>168</v>
      </c>
      <c r="F1734" s="5" t="str">
        <f>HYPERLINK("http://www.otzar.org/book.asp?625449","מאיר עין - שופטים")</f>
        <v>מאיר עין - שופטים</v>
      </c>
    </row>
    <row r="1735" spans="1:6" x14ac:dyDescent="0.2">
      <c r="A1735" t="s">
        <v>3623</v>
      </c>
      <c r="B1735" t="s">
        <v>3624</v>
      </c>
      <c r="C1735" t="s">
        <v>818</v>
      </c>
      <c r="D1735" s="1" t="s">
        <v>3625</v>
      </c>
      <c r="E1735" t="s">
        <v>37</v>
      </c>
      <c r="F1735" s="5" t="str">
        <f>HYPERLINK("http://www.otzar.org/book.asp?628713","מאמר אסתר - איסור והיתר")</f>
        <v>מאמר אסתר - איסור והיתר</v>
      </c>
    </row>
    <row r="1736" spans="1:6" x14ac:dyDescent="0.2">
      <c r="A1736" t="s">
        <v>3626</v>
      </c>
      <c r="B1736" t="s">
        <v>3627</v>
      </c>
      <c r="C1736" t="s">
        <v>8</v>
      </c>
      <c r="D1736" s="1" t="s">
        <v>9</v>
      </c>
      <c r="E1736" t="s">
        <v>49</v>
      </c>
      <c r="F1736" s="5" t="str">
        <f>HYPERLINK("http://www.otzar.org/book.asp?630570","מאמר בנין ירושלים")</f>
        <v>מאמר בנין ירושלים</v>
      </c>
    </row>
    <row r="1737" spans="1:6" x14ac:dyDescent="0.2">
      <c r="A1737" t="s">
        <v>3628</v>
      </c>
      <c r="B1737" t="s">
        <v>890</v>
      </c>
      <c r="C1737" t="s">
        <v>20</v>
      </c>
      <c r="D1737" s="1" t="s">
        <v>52</v>
      </c>
      <c r="E1737" t="s">
        <v>49</v>
      </c>
      <c r="F1737" s="5" t="str">
        <f>HYPERLINK("http://www.otzar.org/book.asp?630293","מאמר בענין ימי הגשמים")</f>
        <v>מאמר בענין ימי הגשמים</v>
      </c>
    </row>
    <row r="1738" spans="1:6" x14ac:dyDescent="0.2">
      <c r="A1738" t="s">
        <v>3629</v>
      </c>
      <c r="B1738" t="s">
        <v>3630</v>
      </c>
      <c r="C1738" t="s">
        <v>73</v>
      </c>
      <c r="E1738" t="s">
        <v>22</v>
      </c>
      <c r="F1738" s="5" t="str">
        <f>HYPERLINK("http://www.otzar.org/book.asp?624938","מאמר מנחם")</f>
        <v>מאמר מנחם</v>
      </c>
    </row>
    <row r="1739" spans="1:6" x14ac:dyDescent="0.2">
      <c r="A1739" t="s">
        <v>3631</v>
      </c>
      <c r="B1739" t="s">
        <v>1720</v>
      </c>
      <c r="C1739" t="s">
        <v>73</v>
      </c>
      <c r="D1739" s="1" t="s">
        <v>9</v>
      </c>
      <c r="E1739" t="s">
        <v>49</v>
      </c>
      <c r="F1739" s="5" t="str">
        <f>HYPERLINK("http://www.otzar.org/book.asp?631237","מאמר ציון - 3 כר'")</f>
        <v>מאמר ציון - 3 כר'</v>
      </c>
    </row>
    <row r="1740" spans="1:6" x14ac:dyDescent="0.2">
      <c r="A1740" t="s">
        <v>3632</v>
      </c>
      <c r="B1740" t="s">
        <v>3633</v>
      </c>
      <c r="C1740" t="s">
        <v>25</v>
      </c>
      <c r="D1740" s="1" t="s">
        <v>29</v>
      </c>
      <c r="E1740" t="s">
        <v>30</v>
      </c>
      <c r="F1740" s="5" t="str">
        <f>HYPERLINK("http://www.otzar.org/book.asp?629547","מאמר - בזוהר חיי שרה לאו איהי כפילתא")</f>
        <v>מאמר - בזוהר חיי שרה לאו איהי כפילתא</v>
      </c>
    </row>
    <row r="1741" spans="1:6" x14ac:dyDescent="0.2">
      <c r="A1741" t="s">
        <v>3634</v>
      </c>
      <c r="B1741" t="s">
        <v>3635</v>
      </c>
      <c r="C1741" t="s">
        <v>818</v>
      </c>
      <c r="D1741" s="1" t="s">
        <v>29</v>
      </c>
      <c r="E1741" t="s">
        <v>30</v>
      </c>
      <c r="F1741" s="5" t="str">
        <f>HYPERLINK("http://www.otzar.org/book.asp?627066","מאמר - כי בועליך עושיך - תרל""ד")</f>
        <v>מאמר - כי בועליך עושיך - תרל"ד</v>
      </c>
    </row>
    <row r="1742" spans="1:6" x14ac:dyDescent="0.2">
      <c r="A1742" t="s">
        <v>3636</v>
      </c>
      <c r="B1742" t="s">
        <v>3637</v>
      </c>
      <c r="C1742" t="s">
        <v>255</v>
      </c>
      <c r="D1742" s="1" t="s">
        <v>3638</v>
      </c>
      <c r="E1742" t="s">
        <v>49</v>
      </c>
      <c r="F1742" s="5" t="str">
        <f>HYPERLINK("http://www.otzar.org/book.asp?624918","מאמרי חכמינו בעניני ארץ ישראל")</f>
        <v>מאמרי חכמינו בעניני ארץ ישראל</v>
      </c>
    </row>
    <row r="1743" spans="1:6" x14ac:dyDescent="0.2">
      <c r="A1743" t="s">
        <v>3639</v>
      </c>
      <c r="B1743" t="s">
        <v>3640</v>
      </c>
      <c r="C1743" t="s">
        <v>13</v>
      </c>
      <c r="D1743" s="1" t="s">
        <v>64</v>
      </c>
      <c r="E1743" t="s">
        <v>89</v>
      </c>
      <c r="F1743" s="5" t="str">
        <f>HYPERLINK("http://www.otzar.org/book.asp?625356","מאמרי חנוכה")</f>
        <v>מאמרי חנוכה</v>
      </c>
    </row>
    <row r="1744" spans="1:6" x14ac:dyDescent="0.2">
      <c r="A1744" t="s">
        <v>3641</v>
      </c>
      <c r="B1744" t="s">
        <v>156</v>
      </c>
      <c r="C1744" t="s">
        <v>397</v>
      </c>
      <c r="D1744" s="1" t="s">
        <v>158</v>
      </c>
      <c r="E1744" t="s">
        <v>30</v>
      </c>
      <c r="F1744" s="5" t="str">
        <f>HYPERLINK("http://www.otzar.org/book.asp?628553","מאמרי כ""ק אדמו""ר מליובאוויטש - א")</f>
        <v>מאמרי כ"ק אדמו"ר מליובאוויטש - א</v>
      </c>
    </row>
    <row r="1745" spans="1:6" x14ac:dyDescent="0.2">
      <c r="A1745" t="s">
        <v>3642</v>
      </c>
      <c r="B1745" t="s">
        <v>3643</v>
      </c>
      <c r="C1745" t="s">
        <v>20</v>
      </c>
      <c r="D1745" s="1" t="s">
        <v>29</v>
      </c>
      <c r="E1745" t="s">
        <v>30</v>
      </c>
      <c r="F1745" s="5" t="str">
        <f>HYPERLINK("http://www.otzar.org/book.asp?631433","מאמרים קצרים - קובץ ו")</f>
        <v>מאמרים קצרים - קובץ ו</v>
      </c>
    </row>
    <row r="1746" spans="1:6" x14ac:dyDescent="0.2">
      <c r="A1746" t="s">
        <v>3644</v>
      </c>
      <c r="B1746" t="s">
        <v>3645</v>
      </c>
      <c r="D1746" s="1" t="s">
        <v>9</v>
      </c>
      <c r="E1746" t="s">
        <v>49</v>
      </c>
      <c r="F1746" s="5" t="str">
        <f>HYPERLINK("http://www.otzar.org/book.asp?623871","מאמרים - 3 כר'")</f>
        <v>מאמרים - 3 כר'</v>
      </c>
    </row>
    <row r="1747" spans="1:6" x14ac:dyDescent="0.2">
      <c r="A1747" t="s">
        <v>3646</v>
      </c>
      <c r="B1747" t="s">
        <v>3647</v>
      </c>
      <c r="D1747" s="1" t="s">
        <v>64</v>
      </c>
      <c r="E1747" t="s">
        <v>49</v>
      </c>
      <c r="F1747" s="5" t="str">
        <f>HYPERLINK("http://www.otzar.org/book.asp?627127","מאמרים - כתר ארם צובא")</f>
        <v>מאמרים - כתר ארם צובא</v>
      </c>
    </row>
    <row r="1748" spans="1:6" x14ac:dyDescent="0.2">
      <c r="A1748" t="s">
        <v>3648</v>
      </c>
      <c r="B1748" t="s">
        <v>3649</v>
      </c>
      <c r="C1748" t="s">
        <v>13</v>
      </c>
      <c r="D1748" s="1" t="s">
        <v>64</v>
      </c>
      <c r="F1748" s="5" t="str">
        <f>HYPERLINK("http://www.otzar.org/book.asp?623510","מאמרים - 2 כר'")</f>
        <v>מאמרים - 2 כר'</v>
      </c>
    </row>
    <row r="1749" spans="1:6" x14ac:dyDescent="0.2">
      <c r="A1749" t="s">
        <v>3650</v>
      </c>
      <c r="B1749" t="s">
        <v>3651</v>
      </c>
      <c r="C1749" t="s">
        <v>20</v>
      </c>
      <c r="D1749" s="1" t="s">
        <v>9</v>
      </c>
      <c r="E1749" t="s">
        <v>34</v>
      </c>
      <c r="F1749" s="5" t="str">
        <f>HYPERLINK("http://www.otzar.org/book.asp?623126","מאן מלכי רבנן")</f>
        <v>מאן מלכי רבנן</v>
      </c>
    </row>
    <row r="1750" spans="1:6" x14ac:dyDescent="0.2">
      <c r="A1750" t="s">
        <v>3652</v>
      </c>
      <c r="B1750" t="s">
        <v>2337</v>
      </c>
      <c r="C1750" t="s">
        <v>307</v>
      </c>
      <c r="D1750" s="1" t="s">
        <v>14</v>
      </c>
      <c r="E1750" t="s">
        <v>30</v>
      </c>
      <c r="F1750" s="5" t="str">
        <f>HYPERLINK("http://www.otzar.org/book.asp?626282","מאפלה לאורה")</f>
        <v>מאפלה לאורה</v>
      </c>
    </row>
    <row r="1751" spans="1:6" x14ac:dyDescent="0.2">
      <c r="A1751" t="s">
        <v>3653</v>
      </c>
      <c r="B1751" t="s">
        <v>3654</v>
      </c>
      <c r="C1751" t="s">
        <v>13</v>
      </c>
      <c r="D1751" s="1" t="s">
        <v>14</v>
      </c>
      <c r="E1751" t="s">
        <v>3655</v>
      </c>
      <c r="F1751" s="5" t="str">
        <f>HYPERLINK("http://www.otzar.org/book.asp?628717","מאש וממים")</f>
        <v>מאש וממים</v>
      </c>
    </row>
    <row r="1752" spans="1:6" x14ac:dyDescent="0.2">
      <c r="A1752" t="s">
        <v>3656</v>
      </c>
      <c r="B1752" t="s">
        <v>3657</v>
      </c>
      <c r="C1752" t="s">
        <v>13</v>
      </c>
      <c r="D1752" s="1" t="s">
        <v>2126</v>
      </c>
      <c r="E1752" t="s">
        <v>30</v>
      </c>
      <c r="F1752" s="5" t="str">
        <f>HYPERLINK("http://www.otzar.org/book.asp?628714","מבוא השער - שער היחוד והאמונה")</f>
        <v>מבוא השער - שער היחוד והאמונה</v>
      </c>
    </row>
    <row r="1753" spans="1:6" x14ac:dyDescent="0.2">
      <c r="A1753" t="s">
        <v>3658</v>
      </c>
      <c r="F1753" s="5" t="str">
        <f>HYPERLINK("http://www.otzar.org/book.asp?622533","מבוא והקדמה לספר פיתוחי חותם על התורה")</f>
        <v>מבוא והקדמה לספר פיתוחי חותם על התורה</v>
      </c>
    </row>
    <row r="1754" spans="1:6" x14ac:dyDescent="0.2">
      <c r="A1754" t="s">
        <v>3659</v>
      </c>
      <c r="B1754" t="s">
        <v>156</v>
      </c>
      <c r="C1754" t="s">
        <v>174</v>
      </c>
      <c r="D1754" s="1" t="s">
        <v>158</v>
      </c>
      <c r="E1754" t="s">
        <v>3660</v>
      </c>
      <c r="F1754" s="5" t="str">
        <f>HYPERLINK("http://www.otzar.org/book.asp?628554","מבוא לקבלת האר""י")</f>
        <v>מבוא לקבלת האר"י</v>
      </c>
    </row>
    <row r="1755" spans="1:6" x14ac:dyDescent="0.2">
      <c r="A1755" t="s">
        <v>3661</v>
      </c>
      <c r="B1755" t="s">
        <v>3662</v>
      </c>
      <c r="C1755" t="s">
        <v>8</v>
      </c>
      <c r="D1755" s="1" t="s">
        <v>52</v>
      </c>
      <c r="E1755" t="s">
        <v>49</v>
      </c>
      <c r="F1755" s="5" t="str">
        <f>HYPERLINK("http://www.otzar.org/book.asp?630231","מבוא לשיטת היסוד בשלבים - 2 כר'")</f>
        <v>מבוא לשיטת היסוד בשלבים - 2 כר'</v>
      </c>
    </row>
    <row r="1756" spans="1:6" x14ac:dyDescent="0.2">
      <c r="A1756" t="s">
        <v>3663</v>
      </c>
      <c r="B1756" t="s">
        <v>329</v>
      </c>
      <c r="C1756" t="s">
        <v>13</v>
      </c>
      <c r="D1756" s="1" t="s">
        <v>9</v>
      </c>
      <c r="E1756" t="s">
        <v>44</v>
      </c>
      <c r="F1756" s="5" t="str">
        <f>HYPERLINK("http://www.otzar.org/book.asp?630771","מבוא שערים &lt;מהדורת אהבת שלום&gt;")</f>
        <v>מבוא שערים &lt;מהדורת אהבת שלום&gt;</v>
      </c>
    </row>
    <row r="1757" spans="1:6" x14ac:dyDescent="0.2">
      <c r="A1757" t="s">
        <v>3664</v>
      </c>
      <c r="B1757" t="s">
        <v>3665</v>
      </c>
      <c r="C1757" t="s">
        <v>1026</v>
      </c>
      <c r="D1757" s="1" t="s">
        <v>1067</v>
      </c>
      <c r="E1757" t="s">
        <v>214</v>
      </c>
      <c r="F1757" s="5" t="str">
        <f>HYPERLINK("http://www.otzar.org/book.asp?626404","מבחר הערות והארות - ג")</f>
        <v>מבחר הערות והארות - ג</v>
      </c>
    </row>
    <row r="1758" spans="1:6" x14ac:dyDescent="0.2">
      <c r="A1758" t="s">
        <v>3666</v>
      </c>
      <c r="B1758" t="s">
        <v>156</v>
      </c>
      <c r="C1758" t="s">
        <v>2838</v>
      </c>
      <c r="D1758" s="1" t="s">
        <v>158</v>
      </c>
      <c r="E1758" t="s">
        <v>17</v>
      </c>
      <c r="F1758" s="5" t="str">
        <f>HYPERLINK("http://www.otzar.org/book.asp?626825","מבחר שיעורי התבוננות - 24 כר'")</f>
        <v>מבחר שיעורי התבוננות - 24 כר'</v>
      </c>
    </row>
    <row r="1759" spans="1:6" x14ac:dyDescent="0.2">
      <c r="A1759" t="s">
        <v>3667</v>
      </c>
      <c r="B1759" t="s">
        <v>3668</v>
      </c>
      <c r="C1759" t="s">
        <v>13</v>
      </c>
      <c r="E1759" t="s">
        <v>168</v>
      </c>
      <c r="F1759" s="5" t="str">
        <f>HYPERLINK("http://www.otzar.org/book.asp?624720","מבט אל החיים - שמות")</f>
        <v>מבט אל החיים - שמות</v>
      </c>
    </row>
    <row r="1760" spans="1:6" x14ac:dyDescent="0.2">
      <c r="A1760" t="s">
        <v>3669</v>
      </c>
      <c r="B1760" t="s">
        <v>3670</v>
      </c>
      <c r="C1760" t="s">
        <v>88</v>
      </c>
      <c r="D1760" s="1" t="s">
        <v>9</v>
      </c>
      <c r="E1760" t="s">
        <v>214</v>
      </c>
      <c r="F1760" s="5" t="str">
        <f>HYPERLINK("http://www.otzar.org/book.asp?629143","מבי מדרשא - כה (בבא קמא)")</f>
        <v>מבי מדרשא - כה (בבא קמא)</v>
      </c>
    </row>
    <row r="1761" spans="1:6" x14ac:dyDescent="0.2">
      <c r="A1761" t="s">
        <v>3671</v>
      </c>
      <c r="B1761" t="s">
        <v>3672</v>
      </c>
      <c r="C1761" t="s">
        <v>1780</v>
      </c>
      <c r="D1761" s="1" t="s">
        <v>471</v>
      </c>
      <c r="E1761" t="s">
        <v>121</v>
      </c>
      <c r="F1761" s="5" t="str">
        <f>HYPERLINK("http://www.otzar.org/book.asp?628037","מבית אבא - פרקי זכרונות מימי ילדות בעיירת מולדתי הוסיאטין")</f>
        <v>מבית אבא - פרקי זכרונות מימי ילדות בעיירת מולדתי הוסיאטין</v>
      </c>
    </row>
    <row r="1762" spans="1:6" x14ac:dyDescent="0.2">
      <c r="A1762" t="s">
        <v>3673</v>
      </c>
      <c r="B1762" t="s">
        <v>3674</v>
      </c>
      <c r="C1762" t="s">
        <v>13</v>
      </c>
      <c r="D1762" s="1" t="s">
        <v>14</v>
      </c>
      <c r="E1762" t="s">
        <v>154</v>
      </c>
      <c r="F1762" s="5" t="str">
        <f>HYPERLINK("http://www.otzar.org/book.asp?627850","מבית לוי - פסח")</f>
        <v>מבית לוי - פסח</v>
      </c>
    </row>
    <row r="1763" spans="1:6" x14ac:dyDescent="0.2">
      <c r="A1763" t="s">
        <v>3675</v>
      </c>
      <c r="B1763" t="s">
        <v>890</v>
      </c>
      <c r="C1763" t="s">
        <v>8</v>
      </c>
      <c r="D1763" s="1" t="s">
        <v>52</v>
      </c>
      <c r="E1763" t="s">
        <v>30</v>
      </c>
      <c r="F1763" s="5" t="str">
        <f>HYPERLINK("http://www.otzar.org/book.asp?630063","מבנה התניא ורעיונות מרכזיים")</f>
        <v>מבנה התניא ורעיונות מרכזיים</v>
      </c>
    </row>
    <row r="1764" spans="1:6" x14ac:dyDescent="0.2">
      <c r="A1764" t="s">
        <v>3676</v>
      </c>
      <c r="B1764" t="s">
        <v>3677</v>
      </c>
      <c r="C1764" t="s">
        <v>8</v>
      </c>
      <c r="D1764" s="1" t="s">
        <v>52</v>
      </c>
      <c r="E1764" t="s">
        <v>121</v>
      </c>
      <c r="F1764" s="5" t="str">
        <f>HYPERLINK("http://www.otzar.org/book.asp?624532","מבצע שפיפון")</f>
        <v>מבצע שפיפון</v>
      </c>
    </row>
    <row r="1765" spans="1:6" x14ac:dyDescent="0.2">
      <c r="A1765" t="s">
        <v>3678</v>
      </c>
      <c r="B1765" t="s">
        <v>3679</v>
      </c>
      <c r="C1765" t="s">
        <v>1050</v>
      </c>
      <c r="D1765" s="1" t="s">
        <v>355</v>
      </c>
      <c r="E1765" t="s">
        <v>867</v>
      </c>
      <c r="F1765" s="5" t="str">
        <f>HYPERLINK("http://www.otzar.org/book.asp?624697","מבצרי הדת")</f>
        <v>מבצרי הדת</v>
      </c>
    </row>
    <row r="1766" spans="1:6" x14ac:dyDescent="0.2">
      <c r="A1766" t="s">
        <v>3680</v>
      </c>
      <c r="B1766" t="s">
        <v>3681</v>
      </c>
      <c r="C1766" t="s">
        <v>25</v>
      </c>
      <c r="D1766" s="1" t="s">
        <v>2058</v>
      </c>
      <c r="E1766" t="s">
        <v>22</v>
      </c>
      <c r="F1766" s="5" t="str">
        <f>HYPERLINK("http://www.otzar.org/book.asp?630278","מבצרי יהודה - 2 כר'")</f>
        <v>מבצרי יהודה - 2 כר'</v>
      </c>
    </row>
    <row r="1767" spans="1:6" x14ac:dyDescent="0.2">
      <c r="A1767" t="s">
        <v>3682</v>
      </c>
      <c r="B1767" t="s">
        <v>3683</v>
      </c>
      <c r="C1767" t="s">
        <v>13</v>
      </c>
      <c r="D1767" s="1" t="s">
        <v>9</v>
      </c>
      <c r="F1767" s="5" t="str">
        <f>HYPERLINK("http://www.otzar.org/book.asp?632070","מבשר טוב - 2 כר'")</f>
        <v>מבשר טוב - 2 כר'</v>
      </c>
    </row>
    <row r="1768" spans="1:6" x14ac:dyDescent="0.2">
      <c r="A1768" t="s">
        <v>3684</v>
      </c>
      <c r="B1768" t="s">
        <v>3685</v>
      </c>
      <c r="C1768" t="s">
        <v>1127</v>
      </c>
      <c r="D1768" s="1" t="s">
        <v>9</v>
      </c>
      <c r="E1768" t="s">
        <v>214</v>
      </c>
      <c r="F1768" s="5" t="str">
        <f>HYPERLINK("http://www.otzar.org/book.asp?628754","מגבעות אשורנו - ב זכרון רחל")</f>
        <v>מגבעות אשורנו - ב זכרון רחל</v>
      </c>
    </row>
    <row r="1769" spans="1:6" x14ac:dyDescent="0.2">
      <c r="A1769" t="s">
        <v>3686</v>
      </c>
      <c r="B1769" t="s">
        <v>3687</v>
      </c>
      <c r="C1769" t="s">
        <v>3688</v>
      </c>
      <c r="E1769" t="s">
        <v>22</v>
      </c>
      <c r="F1769" s="5" t="str">
        <f>HYPERLINK("http://www.otzar.org/book.asp?624574","מגד גבעות - 2 כר'")</f>
        <v>מגד גבעות - 2 כר'</v>
      </c>
    </row>
    <row r="1770" spans="1:6" x14ac:dyDescent="0.2">
      <c r="A1770" t="s">
        <v>3689</v>
      </c>
      <c r="B1770" t="s">
        <v>3690</v>
      </c>
      <c r="C1770" t="s">
        <v>25</v>
      </c>
      <c r="D1770" s="1" t="s">
        <v>14</v>
      </c>
      <c r="E1770" t="s">
        <v>22</v>
      </c>
      <c r="F1770" s="5" t="str">
        <f>HYPERLINK("http://www.otzar.org/book.asp?630275","מגד יעקב - 3 כר'")</f>
        <v>מגד יעקב - 3 כר'</v>
      </c>
    </row>
    <row r="1771" spans="1:6" x14ac:dyDescent="0.2">
      <c r="A1771" t="s">
        <v>3691</v>
      </c>
      <c r="B1771" t="s">
        <v>3692</v>
      </c>
      <c r="C1771" t="s">
        <v>190</v>
      </c>
      <c r="D1771" s="1" t="s">
        <v>3288</v>
      </c>
      <c r="E1771" t="s">
        <v>3693</v>
      </c>
      <c r="F1771" s="5" t="str">
        <f>HYPERLINK("http://www.otzar.org/book.asp?627999","מגדל דוד &lt;מהדורה חדשה&gt;")</f>
        <v>מגדל דוד &lt;מהדורה חדשה&gt;</v>
      </c>
    </row>
    <row r="1772" spans="1:6" x14ac:dyDescent="0.2">
      <c r="A1772" t="s">
        <v>3694</v>
      </c>
      <c r="B1772" t="s">
        <v>2254</v>
      </c>
      <c r="C1772" t="s">
        <v>20</v>
      </c>
      <c r="D1772" s="1" t="s">
        <v>9</v>
      </c>
      <c r="E1772" t="s">
        <v>242</v>
      </c>
      <c r="F1772" s="5" t="str">
        <f>HYPERLINK("http://www.otzar.org/book.asp?627949","מגדל עז &lt;זכרון אהרן&gt;")</f>
        <v>מגדל עז &lt;זכרון אהרן&gt;</v>
      </c>
    </row>
    <row r="1773" spans="1:6" x14ac:dyDescent="0.2">
      <c r="A1773" t="s">
        <v>3695</v>
      </c>
      <c r="B1773" t="s">
        <v>2254</v>
      </c>
      <c r="C1773" t="s">
        <v>25</v>
      </c>
      <c r="D1773" s="1" t="s">
        <v>9</v>
      </c>
      <c r="E1773" t="s">
        <v>242</v>
      </c>
      <c r="F1773" s="5" t="str">
        <f>HYPERLINK("http://www.otzar.org/book.asp?630451","מגדל עז - מילה והכנסת בנו למלמד")</f>
        <v>מגדל עז - מילה והכנסת בנו למלמד</v>
      </c>
    </row>
    <row r="1774" spans="1:6" x14ac:dyDescent="0.2">
      <c r="A1774" t="s">
        <v>3696</v>
      </c>
      <c r="B1774" t="s">
        <v>3501</v>
      </c>
      <c r="C1774" t="s">
        <v>13</v>
      </c>
      <c r="D1774" s="1" t="s">
        <v>14</v>
      </c>
      <c r="E1774" t="s">
        <v>168</v>
      </c>
      <c r="F1774" s="5" t="str">
        <f>HYPERLINK("http://www.otzar.org/book.asp?629416","מגדל שיר")</f>
        <v>מגדל שיר</v>
      </c>
    </row>
    <row r="1775" spans="1:6" x14ac:dyDescent="0.2">
      <c r="A1775" t="s">
        <v>3697</v>
      </c>
      <c r="B1775" t="s">
        <v>1528</v>
      </c>
      <c r="C1775" t="s">
        <v>13</v>
      </c>
      <c r="D1775" s="1" t="s">
        <v>9</v>
      </c>
      <c r="E1775" t="s">
        <v>168</v>
      </c>
      <c r="F1775" s="5" t="str">
        <f>HYPERLINK("http://www.otzar.org/book.asp?631305","מגיד דבריו ליעקב, עה""ת - 43 כר'")</f>
        <v>מגיד דבריו ליעקב, עה"ת - 43 כר'</v>
      </c>
    </row>
    <row r="1776" spans="1:6" x14ac:dyDescent="0.2">
      <c r="A1776" t="s">
        <v>3698</v>
      </c>
      <c r="B1776" t="s">
        <v>156</v>
      </c>
      <c r="C1776" t="s">
        <v>40</v>
      </c>
      <c r="D1776" s="1" t="s">
        <v>158</v>
      </c>
      <c r="E1776" t="s">
        <v>3699</v>
      </c>
      <c r="F1776" s="5" t="str">
        <f>HYPERLINK("http://www.otzar.org/book.asp?628555","מגיד מראשית אחרית")</f>
        <v>מגיד מראשית אחרית</v>
      </c>
    </row>
    <row r="1777" spans="1:6" x14ac:dyDescent="0.2">
      <c r="A1777" t="s">
        <v>3700</v>
      </c>
      <c r="B1777" t="s">
        <v>3319</v>
      </c>
      <c r="C1777" t="s">
        <v>20</v>
      </c>
      <c r="D1777" s="1" t="s">
        <v>3320</v>
      </c>
      <c r="E1777" t="s">
        <v>168</v>
      </c>
      <c r="F1777" s="5" t="str">
        <f>HYPERLINK("http://www.otzar.org/book.asp?630052","מגילת איכה &lt;רמז חשבוני&gt;")</f>
        <v>מגילת איכה &lt;רמז חשבוני&gt;</v>
      </c>
    </row>
    <row r="1778" spans="1:6" x14ac:dyDescent="0.2">
      <c r="A1778" t="s">
        <v>3701</v>
      </c>
      <c r="B1778" t="s">
        <v>138</v>
      </c>
      <c r="C1778" t="s">
        <v>13</v>
      </c>
      <c r="D1778" s="1" t="s">
        <v>52</v>
      </c>
      <c r="E1778" t="s">
        <v>168</v>
      </c>
      <c r="F1778" s="5" t="str">
        <f>HYPERLINK("http://www.otzar.org/book.asp?629660","מגילת איכה &lt;על אלה אני בוכיה&gt;")</f>
        <v>מגילת איכה &lt;על אלה אני בוכיה&gt;</v>
      </c>
    </row>
    <row r="1779" spans="1:6" x14ac:dyDescent="0.2">
      <c r="A1779" t="s">
        <v>3702</v>
      </c>
      <c r="B1779" t="s">
        <v>3703</v>
      </c>
      <c r="C1779" t="s">
        <v>13</v>
      </c>
      <c r="D1779" s="1" t="s">
        <v>9</v>
      </c>
      <c r="E1779" t="s">
        <v>89</v>
      </c>
      <c r="F1779" s="5" t="str">
        <f>HYPERLINK("http://www.otzar.org/book.asp?623470","מגילת אנטיוכוס &lt;שיח יצחק&gt;")</f>
        <v>מגילת אנטיוכוס &lt;שיח יצחק&gt;</v>
      </c>
    </row>
    <row r="1780" spans="1:6" x14ac:dyDescent="0.2">
      <c r="A1780" t="s">
        <v>3704</v>
      </c>
      <c r="B1780" t="s">
        <v>3704</v>
      </c>
      <c r="C1780" t="s">
        <v>148</v>
      </c>
      <c r="D1780" s="1" t="s">
        <v>1182</v>
      </c>
      <c r="E1780" t="s">
        <v>89</v>
      </c>
      <c r="F1780" s="5" t="str">
        <f>HYPERLINK("http://www.otzar.org/book.asp?625115","מגילת אנטיוכס")</f>
        <v>מגילת אנטיוכס</v>
      </c>
    </row>
    <row r="1781" spans="1:6" x14ac:dyDescent="0.2">
      <c r="A1781" t="s">
        <v>3705</v>
      </c>
      <c r="B1781" t="s">
        <v>758</v>
      </c>
      <c r="C1781" t="s">
        <v>73</v>
      </c>
      <c r="D1781" s="1" t="s">
        <v>9</v>
      </c>
      <c r="E1781" t="s">
        <v>168</v>
      </c>
      <c r="F1781" s="5" t="str">
        <f>HYPERLINK("http://www.otzar.org/book.asp?627953","מגילת אסתר &lt;מאמר אסתר&gt;- מגילת רות איכה &lt;לקחת מוסר&gt;")</f>
        <v>מגילת אסתר &lt;מאמר אסתר&gt;- מגילת רות איכה &lt;לקחת מוסר&gt;</v>
      </c>
    </row>
    <row r="1782" spans="1:6" x14ac:dyDescent="0.2">
      <c r="A1782" t="s">
        <v>3706</v>
      </c>
      <c r="B1782" t="s">
        <v>138</v>
      </c>
      <c r="C1782" t="s">
        <v>13</v>
      </c>
      <c r="D1782" s="1" t="s">
        <v>52</v>
      </c>
      <c r="E1782" t="s">
        <v>168</v>
      </c>
      <c r="F1782" s="5" t="str">
        <f>HYPERLINK("http://www.otzar.org/book.asp?629674","מגילת אסתר &lt;יפרח כשושנה&gt;")</f>
        <v>מגילת אסתר &lt;יפרח כשושנה&gt;</v>
      </c>
    </row>
    <row r="1783" spans="1:6" x14ac:dyDescent="0.2">
      <c r="A1783" t="s">
        <v>3707</v>
      </c>
      <c r="B1783" t="s">
        <v>3708</v>
      </c>
      <c r="C1783" t="s">
        <v>411</v>
      </c>
      <c r="D1783" s="1" t="s">
        <v>713</v>
      </c>
      <c r="F1783" s="5" t="str">
        <f>HYPERLINK("http://www.otzar.org/book.asp?631549","מגילת היטלר בצפון אפריקה")</f>
        <v>מגילת היטלר בצפון אפריקה</v>
      </c>
    </row>
    <row r="1784" spans="1:6" x14ac:dyDescent="0.2">
      <c r="A1784" t="s">
        <v>3709</v>
      </c>
      <c r="B1784" t="s">
        <v>3710</v>
      </c>
      <c r="C1784" t="s">
        <v>13</v>
      </c>
      <c r="D1784" s="1" t="s">
        <v>14</v>
      </c>
      <c r="E1784" t="s">
        <v>49</v>
      </c>
      <c r="F1784" s="5" t="str">
        <f>HYPERLINK("http://www.otzar.org/book.asp?630825","מגילת יוחסין")</f>
        <v>מגילת יוחסין</v>
      </c>
    </row>
    <row r="1785" spans="1:6" x14ac:dyDescent="0.2">
      <c r="A1785" t="s">
        <v>3711</v>
      </c>
      <c r="B1785" t="s">
        <v>3712</v>
      </c>
      <c r="C1785" t="s">
        <v>13</v>
      </c>
      <c r="D1785" s="1" t="s">
        <v>9</v>
      </c>
      <c r="E1785" t="s">
        <v>2275</v>
      </c>
      <c r="F1785" s="5" t="str">
        <f>HYPERLINK("http://www.otzar.org/book.asp?627957","מגילת ספר - דברות שמואל")</f>
        <v>מגילת ספר - דברות שמואל</v>
      </c>
    </row>
    <row r="1786" spans="1:6" x14ac:dyDescent="0.2">
      <c r="A1786" t="s">
        <v>3713</v>
      </c>
      <c r="B1786" t="s">
        <v>138</v>
      </c>
      <c r="C1786" t="s">
        <v>13</v>
      </c>
      <c r="D1786" s="1" t="s">
        <v>52</v>
      </c>
      <c r="E1786" t="s">
        <v>168</v>
      </c>
      <c r="F1786" s="5" t="str">
        <f>HYPERLINK("http://www.otzar.org/book.asp?629658","מגילת רות &lt;אחרי הקוצרים&gt;")</f>
        <v>מגילת רות &lt;אחרי הקוצרים&gt;</v>
      </c>
    </row>
    <row r="1787" spans="1:6" x14ac:dyDescent="0.2">
      <c r="A1787" t="s">
        <v>3714</v>
      </c>
      <c r="B1787" t="s">
        <v>3715</v>
      </c>
      <c r="E1787" t="s">
        <v>168</v>
      </c>
      <c r="F1787" s="5" t="str">
        <f>HYPERLINK("http://www.otzar.org/book.asp?628015","מגילת רות המבוארת")</f>
        <v>מגילת רות המבוארת</v>
      </c>
    </row>
    <row r="1788" spans="1:6" x14ac:dyDescent="0.2">
      <c r="A1788" t="s">
        <v>3716</v>
      </c>
      <c r="B1788" t="s">
        <v>890</v>
      </c>
      <c r="C1788" t="s">
        <v>136</v>
      </c>
      <c r="D1788" s="1" t="s">
        <v>9</v>
      </c>
      <c r="E1788" t="s">
        <v>168</v>
      </c>
      <c r="F1788" s="5" t="str">
        <f>HYPERLINK("http://www.otzar.org/book.asp?630287","מגילת רות - באור בדרך פרדס")</f>
        <v>מגילת רות - באור בדרך פרדס</v>
      </c>
    </row>
    <row r="1789" spans="1:6" x14ac:dyDescent="0.2">
      <c r="A1789" t="s">
        <v>3717</v>
      </c>
      <c r="B1789" t="s">
        <v>138</v>
      </c>
      <c r="C1789" t="s">
        <v>13</v>
      </c>
      <c r="D1789" s="1" t="s">
        <v>52</v>
      </c>
      <c r="E1789" t="s">
        <v>168</v>
      </c>
      <c r="F1789" s="5" t="str">
        <f>HYPERLINK("http://www.otzar.org/book.asp?629676","מגילת שיר השירים &lt;עת דודים&gt;")</f>
        <v>מגילת שיר השירים &lt;עת דודים&gt;</v>
      </c>
    </row>
    <row r="1790" spans="1:6" x14ac:dyDescent="0.2">
      <c r="A1790" t="s">
        <v>3718</v>
      </c>
      <c r="B1790" t="s">
        <v>1299</v>
      </c>
      <c r="C1790" t="s">
        <v>639</v>
      </c>
      <c r="D1790" s="1" t="s">
        <v>213</v>
      </c>
      <c r="E1790" t="s">
        <v>371</v>
      </c>
      <c r="F1790" s="5" t="str">
        <f>HYPERLINK("http://www.otzar.org/book.asp?623518","מגילת תולדותיהם של בני לנדא הכהנים")</f>
        <v>מגילת תולדותיהם של בני לנדא הכהנים</v>
      </c>
    </row>
    <row r="1791" spans="1:6" x14ac:dyDescent="0.2">
      <c r="A1791" t="s">
        <v>3719</v>
      </c>
      <c r="B1791" t="s">
        <v>800</v>
      </c>
      <c r="C1791" t="s">
        <v>20</v>
      </c>
      <c r="D1791" s="1" t="s">
        <v>213</v>
      </c>
      <c r="E1791" t="s">
        <v>242</v>
      </c>
      <c r="F1791" s="5" t="str">
        <f>HYPERLINK("http://www.otzar.org/book.asp?628055","מגילת תענית בביטולה")</f>
        <v>מגילת תענית בביטולה</v>
      </c>
    </row>
    <row r="1792" spans="1:6" x14ac:dyDescent="0.2">
      <c r="A1792" t="s">
        <v>3720</v>
      </c>
      <c r="B1792" t="s">
        <v>3721</v>
      </c>
      <c r="C1792" t="s">
        <v>2674</v>
      </c>
      <c r="D1792" s="1" t="s">
        <v>3722</v>
      </c>
      <c r="E1792" t="s">
        <v>168</v>
      </c>
      <c r="F1792" s="5" t="str">
        <f>HYPERLINK("http://www.otzar.org/book.asp?625983","מגלה תעלומות")</f>
        <v>מגלה תעלומות</v>
      </c>
    </row>
    <row r="1793" spans="1:6" x14ac:dyDescent="0.2">
      <c r="A1793" t="s">
        <v>3723</v>
      </c>
      <c r="B1793" t="s">
        <v>3724</v>
      </c>
      <c r="C1793" t="s">
        <v>3164</v>
      </c>
      <c r="D1793" s="1" t="s">
        <v>1526</v>
      </c>
      <c r="F1793" s="5" t="str">
        <f>HYPERLINK("http://www.otzar.org/book.asp?626343","מגלת אסתר הפראגמאטית")</f>
        <v>מגלת אסתר הפראגמאטית</v>
      </c>
    </row>
    <row r="1794" spans="1:6" x14ac:dyDescent="0.2">
      <c r="A1794" t="s">
        <v>3725</v>
      </c>
      <c r="B1794" t="s">
        <v>3726</v>
      </c>
      <c r="C1794" t="s">
        <v>3727</v>
      </c>
      <c r="D1794" s="1" t="s">
        <v>3728</v>
      </c>
      <c r="E1794" t="s">
        <v>168</v>
      </c>
      <c r="F1794" s="5" t="str">
        <f>HYPERLINK("http://www.otzar.org/book.asp?628254","מגלת אסתר")</f>
        <v>מגלת אסתר</v>
      </c>
    </row>
    <row r="1795" spans="1:6" x14ac:dyDescent="0.2">
      <c r="A1795" t="s">
        <v>3729</v>
      </c>
      <c r="B1795" t="s">
        <v>3730</v>
      </c>
      <c r="C1795" t="s">
        <v>40</v>
      </c>
      <c r="D1795" s="1" t="s">
        <v>120</v>
      </c>
      <c r="E1795" t="s">
        <v>49</v>
      </c>
      <c r="F1795" s="5" t="str">
        <f>HYPERLINK("http://www.otzar.org/book.asp?625889","מגן אבות - מאמר רביעי &lt;ע""פ כת""י&gt;")</f>
        <v>מגן אבות - מאמר רביעי &lt;ע"פ כת"י&gt;</v>
      </c>
    </row>
    <row r="1796" spans="1:6" x14ac:dyDescent="0.2">
      <c r="A1796" t="s">
        <v>3731</v>
      </c>
      <c r="B1796" t="s">
        <v>3732</v>
      </c>
      <c r="C1796" t="s">
        <v>13</v>
      </c>
      <c r="D1796" s="1" t="s">
        <v>52</v>
      </c>
      <c r="E1796" t="s">
        <v>3733</v>
      </c>
      <c r="F1796" s="5" t="str">
        <f>HYPERLINK("http://www.otzar.org/book.asp?628761","מגן ישעך")</f>
        <v>מגן ישעך</v>
      </c>
    </row>
    <row r="1797" spans="1:6" x14ac:dyDescent="0.2">
      <c r="A1797" t="s">
        <v>3734</v>
      </c>
      <c r="B1797" t="s">
        <v>3735</v>
      </c>
      <c r="C1797" t="s">
        <v>470</v>
      </c>
      <c r="D1797" s="1" t="s">
        <v>9</v>
      </c>
      <c r="E1797" t="s">
        <v>49</v>
      </c>
      <c r="F1797" s="5" t="str">
        <f>HYPERLINK("http://www.otzar.org/book.asp?627383","מדינת ישראל באספקרליה של מרן הראי""ה קוק זצ""ל")</f>
        <v>מדינת ישראל באספקרליה של מרן הראי"ה קוק זצ"ל</v>
      </c>
    </row>
    <row r="1798" spans="1:6" x14ac:dyDescent="0.2">
      <c r="A1798" t="s">
        <v>3736</v>
      </c>
      <c r="B1798" t="s">
        <v>3737</v>
      </c>
      <c r="C1798" t="s">
        <v>298</v>
      </c>
      <c r="D1798" s="1" t="s">
        <v>537</v>
      </c>
      <c r="E1798" t="s">
        <v>34</v>
      </c>
      <c r="F1798" s="5" t="str">
        <f>HYPERLINK("http://www.otzar.org/book.asp?626476","מדרגת האדם בדרכי התשובה")</f>
        <v>מדרגת האדם בדרכי התשובה</v>
      </c>
    </row>
    <row r="1799" spans="1:6" x14ac:dyDescent="0.2">
      <c r="A1799" t="s">
        <v>3738</v>
      </c>
      <c r="B1799" t="s">
        <v>3739</v>
      </c>
      <c r="C1799" t="s">
        <v>136</v>
      </c>
      <c r="D1799" s="1" t="s">
        <v>9</v>
      </c>
      <c r="E1799" t="s">
        <v>37</v>
      </c>
      <c r="F1799" s="5" t="str">
        <f>HYPERLINK("http://www.otzar.org/book.asp?626697","מדריך הכשרות - 11 כר'")</f>
        <v>מדריך הכשרות - 11 כר'</v>
      </c>
    </row>
    <row r="1800" spans="1:6" x14ac:dyDescent="0.2">
      <c r="A1800" t="s">
        <v>3740</v>
      </c>
      <c r="B1800" t="s">
        <v>3741</v>
      </c>
      <c r="C1800" t="s">
        <v>106</v>
      </c>
      <c r="D1800" s="1" t="s">
        <v>9</v>
      </c>
      <c r="E1800" t="s">
        <v>37</v>
      </c>
      <c r="F1800" s="5" t="str">
        <f>HYPERLINK("http://www.otzar.org/book.asp?623667","מדריך כשרות פסח תשמ""א ולכל ימות השנה")</f>
        <v>מדריך כשרות פסח תשמ"א ולכל ימות השנה</v>
      </c>
    </row>
    <row r="1801" spans="1:6" x14ac:dyDescent="0.2">
      <c r="A1801" t="s">
        <v>3742</v>
      </c>
      <c r="B1801" t="s">
        <v>563</v>
      </c>
      <c r="C1801" t="s">
        <v>1023</v>
      </c>
      <c r="D1801" s="1" t="s">
        <v>3592</v>
      </c>
      <c r="E1801" t="s">
        <v>37</v>
      </c>
      <c r="F1801" s="5" t="str">
        <f>HYPERLINK("http://www.otzar.org/book.asp?623282","מדריך שמיטה לחקלאים - תשנ""ד")</f>
        <v>מדריך שמיטה לחקלאים - תשנ"ד</v>
      </c>
    </row>
    <row r="1802" spans="1:6" x14ac:dyDescent="0.2">
      <c r="A1802" t="s">
        <v>3743</v>
      </c>
      <c r="B1802" t="s">
        <v>563</v>
      </c>
      <c r="C1802" t="s">
        <v>1023</v>
      </c>
      <c r="D1802" s="1" t="s">
        <v>3592</v>
      </c>
      <c r="E1802" t="s">
        <v>37</v>
      </c>
      <c r="F1802" s="5" t="str">
        <f>HYPERLINK("http://www.otzar.org/book.asp?623281","מדריך שמיטה לצרכנים - תשנ""ד")</f>
        <v>מדריך שמיטה לצרכנים - תשנ"ד</v>
      </c>
    </row>
    <row r="1803" spans="1:6" x14ac:dyDescent="0.2">
      <c r="A1803" t="s">
        <v>3744</v>
      </c>
      <c r="B1803" t="s">
        <v>3745</v>
      </c>
      <c r="C1803" t="s">
        <v>136</v>
      </c>
      <c r="D1803" s="1" t="s">
        <v>52</v>
      </c>
      <c r="E1803" t="s">
        <v>22</v>
      </c>
      <c r="F1803" s="5" t="str">
        <f>HYPERLINK("http://www.otzar.org/book.asp?626224","מדרכי הטהרה")</f>
        <v>מדרכי הטהרה</v>
      </c>
    </row>
    <row r="1804" spans="1:6" x14ac:dyDescent="0.2">
      <c r="A1804" t="s">
        <v>3746</v>
      </c>
      <c r="B1804" t="s">
        <v>260</v>
      </c>
      <c r="C1804" t="s">
        <v>88</v>
      </c>
      <c r="D1804" s="1" t="s">
        <v>9</v>
      </c>
      <c r="E1804" t="s">
        <v>305</v>
      </c>
      <c r="F1804" s="5" t="str">
        <f>HYPERLINK("http://www.otzar.org/book.asp?627623","מדרש אגדה")</f>
        <v>מדרש אגדה</v>
      </c>
    </row>
    <row r="1805" spans="1:6" x14ac:dyDescent="0.2">
      <c r="A1805" t="s">
        <v>3747</v>
      </c>
      <c r="B1805" t="s">
        <v>260</v>
      </c>
      <c r="C1805" t="s">
        <v>133</v>
      </c>
      <c r="D1805" s="1" t="s">
        <v>9</v>
      </c>
      <c r="E1805" t="s">
        <v>261</v>
      </c>
      <c r="F1805" s="5" t="str">
        <f>HYPERLINK("http://www.otzar.org/book.asp?627601","מדרש אגדת בראשית")</f>
        <v>מדרש אגדת בראשית</v>
      </c>
    </row>
    <row r="1806" spans="1:6" x14ac:dyDescent="0.2">
      <c r="A1806" t="s">
        <v>3748</v>
      </c>
      <c r="B1806" t="s">
        <v>373</v>
      </c>
      <c r="C1806" t="s">
        <v>73</v>
      </c>
      <c r="D1806" s="1" t="s">
        <v>14</v>
      </c>
      <c r="E1806" t="s">
        <v>168</v>
      </c>
      <c r="F1806" s="5" t="str">
        <f>HYPERLINK("http://www.otzar.org/book.asp?626325","מדרש אור חדש - 2 כר'")</f>
        <v>מדרש אור חדש - 2 כר'</v>
      </c>
    </row>
    <row r="1807" spans="1:6" x14ac:dyDescent="0.2">
      <c r="A1807" t="s">
        <v>3749</v>
      </c>
      <c r="B1807" t="s">
        <v>260</v>
      </c>
      <c r="C1807" t="s">
        <v>20</v>
      </c>
      <c r="D1807" s="1" t="s">
        <v>9</v>
      </c>
      <c r="E1807" t="s">
        <v>261</v>
      </c>
      <c r="F1807" s="5" t="str">
        <f>HYPERLINK("http://www.otzar.org/book.asp?627618","מדרש אותיות דרבי עקיבא השלם")</f>
        <v>מדרש אותיות דרבי עקיבא השלם</v>
      </c>
    </row>
    <row r="1808" spans="1:6" x14ac:dyDescent="0.2">
      <c r="A1808" t="s">
        <v>3750</v>
      </c>
      <c r="B1808" t="s">
        <v>260</v>
      </c>
      <c r="C1808" t="s">
        <v>20</v>
      </c>
      <c r="D1808" s="1" t="s">
        <v>9</v>
      </c>
      <c r="E1808" t="s">
        <v>261</v>
      </c>
      <c r="F1808" s="5" t="str">
        <f>HYPERLINK("http://www.otzar.org/book.asp?627619","מדרש בראשית זוטא")</f>
        <v>מדרש בראשית זוטא</v>
      </c>
    </row>
    <row r="1809" spans="1:6" x14ac:dyDescent="0.2">
      <c r="A1809" t="s">
        <v>3751</v>
      </c>
      <c r="B1809" t="s">
        <v>260</v>
      </c>
      <c r="C1809" t="s">
        <v>136</v>
      </c>
      <c r="D1809" s="1" t="s">
        <v>9</v>
      </c>
      <c r="E1809" t="s">
        <v>261</v>
      </c>
      <c r="F1809" s="5" t="str">
        <f>HYPERLINK("http://www.otzar.org/book.asp?627620","מדרש בראשית רבתי")</f>
        <v>מדרש בראשית רבתי</v>
      </c>
    </row>
    <row r="1810" spans="1:6" x14ac:dyDescent="0.2">
      <c r="A1810" t="s">
        <v>3752</v>
      </c>
      <c r="B1810" t="s">
        <v>3753</v>
      </c>
      <c r="C1810" t="s">
        <v>334</v>
      </c>
      <c r="D1810" s="1" t="s">
        <v>3754</v>
      </c>
      <c r="E1810" t="s">
        <v>37</v>
      </c>
      <c r="F1810" s="5" t="str">
        <f>HYPERLINK("http://www.otzar.org/book.asp?623783","מדרש דחד יומא - ה")</f>
        <v>מדרש דחד יומא - ה</v>
      </c>
    </row>
    <row r="1811" spans="1:6" x14ac:dyDescent="0.2">
      <c r="A1811" t="s">
        <v>3755</v>
      </c>
      <c r="B1811" t="s">
        <v>260</v>
      </c>
      <c r="C1811" t="s">
        <v>20</v>
      </c>
      <c r="D1811" s="1" t="s">
        <v>9</v>
      </c>
      <c r="E1811" t="s">
        <v>305</v>
      </c>
      <c r="F1811" s="5" t="str">
        <f>HYPERLINK("http://www.otzar.org/book.asp?627661","מדרש וביאור איוב עזרא (נחמיה) ודברי הימים")</f>
        <v>מדרש וביאור איוב עזרא (נחמיה) ודברי הימים</v>
      </c>
    </row>
    <row r="1812" spans="1:6" x14ac:dyDescent="0.2">
      <c r="A1812" t="s">
        <v>3756</v>
      </c>
      <c r="B1812" t="s">
        <v>260</v>
      </c>
      <c r="C1812" t="s">
        <v>88</v>
      </c>
      <c r="D1812" s="1" t="s">
        <v>9</v>
      </c>
      <c r="E1812" t="s">
        <v>305</v>
      </c>
      <c r="F1812" s="5" t="str">
        <f>HYPERLINK("http://www.otzar.org/book.asp?627659","מדרש זוטא")</f>
        <v>מדרש זוטא</v>
      </c>
    </row>
    <row r="1813" spans="1:6" x14ac:dyDescent="0.2">
      <c r="A1813" t="s">
        <v>3757</v>
      </c>
      <c r="B1813" t="s">
        <v>260</v>
      </c>
      <c r="C1813" t="s">
        <v>20</v>
      </c>
      <c r="D1813" s="1" t="s">
        <v>9</v>
      </c>
      <c r="E1813" t="s">
        <v>305</v>
      </c>
      <c r="F1813" s="5" t="str">
        <f>HYPERLINK("http://www.otzar.org/book.asp?627660","מדרש חדש")</f>
        <v>מדרש חדש</v>
      </c>
    </row>
    <row r="1814" spans="1:6" x14ac:dyDescent="0.2">
      <c r="A1814" t="s">
        <v>3758</v>
      </c>
      <c r="B1814" t="s">
        <v>3758</v>
      </c>
      <c r="C1814" t="s">
        <v>630</v>
      </c>
      <c r="D1814" s="1" t="s">
        <v>1526</v>
      </c>
      <c r="E1814" t="s">
        <v>261</v>
      </c>
      <c r="F1814" s="5" t="str">
        <f>HYPERLINK("http://www.otzar.org/book.asp?623896","מדרש פליאה")</f>
        <v>מדרש פליאה</v>
      </c>
    </row>
    <row r="1815" spans="1:6" x14ac:dyDescent="0.2">
      <c r="A1815" t="s">
        <v>3759</v>
      </c>
      <c r="B1815" t="s">
        <v>3760</v>
      </c>
      <c r="C1815" t="s">
        <v>1554</v>
      </c>
      <c r="D1815" s="1" t="s">
        <v>268</v>
      </c>
      <c r="E1815" t="s">
        <v>17</v>
      </c>
      <c r="F1815" s="5" t="str">
        <f>HYPERLINK("http://www.otzar.org/book.asp?628230","מדרש פנחס")</f>
        <v>מדרש פנחס</v>
      </c>
    </row>
    <row r="1816" spans="1:6" x14ac:dyDescent="0.2">
      <c r="A1816" t="s">
        <v>3761</v>
      </c>
      <c r="B1816" t="s">
        <v>260</v>
      </c>
      <c r="C1816" t="s">
        <v>20</v>
      </c>
      <c r="D1816" s="1" t="s">
        <v>9</v>
      </c>
      <c r="E1816" t="s">
        <v>305</v>
      </c>
      <c r="F1816" s="5" t="str">
        <f>HYPERLINK("http://www.otzar.org/book.asp?627663","מדרש פתרון תורה")</f>
        <v>מדרש פתרון תורה</v>
      </c>
    </row>
    <row r="1817" spans="1:6" x14ac:dyDescent="0.2">
      <c r="A1817" t="s">
        <v>3762</v>
      </c>
      <c r="B1817" t="s">
        <v>260</v>
      </c>
      <c r="C1817" t="s">
        <v>136</v>
      </c>
      <c r="D1817" s="1" t="s">
        <v>9</v>
      </c>
      <c r="E1817" t="s">
        <v>261</v>
      </c>
      <c r="F1817" s="5" t="str">
        <f>HYPERLINK("http://www.otzar.org/book.asp?627615","מדרש שמואל &lt;אגדת שמואל&gt;")</f>
        <v>מדרש שמואל &lt;אגדת שמואל&gt;</v>
      </c>
    </row>
    <row r="1818" spans="1:6" x14ac:dyDescent="0.2">
      <c r="A1818" t="s">
        <v>3763</v>
      </c>
      <c r="B1818" t="s">
        <v>260</v>
      </c>
      <c r="C1818" t="s">
        <v>307</v>
      </c>
      <c r="D1818" s="1" t="s">
        <v>9</v>
      </c>
      <c r="E1818" t="s">
        <v>305</v>
      </c>
      <c r="F1818" s="5" t="str">
        <f>HYPERLINK("http://www.otzar.org/book.asp?627602","מדרש תהלים &lt;שוחר טוב&gt; - 2 כר'")</f>
        <v>מדרש תהלים &lt;שוחר טוב&gt; - 2 כר'</v>
      </c>
    </row>
    <row r="1819" spans="1:6" x14ac:dyDescent="0.2">
      <c r="A1819" t="s">
        <v>3764</v>
      </c>
      <c r="B1819" t="s">
        <v>260</v>
      </c>
      <c r="C1819" t="s">
        <v>206</v>
      </c>
      <c r="D1819" s="1" t="s">
        <v>9</v>
      </c>
      <c r="E1819" t="s">
        <v>168</v>
      </c>
      <c r="F1819" s="5" t="str">
        <f>HYPERLINK("http://www.otzar.org/book.asp?627604","מדרש תנחומא (הרגיל והישן) - 4 כר'")</f>
        <v>מדרש תנחומא (הרגיל והישן) - 4 כר'</v>
      </c>
    </row>
    <row r="1820" spans="1:6" x14ac:dyDescent="0.2">
      <c r="A1820" t="s">
        <v>3765</v>
      </c>
      <c r="B1820" t="s">
        <v>3766</v>
      </c>
      <c r="C1820" t="s">
        <v>13</v>
      </c>
      <c r="D1820" s="1" t="s">
        <v>9</v>
      </c>
      <c r="E1820" t="s">
        <v>168</v>
      </c>
      <c r="F1820" s="5" t="str">
        <f>HYPERLINK("http://www.otzar.org/book.asp?627290","מדרש תנחומא עם פירוש איל תודה - 2 כר'")</f>
        <v>מדרש תנחומא עם פירוש איל תודה - 2 כר'</v>
      </c>
    </row>
    <row r="1821" spans="1:6" x14ac:dyDescent="0.2">
      <c r="A1821" t="s">
        <v>3767</v>
      </c>
      <c r="B1821" t="s">
        <v>3768</v>
      </c>
      <c r="C1821" t="s">
        <v>1922</v>
      </c>
      <c r="D1821" s="1" t="s">
        <v>1526</v>
      </c>
      <c r="E1821" t="s">
        <v>168</v>
      </c>
      <c r="F1821" s="5" t="str">
        <f>HYPERLINK("http://www.otzar.org/book.asp?626511","מדרשי הלכה ופסקי הרמב""ם")</f>
        <v>מדרשי הלכה ופסקי הרמב"ם</v>
      </c>
    </row>
    <row r="1822" spans="1:6" x14ac:dyDescent="0.2">
      <c r="A1822" t="s">
        <v>3769</v>
      </c>
      <c r="B1822" t="s">
        <v>3770</v>
      </c>
      <c r="C1822" t="s">
        <v>88</v>
      </c>
      <c r="D1822" s="1" t="s">
        <v>9</v>
      </c>
      <c r="E1822" t="s">
        <v>34</v>
      </c>
      <c r="F1822" s="5" t="str">
        <f>HYPERLINK("http://www.otzar.org/book.asp?624921","מה ה' אלקיך שואל מעמך")</f>
        <v>מה ה' אלקיך שואל מעמך</v>
      </c>
    </row>
    <row r="1823" spans="1:6" x14ac:dyDescent="0.2">
      <c r="A1823" t="s">
        <v>3771</v>
      </c>
      <c r="B1823" t="s">
        <v>3772</v>
      </c>
      <c r="C1823" t="s">
        <v>411</v>
      </c>
      <c r="D1823" s="1" t="s">
        <v>14</v>
      </c>
      <c r="E1823" t="s">
        <v>34</v>
      </c>
      <c r="F1823" s="5" t="str">
        <f>HYPERLINK("http://www.otzar.org/book.asp?624578","מה שחשוב לך לדעת על גיוס בנות")</f>
        <v>מה שחשוב לך לדעת על גיוס בנות</v>
      </c>
    </row>
    <row r="1824" spans="1:6" x14ac:dyDescent="0.2">
      <c r="A1824" t="s">
        <v>3773</v>
      </c>
      <c r="B1824" t="s">
        <v>2657</v>
      </c>
      <c r="C1824" t="s">
        <v>397</v>
      </c>
      <c r="D1824" s="1" t="s">
        <v>9</v>
      </c>
      <c r="E1824" t="s">
        <v>168</v>
      </c>
      <c r="F1824" s="5" t="str">
        <f>HYPERLINK("http://www.otzar.org/book.asp?629062","מהר""י שטייף - 6 כר'")</f>
        <v>מהר"י שטייף - 6 כר'</v>
      </c>
    </row>
    <row r="1825" spans="1:6" x14ac:dyDescent="0.2">
      <c r="A1825" t="s">
        <v>3774</v>
      </c>
      <c r="B1825" t="s">
        <v>156</v>
      </c>
      <c r="C1825" t="s">
        <v>157</v>
      </c>
      <c r="D1825" s="1" t="s">
        <v>158</v>
      </c>
      <c r="E1825" t="s">
        <v>683</v>
      </c>
      <c r="F1825" s="5" t="str">
        <f>HYPERLINK("http://www.otzar.org/book.asp?628556","מודעות טבעית")</f>
        <v>מודעות טבעית</v>
      </c>
    </row>
    <row r="1826" spans="1:6" x14ac:dyDescent="0.2">
      <c r="A1826" t="s">
        <v>3775</v>
      </c>
      <c r="B1826" t="s">
        <v>3776</v>
      </c>
      <c r="C1826" t="s">
        <v>379</v>
      </c>
      <c r="D1826" s="1" t="s">
        <v>537</v>
      </c>
      <c r="E1826" t="s">
        <v>49</v>
      </c>
      <c r="F1826" s="5" t="str">
        <f>HYPERLINK("http://www.otzar.org/book.asp?623435","מוסדות שארית הפליטה בארץ-ישראל")</f>
        <v>מוסדות שארית הפליטה בארץ-ישראל</v>
      </c>
    </row>
    <row r="1827" spans="1:6" x14ac:dyDescent="0.2">
      <c r="A1827" t="s">
        <v>3777</v>
      </c>
      <c r="B1827" t="s">
        <v>3778</v>
      </c>
      <c r="C1827" t="s">
        <v>25</v>
      </c>
      <c r="D1827" s="1" t="s">
        <v>151</v>
      </c>
      <c r="F1827" s="5" t="str">
        <f>HYPERLINK("http://www.otzar.org/book.asp?632564","מוסף שבת קודש - 63 כר'")</f>
        <v>מוסף שבת קודש - 63 כר'</v>
      </c>
    </row>
    <row r="1828" spans="1:6" x14ac:dyDescent="0.2">
      <c r="A1828" t="s">
        <v>3779</v>
      </c>
      <c r="B1828" t="s">
        <v>1720</v>
      </c>
      <c r="C1828" t="s">
        <v>13</v>
      </c>
      <c r="D1828" s="1" t="s">
        <v>9</v>
      </c>
      <c r="E1828" t="s">
        <v>34</v>
      </c>
      <c r="F1828" s="5" t="str">
        <f>HYPERLINK("http://www.otzar.org/book.asp?631239","מוסר חכמה")</f>
        <v>מוסר חכמה</v>
      </c>
    </row>
    <row r="1829" spans="1:6" x14ac:dyDescent="0.2">
      <c r="A1829" t="s">
        <v>3780</v>
      </c>
      <c r="B1829" t="s">
        <v>3781</v>
      </c>
      <c r="C1829" t="s">
        <v>120</v>
      </c>
      <c r="D1829" s="1" t="s">
        <v>386</v>
      </c>
      <c r="E1829" t="s">
        <v>108</v>
      </c>
      <c r="F1829" s="5" t="str">
        <f>HYPERLINK("http://www.otzar.org/book.asp?625941","מוסר יהודי לעומת מוסר נוצרי")</f>
        <v>מוסר יהודי לעומת מוסר נוצרי</v>
      </c>
    </row>
    <row r="1830" spans="1:6" x14ac:dyDescent="0.2">
      <c r="A1830" t="s">
        <v>3782</v>
      </c>
      <c r="B1830" t="s">
        <v>3783</v>
      </c>
      <c r="C1830" t="s">
        <v>73</v>
      </c>
      <c r="D1830" s="1" t="s">
        <v>659</v>
      </c>
      <c r="E1830" t="s">
        <v>89</v>
      </c>
      <c r="F1830" s="5" t="str">
        <f>HYPERLINK("http://www.otzar.org/book.asp?627200","מועדי אב")</f>
        <v>מועדי אב</v>
      </c>
    </row>
    <row r="1831" spans="1:6" x14ac:dyDescent="0.2">
      <c r="A1831" t="s">
        <v>3784</v>
      </c>
      <c r="B1831" t="s">
        <v>3785</v>
      </c>
      <c r="C1831" t="s">
        <v>73</v>
      </c>
      <c r="D1831" s="1" t="s">
        <v>64</v>
      </c>
      <c r="E1831" t="s">
        <v>89</v>
      </c>
      <c r="F1831" s="5" t="str">
        <f>HYPERLINK("http://www.otzar.org/book.asp?623765","מועדי ה'")</f>
        <v>מועדי ה'</v>
      </c>
    </row>
    <row r="1832" spans="1:6" x14ac:dyDescent="0.2">
      <c r="A1832" t="s">
        <v>3786</v>
      </c>
      <c r="B1832" t="s">
        <v>1098</v>
      </c>
      <c r="C1832" t="s">
        <v>397</v>
      </c>
      <c r="D1832" s="1" t="s">
        <v>795</v>
      </c>
      <c r="E1832" t="s">
        <v>89</v>
      </c>
      <c r="F1832" s="5" t="str">
        <f>HYPERLINK("http://www.otzar.org/book.asp?626345","מועדי ה' - ימים נוראים")</f>
        <v>מועדי ה' - ימים נוראים</v>
      </c>
    </row>
    <row r="1833" spans="1:6" x14ac:dyDescent="0.2">
      <c r="A1833" t="s">
        <v>3787</v>
      </c>
      <c r="B1833" t="s">
        <v>3788</v>
      </c>
      <c r="C1833" t="s">
        <v>383</v>
      </c>
      <c r="D1833" s="1" t="s">
        <v>9</v>
      </c>
      <c r="F1833" s="5" t="str">
        <f>HYPERLINK("http://www.otzar.org/book.asp?630379","מורא מלך - קריאת שמע")</f>
        <v>מורא מלך - קריאת שמע</v>
      </c>
    </row>
    <row r="1834" spans="1:6" x14ac:dyDescent="0.2">
      <c r="A1834" t="s">
        <v>3789</v>
      </c>
      <c r="B1834" t="s">
        <v>3790</v>
      </c>
      <c r="C1834" t="s">
        <v>3791</v>
      </c>
      <c r="D1834" s="1" t="s">
        <v>3792</v>
      </c>
      <c r="E1834" t="s">
        <v>49</v>
      </c>
      <c r="F1834" s="5" t="str">
        <f>HYPERLINK("http://www.otzar.org/book.asp?624704","מורה דרכי הרפואה")</f>
        <v>מורה דרכי הרפואה</v>
      </c>
    </row>
    <row r="1835" spans="1:6" x14ac:dyDescent="0.2">
      <c r="A1835" t="s">
        <v>3793</v>
      </c>
      <c r="B1835" t="s">
        <v>147</v>
      </c>
      <c r="C1835" t="s">
        <v>454</v>
      </c>
      <c r="D1835" s="1" t="s">
        <v>471</v>
      </c>
      <c r="E1835" t="s">
        <v>34</v>
      </c>
      <c r="F1835" s="5" t="str">
        <f>HYPERLINK("http://www.otzar.org/book.asp?623438","מורה הנבוכים &lt;תרגום אלחריזי&gt; - א")</f>
        <v>מורה הנבוכים &lt;תרגום אלחריזי&gt; - א</v>
      </c>
    </row>
    <row r="1836" spans="1:6" x14ac:dyDescent="0.2">
      <c r="A1836" t="s">
        <v>3794</v>
      </c>
      <c r="B1836" t="s">
        <v>3795</v>
      </c>
      <c r="C1836" t="s">
        <v>73</v>
      </c>
      <c r="D1836" s="1" t="s">
        <v>9</v>
      </c>
      <c r="E1836" t="s">
        <v>34</v>
      </c>
      <c r="F1836" s="5" t="str">
        <f>HYPERLINK("http://www.otzar.org/book.asp?626801","מורה הנבוכים עם פירוש הרב אבינר - ב")</f>
        <v>מורה הנבוכים עם פירוש הרב אבינר - ב</v>
      </c>
    </row>
    <row r="1837" spans="1:6" x14ac:dyDescent="0.2">
      <c r="A1837" t="s">
        <v>3796</v>
      </c>
      <c r="B1837" t="s">
        <v>3797</v>
      </c>
      <c r="C1837" t="s">
        <v>3798</v>
      </c>
      <c r="D1837" s="1" t="s">
        <v>3799</v>
      </c>
      <c r="E1837" t="s">
        <v>34</v>
      </c>
      <c r="F1837" s="5" t="str">
        <f>HYPERLINK("http://www.otzar.org/book.asp?623336","מורה נבוכים &lt;תרגום ר""מ לפין&gt;")</f>
        <v>מורה נבוכים &lt;תרגום ר"מ לפין&gt;</v>
      </c>
    </row>
    <row r="1838" spans="1:6" x14ac:dyDescent="0.2">
      <c r="A1838" t="s">
        <v>3800</v>
      </c>
      <c r="B1838" t="s">
        <v>147</v>
      </c>
      <c r="C1838" t="s">
        <v>3801</v>
      </c>
      <c r="D1838" s="1" t="s">
        <v>3802</v>
      </c>
      <c r="E1838" t="s">
        <v>34</v>
      </c>
      <c r="F1838" s="5" t="str">
        <f>HYPERLINK("http://www.otzar.org/book.asp?623348","מורה נבוכים &lt;דפוס למברג&gt; - ג")</f>
        <v>מורה נבוכים &lt;דפוס למברג&gt; - ג</v>
      </c>
    </row>
    <row r="1839" spans="1:6" x14ac:dyDescent="0.2">
      <c r="A1839" t="s">
        <v>3803</v>
      </c>
      <c r="B1839" t="s">
        <v>147</v>
      </c>
      <c r="C1839" t="s">
        <v>3804</v>
      </c>
      <c r="D1839" s="1" t="s">
        <v>3805</v>
      </c>
      <c r="E1839" t="s">
        <v>34</v>
      </c>
      <c r="F1839" s="5" t="str">
        <f>HYPERLINK("http://www.otzar.org/book.asp?623344","מורה נבוכים &lt;עברית וגרמנית&gt; - ג")</f>
        <v>מורה נבוכים &lt;עברית וגרמנית&gt; - ג</v>
      </c>
    </row>
    <row r="1840" spans="1:6" x14ac:dyDescent="0.2">
      <c r="A1840" t="s">
        <v>3806</v>
      </c>
      <c r="B1840" t="s">
        <v>3795</v>
      </c>
      <c r="C1840" t="s">
        <v>73</v>
      </c>
      <c r="D1840" s="1" t="s">
        <v>9</v>
      </c>
      <c r="E1840" t="s">
        <v>34</v>
      </c>
      <c r="F1840" s="5" t="str">
        <f>HYPERLINK("http://www.otzar.org/book.asp?628588","מורה נבוכים - מבואר (ב)")</f>
        <v>מורה נבוכים - מבואר (ב)</v>
      </c>
    </row>
    <row r="1841" spans="1:6" x14ac:dyDescent="0.2">
      <c r="A1841" t="s">
        <v>3807</v>
      </c>
      <c r="B1841" t="s">
        <v>3808</v>
      </c>
      <c r="C1841" t="s">
        <v>13</v>
      </c>
      <c r="D1841" s="1" t="s">
        <v>9</v>
      </c>
      <c r="F1841" s="5" t="str">
        <f>HYPERLINK("http://www.otzar.org/book.asp?633164","מוריה - 3 כר'")</f>
        <v>מוריה - 3 כר'</v>
      </c>
    </row>
    <row r="1842" spans="1:6" x14ac:dyDescent="0.2">
      <c r="A1842" t="s">
        <v>3809</v>
      </c>
      <c r="B1842" t="s">
        <v>3810</v>
      </c>
      <c r="C1842" t="s">
        <v>190</v>
      </c>
      <c r="D1842" s="1" t="s">
        <v>3811</v>
      </c>
      <c r="E1842" t="s">
        <v>168</v>
      </c>
      <c r="F1842" s="5" t="str">
        <f>HYPERLINK("http://www.otzar.org/book.asp?623398","מורשה - 3 כר'")</f>
        <v>מורשה - 3 כר'</v>
      </c>
    </row>
    <row r="1843" spans="1:6" x14ac:dyDescent="0.2">
      <c r="A1843" t="s">
        <v>3812</v>
      </c>
      <c r="B1843" t="s">
        <v>3813</v>
      </c>
      <c r="C1843" t="s">
        <v>383</v>
      </c>
      <c r="D1843" s="1" t="s">
        <v>9</v>
      </c>
      <c r="E1843" t="s">
        <v>22</v>
      </c>
      <c r="F1843" s="5" t="str">
        <f>HYPERLINK("http://www.otzar.org/book.asp?629751","מורשת משה - 6 כר'")</f>
        <v>מורשת משה - 6 כר'</v>
      </c>
    </row>
    <row r="1844" spans="1:6" x14ac:dyDescent="0.2">
      <c r="A1844" t="s">
        <v>3814</v>
      </c>
      <c r="B1844" t="s">
        <v>1730</v>
      </c>
      <c r="C1844" t="s">
        <v>13</v>
      </c>
      <c r="D1844" s="1" t="s">
        <v>14</v>
      </c>
      <c r="E1844" t="s">
        <v>22</v>
      </c>
      <c r="F1844" s="5" t="str">
        <f>HYPERLINK("http://www.otzar.org/book.asp?630083","מושגים ונידונים - קדשים")</f>
        <v>מושגים ונידונים - קדשים</v>
      </c>
    </row>
    <row r="1845" spans="1:6" x14ac:dyDescent="0.2">
      <c r="A1845" t="s">
        <v>3815</v>
      </c>
      <c r="B1845" t="s">
        <v>418</v>
      </c>
      <c r="C1845" t="s">
        <v>13</v>
      </c>
      <c r="D1845" s="1" t="s">
        <v>14</v>
      </c>
      <c r="E1845" t="s">
        <v>2449</v>
      </c>
      <c r="F1845" s="5" t="str">
        <f>HYPERLINK("http://www.otzar.org/book.asp?627963","מותיב ומפרק - חג הסוכות א")</f>
        <v>מותיב ומפרק - חג הסוכות א</v>
      </c>
    </row>
    <row r="1846" spans="1:6" x14ac:dyDescent="0.2">
      <c r="A1846" t="s">
        <v>3816</v>
      </c>
      <c r="B1846" t="s">
        <v>3817</v>
      </c>
      <c r="C1846" t="s">
        <v>13</v>
      </c>
      <c r="D1846" s="1" t="s">
        <v>14</v>
      </c>
      <c r="E1846" t="s">
        <v>22</v>
      </c>
      <c r="F1846" s="5" t="str">
        <f>HYPERLINK("http://www.otzar.org/book.asp?630475","מזוזות שעריך")</f>
        <v>מזוזות שעריך</v>
      </c>
    </row>
    <row r="1847" spans="1:6" x14ac:dyDescent="0.2">
      <c r="A1847" t="s">
        <v>3818</v>
      </c>
      <c r="B1847" t="s">
        <v>2039</v>
      </c>
      <c r="C1847" t="s">
        <v>73</v>
      </c>
      <c r="D1847" s="1" t="s">
        <v>9</v>
      </c>
      <c r="E1847" t="s">
        <v>44</v>
      </c>
      <c r="F1847" s="5" t="str">
        <f>HYPERLINK("http://www.otzar.org/book.asp?630777","מזכיר שלום &lt;מהדורת אהבת שלום &gt; א")</f>
        <v>מזכיר שלום &lt;מהדורת אהבת שלום &gt; א</v>
      </c>
    </row>
    <row r="1848" spans="1:6" x14ac:dyDescent="0.2">
      <c r="A1848" t="s">
        <v>3819</v>
      </c>
      <c r="B1848" t="s">
        <v>2039</v>
      </c>
      <c r="C1848" t="s">
        <v>73</v>
      </c>
      <c r="D1848" s="1" t="s">
        <v>9</v>
      </c>
      <c r="E1848" t="s">
        <v>44</v>
      </c>
      <c r="F1848" s="5" t="str">
        <f>HYPERLINK("http://www.otzar.org/book.asp?630778","מזכיר שלום &lt;מהדורת אהבת שלום &gt; ב")</f>
        <v>מזכיר שלום &lt;מהדורת אהבת שלום &gt; ב</v>
      </c>
    </row>
    <row r="1849" spans="1:6" x14ac:dyDescent="0.2">
      <c r="A1849" t="s">
        <v>3820</v>
      </c>
      <c r="B1849" t="s">
        <v>94</v>
      </c>
      <c r="C1849" t="s">
        <v>20</v>
      </c>
      <c r="D1849" s="1" t="s">
        <v>52</v>
      </c>
      <c r="E1849" t="s">
        <v>22</v>
      </c>
      <c r="F1849" s="5" t="str">
        <f>HYPERLINK("http://www.otzar.org/book.asp?628716","מזכרת רחל")</f>
        <v>מזכרת רחל</v>
      </c>
    </row>
    <row r="1850" spans="1:6" x14ac:dyDescent="0.2">
      <c r="A1850" t="s">
        <v>3821</v>
      </c>
      <c r="B1850" t="s">
        <v>3822</v>
      </c>
      <c r="C1850" t="s">
        <v>13</v>
      </c>
      <c r="D1850" s="1" t="s">
        <v>1280</v>
      </c>
      <c r="E1850" t="s">
        <v>22</v>
      </c>
      <c r="F1850" s="5" t="str">
        <f>HYPERLINK("http://www.otzar.org/book.asp?629781","מזמור לאסף")</f>
        <v>מזמור לאסף</v>
      </c>
    </row>
    <row r="1851" spans="1:6" x14ac:dyDescent="0.2">
      <c r="A1851" t="s">
        <v>3823</v>
      </c>
      <c r="B1851" t="s">
        <v>3824</v>
      </c>
      <c r="C1851" t="s">
        <v>13</v>
      </c>
      <c r="D1851" s="1" t="s">
        <v>9</v>
      </c>
      <c r="E1851" t="s">
        <v>34</v>
      </c>
      <c r="F1851" s="5" t="str">
        <f>HYPERLINK("http://www.otzar.org/book.asp?629095","מזמור לתודה")</f>
        <v>מזמור לתודה</v>
      </c>
    </row>
    <row r="1852" spans="1:6" x14ac:dyDescent="0.2">
      <c r="A1852" t="s">
        <v>3823</v>
      </c>
      <c r="B1852" t="s">
        <v>923</v>
      </c>
      <c r="C1852" t="s">
        <v>8</v>
      </c>
      <c r="D1852" s="1" t="s">
        <v>14</v>
      </c>
      <c r="E1852" t="s">
        <v>49</v>
      </c>
      <c r="F1852" s="5" t="str">
        <f>HYPERLINK("http://www.otzar.org/book.asp?623222","מזמור לתודה")</f>
        <v>מזמור לתודה</v>
      </c>
    </row>
    <row r="1853" spans="1:6" x14ac:dyDescent="0.2">
      <c r="A1853" t="s">
        <v>3825</v>
      </c>
      <c r="D1853" s="1" t="s">
        <v>3394</v>
      </c>
      <c r="E1853" t="s">
        <v>89</v>
      </c>
      <c r="F1853" s="5" t="str">
        <f>HYPERLINK("http://www.otzar.org/book.asp?623966","מחברת תשועת ישראל על ידי אסתר")</f>
        <v>מחברת תשועת ישראל על ידי אסתר</v>
      </c>
    </row>
    <row r="1854" spans="1:6" x14ac:dyDescent="0.2">
      <c r="A1854" t="s">
        <v>3826</v>
      </c>
      <c r="B1854" t="s">
        <v>156</v>
      </c>
      <c r="C1854" t="s">
        <v>206</v>
      </c>
      <c r="D1854" s="1" t="s">
        <v>158</v>
      </c>
      <c r="E1854" t="s">
        <v>3040</v>
      </c>
      <c r="F1854" s="5" t="str">
        <f>HYPERLINK("http://www.otzar.org/book.asp?628557","מחול הכרמים")</f>
        <v>מחול הכרמים</v>
      </c>
    </row>
    <row r="1855" spans="1:6" x14ac:dyDescent="0.2">
      <c r="A1855" t="s">
        <v>3827</v>
      </c>
      <c r="B1855" t="s">
        <v>3828</v>
      </c>
      <c r="C1855" t="s">
        <v>13</v>
      </c>
      <c r="D1855" s="1" t="s">
        <v>14</v>
      </c>
      <c r="E1855" t="s">
        <v>41</v>
      </c>
      <c r="F1855" s="5" t="str">
        <f>HYPERLINK("http://www.otzar.org/book.asp?624814","מחוקק במשענותם - חו""מ")</f>
        <v>מחוקק במשענותם - חו"מ</v>
      </c>
    </row>
    <row r="1856" spans="1:6" x14ac:dyDescent="0.2">
      <c r="A1856" t="s">
        <v>3829</v>
      </c>
      <c r="B1856" t="s">
        <v>3830</v>
      </c>
      <c r="D1856" s="1" t="s">
        <v>3831</v>
      </c>
      <c r="E1856" t="s">
        <v>171</v>
      </c>
      <c r="F1856" s="5" t="str">
        <f>HYPERLINK("http://www.otzar.org/book.asp?624733","מחזור בית אל &lt;מתורגם יהודית&gt; - יום כיפור")</f>
        <v>מחזור בית אל &lt;מתורגם יהודית&gt; - יום כיפור</v>
      </c>
    </row>
    <row r="1857" spans="1:6" x14ac:dyDescent="0.2">
      <c r="A1857" t="s">
        <v>3832</v>
      </c>
      <c r="B1857" t="s">
        <v>3833</v>
      </c>
      <c r="C1857" t="s">
        <v>40</v>
      </c>
      <c r="D1857" s="1" t="s">
        <v>120</v>
      </c>
      <c r="E1857" t="s">
        <v>171</v>
      </c>
      <c r="F1857" s="5" t="str">
        <f>HYPERLINK("http://www.otzar.org/book.asp?625885","מחזור זכור לאברהם &lt;כמנהג ק""ק הספרדים בא""י&gt; - 2 כר'")</f>
        <v>מחזור זכור לאברהם &lt;כמנהג ק"ק הספרדים בא"י&gt; - 2 כר'</v>
      </c>
    </row>
    <row r="1858" spans="1:6" x14ac:dyDescent="0.2">
      <c r="A1858" t="s">
        <v>3834</v>
      </c>
      <c r="B1858" t="s">
        <v>3833</v>
      </c>
      <c r="C1858" t="s">
        <v>20</v>
      </c>
      <c r="D1858" s="1" t="s">
        <v>120</v>
      </c>
      <c r="E1858" t="s">
        <v>295</v>
      </c>
      <c r="F1858" s="5" t="str">
        <f>HYPERLINK("http://www.otzar.org/book.asp?625886","מחזור לשלשה רגלים מועדי ה' &lt;כמנהג הספרדים בארץ הצבי&gt;")</f>
        <v>מחזור לשלשה רגלים מועדי ה' &lt;כמנהג הספרדים בארץ הצבי&gt;</v>
      </c>
    </row>
    <row r="1859" spans="1:6" x14ac:dyDescent="0.2">
      <c r="A1859" t="s">
        <v>3835</v>
      </c>
      <c r="B1859" t="s">
        <v>3836</v>
      </c>
      <c r="C1859" t="s">
        <v>13</v>
      </c>
      <c r="D1859" s="1" t="s">
        <v>911</v>
      </c>
      <c r="E1859" t="s">
        <v>214</v>
      </c>
      <c r="F1859" s="5" t="str">
        <f>HYPERLINK("http://www.otzar.org/book.asp?627711","מחזקי תורה - ג")</f>
        <v>מחזקי תורה - ג</v>
      </c>
    </row>
    <row r="1860" spans="1:6" x14ac:dyDescent="0.2">
      <c r="A1860" t="s">
        <v>3837</v>
      </c>
      <c r="B1860" t="s">
        <v>3838</v>
      </c>
      <c r="C1860" t="s">
        <v>397</v>
      </c>
      <c r="D1860" s="1" t="s">
        <v>14</v>
      </c>
      <c r="E1860" t="s">
        <v>49</v>
      </c>
      <c r="F1860" s="5" t="str">
        <f>HYPERLINK("http://www.otzar.org/book.asp?623268","מחל'ב האר""ץ [החדש] - 21")</f>
        <v>מחל'ב האר"ץ [החדש] - 21</v>
      </c>
    </row>
    <row r="1861" spans="1:6" x14ac:dyDescent="0.2">
      <c r="A1861" t="s">
        <v>3839</v>
      </c>
      <c r="B1861" t="s">
        <v>3840</v>
      </c>
      <c r="C1861" t="s">
        <v>1066</v>
      </c>
      <c r="D1861" s="1" t="s">
        <v>9</v>
      </c>
      <c r="E1861" t="s">
        <v>3841</v>
      </c>
      <c r="F1861" s="5" t="str">
        <f>HYPERLINK("http://www.otzar.org/book.asp?623593","מחלב הארץ")</f>
        <v>מחלב הארץ</v>
      </c>
    </row>
    <row r="1862" spans="1:6" x14ac:dyDescent="0.2">
      <c r="A1862" t="s">
        <v>3842</v>
      </c>
      <c r="B1862" t="s">
        <v>3843</v>
      </c>
      <c r="C1862" t="s">
        <v>88</v>
      </c>
      <c r="D1862" s="1" t="s">
        <v>9</v>
      </c>
      <c r="E1862" t="s">
        <v>168</v>
      </c>
      <c r="F1862" s="5" t="str">
        <f>HYPERLINK("http://www.otzar.org/book.asp?626039","מחמדי ארץ - 2 כר'")</f>
        <v>מחמדי ארץ - 2 כר'</v>
      </c>
    </row>
    <row r="1863" spans="1:6" x14ac:dyDescent="0.2">
      <c r="A1863" t="s">
        <v>3844</v>
      </c>
      <c r="B1863" t="s">
        <v>2549</v>
      </c>
      <c r="C1863" t="s">
        <v>190</v>
      </c>
      <c r="D1863" s="1" t="s">
        <v>9</v>
      </c>
      <c r="F1863" s="5" t="str">
        <f>HYPERLINK("http://www.otzar.org/book.asp?632039","מחנה יוסף - עיונים במשנת רבינו")</f>
        <v>מחנה יוסף - עיונים במשנת רבינו</v>
      </c>
    </row>
    <row r="1864" spans="1:6" x14ac:dyDescent="0.2">
      <c r="A1864" t="s">
        <v>3845</v>
      </c>
      <c r="B1864" t="s">
        <v>2848</v>
      </c>
      <c r="C1864" t="s">
        <v>1642</v>
      </c>
      <c r="D1864" s="1" t="s">
        <v>1526</v>
      </c>
      <c r="E1864" t="s">
        <v>37</v>
      </c>
      <c r="F1864" s="5" t="str">
        <f>HYPERLINK("http://www.otzar.org/book.asp?624763","מחנה ישראל")</f>
        <v>מחנה ישראל</v>
      </c>
    </row>
    <row r="1865" spans="1:6" x14ac:dyDescent="0.2">
      <c r="A1865" t="s">
        <v>3846</v>
      </c>
      <c r="B1865" t="s">
        <v>3847</v>
      </c>
      <c r="C1865" t="s">
        <v>470</v>
      </c>
      <c r="D1865" s="1" t="s">
        <v>213</v>
      </c>
      <c r="E1865" t="s">
        <v>214</v>
      </c>
      <c r="F1865" s="5" t="str">
        <f>HYPERLINK("http://www.otzar.org/book.asp?628243","מחניים - 8 כר'")</f>
        <v>מחניים - 8 כר'</v>
      </c>
    </row>
    <row r="1866" spans="1:6" x14ac:dyDescent="0.2">
      <c r="A1866" t="s">
        <v>3848</v>
      </c>
      <c r="B1866" t="s">
        <v>3849</v>
      </c>
      <c r="C1866" t="s">
        <v>13</v>
      </c>
      <c r="D1866" s="1" t="s">
        <v>29</v>
      </c>
      <c r="E1866" t="s">
        <v>22</v>
      </c>
      <c r="F1866" s="5" t="str">
        <f>HYPERLINK("http://www.otzar.org/book.asp?630822","מחקק ספון - 3 כר'")</f>
        <v>מחקק ספון - 3 כר'</v>
      </c>
    </row>
    <row r="1867" spans="1:6" x14ac:dyDescent="0.2">
      <c r="A1867" t="s">
        <v>3850</v>
      </c>
      <c r="B1867" t="s">
        <v>3851</v>
      </c>
      <c r="C1867">
        <v>1934</v>
      </c>
      <c r="D1867" s="1" t="s">
        <v>3852</v>
      </c>
      <c r="E1867" t="s">
        <v>49</v>
      </c>
      <c r="F1867" s="5" t="str">
        <f>HYPERLINK("http://www.otzar.org/book.asp?623019","מחקר על המחזור (גרמנית)")</f>
        <v>מחקר על המחזור (גרמנית)</v>
      </c>
    </row>
    <row r="1868" spans="1:6" x14ac:dyDescent="0.2">
      <c r="A1868" t="s">
        <v>3853</v>
      </c>
      <c r="B1868" t="s">
        <v>3854</v>
      </c>
      <c r="C1868" t="s">
        <v>25</v>
      </c>
      <c r="D1868" s="1" t="s">
        <v>9</v>
      </c>
      <c r="E1868" t="s">
        <v>41</v>
      </c>
      <c r="F1868" s="5" t="str">
        <f>HYPERLINK("http://www.otzar.org/book.asp?630285","מחקרי ארץ &lt;שו""ת&gt; - ח")</f>
        <v>מחקרי ארץ &lt;שו"ת&gt; - ח</v>
      </c>
    </row>
    <row r="1869" spans="1:6" x14ac:dyDescent="0.2">
      <c r="A1869" t="s">
        <v>3855</v>
      </c>
      <c r="B1869" t="s">
        <v>3854</v>
      </c>
      <c r="C1869" t="s">
        <v>13</v>
      </c>
      <c r="D1869" s="1" t="s">
        <v>9</v>
      </c>
      <c r="E1869" t="s">
        <v>37</v>
      </c>
      <c r="F1869" s="5" t="str">
        <f>HYPERLINK("http://www.otzar.org/book.asp?630284","מחקרי ארץ - הלכות צדקה ומעשר")</f>
        <v>מחקרי ארץ - הלכות צדקה ומעשר</v>
      </c>
    </row>
    <row r="1870" spans="1:6" x14ac:dyDescent="0.2">
      <c r="A1870" t="s">
        <v>3856</v>
      </c>
      <c r="B1870" t="s">
        <v>3857</v>
      </c>
      <c r="C1870">
        <v>1975</v>
      </c>
      <c r="D1870" s="1" t="s">
        <v>29</v>
      </c>
      <c r="F1870" s="5" t="str">
        <f>HYPERLINK("http://www.otzar.org/book.asp?630735","מחקרים במסכת קידושין לאור הגירסאות בכתבי יד וראשונים")</f>
        <v>מחקרים במסכת קידושין לאור הגירסאות בכתבי יד וראשונים</v>
      </c>
    </row>
    <row r="1871" spans="1:6" x14ac:dyDescent="0.2">
      <c r="A1871" t="s">
        <v>3858</v>
      </c>
      <c r="B1871" t="s">
        <v>3859</v>
      </c>
      <c r="C1871" t="s">
        <v>1568</v>
      </c>
      <c r="D1871" s="1" t="s">
        <v>9</v>
      </c>
      <c r="E1871" t="s">
        <v>683</v>
      </c>
      <c r="F1871" s="5" t="str">
        <f>HYPERLINK("http://www.otzar.org/book.asp?609610","מחרוזת")</f>
        <v>מחרוזת</v>
      </c>
    </row>
    <row r="1872" spans="1:6" x14ac:dyDescent="0.2">
      <c r="A1872" t="s">
        <v>3860</v>
      </c>
      <c r="B1872" t="s">
        <v>3861</v>
      </c>
      <c r="C1872" t="s">
        <v>460</v>
      </c>
      <c r="D1872" s="1" t="s">
        <v>14</v>
      </c>
      <c r="E1872" t="s">
        <v>168</v>
      </c>
      <c r="F1872" s="5" t="str">
        <f>HYPERLINK("http://www.otzar.org/book.asp?625608","מחשבות לב - א")</f>
        <v>מחשבות לב - א</v>
      </c>
    </row>
    <row r="1873" spans="1:6" x14ac:dyDescent="0.2">
      <c r="A1873" t="s">
        <v>3862</v>
      </c>
      <c r="B1873" t="s">
        <v>1993</v>
      </c>
      <c r="E1873" t="s">
        <v>108</v>
      </c>
      <c r="F1873" s="5" t="str">
        <f>HYPERLINK("http://www.otzar.org/book.asp?625577","מחשבת אמונה")</f>
        <v>מחשבת אמונה</v>
      </c>
    </row>
    <row r="1874" spans="1:6" x14ac:dyDescent="0.2">
      <c r="A1874" t="s">
        <v>3863</v>
      </c>
      <c r="B1874" t="s">
        <v>2134</v>
      </c>
      <c r="D1874" s="1" t="s">
        <v>9</v>
      </c>
      <c r="E1874" t="s">
        <v>34</v>
      </c>
      <c r="F1874" s="5" t="str">
        <f>HYPERLINK("http://www.otzar.org/book.asp?629130","מחשבת היהדות")</f>
        <v>מחשבת היהדות</v>
      </c>
    </row>
    <row r="1875" spans="1:6" x14ac:dyDescent="0.2">
      <c r="A1875" t="s">
        <v>3864</v>
      </c>
      <c r="B1875" t="s">
        <v>3865</v>
      </c>
      <c r="C1875" t="s">
        <v>73</v>
      </c>
      <c r="D1875" s="1" t="s">
        <v>14</v>
      </c>
      <c r="E1875" t="s">
        <v>34</v>
      </c>
      <c r="F1875" s="5" t="str">
        <f>HYPERLINK("http://www.otzar.org/book.asp?629610","מחשבת לב - 2 כר'")</f>
        <v>מחשבת לב - 2 כר'</v>
      </c>
    </row>
    <row r="1876" spans="1:6" x14ac:dyDescent="0.2">
      <c r="A1876" t="s">
        <v>3866</v>
      </c>
      <c r="B1876" t="s">
        <v>84</v>
      </c>
      <c r="C1876" t="s">
        <v>3867</v>
      </c>
      <c r="D1876" s="1" t="s">
        <v>14</v>
      </c>
      <c r="E1876" t="s">
        <v>22</v>
      </c>
      <c r="F1876" s="5" t="str">
        <f>HYPERLINK("http://www.otzar.org/book.asp?626212","מחשבת שלמה")</f>
        <v>מחשבת שלמה</v>
      </c>
    </row>
    <row r="1877" spans="1:6" x14ac:dyDescent="0.2">
      <c r="A1877" t="s">
        <v>3868</v>
      </c>
      <c r="B1877" t="s">
        <v>3869</v>
      </c>
      <c r="C1877" t="s">
        <v>3164</v>
      </c>
      <c r="D1877" s="1" t="s">
        <v>114</v>
      </c>
      <c r="E1877" t="s">
        <v>168</v>
      </c>
      <c r="F1877" s="5" t="str">
        <f>HYPERLINK("http://www.otzar.org/book.asp?624765","מטה אהרן")</f>
        <v>מטה אהרן</v>
      </c>
    </row>
    <row r="1878" spans="1:6" x14ac:dyDescent="0.2">
      <c r="A1878" t="s">
        <v>3870</v>
      </c>
      <c r="B1878" t="s">
        <v>3871</v>
      </c>
      <c r="C1878" t="s">
        <v>136</v>
      </c>
      <c r="D1878" s="1" t="s">
        <v>9</v>
      </c>
      <c r="E1878" t="s">
        <v>671</v>
      </c>
      <c r="F1878" s="5" t="str">
        <f>HYPERLINK("http://www.otzar.org/book.asp?626013","מטה אהרן - פסח וסוכה")</f>
        <v>מטה אהרן - פסח וסוכה</v>
      </c>
    </row>
    <row r="1879" spans="1:6" x14ac:dyDescent="0.2">
      <c r="A1879" t="s">
        <v>3872</v>
      </c>
      <c r="B1879" t="s">
        <v>3873</v>
      </c>
      <c r="C1879" t="s">
        <v>133</v>
      </c>
      <c r="D1879" s="1" t="s">
        <v>9</v>
      </c>
      <c r="E1879" t="s">
        <v>37</v>
      </c>
      <c r="F1879" s="5" t="str">
        <f>HYPERLINK("http://www.otzar.org/book.asp?627572","מטה משה &lt;מהדורת זכרון אהרן&gt;")</f>
        <v>מטה משה &lt;מהדורת זכרון אהרן&gt;</v>
      </c>
    </row>
    <row r="1880" spans="1:6" x14ac:dyDescent="0.2">
      <c r="A1880" t="s">
        <v>3874</v>
      </c>
      <c r="B1880" t="s">
        <v>3875</v>
      </c>
      <c r="C1880" t="s">
        <v>8</v>
      </c>
      <c r="D1880" s="1" t="s">
        <v>52</v>
      </c>
      <c r="E1880" t="s">
        <v>538</v>
      </c>
      <c r="F1880" s="5" t="str">
        <f>HYPERLINK("http://www.otzar.org/book.asp?625817","מטל השמים - הבדלה")</f>
        <v>מטל השמים - הבדלה</v>
      </c>
    </row>
    <row r="1881" spans="1:6" x14ac:dyDescent="0.2">
      <c r="A1881" t="s">
        <v>3876</v>
      </c>
      <c r="B1881" t="s">
        <v>3877</v>
      </c>
      <c r="E1881" t="s">
        <v>154</v>
      </c>
      <c r="F1881" s="5" t="str">
        <f>HYPERLINK("http://www.otzar.org/book.asp?627847","מטמוני השבת  - בורר")</f>
        <v>מטמוני השבת  - בורר</v>
      </c>
    </row>
    <row r="1882" spans="1:6" x14ac:dyDescent="0.2">
      <c r="A1882" t="s">
        <v>3878</v>
      </c>
      <c r="B1882" t="s">
        <v>1806</v>
      </c>
      <c r="C1882" t="s">
        <v>13</v>
      </c>
      <c r="D1882" s="1" t="s">
        <v>9</v>
      </c>
      <c r="E1882" t="s">
        <v>89</v>
      </c>
      <c r="F1882" s="5" t="str">
        <f>HYPERLINK("http://www.otzar.org/book.asp?630016","מטרת ההגדה")</f>
        <v>מטרת ההגדה</v>
      </c>
    </row>
    <row r="1883" spans="1:6" x14ac:dyDescent="0.2">
      <c r="A1883" t="s">
        <v>3879</v>
      </c>
      <c r="B1883" t="s">
        <v>3880</v>
      </c>
      <c r="C1883" t="s">
        <v>1780</v>
      </c>
      <c r="D1883" s="1" t="s">
        <v>14</v>
      </c>
      <c r="E1883" t="s">
        <v>683</v>
      </c>
      <c r="F1883" s="5" t="str">
        <f>HYPERLINK("http://www.otzar.org/book.asp?625747","מי באר ישעיהו &lt;תליתא&gt;")</f>
        <v>מי באר ישעיהו &lt;תליתא&gt;</v>
      </c>
    </row>
    <row r="1884" spans="1:6" x14ac:dyDescent="0.2">
      <c r="A1884" t="s">
        <v>3881</v>
      </c>
      <c r="B1884" t="s">
        <v>3882</v>
      </c>
      <c r="C1884" t="s">
        <v>20</v>
      </c>
      <c r="D1884" s="1" t="s">
        <v>14</v>
      </c>
      <c r="E1884" t="s">
        <v>836</v>
      </c>
      <c r="F1884" s="5" t="str">
        <f>HYPERLINK("http://www.otzar.org/book.asp?625548","מי באר - 2 כר'")</f>
        <v>מי באר - 2 כר'</v>
      </c>
    </row>
    <row r="1885" spans="1:6" x14ac:dyDescent="0.2">
      <c r="A1885" t="s">
        <v>3883</v>
      </c>
      <c r="B1885" t="s">
        <v>3884</v>
      </c>
      <c r="C1885" t="s">
        <v>190</v>
      </c>
      <c r="D1885" s="1" t="s">
        <v>9</v>
      </c>
      <c r="E1885" t="s">
        <v>10</v>
      </c>
      <c r="F1885" s="5" t="str">
        <f>HYPERLINK("http://www.otzar.org/book.asp?630283","מי הדעת - מקוואות")</f>
        <v>מי הדעת - מקוואות</v>
      </c>
    </row>
    <row r="1886" spans="1:6" x14ac:dyDescent="0.2">
      <c r="A1886" t="s">
        <v>3885</v>
      </c>
      <c r="B1886" t="s">
        <v>3886</v>
      </c>
      <c r="E1886" t="s">
        <v>22</v>
      </c>
      <c r="F1886" s="5" t="str">
        <f>HYPERLINK("http://www.otzar.org/book.asp?629320","מי הים - רוב וחזקה")</f>
        <v>מי הים - רוב וחזקה</v>
      </c>
    </row>
    <row r="1887" spans="1:6" x14ac:dyDescent="0.2">
      <c r="A1887" t="s">
        <v>3887</v>
      </c>
      <c r="B1887" t="s">
        <v>1631</v>
      </c>
      <c r="C1887" t="s">
        <v>25</v>
      </c>
      <c r="D1887" s="1" t="s">
        <v>9</v>
      </c>
      <c r="E1887" t="s">
        <v>37</v>
      </c>
      <c r="F1887" s="5" t="str">
        <f>HYPERLINK("http://www.otzar.org/book.asp?630571","מי יזמן")</f>
        <v>מי יזמן</v>
      </c>
    </row>
    <row r="1888" spans="1:6" x14ac:dyDescent="0.2">
      <c r="A1888" t="s">
        <v>3888</v>
      </c>
      <c r="B1888" t="s">
        <v>3582</v>
      </c>
      <c r="C1888" t="s">
        <v>20</v>
      </c>
      <c r="D1888" s="1" t="s">
        <v>14</v>
      </c>
      <c r="E1888" t="s">
        <v>41</v>
      </c>
      <c r="F1888" s="5" t="str">
        <f>HYPERLINK("http://www.otzar.org/book.asp?623397","מי מנוחות - שו""ת ב")</f>
        <v>מי מנוחות - שו"ת ב</v>
      </c>
    </row>
    <row r="1889" spans="1:6" x14ac:dyDescent="0.2">
      <c r="A1889" t="s">
        <v>3889</v>
      </c>
      <c r="B1889" t="s">
        <v>3890</v>
      </c>
      <c r="C1889" t="s">
        <v>13</v>
      </c>
      <c r="D1889" s="1" t="s">
        <v>64</v>
      </c>
      <c r="E1889" t="s">
        <v>836</v>
      </c>
      <c r="F1889" s="5" t="str">
        <f>HYPERLINK("http://www.otzar.org/book.asp?630816","מיבול הארץ - ב")</f>
        <v>מיבול הארץ - ב</v>
      </c>
    </row>
    <row r="1890" spans="1:6" x14ac:dyDescent="0.2">
      <c r="A1890" t="s">
        <v>3891</v>
      </c>
      <c r="B1890" t="s">
        <v>3892</v>
      </c>
      <c r="C1890" t="s">
        <v>136</v>
      </c>
      <c r="D1890" s="1" t="s">
        <v>9</v>
      </c>
      <c r="E1890" t="s">
        <v>34</v>
      </c>
      <c r="F1890" s="5" t="str">
        <f>HYPERLINK("http://www.otzar.org/book.asp?626796","מידות הראיה")</f>
        <v>מידות הראיה</v>
      </c>
    </row>
    <row r="1891" spans="1:6" x14ac:dyDescent="0.2">
      <c r="A1891" t="s">
        <v>3893</v>
      </c>
      <c r="B1891" t="s">
        <v>3894</v>
      </c>
      <c r="C1891" t="s">
        <v>73</v>
      </c>
      <c r="D1891" s="1" t="s">
        <v>14</v>
      </c>
      <c r="E1891" t="s">
        <v>37</v>
      </c>
      <c r="F1891" s="5" t="str">
        <f>HYPERLINK("http://www.otzar.org/book.asp?623591","מידע לשידוכים")</f>
        <v>מידע לשידוכים</v>
      </c>
    </row>
    <row r="1892" spans="1:6" x14ac:dyDescent="0.2">
      <c r="A1892" t="s">
        <v>3895</v>
      </c>
      <c r="B1892" t="s">
        <v>3896</v>
      </c>
      <c r="C1892" t="s">
        <v>190</v>
      </c>
      <c r="D1892" s="1" t="s">
        <v>52</v>
      </c>
      <c r="E1892" t="s">
        <v>214</v>
      </c>
      <c r="F1892" s="5" t="str">
        <f>HYPERLINK("http://www.otzar.org/book.asp?630327","מיין גענעראל - 2 כר'")</f>
        <v>מיין גענעראל - 2 כר'</v>
      </c>
    </row>
    <row r="1893" spans="1:6" x14ac:dyDescent="0.2">
      <c r="A1893" t="s">
        <v>3897</v>
      </c>
      <c r="B1893" t="s">
        <v>3898</v>
      </c>
      <c r="C1893" t="s">
        <v>818</v>
      </c>
      <c r="D1893" s="1" t="s">
        <v>9</v>
      </c>
      <c r="E1893" t="s">
        <v>49</v>
      </c>
      <c r="F1893" s="5" t="str">
        <f>HYPERLINK("http://www.otzar.org/book.asp?626077","מילון עזר לספרי הגרי""ד סולובייצ'יק")</f>
        <v>מילון עזר לספרי הגרי"ד סולובייצ'יק</v>
      </c>
    </row>
    <row r="1894" spans="1:6" x14ac:dyDescent="0.2">
      <c r="A1894" t="s">
        <v>3899</v>
      </c>
      <c r="B1894" t="s">
        <v>3900</v>
      </c>
      <c r="C1894" t="s">
        <v>136</v>
      </c>
      <c r="D1894" s="1" t="s">
        <v>9</v>
      </c>
      <c r="E1894" t="s">
        <v>10</v>
      </c>
      <c r="F1894" s="5" t="str">
        <f>HYPERLINK("http://www.otzar.org/book.asp?626069","מילי דאבות &lt;מהדורה חדשה&gt;")</f>
        <v>מילי דאבות &lt;מהדורה חדשה&gt;</v>
      </c>
    </row>
    <row r="1895" spans="1:6" x14ac:dyDescent="0.2">
      <c r="A1895" t="s">
        <v>3901</v>
      </c>
      <c r="B1895" t="s">
        <v>3902</v>
      </c>
      <c r="C1895" t="s">
        <v>13</v>
      </c>
      <c r="D1895" s="1" t="s">
        <v>774</v>
      </c>
      <c r="E1895" t="s">
        <v>187</v>
      </c>
      <c r="F1895" s="5" t="str">
        <f>HYPERLINK("http://www.otzar.org/book.asp?630923","מילי דהספידא ליום השלושים")</f>
        <v>מילי דהספידא ליום השלושים</v>
      </c>
    </row>
    <row r="1896" spans="1:6" x14ac:dyDescent="0.2">
      <c r="A1896" t="s">
        <v>3903</v>
      </c>
      <c r="B1896" t="s">
        <v>3902</v>
      </c>
      <c r="C1896" t="s">
        <v>13</v>
      </c>
      <c r="D1896" s="1" t="s">
        <v>774</v>
      </c>
      <c r="E1896" t="s">
        <v>187</v>
      </c>
      <c r="F1896" s="5" t="str">
        <f>HYPERLINK("http://www.otzar.org/book.asp?630924","מילי דהספידא ליום השנה")</f>
        <v>מילי דהספידא ליום השנה</v>
      </c>
    </row>
    <row r="1897" spans="1:6" x14ac:dyDescent="0.2">
      <c r="A1897" t="s">
        <v>3904</v>
      </c>
      <c r="B1897" t="s">
        <v>3905</v>
      </c>
      <c r="E1897" t="s">
        <v>187</v>
      </c>
      <c r="F1897" s="5" t="str">
        <f>HYPERLINK("http://www.otzar.org/book.asp?623967","מילי דהספידא על הגאון ר""ד חנוך זילבר")</f>
        <v>מילי דהספידא על הגאון ר"ד חנוך זילבר</v>
      </c>
    </row>
    <row r="1898" spans="1:6" x14ac:dyDescent="0.2">
      <c r="A1898" t="s">
        <v>3906</v>
      </c>
      <c r="B1898" t="s">
        <v>3907</v>
      </c>
      <c r="C1898" t="s">
        <v>73</v>
      </c>
      <c r="D1898" s="1" t="s">
        <v>476</v>
      </c>
      <c r="F1898" s="5" t="str">
        <f>HYPERLINK("http://www.otzar.org/book.asp?631711","מילי דחסידותא &lt;מהדורה חדשה&gt;")</f>
        <v>מילי דחסידותא &lt;מהדורה חדשה&gt;</v>
      </c>
    </row>
    <row r="1899" spans="1:6" x14ac:dyDescent="0.2">
      <c r="A1899" t="s">
        <v>3908</v>
      </c>
      <c r="B1899" t="s">
        <v>3909</v>
      </c>
      <c r="C1899" t="s">
        <v>13</v>
      </c>
      <c r="D1899" s="1" t="s">
        <v>114</v>
      </c>
      <c r="E1899" t="s">
        <v>41</v>
      </c>
      <c r="F1899" s="5" t="str">
        <f>HYPERLINK("http://www.otzar.org/book.asp?623315","מילי דעזרא &lt;מהדורת מכון צופה פני דמשק&gt;")</f>
        <v>מילי דעזרא &lt;מהדורת מכון צופה פני דמשק&gt;</v>
      </c>
    </row>
    <row r="1900" spans="1:6" x14ac:dyDescent="0.2">
      <c r="A1900" t="s">
        <v>3910</v>
      </c>
      <c r="B1900" t="s">
        <v>3911</v>
      </c>
      <c r="C1900" t="s">
        <v>8</v>
      </c>
      <c r="D1900" s="1" t="s">
        <v>21</v>
      </c>
      <c r="E1900" t="s">
        <v>37</v>
      </c>
      <c r="F1900" s="5" t="str">
        <f>HYPERLINK("http://www.otzar.org/book.asp?630624","מילי דשמעתתא - מזוזה")</f>
        <v>מילי דשמעתתא - מזוזה</v>
      </c>
    </row>
    <row r="1901" spans="1:6" x14ac:dyDescent="0.2">
      <c r="A1901" t="s">
        <v>3912</v>
      </c>
      <c r="B1901" t="s">
        <v>3913</v>
      </c>
      <c r="C1901" t="s">
        <v>639</v>
      </c>
      <c r="D1901" s="1" t="s">
        <v>1295</v>
      </c>
      <c r="E1901" t="s">
        <v>49</v>
      </c>
      <c r="F1901" s="5" t="str">
        <f>HYPERLINK("http://www.otzar.org/book.asp?626562","מילי מעלייתא")</f>
        <v>מילי מעלייתא</v>
      </c>
    </row>
    <row r="1902" spans="1:6" x14ac:dyDescent="0.2">
      <c r="A1902" t="s">
        <v>3914</v>
      </c>
      <c r="B1902" t="s">
        <v>3915</v>
      </c>
      <c r="C1902" t="s">
        <v>20</v>
      </c>
      <c r="D1902" s="1" t="s">
        <v>9</v>
      </c>
      <c r="E1902" t="s">
        <v>41</v>
      </c>
      <c r="F1902" s="5" t="str">
        <f>HYPERLINK("http://www.otzar.org/book.asp?626107","מים חיים &lt;מהדורה חדשה&gt; - 2 כר'")</f>
        <v>מים חיים &lt;מהדורה חדשה&gt; - 2 כר'</v>
      </c>
    </row>
    <row r="1903" spans="1:6" x14ac:dyDescent="0.2">
      <c r="A1903" t="s">
        <v>3916</v>
      </c>
      <c r="B1903" t="s">
        <v>3915</v>
      </c>
      <c r="C1903" t="s">
        <v>20</v>
      </c>
      <c r="D1903" s="1" t="s">
        <v>9</v>
      </c>
      <c r="E1903" t="s">
        <v>41</v>
      </c>
      <c r="F1903" s="5" t="str">
        <f>HYPERLINK("http://www.otzar.org/book.asp?626150","מים חיים &lt;מים טהורים&gt; - ד")</f>
        <v>מים חיים &lt;מים טהורים&gt; - ד</v>
      </c>
    </row>
    <row r="1904" spans="1:6" x14ac:dyDescent="0.2">
      <c r="A1904" t="s">
        <v>3917</v>
      </c>
      <c r="B1904" t="s">
        <v>3915</v>
      </c>
      <c r="C1904" t="s">
        <v>20</v>
      </c>
      <c r="D1904" s="1" t="s">
        <v>9</v>
      </c>
      <c r="E1904" t="s">
        <v>41</v>
      </c>
      <c r="F1904" s="5" t="str">
        <f>HYPERLINK("http://www.otzar.org/book.asp?626149","מים חיים &lt;מים קדושים&gt; - ג")</f>
        <v>מים חיים &lt;מים קדושים&gt; - ג</v>
      </c>
    </row>
    <row r="1905" spans="1:6" x14ac:dyDescent="0.2">
      <c r="A1905" t="s">
        <v>3918</v>
      </c>
      <c r="B1905" t="s">
        <v>3919</v>
      </c>
      <c r="C1905" t="s">
        <v>174</v>
      </c>
      <c r="D1905" s="1" t="s">
        <v>14</v>
      </c>
      <c r="E1905" t="s">
        <v>3920</v>
      </c>
      <c r="F1905" s="5" t="str">
        <f>HYPERLINK("http://www.otzar.org/book.asp?626727","מים חיים, באר מרים")</f>
        <v>מים חיים, באר מרים</v>
      </c>
    </row>
    <row r="1906" spans="1:6" x14ac:dyDescent="0.2">
      <c r="A1906" t="s">
        <v>3921</v>
      </c>
      <c r="B1906" t="s">
        <v>3922</v>
      </c>
      <c r="C1906" t="s">
        <v>40</v>
      </c>
      <c r="D1906" s="1" t="s">
        <v>9</v>
      </c>
      <c r="E1906" t="s">
        <v>49</v>
      </c>
      <c r="F1906" s="5" t="str">
        <f>HYPERLINK("http://www.otzar.org/book.asp?629151","מים עמוקים - ירח האיתנים")</f>
        <v>מים עמוקים - ירח האיתנים</v>
      </c>
    </row>
    <row r="1907" spans="1:6" x14ac:dyDescent="0.2">
      <c r="A1907" t="s">
        <v>3923</v>
      </c>
      <c r="B1907" t="s">
        <v>3924</v>
      </c>
      <c r="C1907" t="s">
        <v>40</v>
      </c>
      <c r="D1907" s="1" t="s">
        <v>9</v>
      </c>
      <c r="E1907" t="s">
        <v>41</v>
      </c>
      <c r="F1907" s="5" t="str">
        <f>HYPERLINK("http://www.otzar.org/book.asp?628711","מים עמוקים, תשובות ראנ""ח &lt;זכרון אהרן&gt; - ב")</f>
        <v>מים עמוקים, תשובות ראנ"ח &lt;זכרון אהרן&gt; - ב</v>
      </c>
    </row>
    <row r="1908" spans="1:6" x14ac:dyDescent="0.2">
      <c r="A1908" t="s">
        <v>3925</v>
      </c>
      <c r="B1908" t="s">
        <v>3926</v>
      </c>
      <c r="C1908" t="s">
        <v>119</v>
      </c>
      <c r="D1908" s="1" t="s">
        <v>9</v>
      </c>
      <c r="E1908" t="s">
        <v>3927</v>
      </c>
      <c r="F1908" s="5" t="str">
        <f>HYPERLINK("http://www.otzar.org/book.asp?623434","מים רבים, רזין דאורייתא, תפארת צבי זאב")</f>
        <v>מים רבים, רזין דאורייתא, תפארת צבי זאב</v>
      </c>
    </row>
    <row r="1909" spans="1:6" x14ac:dyDescent="0.2">
      <c r="A1909" t="s">
        <v>3928</v>
      </c>
      <c r="B1909" t="s">
        <v>3929</v>
      </c>
      <c r="C1909" t="s">
        <v>73</v>
      </c>
      <c r="D1909" s="1" t="s">
        <v>476</v>
      </c>
      <c r="E1909" t="s">
        <v>22</v>
      </c>
      <c r="F1909" s="5" t="str">
        <f>HYPERLINK("http://www.otzar.org/book.asp?623385","מים שאובים - פסחים")</f>
        <v>מים שאובים - פסחים</v>
      </c>
    </row>
    <row r="1910" spans="1:6" x14ac:dyDescent="0.2">
      <c r="A1910" t="s">
        <v>3930</v>
      </c>
      <c r="B1910" t="s">
        <v>3931</v>
      </c>
      <c r="C1910" t="s">
        <v>1127</v>
      </c>
      <c r="D1910" s="1" t="s">
        <v>9</v>
      </c>
      <c r="E1910" t="s">
        <v>22</v>
      </c>
      <c r="F1910" s="5" t="str">
        <f>HYPERLINK("http://www.otzar.org/book.asp?624690","מימיני מיכאל - עירובין")</f>
        <v>מימיני מיכאל - עירובין</v>
      </c>
    </row>
    <row r="1911" spans="1:6" x14ac:dyDescent="0.2">
      <c r="A1911" t="s">
        <v>3932</v>
      </c>
      <c r="B1911" t="s">
        <v>3933</v>
      </c>
      <c r="C1911" t="s">
        <v>3934</v>
      </c>
      <c r="D1911" s="1" t="s">
        <v>723</v>
      </c>
      <c r="E1911" t="s">
        <v>168</v>
      </c>
      <c r="F1911" s="5" t="str">
        <f>HYPERLINK("http://www.otzar.org/book.asp?624775","מירא דכיא")</f>
        <v>מירא דכיא</v>
      </c>
    </row>
    <row r="1912" spans="1:6" x14ac:dyDescent="0.2">
      <c r="A1912" t="s">
        <v>3935</v>
      </c>
      <c r="B1912" t="s">
        <v>1116</v>
      </c>
      <c r="C1912" t="s">
        <v>8</v>
      </c>
      <c r="D1912" s="1" t="s">
        <v>803</v>
      </c>
      <c r="E1912" t="s">
        <v>261</v>
      </c>
      <c r="F1912" s="5" t="str">
        <f>HYPERLINK("http://www.otzar.org/book.asp?626263","מכון שבתך - 2 כר'")</f>
        <v>מכון שבתך - 2 כר'</v>
      </c>
    </row>
    <row r="1913" spans="1:6" x14ac:dyDescent="0.2">
      <c r="A1913" t="s">
        <v>3936</v>
      </c>
      <c r="B1913" t="s">
        <v>3937</v>
      </c>
      <c r="C1913" t="s">
        <v>73</v>
      </c>
      <c r="D1913" s="1" t="s">
        <v>9</v>
      </c>
      <c r="E1913" t="s">
        <v>261</v>
      </c>
      <c r="F1913" s="5" t="str">
        <f>HYPERLINK("http://www.otzar.org/book.asp?627669","מכילתא דרשב""י")</f>
        <v>מכילתא דרשב"י</v>
      </c>
    </row>
    <row r="1914" spans="1:6" x14ac:dyDescent="0.2">
      <c r="A1914" t="s">
        <v>3938</v>
      </c>
      <c r="B1914" t="s">
        <v>3937</v>
      </c>
      <c r="C1914" t="s">
        <v>136</v>
      </c>
      <c r="D1914" s="1" t="s">
        <v>9</v>
      </c>
      <c r="E1914" t="s">
        <v>261</v>
      </c>
      <c r="F1914" s="5" t="str">
        <f>HYPERLINK("http://www.otzar.org/book.asp?627666","מכילתא - 3 כר'")</f>
        <v>מכילתא - 3 כר'</v>
      </c>
    </row>
    <row r="1915" spans="1:6" x14ac:dyDescent="0.2">
      <c r="A1915" t="s">
        <v>3939</v>
      </c>
      <c r="B1915" t="s">
        <v>3940</v>
      </c>
      <c r="C1915" t="s">
        <v>1405</v>
      </c>
      <c r="D1915" s="1" t="s">
        <v>3941</v>
      </c>
      <c r="E1915" t="s">
        <v>49</v>
      </c>
      <c r="F1915" s="5" t="str">
        <f>HYPERLINK("http://www.otzar.org/book.asp?627340","מכתבי אנשי שם")</f>
        <v>מכתבי אנשי שם</v>
      </c>
    </row>
    <row r="1916" spans="1:6" x14ac:dyDescent="0.2">
      <c r="A1916" t="s">
        <v>3942</v>
      </c>
      <c r="B1916" t="s">
        <v>3943</v>
      </c>
      <c r="C1916" t="s">
        <v>397</v>
      </c>
      <c r="D1916" s="1" t="s">
        <v>1300</v>
      </c>
      <c r="E1916" t="s">
        <v>371</v>
      </c>
      <c r="F1916" s="5" t="str">
        <f>HYPERLINK("http://www.otzar.org/book.asp?625614","מכתבים מעמק הבכא")</f>
        <v>מכתבים מעמק הבכא</v>
      </c>
    </row>
    <row r="1917" spans="1:6" x14ac:dyDescent="0.2">
      <c r="A1917" t="s">
        <v>3944</v>
      </c>
      <c r="B1917" t="s">
        <v>3945</v>
      </c>
      <c r="C1917" t="s">
        <v>694</v>
      </c>
      <c r="D1917" s="1" t="s">
        <v>9</v>
      </c>
      <c r="E1917" t="s">
        <v>187</v>
      </c>
      <c r="F1917" s="5" t="str">
        <f>HYPERLINK("http://www.otzar.org/book.asp?623963","מכתם לדוד")</f>
        <v>מכתם לדוד</v>
      </c>
    </row>
    <row r="1918" spans="1:6" x14ac:dyDescent="0.2">
      <c r="A1918" t="s">
        <v>3946</v>
      </c>
      <c r="B1918" t="s">
        <v>1993</v>
      </c>
      <c r="C1918" t="s">
        <v>3947</v>
      </c>
      <c r="D1918" s="1" t="s">
        <v>3948</v>
      </c>
      <c r="E1918" t="s">
        <v>49</v>
      </c>
      <c r="F1918" s="5" t="str">
        <f>HYPERLINK("http://www.otzar.org/book.asp?627346","מלא חפנים")</f>
        <v>מלא חפנים</v>
      </c>
    </row>
    <row r="1919" spans="1:6" x14ac:dyDescent="0.2">
      <c r="A1919" t="s">
        <v>3949</v>
      </c>
      <c r="B1919" t="s">
        <v>3950</v>
      </c>
      <c r="C1919" t="s">
        <v>8</v>
      </c>
      <c r="D1919" s="1" t="s">
        <v>9</v>
      </c>
      <c r="E1919" t="s">
        <v>49</v>
      </c>
      <c r="F1919" s="5" t="str">
        <f>HYPERLINK("http://www.otzar.org/book.asp?629691","מלאך המשיב")</f>
        <v>מלאך המשיב</v>
      </c>
    </row>
    <row r="1920" spans="1:6" x14ac:dyDescent="0.2">
      <c r="A1920" t="s">
        <v>3951</v>
      </c>
      <c r="B1920" t="s">
        <v>3952</v>
      </c>
      <c r="C1920" t="s">
        <v>73</v>
      </c>
      <c r="D1920" s="1" t="s">
        <v>52</v>
      </c>
      <c r="E1920" t="s">
        <v>154</v>
      </c>
      <c r="F1920" s="5" t="str">
        <f>HYPERLINK("http://www.otzar.org/book.asp?611000","מלאכת מחשבת")</f>
        <v>מלאכת מחשבת</v>
      </c>
    </row>
    <row r="1921" spans="1:6" x14ac:dyDescent="0.2">
      <c r="A1921" t="s">
        <v>3951</v>
      </c>
      <c r="B1921" t="s">
        <v>1686</v>
      </c>
      <c r="C1921" t="s">
        <v>13</v>
      </c>
      <c r="D1921" s="1" t="s">
        <v>14</v>
      </c>
      <c r="F1921" s="5" t="str">
        <f>HYPERLINK("http://www.otzar.org/book.asp?632023","מלאכת מחשבת")</f>
        <v>מלאכת מחשבת</v>
      </c>
    </row>
    <row r="1922" spans="1:6" x14ac:dyDescent="0.2">
      <c r="A1922" t="s">
        <v>3953</v>
      </c>
      <c r="B1922" t="s">
        <v>3954</v>
      </c>
      <c r="C1922" t="s">
        <v>411</v>
      </c>
      <c r="D1922" s="1" t="s">
        <v>29</v>
      </c>
      <c r="E1922" t="s">
        <v>49</v>
      </c>
      <c r="F1922" s="5" t="str">
        <f>HYPERLINK("http://www.otzar.org/book.asp?626060","מלאכת שמים")</f>
        <v>מלאכת שמים</v>
      </c>
    </row>
    <row r="1923" spans="1:6" x14ac:dyDescent="0.2">
      <c r="A1923" t="s">
        <v>3955</v>
      </c>
      <c r="B1923" t="s">
        <v>3956</v>
      </c>
      <c r="C1923" t="s">
        <v>369</v>
      </c>
      <c r="D1923" s="1" t="s">
        <v>9</v>
      </c>
      <c r="E1923" t="s">
        <v>37</v>
      </c>
      <c r="F1923" s="5" t="str">
        <f>HYPERLINK("http://www.otzar.org/book.asp?623798","מלבושי כבוד ותפארת")</f>
        <v>מלבושי כבוד ותפארת</v>
      </c>
    </row>
    <row r="1924" spans="1:6" x14ac:dyDescent="0.2">
      <c r="A1924" t="s">
        <v>3957</v>
      </c>
      <c r="B1924" t="s">
        <v>3958</v>
      </c>
      <c r="C1924" t="s">
        <v>2963</v>
      </c>
      <c r="D1924" s="1" t="s">
        <v>1325</v>
      </c>
      <c r="E1924" t="s">
        <v>49</v>
      </c>
      <c r="F1924" s="5" t="str">
        <f>HYPERLINK("http://www.otzar.org/book.asp?625606","מלון שמושי לתלמוד למדרש ולתרגום - 2 כר'")</f>
        <v>מלון שמושי לתלמוד למדרש ולתרגום - 2 כר'</v>
      </c>
    </row>
    <row r="1925" spans="1:6" x14ac:dyDescent="0.2">
      <c r="A1925" t="s">
        <v>3959</v>
      </c>
      <c r="B1925" t="s">
        <v>3960</v>
      </c>
      <c r="C1925" t="s">
        <v>9</v>
      </c>
      <c r="D1925" s="1" t="s">
        <v>1023</v>
      </c>
      <c r="E1925" t="s">
        <v>17</v>
      </c>
      <c r="F1925" s="5" t="str">
        <f>HYPERLINK("http://www.otzar.org/book.asp?623227","מליזענסק לירושלים")</f>
        <v>מליזענסק לירושלים</v>
      </c>
    </row>
    <row r="1926" spans="1:6" x14ac:dyDescent="0.2">
      <c r="A1926" t="s">
        <v>3961</v>
      </c>
      <c r="B1926" t="s">
        <v>156</v>
      </c>
      <c r="C1926" t="s">
        <v>174</v>
      </c>
      <c r="D1926" s="1" t="s">
        <v>158</v>
      </c>
      <c r="E1926" t="s">
        <v>683</v>
      </c>
      <c r="F1926" s="5" t="str">
        <f>HYPERLINK("http://www.otzar.org/book.asp?628558","מלך ביפיו")</f>
        <v>מלך ביפיו</v>
      </c>
    </row>
    <row r="1927" spans="1:6" x14ac:dyDescent="0.2">
      <c r="A1927" t="s">
        <v>3962</v>
      </c>
      <c r="B1927" t="s">
        <v>156</v>
      </c>
      <c r="C1927" t="s">
        <v>157</v>
      </c>
      <c r="D1927" s="1" t="s">
        <v>3963</v>
      </c>
      <c r="E1927" t="s">
        <v>49</v>
      </c>
      <c r="F1927" s="5" t="str">
        <f>HYPERLINK("http://www.otzar.org/book.asp?626906","מלכות ישראל - 3 כר'")</f>
        <v>מלכות ישראל - 3 כר'</v>
      </c>
    </row>
    <row r="1928" spans="1:6" x14ac:dyDescent="0.2">
      <c r="A1928" t="s">
        <v>3964</v>
      </c>
      <c r="B1928" t="s">
        <v>3965</v>
      </c>
      <c r="C1928" t="s">
        <v>1385</v>
      </c>
      <c r="D1928" s="1" t="s">
        <v>29</v>
      </c>
      <c r="F1928" s="5" t="str">
        <f>HYPERLINK("http://www.otzar.org/book.asp?632041","ממגד ירחים - 7 כר'")</f>
        <v>ממגד ירחים - 7 כר'</v>
      </c>
    </row>
    <row r="1929" spans="1:6" x14ac:dyDescent="0.2">
      <c r="A1929" t="s">
        <v>3966</v>
      </c>
      <c r="B1929" t="s">
        <v>3281</v>
      </c>
      <c r="E1929" t="s">
        <v>49</v>
      </c>
      <c r="F1929" s="5" t="str">
        <f>HYPERLINK("http://www.otzar.org/book.asp?628215","ממדבר מתנה, תמלוך בכבוד, קנה בשם, פתחי עולם, אילת אהבים")</f>
        <v>ממדבר מתנה, תמלוך בכבוד, קנה בשם, פתחי עולם, אילת אהבים</v>
      </c>
    </row>
    <row r="1930" spans="1:6" x14ac:dyDescent="0.2">
      <c r="A1930" t="s">
        <v>3967</v>
      </c>
      <c r="B1930" t="s">
        <v>3968</v>
      </c>
      <c r="C1930" t="s">
        <v>20</v>
      </c>
      <c r="D1930" s="1" t="s">
        <v>9</v>
      </c>
      <c r="E1930" t="s">
        <v>242</v>
      </c>
      <c r="F1930" s="5" t="str">
        <f>HYPERLINK("http://www.otzar.org/book.asp?630423","ממלכת כהנים")</f>
        <v>ממלכת כהנים</v>
      </c>
    </row>
    <row r="1931" spans="1:6" x14ac:dyDescent="0.2">
      <c r="A1931" t="s">
        <v>3969</v>
      </c>
      <c r="B1931" t="s">
        <v>3970</v>
      </c>
      <c r="C1931" t="s">
        <v>818</v>
      </c>
      <c r="D1931" s="1" t="s">
        <v>29</v>
      </c>
      <c r="E1931" t="s">
        <v>17</v>
      </c>
      <c r="F1931" s="5" t="str">
        <f>HYPERLINK("http://www.otzar.org/book.asp?624661","ממעייני הישועה")</f>
        <v>ממעייני הישועה</v>
      </c>
    </row>
    <row r="1932" spans="1:6" x14ac:dyDescent="0.2">
      <c r="A1932" t="s">
        <v>3971</v>
      </c>
      <c r="B1932" t="s">
        <v>3972</v>
      </c>
      <c r="C1932" t="s">
        <v>386</v>
      </c>
      <c r="D1932" s="1" t="s">
        <v>3973</v>
      </c>
      <c r="E1932" t="s">
        <v>214</v>
      </c>
      <c r="F1932" s="5" t="str">
        <f>HYPERLINK("http://www.otzar.org/book.asp?624558","ממעין מחולה - 5 כר'")</f>
        <v>ממעין מחולה - 5 כר'</v>
      </c>
    </row>
    <row r="1933" spans="1:6" x14ac:dyDescent="0.2">
      <c r="A1933" t="s">
        <v>3974</v>
      </c>
      <c r="B1933" t="s">
        <v>3975</v>
      </c>
      <c r="C1933" t="s">
        <v>76</v>
      </c>
      <c r="D1933" s="1" t="s">
        <v>14</v>
      </c>
      <c r="F1933" s="5" t="str">
        <f>HYPERLINK("http://www.otzar.org/book.asp?630770","ממעינות הלוי")</f>
        <v>ממעינות הלוי</v>
      </c>
    </row>
    <row r="1934" spans="1:6" x14ac:dyDescent="0.2">
      <c r="A1934" t="s">
        <v>3976</v>
      </c>
      <c r="B1934" t="s">
        <v>3977</v>
      </c>
      <c r="C1934" t="s">
        <v>818</v>
      </c>
      <c r="D1934" s="1" t="s">
        <v>3978</v>
      </c>
      <c r="E1934" t="s">
        <v>439</v>
      </c>
      <c r="F1934" s="5" t="str">
        <f>HYPERLINK("http://www.otzar.org/book.asp?623898","ממעיני השלום")</f>
        <v>ממעיני השלום</v>
      </c>
    </row>
    <row r="1935" spans="1:6" x14ac:dyDescent="0.2">
      <c r="A1935" t="s">
        <v>3979</v>
      </c>
      <c r="B1935" t="s">
        <v>3980</v>
      </c>
      <c r="C1935" t="s">
        <v>13</v>
      </c>
      <c r="E1935" t="s">
        <v>37</v>
      </c>
      <c r="F1935" s="5" t="str">
        <f>HYPERLINK("http://www.otzar.org/book.asp?626096","מן העמק - ב")</f>
        <v>מן העמק - ב</v>
      </c>
    </row>
    <row r="1936" spans="1:6" x14ac:dyDescent="0.2">
      <c r="A1936" t="s">
        <v>3981</v>
      </c>
      <c r="B1936" t="s">
        <v>3982</v>
      </c>
      <c r="C1936" t="s">
        <v>13</v>
      </c>
      <c r="D1936" s="1" t="s">
        <v>14</v>
      </c>
      <c r="E1936" t="s">
        <v>214</v>
      </c>
      <c r="F1936" s="5" t="str">
        <f>HYPERLINK("http://www.otzar.org/book.asp?627283","מנבכי הים")</f>
        <v>מנבכי הים</v>
      </c>
    </row>
    <row r="1937" spans="1:6" x14ac:dyDescent="0.2">
      <c r="A1937" t="s">
        <v>3983</v>
      </c>
      <c r="B1937" t="s">
        <v>3984</v>
      </c>
      <c r="C1937" t="s">
        <v>25</v>
      </c>
      <c r="D1937" s="1" t="s">
        <v>9</v>
      </c>
      <c r="F1937" s="5" t="str">
        <f>HYPERLINK("http://www.otzar.org/book.asp?632860","מנהגי חתם סופר")</f>
        <v>מנהגי חתם סופר</v>
      </c>
    </row>
    <row r="1938" spans="1:6" x14ac:dyDescent="0.2">
      <c r="A1938" t="s">
        <v>3985</v>
      </c>
      <c r="B1938" t="s">
        <v>3986</v>
      </c>
      <c r="C1938" t="s">
        <v>20</v>
      </c>
      <c r="D1938" s="1" t="s">
        <v>9</v>
      </c>
      <c r="E1938" t="s">
        <v>154</v>
      </c>
      <c r="F1938" s="5" t="str">
        <f>HYPERLINK("http://www.otzar.org/book.asp?630199","מנהגי מהרי""צ הלוי - שבת קודש")</f>
        <v>מנהגי מהרי"צ הלוי - שבת קודש</v>
      </c>
    </row>
    <row r="1939" spans="1:6" x14ac:dyDescent="0.2">
      <c r="A1939" t="s">
        <v>3987</v>
      </c>
      <c r="B1939" t="s">
        <v>3988</v>
      </c>
      <c r="C1939" t="s">
        <v>40</v>
      </c>
      <c r="D1939" s="1" t="s">
        <v>14</v>
      </c>
      <c r="E1939" t="s">
        <v>34</v>
      </c>
      <c r="F1939" s="5" t="str">
        <f>HYPERLINK("http://www.otzar.org/book.asp?627323","מנוחה וקדושה &lt;השלם&gt;")</f>
        <v>מנוחה וקדושה &lt;השלם&gt;</v>
      </c>
    </row>
    <row r="1940" spans="1:6" x14ac:dyDescent="0.2">
      <c r="A1940" t="s">
        <v>3989</v>
      </c>
      <c r="B1940" t="s">
        <v>3990</v>
      </c>
      <c r="C1940" t="s">
        <v>13</v>
      </c>
      <c r="D1940" s="1" t="s">
        <v>14</v>
      </c>
      <c r="E1940" t="s">
        <v>89</v>
      </c>
      <c r="F1940" s="5" t="str">
        <f>HYPERLINK("http://www.otzar.org/book.asp?624885","מנוחה טובה - מועדים")</f>
        <v>מנוחה טובה - מועדים</v>
      </c>
    </row>
    <row r="1941" spans="1:6" x14ac:dyDescent="0.2">
      <c r="A1941" t="s">
        <v>3991</v>
      </c>
      <c r="B1941" t="s">
        <v>3992</v>
      </c>
      <c r="C1941" t="s">
        <v>13</v>
      </c>
      <c r="D1941" s="1" t="s">
        <v>9</v>
      </c>
      <c r="E1941" t="s">
        <v>89</v>
      </c>
      <c r="F1941" s="5" t="str">
        <f>HYPERLINK("http://www.otzar.org/book.asp?628747","מנוחת אברהם")</f>
        <v>מנוחת אברהם</v>
      </c>
    </row>
    <row r="1942" spans="1:6" x14ac:dyDescent="0.2">
      <c r="A1942" t="s">
        <v>3993</v>
      </c>
      <c r="B1942" t="s">
        <v>3994</v>
      </c>
      <c r="C1942" t="s">
        <v>20</v>
      </c>
      <c r="D1942" s="1" t="s">
        <v>9</v>
      </c>
      <c r="E1942" t="s">
        <v>22</v>
      </c>
      <c r="F1942" s="5" t="str">
        <f>HYPERLINK("http://www.otzar.org/book.asp?624831","מנוחת אמת - 2 כר'")</f>
        <v>מנוחת אמת - 2 כר'</v>
      </c>
    </row>
    <row r="1943" spans="1:6" x14ac:dyDescent="0.2">
      <c r="A1943" t="s">
        <v>3995</v>
      </c>
      <c r="B1943" t="s">
        <v>1166</v>
      </c>
      <c r="C1943" t="s">
        <v>73</v>
      </c>
      <c r="D1943" s="1" t="s">
        <v>52</v>
      </c>
      <c r="E1943" t="s">
        <v>37</v>
      </c>
      <c r="F1943" s="5" t="str">
        <f>HYPERLINK("http://www.otzar.org/book.asp?628718","מנוחת יעקב - מקוואות")</f>
        <v>מנוחת יעקב - מקוואות</v>
      </c>
    </row>
    <row r="1944" spans="1:6" x14ac:dyDescent="0.2">
      <c r="A1944" t="s">
        <v>3996</v>
      </c>
      <c r="B1944" t="s">
        <v>3997</v>
      </c>
      <c r="C1944" t="s">
        <v>8</v>
      </c>
      <c r="D1944" s="1" t="s">
        <v>1948</v>
      </c>
      <c r="E1944" t="s">
        <v>3998</v>
      </c>
      <c r="F1944" s="5" t="str">
        <f>HYPERLINK("http://www.otzar.org/book.asp?627324","מנורת זהב - מזבח הזהב")</f>
        <v>מנורת זהב - מזבח הזהב</v>
      </c>
    </row>
    <row r="1945" spans="1:6" x14ac:dyDescent="0.2">
      <c r="A1945" t="s">
        <v>3999</v>
      </c>
      <c r="B1945" t="s">
        <v>4000</v>
      </c>
      <c r="C1945" t="s">
        <v>4001</v>
      </c>
      <c r="D1945" s="1" t="s">
        <v>4002</v>
      </c>
      <c r="E1945" t="s">
        <v>168</v>
      </c>
      <c r="F1945" s="5" t="str">
        <f>HYPERLINK("http://www.otzar.org/book.asp?623894","מנחה בלולה - דברים")</f>
        <v>מנחה בלולה - דברים</v>
      </c>
    </row>
    <row r="1946" spans="1:6" x14ac:dyDescent="0.2">
      <c r="A1946" t="s">
        <v>4003</v>
      </c>
      <c r="B1946" t="s">
        <v>4004</v>
      </c>
      <c r="C1946" t="s">
        <v>383</v>
      </c>
      <c r="D1946" s="1" t="s">
        <v>949</v>
      </c>
      <c r="E1946" t="s">
        <v>22</v>
      </c>
      <c r="F1946" s="5" t="str">
        <f>HYPERLINK("http://www.otzar.org/book.asp?626253","מנחה וזבח")</f>
        <v>מנחה וזבח</v>
      </c>
    </row>
    <row r="1947" spans="1:6" x14ac:dyDescent="0.2">
      <c r="A1947" t="s">
        <v>4005</v>
      </c>
      <c r="B1947" t="s">
        <v>4004</v>
      </c>
      <c r="C1947" t="s">
        <v>206</v>
      </c>
      <c r="D1947" s="1" t="s">
        <v>949</v>
      </c>
      <c r="E1947" t="s">
        <v>22</v>
      </c>
      <c r="F1947" s="5" t="str">
        <f>HYPERLINK("http://www.otzar.org/book.asp?626254","מנחה לאהרן")</f>
        <v>מנחה לאהרן</v>
      </c>
    </row>
    <row r="1948" spans="1:6" x14ac:dyDescent="0.2">
      <c r="A1948" t="s">
        <v>4006</v>
      </c>
      <c r="B1948" t="s">
        <v>4007</v>
      </c>
      <c r="C1948" t="s">
        <v>190</v>
      </c>
      <c r="D1948" s="1" t="s">
        <v>9</v>
      </c>
      <c r="E1948" t="s">
        <v>199</v>
      </c>
      <c r="F1948" s="5" t="str">
        <f>HYPERLINK("http://www.otzar.org/book.asp?626751","מנחה לברוך - בשר בחלב, תערובות")</f>
        <v>מנחה לברוך - בשר בחלב, תערובות</v>
      </c>
    </row>
    <row r="1949" spans="1:6" x14ac:dyDescent="0.2">
      <c r="A1949" t="s">
        <v>4008</v>
      </c>
      <c r="B1949" t="s">
        <v>4009</v>
      </c>
      <c r="C1949" t="s">
        <v>596</v>
      </c>
      <c r="D1949" s="1" t="s">
        <v>4010</v>
      </c>
      <c r="F1949" s="5" t="str">
        <f>HYPERLINK("http://www.otzar.org/book.asp?626448","מנחיל אמונה")</f>
        <v>מנחיל אמונה</v>
      </c>
    </row>
    <row r="1950" spans="1:6" x14ac:dyDescent="0.2">
      <c r="A1950" t="s">
        <v>4011</v>
      </c>
      <c r="B1950" t="s">
        <v>4012</v>
      </c>
      <c r="C1950" t="s">
        <v>8</v>
      </c>
      <c r="D1950" s="1" t="s">
        <v>9</v>
      </c>
      <c r="E1950" t="s">
        <v>214</v>
      </c>
      <c r="F1950" s="5" t="str">
        <f>HYPERLINK("http://www.otzar.org/book.asp?624571","מנחם משיב נפשי")</f>
        <v>מנחם משיב נפשי</v>
      </c>
    </row>
    <row r="1951" spans="1:6" x14ac:dyDescent="0.2">
      <c r="A1951" t="s">
        <v>4013</v>
      </c>
      <c r="B1951" t="s">
        <v>4014</v>
      </c>
      <c r="C1951" t="s">
        <v>20</v>
      </c>
      <c r="D1951" s="1" t="s">
        <v>436</v>
      </c>
      <c r="E1951" t="s">
        <v>654</v>
      </c>
      <c r="F1951" s="5" t="str">
        <f>HYPERLINK("http://www.otzar.org/book.asp?630044","מנחת אליהו - ב")</f>
        <v>מנחת אליהו - ב</v>
      </c>
    </row>
    <row r="1952" spans="1:6" x14ac:dyDescent="0.2">
      <c r="A1952" t="s">
        <v>4015</v>
      </c>
      <c r="B1952" t="s">
        <v>4016</v>
      </c>
      <c r="C1952" t="s">
        <v>136</v>
      </c>
      <c r="D1952" s="1" t="s">
        <v>14</v>
      </c>
      <c r="E1952" t="s">
        <v>37</v>
      </c>
      <c r="F1952" s="5" t="str">
        <f>HYPERLINK("http://www.otzar.org/book.asp?627201","מנחת אליהו - 2 כר'")</f>
        <v>מנחת אליהו - 2 כר'</v>
      </c>
    </row>
    <row r="1953" spans="1:6" x14ac:dyDescent="0.2">
      <c r="A1953" t="s">
        <v>4017</v>
      </c>
      <c r="B1953" t="s">
        <v>4018</v>
      </c>
      <c r="C1953" t="s">
        <v>20</v>
      </c>
      <c r="D1953" s="1" t="s">
        <v>9</v>
      </c>
      <c r="E1953" t="s">
        <v>61</v>
      </c>
      <c r="F1953" s="5" t="str">
        <f>HYPERLINK("http://www.otzar.org/book.asp?630286","מנחת אלימלך - 2 כר'")</f>
        <v>מנחת אלימלך - 2 כר'</v>
      </c>
    </row>
    <row r="1954" spans="1:6" x14ac:dyDescent="0.2">
      <c r="A1954" t="s">
        <v>4019</v>
      </c>
      <c r="B1954" t="s">
        <v>4020</v>
      </c>
      <c r="C1954" t="s">
        <v>8</v>
      </c>
      <c r="D1954" s="1" t="s">
        <v>9</v>
      </c>
      <c r="E1954" t="s">
        <v>22</v>
      </c>
      <c r="F1954" s="5" t="str">
        <f>HYPERLINK("http://www.otzar.org/book.asp?623588","מנחת ביכורים - בבא בתרא")</f>
        <v>מנחת ביכורים - בבא בתרא</v>
      </c>
    </row>
    <row r="1955" spans="1:6" x14ac:dyDescent="0.2">
      <c r="A1955" t="s">
        <v>4021</v>
      </c>
      <c r="B1955" t="s">
        <v>1875</v>
      </c>
      <c r="C1955" t="s">
        <v>630</v>
      </c>
      <c r="D1955" s="1" t="s">
        <v>4022</v>
      </c>
      <c r="E1955" t="s">
        <v>214</v>
      </c>
      <c r="F1955" s="5" t="str">
        <f>HYPERLINK("http://www.otzar.org/book.asp?624646","מנחת בכורים")</f>
        <v>מנחת בכורים</v>
      </c>
    </row>
    <row r="1956" spans="1:6" x14ac:dyDescent="0.2">
      <c r="A1956" t="s">
        <v>4021</v>
      </c>
      <c r="B1956" t="s">
        <v>923</v>
      </c>
      <c r="C1956" t="s">
        <v>397</v>
      </c>
      <c r="D1956" s="1" t="s">
        <v>14</v>
      </c>
      <c r="E1956" t="s">
        <v>22</v>
      </c>
      <c r="F1956" s="5" t="str">
        <f>HYPERLINK("http://www.otzar.org/book.asp?623240","מנחת בכורים")</f>
        <v>מנחת בכורים</v>
      </c>
    </row>
    <row r="1957" spans="1:6" x14ac:dyDescent="0.2">
      <c r="A1957" t="s">
        <v>4023</v>
      </c>
      <c r="B1957" t="s">
        <v>4024</v>
      </c>
      <c r="C1957" t="s">
        <v>25</v>
      </c>
      <c r="D1957" s="1" t="s">
        <v>14</v>
      </c>
      <c r="E1957" t="s">
        <v>660</v>
      </c>
      <c r="F1957" s="5" t="str">
        <f>HYPERLINK("http://www.otzar.org/book.asp?629421","מנחת דוד - 4 כר'")</f>
        <v>מנחת דוד - 4 כר'</v>
      </c>
    </row>
    <row r="1958" spans="1:6" x14ac:dyDescent="0.2">
      <c r="A1958" t="s">
        <v>4025</v>
      </c>
      <c r="B1958" t="s">
        <v>4026</v>
      </c>
      <c r="C1958" t="s">
        <v>20</v>
      </c>
      <c r="D1958" s="1" t="s">
        <v>9</v>
      </c>
      <c r="F1958" s="5" t="str">
        <f>HYPERLINK("http://www.otzar.org/book.asp?633155","מנחת חינוך עם בשולי המנחה - ה")</f>
        <v>מנחת חינוך עם בשולי המנחה - ה</v>
      </c>
    </row>
    <row r="1959" spans="1:6" x14ac:dyDescent="0.2">
      <c r="A1959" t="s">
        <v>4027</v>
      </c>
      <c r="B1959" t="s">
        <v>4028</v>
      </c>
      <c r="C1959" t="s">
        <v>13</v>
      </c>
      <c r="D1959" s="1" t="s">
        <v>9</v>
      </c>
      <c r="E1959" t="s">
        <v>836</v>
      </c>
      <c r="F1959" s="5" t="str">
        <f>HYPERLINK("http://www.otzar.org/book.asp?630145","מנחת חן")</f>
        <v>מנחת חן</v>
      </c>
    </row>
    <row r="1960" spans="1:6" x14ac:dyDescent="0.2">
      <c r="A1960" t="s">
        <v>4029</v>
      </c>
      <c r="B1960" t="s">
        <v>4030</v>
      </c>
      <c r="C1960" t="s">
        <v>13</v>
      </c>
      <c r="D1960" s="1" t="s">
        <v>14</v>
      </c>
      <c r="E1960" t="s">
        <v>22</v>
      </c>
      <c r="F1960" s="5" t="str">
        <f>HYPERLINK("http://www.otzar.org/book.asp?630144","מנחת יעקב ישראל")</f>
        <v>מנחת יעקב ישראל</v>
      </c>
    </row>
    <row r="1961" spans="1:6" x14ac:dyDescent="0.2">
      <c r="A1961" t="s">
        <v>4031</v>
      </c>
      <c r="B1961" t="s">
        <v>4032</v>
      </c>
      <c r="C1961" t="s">
        <v>133</v>
      </c>
      <c r="D1961" s="1" t="s">
        <v>9</v>
      </c>
      <c r="F1961" s="5" t="str">
        <f>HYPERLINK("http://www.otzar.org/book.asp?632069","מנחת יעקב - חו""מ סימנים א-עה")</f>
        <v>מנחת יעקב - חו"מ סימנים א-עה</v>
      </c>
    </row>
    <row r="1962" spans="1:6" x14ac:dyDescent="0.2">
      <c r="A1962" t="s">
        <v>4033</v>
      </c>
      <c r="B1962" t="s">
        <v>4034</v>
      </c>
      <c r="C1962" t="s">
        <v>73</v>
      </c>
      <c r="D1962" s="1" t="s">
        <v>9</v>
      </c>
      <c r="E1962" t="s">
        <v>49</v>
      </c>
      <c r="F1962" s="5" t="str">
        <f>HYPERLINK("http://www.otzar.org/book.asp?623411","מנחת יצחק - שידוכים ונישואין")</f>
        <v>מנחת יצחק - שידוכים ונישואין</v>
      </c>
    </row>
    <row r="1963" spans="1:6" x14ac:dyDescent="0.2">
      <c r="A1963" t="s">
        <v>4035</v>
      </c>
      <c r="B1963" t="s">
        <v>4036</v>
      </c>
      <c r="C1963" t="s">
        <v>1002</v>
      </c>
      <c r="D1963" s="1" t="s">
        <v>9</v>
      </c>
      <c r="E1963" t="s">
        <v>4037</v>
      </c>
      <c r="F1963" s="5" t="str">
        <f>HYPERLINK("http://www.otzar.org/book.asp?624564","מנחת יצחק")</f>
        <v>מנחת יצחק</v>
      </c>
    </row>
    <row r="1964" spans="1:6" x14ac:dyDescent="0.2">
      <c r="A1964" t="s">
        <v>4038</v>
      </c>
      <c r="B1964" t="s">
        <v>4039</v>
      </c>
      <c r="C1964" t="s">
        <v>73</v>
      </c>
      <c r="D1964" s="1" t="s">
        <v>14</v>
      </c>
      <c r="E1964" t="s">
        <v>37</v>
      </c>
      <c r="F1964" s="5" t="str">
        <f>HYPERLINK("http://www.otzar.org/book.asp?629134","מנחת ישראל - כיבוד אב ואם")</f>
        <v>מנחת ישראל - כיבוד אב ואם</v>
      </c>
    </row>
    <row r="1965" spans="1:6" x14ac:dyDescent="0.2">
      <c r="A1965" t="s">
        <v>4040</v>
      </c>
      <c r="B1965" t="s">
        <v>4041</v>
      </c>
      <c r="C1965" t="s">
        <v>190</v>
      </c>
      <c r="D1965" s="1" t="s">
        <v>9</v>
      </c>
      <c r="E1965" t="s">
        <v>22</v>
      </c>
      <c r="F1965" s="5" t="str">
        <f>HYPERLINK("http://www.otzar.org/book.asp?630124","מנחת נחשון")</f>
        <v>מנחת נחשון</v>
      </c>
    </row>
    <row r="1966" spans="1:6" x14ac:dyDescent="0.2">
      <c r="A1966" t="s">
        <v>4042</v>
      </c>
      <c r="B1966" t="s">
        <v>1722</v>
      </c>
      <c r="C1966" t="s">
        <v>8</v>
      </c>
      <c r="D1966" s="1" t="s">
        <v>52</v>
      </c>
      <c r="E1966" t="s">
        <v>17</v>
      </c>
      <c r="F1966" s="5" t="str">
        <f>HYPERLINK("http://www.otzar.org/book.asp?622527","מנחת נתנאל")</f>
        <v>מנחת נתנאל</v>
      </c>
    </row>
    <row r="1967" spans="1:6" x14ac:dyDescent="0.2">
      <c r="A1967" t="s">
        <v>4043</v>
      </c>
      <c r="B1967" t="s">
        <v>4044</v>
      </c>
      <c r="C1967" t="s">
        <v>20</v>
      </c>
      <c r="D1967" s="1" t="s">
        <v>14</v>
      </c>
      <c r="E1967" t="s">
        <v>22</v>
      </c>
      <c r="F1967" s="5" t="str">
        <f>HYPERLINK("http://www.otzar.org/book.asp?629477","מנחת נתנאל - ב""ק, קידושין")</f>
        <v>מנחת נתנאל - ב"ק, קידושין</v>
      </c>
    </row>
    <row r="1968" spans="1:6" x14ac:dyDescent="0.2">
      <c r="A1968" t="s">
        <v>4045</v>
      </c>
      <c r="B1968" t="s">
        <v>4046</v>
      </c>
      <c r="C1968" t="s">
        <v>369</v>
      </c>
      <c r="D1968" s="1" t="s">
        <v>9</v>
      </c>
      <c r="E1968" t="s">
        <v>4047</v>
      </c>
      <c r="F1968" s="5" t="str">
        <f>HYPERLINK("http://www.otzar.org/book.asp?626033","מנחת ערב - ערבי פסחים")</f>
        <v>מנחת ערב - ערבי פסחים</v>
      </c>
    </row>
    <row r="1969" spans="1:6" x14ac:dyDescent="0.2">
      <c r="A1969" t="s">
        <v>4048</v>
      </c>
      <c r="B1969" t="s">
        <v>4049</v>
      </c>
      <c r="C1969" t="s">
        <v>397</v>
      </c>
      <c r="D1969" s="1" t="s">
        <v>9</v>
      </c>
      <c r="F1969" s="5" t="str">
        <f>HYPERLINK("http://www.otzar.org/book.asp?632016","מנחת פרי &lt;שו""ת&gt; - 2 כר'")</f>
        <v>מנחת פרי &lt;שו"ת&gt; - 2 כר'</v>
      </c>
    </row>
    <row r="1970" spans="1:6" x14ac:dyDescent="0.2">
      <c r="A1970" t="s">
        <v>4050</v>
      </c>
      <c r="B1970" t="s">
        <v>94</v>
      </c>
      <c r="C1970" t="s">
        <v>8</v>
      </c>
      <c r="D1970" s="1" t="s">
        <v>14</v>
      </c>
      <c r="E1970" t="s">
        <v>10</v>
      </c>
      <c r="F1970" s="5" t="str">
        <f>HYPERLINK("http://www.otzar.org/book.asp?630067","מנחת ציבור - קינים")</f>
        <v>מנחת ציבור - קינים</v>
      </c>
    </row>
    <row r="1971" spans="1:6" x14ac:dyDescent="0.2">
      <c r="A1971" t="s">
        <v>4051</v>
      </c>
      <c r="B1971" t="s">
        <v>4052</v>
      </c>
      <c r="C1971" t="s">
        <v>20</v>
      </c>
      <c r="D1971" s="1" t="s">
        <v>4053</v>
      </c>
      <c r="E1971" t="s">
        <v>154</v>
      </c>
      <c r="F1971" s="5" t="str">
        <f>HYPERLINK("http://www.otzar.org/book.asp?627589","מנחת ציון - פסח")</f>
        <v>מנחת ציון - פסח</v>
      </c>
    </row>
    <row r="1972" spans="1:6" x14ac:dyDescent="0.2">
      <c r="A1972" t="s">
        <v>4054</v>
      </c>
      <c r="B1972" t="s">
        <v>4055</v>
      </c>
      <c r="C1972" t="s">
        <v>13</v>
      </c>
      <c r="D1972" s="1" t="s">
        <v>21</v>
      </c>
      <c r="E1972" t="s">
        <v>22</v>
      </c>
      <c r="F1972" s="5" t="str">
        <f>HYPERLINK("http://www.otzar.org/book.asp?630812","מנחת ראובן - עירובין")</f>
        <v>מנחת ראובן - עירובין</v>
      </c>
    </row>
    <row r="1973" spans="1:6" x14ac:dyDescent="0.2">
      <c r="A1973" t="s">
        <v>4056</v>
      </c>
      <c r="B1973" t="s">
        <v>4057</v>
      </c>
      <c r="C1973" t="s">
        <v>20</v>
      </c>
      <c r="E1973" t="s">
        <v>168</v>
      </c>
      <c r="F1973" s="5" t="str">
        <f>HYPERLINK("http://www.otzar.org/book.asp?624872","מנחת רפאל - 3 כר'")</f>
        <v>מנחת רפאל - 3 כר'</v>
      </c>
    </row>
    <row r="1974" spans="1:6" x14ac:dyDescent="0.2">
      <c r="A1974" t="s">
        <v>4058</v>
      </c>
      <c r="B1974" t="s">
        <v>4059</v>
      </c>
      <c r="C1974" t="s">
        <v>13</v>
      </c>
      <c r="D1974" s="1" t="s">
        <v>52</v>
      </c>
      <c r="E1974" t="s">
        <v>37</v>
      </c>
      <c r="F1974" s="5" t="str">
        <f>HYPERLINK("http://www.otzar.org/book.asp?623624","מנחת שאול - 4 כר'")</f>
        <v>מנחת שאול - 4 כר'</v>
      </c>
    </row>
    <row r="1975" spans="1:6" x14ac:dyDescent="0.2">
      <c r="A1975" t="s">
        <v>4060</v>
      </c>
      <c r="B1975" t="s">
        <v>4061</v>
      </c>
      <c r="C1975" t="s">
        <v>73</v>
      </c>
      <c r="D1975" s="1" t="s">
        <v>52</v>
      </c>
      <c r="E1975" t="s">
        <v>214</v>
      </c>
      <c r="F1975" s="5" t="str">
        <f>HYPERLINK("http://www.otzar.org/book.asp?623306","מנחת שי - ספר זכרון")</f>
        <v>מנחת שי - ספר זכרון</v>
      </c>
    </row>
    <row r="1976" spans="1:6" x14ac:dyDescent="0.2">
      <c r="A1976" t="s">
        <v>4062</v>
      </c>
      <c r="B1976" t="s">
        <v>4063</v>
      </c>
      <c r="C1976" t="s">
        <v>8</v>
      </c>
      <c r="D1976" s="1" t="s">
        <v>52</v>
      </c>
      <c r="E1976" t="s">
        <v>154</v>
      </c>
      <c r="F1976" s="5" t="str">
        <f>HYPERLINK("http://www.otzar.org/book.asp?629771","מנחת שי - 5 כר'")</f>
        <v>מנחת שי - 5 כר'</v>
      </c>
    </row>
    <row r="1977" spans="1:6" x14ac:dyDescent="0.2">
      <c r="A1977" t="s">
        <v>4064</v>
      </c>
      <c r="B1977" t="s">
        <v>4065</v>
      </c>
      <c r="C1977" t="s">
        <v>13</v>
      </c>
      <c r="D1977" s="1" t="s">
        <v>14</v>
      </c>
      <c r="E1977" t="s">
        <v>22</v>
      </c>
      <c r="F1977" s="5" t="str">
        <f>HYPERLINK("http://www.otzar.org/book.asp?627484","מנחת שלום - סנהדרין, מכות")</f>
        <v>מנחת שלום - סנהדרין, מכות</v>
      </c>
    </row>
    <row r="1978" spans="1:6" x14ac:dyDescent="0.2">
      <c r="A1978" t="s">
        <v>4066</v>
      </c>
      <c r="E1978" t="s">
        <v>22</v>
      </c>
      <c r="F1978" s="5" t="str">
        <f>HYPERLINK("http://www.otzar.org/book.asp?628719","מנחת שמעון")</f>
        <v>מנחת שמעון</v>
      </c>
    </row>
    <row r="1979" spans="1:6" x14ac:dyDescent="0.2">
      <c r="A1979" t="s">
        <v>4067</v>
      </c>
      <c r="B1979" t="s">
        <v>4068</v>
      </c>
      <c r="C1979" t="s">
        <v>25</v>
      </c>
      <c r="D1979" s="1" t="s">
        <v>14</v>
      </c>
      <c r="E1979" t="s">
        <v>10</v>
      </c>
      <c r="F1979" s="5" t="str">
        <f>HYPERLINK("http://www.otzar.org/book.asp?628067","מנחת תודה - דמאי")</f>
        <v>מנחת תודה - דמאי</v>
      </c>
    </row>
    <row r="1980" spans="1:6" x14ac:dyDescent="0.2">
      <c r="A1980" t="s">
        <v>4069</v>
      </c>
      <c r="B1980" t="s">
        <v>4070</v>
      </c>
      <c r="C1980" t="s">
        <v>463</v>
      </c>
      <c r="D1980" s="1" t="s">
        <v>9</v>
      </c>
      <c r="E1980" t="s">
        <v>214</v>
      </c>
      <c r="F1980" s="5" t="str">
        <f>HYPERLINK("http://www.otzar.org/book.asp?629179","מסביב לשלחן - 43 כר'")</f>
        <v>מסביב לשלחן - 43 כר'</v>
      </c>
    </row>
    <row r="1981" spans="1:6" x14ac:dyDescent="0.2">
      <c r="A1981" t="s">
        <v>4071</v>
      </c>
      <c r="B1981" t="s">
        <v>3166</v>
      </c>
      <c r="C1981" t="s">
        <v>190</v>
      </c>
      <c r="D1981" s="1" t="s">
        <v>29</v>
      </c>
      <c r="E1981" t="s">
        <v>214</v>
      </c>
      <c r="F1981" s="5" t="str">
        <f>HYPERLINK("http://www.otzar.org/book.asp?626700","מסורה - כז")</f>
        <v>מסורה - כז</v>
      </c>
    </row>
    <row r="1982" spans="1:6" x14ac:dyDescent="0.2">
      <c r="A1982" t="s">
        <v>4072</v>
      </c>
      <c r="B1982" t="s">
        <v>4073</v>
      </c>
      <c r="C1982" t="s">
        <v>694</v>
      </c>
      <c r="D1982" s="1" t="s">
        <v>9</v>
      </c>
      <c r="E1982" t="s">
        <v>168</v>
      </c>
      <c r="F1982" s="5" t="str">
        <f>HYPERLINK("http://www.otzar.org/book.asp?623416","מסורת התנ""ך - 3 כר'")</f>
        <v>מסורת התנ"ך - 3 כר'</v>
      </c>
    </row>
    <row r="1983" spans="1:6" x14ac:dyDescent="0.2">
      <c r="A1983" t="s">
        <v>4074</v>
      </c>
      <c r="B1983" t="s">
        <v>4075</v>
      </c>
      <c r="C1983" t="s">
        <v>226</v>
      </c>
      <c r="D1983" s="1" t="s">
        <v>9</v>
      </c>
      <c r="E1983" t="s">
        <v>214</v>
      </c>
      <c r="F1983" s="5" t="str">
        <f>HYPERLINK("http://www.otzar.org/book.asp?623666","מסילה - 1")</f>
        <v>מסילה - 1</v>
      </c>
    </row>
    <row r="1984" spans="1:6" x14ac:dyDescent="0.2">
      <c r="A1984" t="s">
        <v>4076</v>
      </c>
      <c r="B1984" t="s">
        <v>4077</v>
      </c>
      <c r="C1984" t="s">
        <v>255</v>
      </c>
      <c r="D1984" s="1" t="s">
        <v>9</v>
      </c>
      <c r="E1984" t="s">
        <v>168</v>
      </c>
      <c r="F1984" s="5" t="str">
        <f>HYPERLINK("http://www.otzar.org/book.asp?627320","מסיני עד נבו")</f>
        <v>מסיני עד נבו</v>
      </c>
    </row>
    <row r="1985" spans="1:6" x14ac:dyDescent="0.2">
      <c r="A1985" t="s">
        <v>4078</v>
      </c>
      <c r="B1985" t="s">
        <v>4079</v>
      </c>
      <c r="C1985" t="s">
        <v>88</v>
      </c>
      <c r="D1985" s="1" t="s">
        <v>803</v>
      </c>
      <c r="E1985" t="s">
        <v>10</v>
      </c>
      <c r="F1985" s="5" t="str">
        <f>HYPERLINK("http://www.otzar.org/book.asp?623758","מסכת אבות &lt;ספורנו&gt; עם ביאור תורת עבדי אבות")</f>
        <v>מסכת אבות &lt;ספורנו&gt; עם ביאור תורת עבדי אבות</v>
      </c>
    </row>
    <row r="1986" spans="1:6" x14ac:dyDescent="0.2">
      <c r="A1986" t="s">
        <v>4080</v>
      </c>
      <c r="B1986" t="s">
        <v>1705</v>
      </c>
      <c r="C1986" t="s">
        <v>999</v>
      </c>
      <c r="D1986" s="1" t="s">
        <v>14</v>
      </c>
      <c r="E1986" t="s">
        <v>10</v>
      </c>
      <c r="F1986" s="5" t="str">
        <f>HYPERLINK("http://www.otzar.org/book.asp?623650","מסכת אבות עם פירוש בני יששכר")</f>
        <v>מסכת אבות עם פירוש בני יששכר</v>
      </c>
    </row>
    <row r="1987" spans="1:6" x14ac:dyDescent="0.2">
      <c r="A1987" t="s">
        <v>4081</v>
      </c>
      <c r="B1987" t="s">
        <v>4082</v>
      </c>
      <c r="C1987" t="s">
        <v>1429</v>
      </c>
      <c r="D1987" s="1" t="s">
        <v>4083</v>
      </c>
      <c r="E1987" t="s">
        <v>22</v>
      </c>
      <c r="F1987" s="5" t="str">
        <f>HYPERLINK("http://www.otzar.org/book.asp?627389","מסכת בבא מציעא פרק המפקיד תרוגם אנגלי עם ביאור")</f>
        <v>מסכת בבא מציעא פרק המפקיד תרוגם אנגלי עם ביאור</v>
      </c>
    </row>
    <row r="1988" spans="1:6" x14ac:dyDescent="0.2">
      <c r="A1988" t="s">
        <v>4084</v>
      </c>
      <c r="B1988" t="s">
        <v>4085</v>
      </c>
      <c r="C1988" t="s">
        <v>787</v>
      </c>
      <c r="D1988" s="1" t="s">
        <v>29</v>
      </c>
      <c r="E1988" t="s">
        <v>22</v>
      </c>
      <c r="F1988" s="5" t="str">
        <f>HYPERLINK("http://www.otzar.org/book.asp?624472","מסכת ביצה &lt;עם פירוש יידיש כפי רש""י ומלבי""ם&gt;")</f>
        <v>מסכת ביצה &lt;עם פירוש יידיש כפי רש"י ומלבי"ם&gt;</v>
      </c>
    </row>
    <row r="1989" spans="1:6" x14ac:dyDescent="0.2">
      <c r="A1989" t="s">
        <v>4086</v>
      </c>
      <c r="B1989" t="s">
        <v>4087</v>
      </c>
      <c r="C1989" t="s">
        <v>1642</v>
      </c>
      <c r="D1989" s="1" t="s">
        <v>537</v>
      </c>
      <c r="E1989" t="s">
        <v>22</v>
      </c>
      <c r="F1989" s="5" t="str">
        <f>HYPERLINK("http://www.otzar.org/book.asp?626397","מסכת ביצה עם הלכה ברורה")</f>
        <v>מסכת ביצה עם הלכה ברורה</v>
      </c>
    </row>
    <row r="1990" spans="1:6" x14ac:dyDescent="0.2">
      <c r="A1990" t="s">
        <v>4088</v>
      </c>
      <c r="B1990" t="s">
        <v>4089</v>
      </c>
      <c r="E1990" t="s">
        <v>22</v>
      </c>
      <c r="F1990" s="5" t="str">
        <f>HYPERLINK("http://www.otzar.org/book.asp?627421","מסכת ברכות מן הגניזה")</f>
        <v>מסכת ברכות מן הגניזה</v>
      </c>
    </row>
    <row r="1991" spans="1:6" x14ac:dyDescent="0.2">
      <c r="A1991" t="s">
        <v>4090</v>
      </c>
      <c r="B1991" t="s">
        <v>4091</v>
      </c>
      <c r="C1991" t="s">
        <v>4092</v>
      </c>
      <c r="D1991" s="1" t="s">
        <v>4093</v>
      </c>
      <c r="E1991" t="s">
        <v>22</v>
      </c>
      <c r="F1991" s="5" t="str">
        <f>HYPERLINK("http://www.otzar.org/book.asp?627422","מסכת ברכות - על פי כתבי יד ודפוסים ראשונים")</f>
        <v>מסכת ברכות - על פי כתבי יד ודפוסים ראשונים</v>
      </c>
    </row>
    <row r="1992" spans="1:6" x14ac:dyDescent="0.2">
      <c r="A1992" t="s">
        <v>4094</v>
      </c>
      <c r="B1992" t="s">
        <v>4095</v>
      </c>
      <c r="F1992" s="5" t="str">
        <f>HYPERLINK("http://www.otzar.org/book.asp?627419","מסכת חגיגה")</f>
        <v>מסכת חגיגה</v>
      </c>
    </row>
    <row r="1993" spans="1:6" x14ac:dyDescent="0.2">
      <c r="A1993" t="s">
        <v>4096</v>
      </c>
      <c r="B1993" t="s">
        <v>4097</v>
      </c>
      <c r="C1993" t="s">
        <v>369</v>
      </c>
      <c r="D1993" s="1" t="s">
        <v>9</v>
      </c>
      <c r="F1993" s="5" t="str">
        <f>HYPERLINK("http://www.otzar.org/book.asp?630919","מסכת מדות &lt;שחזור נוסח קדום, שינוי נוסח וסרטוטי המקדש&gt;")</f>
        <v>מסכת מדות &lt;שחזור נוסח קדום, שינוי נוסח וסרטוטי המקדש&gt;</v>
      </c>
    </row>
    <row r="1994" spans="1:6" x14ac:dyDescent="0.2">
      <c r="A1994" t="s">
        <v>4098</v>
      </c>
      <c r="B1994" t="s">
        <v>4099</v>
      </c>
      <c r="C1994" t="s">
        <v>13</v>
      </c>
      <c r="D1994" s="1" t="s">
        <v>52</v>
      </c>
      <c r="E1994" t="s">
        <v>261</v>
      </c>
      <c r="F1994" s="5" t="str">
        <f>HYPERLINK("http://www.otzar.org/book.asp?630290","מסכת ציצית עם עין משפט ונר מצוה")</f>
        <v>מסכת ציצית עם עין משפט ונר מצוה</v>
      </c>
    </row>
    <row r="1995" spans="1:6" x14ac:dyDescent="0.2">
      <c r="A1995" t="s">
        <v>4100</v>
      </c>
      <c r="B1995" t="s">
        <v>4101</v>
      </c>
      <c r="C1995" t="s">
        <v>13</v>
      </c>
      <c r="D1995" s="1" t="s">
        <v>21</v>
      </c>
      <c r="E1995" t="s">
        <v>10</v>
      </c>
      <c r="F1995" s="5" t="str">
        <f>HYPERLINK("http://www.otzar.org/book.asp?627503","מסכת קינים &lt;יוסף לקח&gt;")</f>
        <v>מסכת קינים &lt;יוסף לקח&gt;</v>
      </c>
    </row>
    <row r="1996" spans="1:6" x14ac:dyDescent="0.2">
      <c r="A1996" t="s">
        <v>4102</v>
      </c>
      <c r="B1996" t="s">
        <v>4101</v>
      </c>
      <c r="C1996" t="s">
        <v>13</v>
      </c>
      <c r="D1996" s="1" t="s">
        <v>21</v>
      </c>
      <c r="E1996" t="s">
        <v>10</v>
      </c>
      <c r="F1996" s="5" t="str">
        <f>HYPERLINK("http://www.otzar.org/book.asp?630266","מסכת קנים עם פירוש יוסף לקח")</f>
        <v>מסכת קנים עם פירוש יוסף לקח</v>
      </c>
    </row>
    <row r="1997" spans="1:6" x14ac:dyDescent="0.2">
      <c r="A1997" t="s">
        <v>4103</v>
      </c>
      <c r="B1997" t="s">
        <v>4104</v>
      </c>
      <c r="C1997" t="s">
        <v>29</v>
      </c>
      <c r="D1997" s="1" t="s">
        <v>369</v>
      </c>
      <c r="E1997" t="s">
        <v>4105</v>
      </c>
      <c r="F1997" s="5" t="str">
        <f>HYPERLINK("http://www.otzar.org/book.asp?627439","מסכת שקלים מן תלמוד ירושלמי - ביאור באנגלית")</f>
        <v>מסכת שקלים מן תלמוד ירושלמי - ביאור באנגלית</v>
      </c>
    </row>
    <row r="1998" spans="1:6" x14ac:dyDescent="0.2">
      <c r="A1998" t="s">
        <v>4106</v>
      </c>
      <c r="B1998" t="s">
        <v>4095</v>
      </c>
      <c r="F1998" s="5" t="str">
        <f>HYPERLINK("http://www.otzar.org/book.asp?627420","מסכת תענית")</f>
        <v>מסכת תענית</v>
      </c>
    </row>
    <row r="1999" spans="1:6" x14ac:dyDescent="0.2">
      <c r="A1999" t="s">
        <v>4107</v>
      </c>
      <c r="B1999" t="s">
        <v>4108</v>
      </c>
      <c r="C1999" t="s">
        <v>8</v>
      </c>
      <c r="D1999" s="1" t="s">
        <v>52</v>
      </c>
      <c r="E1999" t="s">
        <v>37</v>
      </c>
      <c r="F1999" s="5" t="str">
        <f>HYPERLINK("http://www.otzar.org/book.asp?630352","מסנני המים בשבת")</f>
        <v>מסנני המים בשבת</v>
      </c>
    </row>
    <row r="2000" spans="1:6" x14ac:dyDescent="0.2">
      <c r="A2000" t="s">
        <v>4109</v>
      </c>
      <c r="B2000" t="s">
        <v>4110</v>
      </c>
      <c r="C2000" t="s">
        <v>40</v>
      </c>
      <c r="D2000" s="1" t="s">
        <v>52</v>
      </c>
      <c r="E2000" t="s">
        <v>4111</v>
      </c>
      <c r="F2000" s="5" t="str">
        <f>HYPERLINK("http://www.otzar.org/book.asp?623622","מסע התשובה והאהבה")</f>
        <v>מסע התשובה והאהבה</v>
      </c>
    </row>
    <row r="2001" spans="1:6" x14ac:dyDescent="0.2">
      <c r="A2001" t="s">
        <v>4112</v>
      </c>
      <c r="B2001" t="s">
        <v>4113</v>
      </c>
      <c r="C2001" t="s">
        <v>4114</v>
      </c>
      <c r="D2001" s="1" t="s">
        <v>4115</v>
      </c>
      <c r="E2001" t="s">
        <v>22</v>
      </c>
      <c r="F2001" s="5" t="str">
        <f>HYPERLINK("http://www.otzar.org/book.asp?626031","מסתרי האגדה - א")</f>
        <v>מסתרי האגדה - א</v>
      </c>
    </row>
    <row r="2002" spans="1:6" x14ac:dyDescent="0.2">
      <c r="A2002" t="s">
        <v>4116</v>
      </c>
      <c r="B2002" t="s">
        <v>4117</v>
      </c>
      <c r="C2002" t="s">
        <v>206</v>
      </c>
      <c r="D2002" s="1" t="s">
        <v>14</v>
      </c>
      <c r="E2002" t="s">
        <v>10</v>
      </c>
      <c r="F2002" s="5" t="str">
        <f>HYPERLINK("http://www.otzar.org/book.asp?629295","מעדני ארץ - מסכת שביעית")</f>
        <v>מעדני ארץ - מסכת שביעית</v>
      </c>
    </row>
    <row r="2003" spans="1:6" x14ac:dyDescent="0.2">
      <c r="A2003" t="s">
        <v>4118</v>
      </c>
      <c r="B2003" t="s">
        <v>4119</v>
      </c>
      <c r="C2003" t="s">
        <v>20</v>
      </c>
      <c r="D2003" s="1" t="s">
        <v>9</v>
      </c>
      <c r="E2003" t="s">
        <v>154</v>
      </c>
      <c r="F2003" s="5" t="str">
        <f>HYPERLINK("http://www.otzar.org/book.asp?627641","מעדני אשר - ו חול המועד")</f>
        <v>מעדני אשר - ו חול המועד</v>
      </c>
    </row>
    <row r="2004" spans="1:6" x14ac:dyDescent="0.2">
      <c r="A2004" t="s">
        <v>4120</v>
      </c>
      <c r="B2004" t="s">
        <v>4121</v>
      </c>
      <c r="C2004" t="s">
        <v>13</v>
      </c>
      <c r="D2004" s="1" t="s">
        <v>803</v>
      </c>
      <c r="E2004" t="s">
        <v>168</v>
      </c>
      <c r="F2004" s="5" t="str">
        <f>HYPERLINK("http://www.otzar.org/book.asp?627410","מעדני אשר - 4 כר'")</f>
        <v>מעדני אשר - 4 כר'</v>
      </c>
    </row>
    <row r="2005" spans="1:6" x14ac:dyDescent="0.2">
      <c r="A2005" t="s">
        <v>4122</v>
      </c>
      <c r="B2005" t="s">
        <v>4123</v>
      </c>
      <c r="C2005" t="s">
        <v>13</v>
      </c>
      <c r="D2005" s="1" t="s">
        <v>9</v>
      </c>
      <c r="E2005" t="s">
        <v>61</v>
      </c>
      <c r="F2005" s="5" t="str">
        <f>HYPERLINK("http://www.otzar.org/book.asp?627521","מעדני השלחן - סימנים א-כ")</f>
        <v>מעדני השלחן - סימנים א-כ</v>
      </c>
    </row>
    <row r="2006" spans="1:6" x14ac:dyDescent="0.2">
      <c r="A2006" t="s">
        <v>4124</v>
      </c>
      <c r="B2006" t="s">
        <v>4125</v>
      </c>
      <c r="C2006" t="s">
        <v>73</v>
      </c>
      <c r="D2006" s="1" t="s">
        <v>14</v>
      </c>
      <c r="E2006" t="s">
        <v>37</v>
      </c>
      <c r="F2006" s="5" t="str">
        <f>HYPERLINK("http://www.otzar.org/book.asp?629521","מעדני יום טוב - 6 כר'")</f>
        <v>מעדני יום טוב - 6 כר'</v>
      </c>
    </row>
    <row r="2007" spans="1:6" x14ac:dyDescent="0.2">
      <c r="A2007" t="s">
        <v>4126</v>
      </c>
      <c r="B2007" t="s">
        <v>4127</v>
      </c>
      <c r="C2007" t="s">
        <v>190</v>
      </c>
      <c r="D2007" s="1" t="s">
        <v>29</v>
      </c>
      <c r="E2007" t="s">
        <v>836</v>
      </c>
      <c r="F2007" s="5" t="str">
        <f>HYPERLINK("http://www.otzar.org/book.asp?627405","מעדני מלך - על התורה והגדה ש""פ")</f>
        <v>מעדני מלך - על התורה והגדה ש"פ</v>
      </c>
    </row>
    <row r="2008" spans="1:6" x14ac:dyDescent="0.2">
      <c r="A2008" t="s">
        <v>4128</v>
      </c>
      <c r="B2008" t="s">
        <v>4123</v>
      </c>
      <c r="C2008" t="s">
        <v>20</v>
      </c>
      <c r="D2008" s="1" t="s">
        <v>9</v>
      </c>
      <c r="E2008" t="s">
        <v>1207</v>
      </c>
      <c r="F2008" s="5" t="str">
        <f>HYPERLINK("http://www.otzar.org/book.asp?631112","מעדני מלכים - ב")</f>
        <v>מעדני מלכים - ב</v>
      </c>
    </row>
    <row r="2009" spans="1:6" x14ac:dyDescent="0.2">
      <c r="A2009" t="s">
        <v>4129</v>
      </c>
      <c r="B2009" t="s">
        <v>4130</v>
      </c>
      <c r="C2009" t="s">
        <v>8</v>
      </c>
      <c r="D2009" s="1" t="s">
        <v>476</v>
      </c>
      <c r="E2009" t="s">
        <v>49</v>
      </c>
      <c r="F2009" s="5" t="str">
        <f>HYPERLINK("http://www.otzar.org/book.asp?623388","מעדני משה")</f>
        <v>מעדני משה</v>
      </c>
    </row>
    <row r="2010" spans="1:6" x14ac:dyDescent="0.2">
      <c r="A2010" t="s">
        <v>4131</v>
      </c>
      <c r="B2010" t="s">
        <v>3984</v>
      </c>
      <c r="C2010" t="s">
        <v>25</v>
      </c>
      <c r="D2010" s="1" t="s">
        <v>14</v>
      </c>
      <c r="F2010" s="5" t="str">
        <f>HYPERLINK("http://www.otzar.org/book.asp?632829","מעדני סופר")</f>
        <v>מעדני סופר</v>
      </c>
    </row>
    <row r="2011" spans="1:6" x14ac:dyDescent="0.2">
      <c r="A2011" t="s">
        <v>4132</v>
      </c>
      <c r="B2011" t="s">
        <v>156</v>
      </c>
      <c r="C2011" t="s">
        <v>4133</v>
      </c>
      <c r="D2011" s="1" t="s">
        <v>158</v>
      </c>
      <c r="E2011" t="s">
        <v>168</v>
      </c>
      <c r="F2011" s="5" t="str">
        <f>HYPERLINK("http://www.otzar.org/book.asp?626898","מעיין גנים - 5 כר'")</f>
        <v>מעיין גנים - 5 כר'</v>
      </c>
    </row>
    <row r="2012" spans="1:6" x14ac:dyDescent="0.2">
      <c r="A2012" t="s">
        <v>4134</v>
      </c>
      <c r="B2012" t="s">
        <v>4135</v>
      </c>
      <c r="C2012" t="s">
        <v>20</v>
      </c>
      <c r="D2012" s="1" t="s">
        <v>1948</v>
      </c>
      <c r="E2012" t="s">
        <v>22</v>
      </c>
      <c r="F2012" s="5" t="str">
        <f>HYPERLINK("http://www.otzar.org/book.asp?626721","מעיין המקום - יומא, כתובות")</f>
        <v>מעיין המקום - יומא, כתובות</v>
      </c>
    </row>
    <row r="2013" spans="1:6" x14ac:dyDescent="0.2">
      <c r="A2013" t="s">
        <v>4136</v>
      </c>
      <c r="B2013" t="s">
        <v>4137</v>
      </c>
      <c r="C2013" t="s">
        <v>20</v>
      </c>
      <c r="D2013" s="1" t="s">
        <v>21</v>
      </c>
      <c r="E2013" t="s">
        <v>89</v>
      </c>
      <c r="F2013" s="5" t="str">
        <f>HYPERLINK("http://www.otzar.org/book.asp?626172","מעיין שמואל")</f>
        <v>מעיין שמואל</v>
      </c>
    </row>
    <row r="2014" spans="1:6" x14ac:dyDescent="0.2">
      <c r="A2014" t="s">
        <v>4138</v>
      </c>
      <c r="B2014" t="s">
        <v>4139</v>
      </c>
      <c r="E2014" t="s">
        <v>22</v>
      </c>
      <c r="F2014" s="5" t="str">
        <f>HYPERLINK("http://www.otzar.org/book.asp?628724","מעיינו מים - פסחים")</f>
        <v>מעיינו מים - פסחים</v>
      </c>
    </row>
    <row r="2015" spans="1:6" x14ac:dyDescent="0.2">
      <c r="A2015" t="s">
        <v>4140</v>
      </c>
      <c r="B2015" t="s">
        <v>4141</v>
      </c>
      <c r="E2015" t="s">
        <v>17</v>
      </c>
      <c r="F2015" s="5" t="str">
        <f>HYPERLINK("http://www.otzar.org/book.asp?627915","מעיינות הרים - כח")</f>
        <v>מעיינות הרים - כח</v>
      </c>
    </row>
    <row r="2016" spans="1:6" x14ac:dyDescent="0.2">
      <c r="A2016" t="s">
        <v>4142</v>
      </c>
      <c r="B2016" t="s">
        <v>4143</v>
      </c>
      <c r="C2016" t="s">
        <v>13</v>
      </c>
      <c r="D2016" s="1" t="s">
        <v>1295</v>
      </c>
      <c r="E2016" t="s">
        <v>22</v>
      </c>
      <c r="F2016" s="5" t="str">
        <f>HYPERLINK("http://www.otzar.org/book.asp?629737","מעייני יעקב - 3 כר'")</f>
        <v>מעייני יעקב - 3 כר'</v>
      </c>
    </row>
    <row r="2017" spans="1:6" x14ac:dyDescent="0.2">
      <c r="A2017" t="s">
        <v>4144</v>
      </c>
      <c r="B2017" t="s">
        <v>3270</v>
      </c>
      <c r="C2017" t="s">
        <v>20</v>
      </c>
      <c r="D2017" s="1" t="s">
        <v>9</v>
      </c>
      <c r="E2017" t="s">
        <v>41</v>
      </c>
      <c r="F2017" s="5" t="str">
        <f>HYPERLINK("http://www.otzar.org/book.asp?628807","מעיל צדקה &lt;זכרון אהרן&gt;")</f>
        <v>מעיל צדקה &lt;זכרון אהרן&gt;</v>
      </c>
    </row>
    <row r="2018" spans="1:6" x14ac:dyDescent="0.2">
      <c r="A2018" t="s">
        <v>4145</v>
      </c>
      <c r="B2018" t="s">
        <v>4146</v>
      </c>
      <c r="C2018" t="s">
        <v>13</v>
      </c>
      <c r="D2018" s="1" t="s">
        <v>14</v>
      </c>
      <c r="E2018" t="s">
        <v>168</v>
      </c>
      <c r="F2018" s="5" t="str">
        <f>HYPERLINK("http://www.otzar.org/book.asp?627540","מעין גנים - דברים")</f>
        <v>מעין גנים - דברים</v>
      </c>
    </row>
    <row r="2019" spans="1:6" x14ac:dyDescent="0.2">
      <c r="A2019" t="s">
        <v>4147</v>
      </c>
      <c r="B2019" t="s">
        <v>156</v>
      </c>
      <c r="C2019" t="s">
        <v>386</v>
      </c>
      <c r="D2019" s="1" t="s">
        <v>158</v>
      </c>
      <c r="E2019" t="s">
        <v>401</v>
      </c>
      <c r="F2019" s="5" t="str">
        <f>HYPERLINK("http://www.otzar.org/book.asp?628559","מעין גנים - 2 כר'")</f>
        <v>מעין גנים - 2 כר'</v>
      </c>
    </row>
    <row r="2020" spans="1:6" x14ac:dyDescent="0.2">
      <c r="A2020" t="s">
        <v>4148</v>
      </c>
      <c r="B2020" t="s">
        <v>94</v>
      </c>
      <c r="C2020" t="s">
        <v>20</v>
      </c>
      <c r="D2020" s="1" t="s">
        <v>52</v>
      </c>
      <c r="E2020" t="s">
        <v>168</v>
      </c>
      <c r="F2020" s="5" t="str">
        <f>HYPERLINK("http://www.otzar.org/book.asp?625967","מעין התורה")</f>
        <v>מעין התורה</v>
      </c>
    </row>
    <row r="2021" spans="1:6" x14ac:dyDescent="0.2">
      <c r="A2021" t="s">
        <v>4149</v>
      </c>
      <c r="B2021" t="s">
        <v>4150</v>
      </c>
      <c r="C2021" t="s">
        <v>1127</v>
      </c>
      <c r="D2021" s="1" t="s">
        <v>9</v>
      </c>
      <c r="E2021" t="s">
        <v>4151</v>
      </c>
      <c r="F2021" s="5" t="str">
        <f>HYPERLINK("http://www.otzar.org/book.asp?626156","מעין חיים, נחלי חיים, באר חיים")</f>
        <v>מעין חיים, נחלי חיים, באר חיים</v>
      </c>
    </row>
    <row r="2022" spans="1:6" x14ac:dyDescent="0.2">
      <c r="A2022" t="s">
        <v>4152</v>
      </c>
      <c r="B2022" t="s">
        <v>4153</v>
      </c>
      <c r="C2022" t="s">
        <v>8</v>
      </c>
      <c r="D2022" s="1" t="s">
        <v>9</v>
      </c>
      <c r="E2022" t="s">
        <v>199</v>
      </c>
      <c r="F2022" s="5" t="str">
        <f>HYPERLINK("http://www.otzar.org/book.asp?623469","מעין יוסף - נדה")</f>
        <v>מעין יוסף - נדה</v>
      </c>
    </row>
    <row r="2023" spans="1:6" x14ac:dyDescent="0.2">
      <c r="A2023" t="s">
        <v>4154</v>
      </c>
      <c r="B2023" t="s">
        <v>4155</v>
      </c>
      <c r="C2023" t="s">
        <v>818</v>
      </c>
      <c r="D2023" s="1" t="s">
        <v>9</v>
      </c>
      <c r="E2023" t="s">
        <v>34</v>
      </c>
      <c r="F2023" s="5" t="str">
        <f>HYPERLINK("http://www.otzar.org/book.asp?625949","מעלות המדות &lt;מהדורה חדשה&gt;")</f>
        <v>מעלות המדות &lt;מהדורה חדשה&gt;</v>
      </c>
    </row>
    <row r="2024" spans="1:6" x14ac:dyDescent="0.2">
      <c r="A2024" t="s">
        <v>4156</v>
      </c>
      <c r="B2024" t="s">
        <v>4157</v>
      </c>
      <c r="C2024" t="s">
        <v>2227</v>
      </c>
      <c r="D2024" s="1" t="s">
        <v>4158</v>
      </c>
      <c r="E2024" t="s">
        <v>34</v>
      </c>
      <c r="F2024" s="5" t="str">
        <f>HYPERLINK("http://www.otzar.org/book.asp?626408","מעלות התורה והמצוה")</f>
        <v>מעלות התורה והמצוה</v>
      </c>
    </row>
    <row r="2025" spans="1:6" x14ac:dyDescent="0.2">
      <c r="A2025" t="s">
        <v>4159</v>
      </c>
      <c r="B2025" t="s">
        <v>786</v>
      </c>
      <c r="C2025" t="s">
        <v>572</v>
      </c>
      <c r="D2025" s="1" t="s">
        <v>9</v>
      </c>
      <c r="E2025" t="s">
        <v>37</v>
      </c>
      <c r="F2025" s="5" t="str">
        <f>HYPERLINK("http://www.otzar.org/book.asp?625459","מעלית אוטמטית בשבת")</f>
        <v>מעלית אוטמטית בשבת</v>
      </c>
    </row>
    <row r="2026" spans="1:6" x14ac:dyDescent="0.2">
      <c r="A2026" t="s">
        <v>4160</v>
      </c>
      <c r="B2026" t="s">
        <v>4161</v>
      </c>
      <c r="C2026" t="s">
        <v>148</v>
      </c>
      <c r="D2026" s="1" t="s">
        <v>9</v>
      </c>
      <c r="E2026" t="s">
        <v>34</v>
      </c>
      <c r="F2026" s="5" t="str">
        <f>HYPERLINK("http://www.otzar.org/book.asp?625535","מעלת היסורים")</f>
        <v>מעלת היסורים</v>
      </c>
    </row>
    <row r="2027" spans="1:6" x14ac:dyDescent="0.2">
      <c r="A2027" t="s">
        <v>4162</v>
      </c>
      <c r="C2027" t="s">
        <v>88</v>
      </c>
      <c r="D2027" s="1" t="s">
        <v>29</v>
      </c>
      <c r="E2027" t="s">
        <v>30</v>
      </c>
      <c r="F2027" s="5" t="str">
        <f>HYPERLINK("http://www.otzar.org/book.asp?627067","מעלת מספר ששים")</f>
        <v>מעלת מספר ששים</v>
      </c>
    </row>
    <row r="2028" spans="1:6" x14ac:dyDescent="0.2">
      <c r="A2028" t="s">
        <v>4163</v>
      </c>
      <c r="B2028" t="s">
        <v>4164</v>
      </c>
      <c r="C2028" t="s">
        <v>20</v>
      </c>
      <c r="D2028" s="1" t="s">
        <v>9</v>
      </c>
      <c r="E2028" t="s">
        <v>4165</v>
      </c>
      <c r="F2028" s="5" t="str">
        <f>HYPERLINK("http://www.otzar.org/book.asp?627436","מעלת עלינו לשבח")</f>
        <v>מעלת עלינו לשבח</v>
      </c>
    </row>
    <row r="2029" spans="1:6" x14ac:dyDescent="0.2">
      <c r="A2029" t="s">
        <v>4166</v>
      </c>
      <c r="B2029" t="s">
        <v>4167</v>
      </c>
      <c r="C2029" t="s">
        <v>248</v>
      </c>
      <c r="D2029" s="1" t="s">
        <v>64</v>
      </c>
      <c r="F2029" s="5" t="str">
        <f>HYPERLINK("http://www.otzar.org/book.asp?630738","מעמדו של הפועל במקרא")</f>
        <v>מעמדו של הפועל במקרא</v>
      </c>
    </row>
    <row r="2030" spans="1:6" x14ac:dyDescent="0.2">
      <c r="A2030" t="s">
        <v>4168</v>
      </c>
      <c r="B2030" t="s">
        <v>4169</v>
      </c>
      <c r="C2030" t="s">
        <v>1105</v>
      </c>
      <c r="D2030" s="1" t="s">
        <v>471</v>
      </c>
      <c r="E2030" t="s">
        <v>121</v>
      </c>
      <c r="F2030" s="5" t="str">
        <f>HYPERLINK("http://www.otzar.org/book.asp?624708","מעמק הבכא")</f>
        <v>מעמק הבכא</v>
      </c>
    </row>
    <row r="2031" spans="1:6" x14ac:dyDescent="0.2">
      <c r="A2031" t="s">
        <v>4170</v>
      </c>
      <c r="B2031" t="s">
        <v>4171</v>
      </c>
      <c r="C2031" t="s">
        <v>190</v>
      </c>
      <c r="D2031" s="1" t="s">
        <v>21</v>
      </c>
      <c r="E2031" t="s">
        <v>37</v>
      </c>
      <c r="F2031" s="5" t="str">
        <f>HYPERLINK("http://www.otzar.org/book.asp?623395","מענה פיו - אורח חיים")</f>
        <v>מענה פיו - אורח חיים</v>
      </c>
    </row>
    <row r="2032" spans="1:6" x14ac:dyDescent="0.2">
      <c r="A2032" t="s">
        <v>4172</v>
      </c>
      <c r="B2032" t="s">
        <v>244</v>
      </c>
      <c r="C2032" t="s">
        <v>245</v>
      </c>
      <c r="D2032" s="1" t="s">
        <v>14</v>
      </c>
      <c r="E2032" t="s">
        <v>34</v>
      </c>
      <c r="F2032" s="5" t="str">
        <f>HYPERLINK("http://www.otzar.org/book.asp?623325","מענה רך &lt;מהדורה חדשה&gt;")</f>
        <v>מענה רך &lt;מהדורה חדשה&gt;</v>
      </c>
    </row>
    <row r="2033" spans="1:6" x14ac:dyDescent="0.2">
      <c r="A2033" t="s">
        <v>4173</v>
      </c>
      <c r="B2033" t="s">
        <v>4174</v>
      </c>
      <c r="C2033" t="s">
        <v>40</v>
      </c>
      <c r="D2033" s="1" t="s">
        <v>400</v>
      </c>
      <c r="E2033" t="s">
        <v>37</v>
      </c>
      <c r="F2033" s="5" t="str">
        <f>HYPERLINK("http://www.otzar.org/book.asp?627848","מערכי המשפט - ירושה")</f>
        <v>מערכי המשפט - ירושה</v>
      </c>
    </row>
    <row r="2034" spans="1:6" x14ac:dyDescent="0.2">
      <c r="A2034" t="s">
        <v>4175</v>
      </c>
      <c r="B2034" t="s">
        <v>4176</v>
      </c>
      <c r="C2034" t="s">
        <v>133</v>
      </c>
      <c r="D2034" s="1" t="s">
        <v>1793</v>
      </c>
      <c r="E2034" t="s">
        <v>41</v>
      </c>
      <c r="F2034" s="5" t="str">
        <f>HYPERLINK("http://www.otzar.org/book.asp?628196","מערכי לב")</f>
        <v>מערכי לב</v>
      </c>
    </row>
    <row r="2035" spans="1:6" x14ac:dyDescent="0.2">
      <c r="A2035" t="s">
        <v>4177</v>
      </c>
      <c r="B2035" t="s">
        <v>1712</v>
      </c>
      <c r="C2035" t="s">
        <v>8</v>
      </c>
      <c r="D2035" s="1" t="s">
        <v>52</v>
      </c>
      <c r="E2035" t="s">
        <v>49</v>
      </c>
      <c r="F2035" s="5" t="str">
        <f>HYPERLINK("http://www.otzar.org/book.asp?624863","מערכי לב - 2 כר'")</f>
        <v>מערכי לב - 2 כר'</v>
      </c>
    </row>
    <row r="2036" spans="1:6" x14ac:dyDescent="0.2">
      <c r="A2036" t="s">
        <v>4178</v>
      </c>
      <c r="B2036" t="s">
        <v>4179</v>
      </c>
      <c r="C2036" t="s">
        <v>245</v>
      </c>
      <c r="D2036" s="1" t="s">
        <v>29</v>
      </c>
      <c r="E2036" t="s">
        <v>214</v>
      </c>
      <c r="F2036" s="5" t="str">
        <f>HYPERLINK("http://www.otzar.org/book.asp?624659","מערכת יסוד איתן")</f>
        <v>מערכת יסוד איתן</v>
      </c>
    </row>
    <row r="2037" spans="1:6" x14ac:dyDescent="0.2">
      <c r="A2037" t="s">
        <v>4180</v>
      </c>
      <c r="B2037" t="s">
        <v>3562</v>
      </c>
      <c r="C2037" t="s">
        <v>119</v>
      </c>
      <c r="D2037" s="1" t="s">
        <v>1906</v>
      </c>
      <c r="E2037" t="s">
        <v>34</v>
      </c>
      <c r="F2037" s="5" t="str">
        <f>HYPERLINK("http://www.otzar.org/book.asp?624944","מערכת פלך השתיקה ופלך ההודיה")</f>
        <v>מערכת פלך השתיקה ופלך ההודיה</v>
      </c>
    </row>
    <row r="2038" spans="1:6" x14ac:dyDescent="0.2">
      <c r="A2038" t="s">
        <v>4181</v>
      </c>
      <c r="B2038" t="s">
        <v>4182</v>
      </c>
      <c r="C2038" t="s">
        <v>4183</v>
      </c>
      <c r="D2038" s="1" t="s">
        <v>537</v>
      </c>
      <c r="F2038" s="5" t="str">
        <f>HYPERLINK("http://www.otzar.org/book.asp?626456","מעשה אלפס - לשמוע בלמודים")</f>
        <v>מעשה אלפס - לשמוע בלמודים</v>
      </c>
    </row>
    <row r="2039" spans="1:6" x14ac:dyDescent="0.2">
      <c r="A2039" t="s">
        <v>4184</v>
      </c>
      <c r="B2039" t="s">
        <v>94</v>
      </c>
      <c r="F2039" s="5" t="str">
        <f>HYPERLINK("http://www.otzar.org/book.asp?629925","מעשה בראשית בשלשה")</f>
        <v>מעשה בראשית בשלשה</v>
      </c>
    </row>
    <row r="2040" spans="1:6" x14ac:dyDescent="0.2">
      <c r="A2040" t="s">
        <v>4185</v>
      </c>
      <c r="B2040" t="s">
        <v>4186</v>
      </c>
      <c r="C2040" t="s">
        <v>13</v>
      </c>
      <c r="D2040" s="1" t="s">
        <v>803</v>
      </c>
      <c r="E2040" t="s">
        <v>154</v>
      </c>
      <c r="F2040" s="5" t="str">
        <f>HYPERLINK("http://www.otzar.org/book.asp?628701","מעשה השבת - ב")</f>
        <v>מעשה השבת - ב</v>
      </c>
    </row>
    <row r="2041" spans="1:6" x14ac:dyDescent="0.2">
      <c r="A2041" t="s">
        <v>4187</v>
      </c>
      <c r="B2041" t="s">
        <v>4188</v>
      </c>
      <c r="C2041" t="s">
        <v>4189</v>
      </c>
      <c r="D2041" s="1" t="s">
        <v>48</v>
      </c>
      <c r="E2041" t="s">
        <v>2993</v>
      </c>
      <c r="F2041" s="5" t="str">
        <f>HYPERLINK("http://www.otzar.org/book.asp?626585","מעשה נורא")</f>
        <v>מעשה נורא</v>
      </c>
    </row>
    <row r="2042" spans="1:6" x14ac:dyDescent="0.2">
      <c r="A2042" t="s">
        <v>4190</v>
      </c>
      <c r="B2042" t="s">
        <v>4191</v>
      </c>
      <c r="C2042" t="s">
        <v>13</v>
      </c>
      <c r="D2042" s="1" t="s">
        <v>14</v>
      </c>
      <c r="E2042" t="s">
        <v>22</v>
      </c>
      <c r="F2042" s="5" t="str">
        <f>HYPERLINK("http://www.otzar.org/book.asp?626242","מעשה ניסים")</f>
        <v>מעשה ניסים</v>
      </c>
    </row>
    <row r="2043" spans="1:6" x14ac:dyDescent="0.2">
      <c r="A2043" t="s">
        <v>4192</v>
      </c>
      <c r="B2043" t="s">
        <v>4193</v>
      </c>
      <c r="C2043" t="s">
        <v>1066</v>
      </c>
      <c r="D2043" s="1" t="s">
        <v>9</v>
      </c>
      <c r="E2043" t="s">
        <v>49</v>
      </c>
      <c r="F2043" s="5" t="str">
        <f>HYPERLINK("http://www.otzar.org/book.asp?627830","מעשה נסים")</f>
        <v>מעשה נסים</v>
      </c>
    </row>
    <row r="2044" spans="1:6" x14ac:dyDescent="0.2">
      <c r="A2044" t="s">
        <v>4194</v>
      </c>
      <c r="B2044" t="s">
        <v>4195</v>
      </c>
      <c r="C2044" t="s">
        <v>88</v>
      </c>
      <c r="D2044" s="1" t="s">
        <v>52</v>
      </c>
      <c r="E2044" t="s">
        <v>168</v>
      </c>
      <c r="F2044" s="5" t="str">
        <f>HYPERLINK("http://www.otzar.org/book.asp?625736","מעשה רקם - דברים")</f>
        <v>מעשה רקם - דברים</v>
      </c>
    </row>
    <row r="2045" spans="1:6" x14ac:dyDescent="0.2">
      <c r="A2045" t="s">
        <v>4196</v>
      </c>
      <c r="B2045" t="s">
        <v>4197</v>
      </c>
      <c r="C2045" t="s">
        <v>13</v>
      </c>
      <c r="D2045" s="1" t="s">
        <v>9</v>
      </c>
      <c r="E2045" t="s">
        <v>477</v>
      </c>
      <c r="F2045" s="5" t="str">
        <f>HYPERLINK("http://www.otzar.org/book.asp?626753","מעשה שהיה")</f>
        <v>מעשה שהיה</v>
      </c>
    </row>
    <row r="2046" spans="1:6" x14ac:dyDescent="0.2">
      <c r="A2046" t="s">
        <v>4198</v>
      </c>
      <c r="B2046" t="s">
        <v>4199</v>
      </c>
      <c r="C2046" t="s">
        <v>4200</v>
      </c>
      <c r="D2046" s="1" t="s">
        <v>1728</v>
      </c>
      <c r="E2046" t="s">
        <v>49</v>
      </c>
      <c r="F2046" s="5" t="str">
        <f>HYPERLINK("http://www.otzar.org/book.asp?624710","מעשיות נוראים ונפלאים")</f>
        <v>מעשיות נוראים ונפלאים</v>
      </c>
    </row>
    <row r="2047" spans="1:6" x14ac:dyDescent="0.2">
      <c r="A2047" t="s">
        <v>4201</v>
      </c>
      <c r="B2047" t="s">
        <v>4202</v>
      </c>
      <c r="C2047" t="s">
        <v>999</v>
      </c>
      <c r="D2047" s="1" t="s">
        <v>9</v>
      </c>
      <c r="F2047" s="5" t="str">
        <f>HYPERLINK("http://www.otzar.org/book.asp?158460","מפגשים בין יהדות מדע וטכנולוגיה")</f>
        <v>מפגשים בין יהדות מדע וטכנולוגיה</v>
      </c>
    </row>
    <row r="2048" spans="1:6" x14ac:dyDescent="0.2">
      <c r="A2048" t="s">
        <v>4203</v>
      </c>
      <c r="B2048" t="s">
        <v>4204</v>
      </c>
      <c r="C2048" t="s">
        <v>334</v>
      </c>
      <c r="D2048" s="1" t="s">
        <v>9</v>
      </c>
      <c r="E2048" t="s">
        <v>49</v>
      </c>
      <c r="F2048" s="5" t="str">
        <f>HYPERLINK("http://www.otzar.org/book.asp?623241","מפי העם")</f>
        <v>מפי העם</v>
      </c>
    </row>
    <row r="2049" spans="1:6" x14ac:dyDescent="0.2">
      <c r="A2049" t="s">
        <v>4205</v>
      </c>
      <c r="B2049" t="s">
        <v>4206</v>
      </c>
      <c r="C2049" t="s">
        <v>13</v>
      </c>
      <c r="D2049" s="1" t="s">
        <v>268</v>
      </c>
      <c r="E2049" t="s">
        <v>737</v>
      </c>
      <c r="F2049" s="5" t="str">
        <f>HYPERLINK("http://www.otzar.org/book.asp?628102","מפי זרעו")</f>
        <v>מפי זרעו</v>
      </c>
    </row>
    <row r="2050" spans="1:6" x14ac:dyDescent="0.2">
      <c r="A2050" t="s">
        <v>4207</v>
      </c>
      <c r="B2050" t="s">
        <v>4208</v>
      </c>
      <c r="D2050" s="1" t="s">
        <v>64</v>
      </c>
      <c r="E2050" t="s">
        <v>108</v>
      </c>
      <c r="F2050" s="5" t="str">
        <f>HYPERLINK("http://www.otzar.org/book.asp?623712","מפני מה אסור להשתתף בבחירות")</f>
        <v>מפני מה אסור להשתתף בבחירות</v>
      </c>
    </row>
    <row r="2051" spans="1:6" x14ac:dyDescent="0.2">
      <c r="A2051" t="s">
        <v>4209</v>
      </c>
      <c r="B2051" t="s">
        <v>147</v>
      </c>
      <c r="C2051" t="s">
        <v>4210</v>
      </c>
      <c r="D2051" s="1" t="s">
        <v>4211</v>
      </c>
      <c r="E2051" t="s">
        <v>168</v>
      </c>
      <c r="F2051" s="5" t="str">
        <f>HYPERLINK("http://www.otzar.org/book.asp?624761","מפניני הרמב""ם")</f>
        <v>מפניני הרמב"ם</v>
      </c>
    </row>
    <row r="2052" spans="1:6" x14ac:dyDescent="0.2">
      <c r="A2052" t="s">
        <v>4212</v>
      </c>
      <c r="B2052" t="s">
        <v>4213</v>
      </c>
      <c r="C2052" t="s">
        <v>73</v>
      </c>
      <c r="D2052" s="1" t="s">
        <v>114</v>
      </c>
      <c r="E2052" t="s">
        <v>41</v>
      </c>
      <c r="F2052" s="5" t="str">
        <f>HYPERLINK("http://www.otzar.org/book.asp?628667","מפסקי הרב עזיאל במבחן הזמן - 2 כר'")</f>
        <v>מפסקי הרב עזיאל במבחן הזמן - 2 כר'</v>
      </c>
    </row>
    <row r="2053" spans="1:6" x14ac:dyDescent="0.2">
      <c r="A2053" t="s">
        <v>4214</v>
      </c>
      <c r="B2053" t="s">
        <v>4215</v>
      </c>
      <c r="C2053" t="s">
        <v>13</v>
      </c>
      <c r="D2053" s="1" t="s">
        <v>9</v>
      </c>
      <c r="E2053" t="s">
        <v>37</v>
      </c>
      <c r="F2053" s="5" t="str">
        <f>HYPERLINK("http://www.otzar.org/book.asp?627651","מפסקי ישראל")</f>
        <v>מפסקי ישראל</v>
      </c>
    </row>
    <row r="2054" spans="1:6" x14ac:dyDescent="0.2">
      <c r="A2054" t="s">
        <v>4216</v>
      </c>
      <c r="B2054" t="s">
        <v>4217</v>
      </c>
      <c r="C2054" t="s">
        <v>4218</v>
      </c>
      <c r="D2054" s="1" t="s">
        <v>1059</v>
      </c>
      <c r="E2054" t="s">
        <v>49</v>
      </c>
      <c r="F2054" s="5" t="str">
        <f>HYPERLINK("http://www.otzar.org/book.asp?626558","מפעלות צדיקים החדש")</f>
        <v>מפעלות צדיקים החדש</v>
      </c>
    </row>
    <row r="2055" spans="1:6" x14ac:dyDescent="0.2">
      <c r="A2055" t="s">
        <v>4219</v>
      </c>
      <c r="B2055" t="s">
        <v>3732</v>
      </c>
      <c r="C2055" t="s">
        <v>13</v>
      </c>
      <c r="D2055" s="1" t="s">
        <v>52</v>
      </c>
      <c r="E2055" t="s">
        <v>4220</v>
      </c>
      <c r="F2055" s="5" t="str">
        <f>HYPERLINK("http://www.otzar.org/book.asp?628515","מפרי פי איש השלם - 2 כר'")</f>
        <v>מפרי פי איש השלם - 2 כר'</v>
      </c>
    </row>
    <row r="2056" spans="1:6" x14ac:dyDescent="0.2">
      <c r="A2056" t="s">
        <v>4221</v>
      </c>
      <c r="B2056" t="s">
        <v>276</v>
      </c>
      <c r="C2056" t="s">
        <v>25</v>
      </c>
      <c r="D2056" s="1" t="s">
        <v>277</v>
      </c>
      <c r="E2056" t="s">
        <v>108</v>
      </c>
      <c r="F2056" s="5" t="str">
        <f>HYPERLINK("http://www.otzar.org/book.asp?628725","מפתח הפרנסה")</f>
        <v>מפתח הפרנסה</v>
      </c>
    </row>
    <row r="2057" spans="1:6" x14ac:dyDescent="0.2">
      <c r="A2057" t="s">
        <v>4222</v>
      </c>
      <c r="B2057" t="s">
        <v>4223</v>
      </c>
      <c r="C2057" t="s">
        <v>4224</v>
      </c>
      <c r="D2057" s="1" t="s">
        <v>4225</v>
      </c>
      <c r="F2057" s="5" t="str">
        <f>HYPERLINK("http://www.otzar.org/book.asp?626169","מפתח למאמרי הלכה ומאמרי אגדה - ראש השנה")</f>
        <v>מפתח למאמרי הלכה ומאמרי אגדה - ראש השנה</v>
      </c>
    </row>
    <row r="2058" spans="1:6" x14ac:dyDescent="0.2">
      <c r="A2058" t="s">
        <v>4226</v>
      </c>
      <c r="B2058" t="s">
        <v>4227</v>
      </c>
      <c r="C2058" t="s">
        <v>8</v>
      </c>
      <c r="D2058" s="1" t="s">
        <v>14</v>
      </c>
      <c r="E2058" t="s">
        <v>22</v>
      </c>
      <c r="F2058" s="5" t="str">
        <f>HYPERLINK("http://www.otzar.org/book.asp?629790","מפתחות על מסכת נדה מספר חוות דעת וסדרי טהרה")</f>
        <v>מפתחות על מסכת נדה מספר חוות דעת וסדרי טהרה</v>
      </c>
    </row>
    <row r="2059" spans="1:6" x14ac:dyDescent="0.2">
      <c r="A2059" t="s">
        <v>4228</v>
      </c>
      <c r="B2059" t="s">
        <v>4229</v>
      </c>
      <c r="D2059" s="1" t="s">
        <v>9</v>
      </c>
      <c r="E2059" t="s">
        <v>37</v>
      </c>
      <c r="F2059" s="5" t="str">
        <f>HYPERLINK("http://www.otzar.org/book.asp?622740","מצא חן - שליח ציבור")</f>
        <v>מצא חן - שליח ציבור</v>
      </c>
    </row>
    <row r="2060" spans="1:6" x14ac:dyDescent="0.2">
      <c r="A2060" t="s">
        <v>4230</v>
      </c>
      <c r="B2060" t="s">
        <v>4231</v>
      </c>
      <c r="C2060">
        <v>1990</v>
      </c>
      <c r="D2060" s="1" t="s">
        <v>213</v>
      </c>
      <c r="E2060" t="s">
        <v>375</v>
      </c>
      <c r="F2060" s="5" t="str">
        <f>HYPERLINK("http://www.otzar.org/book.asp?623626","מצבת פנחס")</f>
        <v>מצבת פנחס</v>
      </c>
    </row>
    <row r="2061" spans="1:6" x14ac:dyDescent="0.2">
      <c r="A2061" t="s">
        <v>4232</v>
      </c>
      <c r="B2061" t="s">
        <v>4233</v>
      </c>
      <c r="C2061" t="s">
        <v>25</v>
      </c>
      <c r="D2061" s="1" t="s">
        <v>52</v>
      </c>
      <c r="E2061" t="s">
        <v>49</v>
      </c>
      <c r="F2061" s="5" t="str">
        <f>HYPERLINK("http://www.otzar.org/book.asp?629423","מצד עצמם")</f>
        <v>מצד עצמם</v>
      </c>
    </row>
    <row r="2062" spans="1:6" x14ac:dyDescent="0.2">
      <c r="A2062" t="s">
        <v>4234</v>
      </c>
      <c r="B2062" t="s">
        <v>2657</v>
      </c>
      <c r="C2062" t="s">
        <v>8</v>
      </c>
      <c r="D2062" s="1" t="s">
        <v>9</v>
      </c>
      <c r="E2062" t="s">
        <v>49</v>
      </c>
      <c r="F2062" s="5" t="str">
        <f>HYPERLINK("http://www.otzar.org/book.asp?629171","מצוות השם")</f>
        <v>מצוות השם</v>
      </c>
    </row>
    <row r="2063" spans="1:6" x14ac:dyDescent="0.2">
      <c r="A2063" t="s">
        <v>4235</v>
      </c>
      <c r="B2063" t="s">
        <v>4236</v>
      </c>
      <c r="C2063" t="s">
        <v>572</v>
      </c>
      <c r="D2063" s="1" t="s">
        <v>9</v>
      </c>
      <c r="E2063" t="s">
        <v>4237</v>
      </c>
      <c r="F2063" s="5" t="str">
        <f>HYPERLINK("http://www.otzar.org/book.asp?7462","מצוות התורה")</f>
        <v>מצוות התורה</v>
      </c>
    </row>
    <row r="2064" spans="1:6" x14ac:dyDescent="0.2">
      <c r="A2064" t="s">
        <v>4238</v>
      </c>
      <c r="B2064" t="s">
        <v>4239</v>
      </c>
      <c r="C2064" t="s">
        <v>148</v>
      </c>
      <c r="D2064" s="1" t="s">
        <v>9</v>
      </c>
      <c r="E2064" t="s">
        <v>242</v>
      </c>
      <c r="F2064" s="5" t="str">
        <f>HYPERLINK("http://www.otzar.org/book.asp?625567","מצוות כרימון")</f>
        <v>מצוות כרימון</v>
      </c>
    </row>
    <row r="2065" spans="1:6" x14ac:dyDescent="0.2">
      <c r="A2065" t="s">
        <v>4240</v>
      </c>
      <c r="B2065" t="s">
        <v>4241</v>
      </c>
      <c r="C2065" t="s">
        <v>25</v>
      </c>
      <c r="D2065" s="1" t="s">
        <v>9</v>
      </c>
      <c r="E2065" t="s">
        <v>4242</v>
      </c>
      <c r="F2065" s="5" t="str">
        <f>HYPERLINK("http://www.otzar.org/book.asp?631134","מצוותי תשמורו - תורה ותרי""ג מצוות")</f>
        <v>מצוותי תשמורו - תורה ותרי"ג מצוות</v>
      </c>
    </row>
    <row r="2066" spans="1:6" x14ac:dyDescent="0.2">
      <c r="A2066" t="s">
        <v>4243</v>
      </c>
      <c r="B2066" t="s">
        <v>2790</v>
      </c>
      <c r="C2066" t="s">
        <v>20</v>
      </c>
      <c r="D2066" s="1" t="s">
        <v>52</v>
      </c>
      <c r="E2066" t="s">
        <v>89</v>
      </c>
      <c r="F2066" s="5" t="str">
        <f>HYPERLINK("http://www.otzar.org/book.asp?626748","מצוותיך אמונה - 5 כר'")</f>
        <v>מצוותיך אמונה - 5 כר'</v>
      </c>
    </row>
    <row r="2067" spans="1:6" x14ac:dyDescent="0.2">
      <c r="A2067" t="s">
        <v>4244</v>
      </c>
      <c r="B2067" t="s">
        <v>156</v>
      </c>
      <c r="C2067" t="s">
        <v>307</v>
      </c>
      <c r="D2067" s="1" t="s">
        <v>158</v>
      </c>
      <c r="E2067" t="s">
        <v>4245</v>
      </c>
      <c r="F2067" s="5" t="str">
        <f>HYPERLINK("http://www.otzar.org/book.asp?628561","מצות כיבוד הורים")</f>
        <v>מצות כיבוד הורים</v>
      </c>
    </row>
    <row r="2068" spans="1:6" x14ac:dyDescent="0.2">
      <c r="A2068" t="s">
        <v>4246</v>
      </c>
      <c r="B2068" t="s">
        <v>4247</v>
      </c>
      <c r="C2068" t="s">
        <v>20</v>
      </c>
      <c r="D2068" s="1" t="s">
        <v>52</v>
      </c>
      <c r="E2068" t="s">
        <v>37</v>
      </c>
      <c r="F2068" s="5" t="str">
        <f>HYPERLINK("http://www.otzar.org/book.asp?624830","מצותיך שעשועי")</f>
        <v>מצותיך שעשועי</v>
      </c>
    </row>
    <row r="2069" spans="1:6" x14ac:dyDescent="0.2">
      <c r="A2069" t="s">
        <v>4248</v>
      </c>
      <c r="B2069" t="s">
        <v>112</v>
      </c>
      <c r="C2069" t="s">
        <v>73</v>
      </c>
      <c r="D2069" s="1" t="s">
        <v>1948</v>
      </c>
      <c r="E2069" t="s">
        <v>49</v>
      </c>
      <c r="F2069" s="5" t="str">
        <f>HYPERLINK("http://www.otzar.org/book.asp?626722","מציאות קטן")</f>
        <v>מציאות קטן</v>
      </c>
    </row>
    <row r="2070" spans="1:6" x14ac:dyDescent="0.2">
      <c r="A2070" t="s">
        <v>4249</v>
      </c>
      <c r="B2070" t="s">
        <v>1418</v>
      </c>
      <c r="C2070" t="s">
        <v>136</v>
      </c>
      <c r="D2070" s="1" t="s">
        <v>9</v>
      </c>
      <c r="E2070" t="s">
        <v>22</v>
      </c>
      <c r="F2070" s="5" t="str">
        <f>HYPERLINK("http://www.otzar.org/book.asp?623574","מציאת עצי היער")</f>
        <v>מציאת עצי היער</v>
      </c>
    </row>
    <row r="2071" spans="1:6" x14ac:dyDescent="0.2">
      <c r="A2071" t="s">
        <v>4250</v>
      </c>
      <c r="B2071" t="s">
        <v>94</v>
      </c>
      <c r="C2071" t="s">
        <v>8</v>
      </c>
      <c r="D2071" s="1" t="s">
        <v>52</v>
      </c>
      <c r="E2071" t="s">
        <v>128</v>
      </c>
      <c r="F2071" s="5" t="str">
        <f>HYPERLINK("http://www.otzar.org/book.asp?630477","מציץ מן החרכים - 2 כר'")</f>
        <v>מציץ מן החרכים - 2 כר'</v>
      </c>
    </row>
    <row r="2072" spans="1:6" x14ac:dyDescent="0.2">
      <c r="A2072" t="s">
        <v>4251</v>
      </c>
      <c r="B2072" t="s">
        <v>4252</v>
      </c>
      <c r="C2072" t="s">
        <v>40</v>
      </c>
      <c r="D2072" s="1" t="s">
        <v>1176</v>
      </c>
      <c r="E2072" t="s">
        <v>4253</v>
      </c>
      <c r="F2072" s="5" t="str">
        <f>HYPERLINK("http://www.otzar.org/book.asp?627624","מקדמי ארץ - 4 כר'")</f>
        <v>מקדמי ארץ - 4 כר'</v>
      </c>
    </row>
    <row r="2073" spans="1:6" x14ac:dyDescent="0.2">
      <c r="A2073" t="s">
        <v>4254</v>
      </c>
      <c r="B2073" t="s">
        <v>4255</v>
      </c>
      <c r="C2073" t="s">
        <v>13</v>
      </c>
      <c r="D2073" s="1" t="s">
        <v>14</v>
      </c>
      <c r="E2073" t="s">
        <v>22</v>
      </c>
      <c r="F2073" s="5" t="str">
        <f>HYPERLINK("http://www.otzar.org/book.asp?629424","מקדש יחזקאל - מעילה")</f>
        <v>מקדש יחזקאל - מעילה</v>
      </c>
    </row>
    <row r="2074" spans="1:6" x14ac:dyDescent="0.2">
      <c r="A2074" t="s">
        <v>4256</v>
      </c>
      <c r="B2074" t="s">
        <v>4257</v>
      </c>
      <c r="C2074" t="s">
        <v>133</v>
      </c>
      <c r="D2074" s="1" t="s">
        <v>557</v>
      </c>
      <c r="E2074" t="s">
        <v>199</v>
      </c>
      <c r="F2074" s="5" t="str">
        <f>HYPERLINK("http://www.otzar.org/book.asp?622525","מקוה ישראל")</f>
        <v>מקוה ישראל</v>
      </c>
    </row>
    <row r="2075" spans="1:6" x14ac:dyDescent="0.2">
      <c r="A2075" t="s">
        <v>4256</v>
      </c>
      <c r="B2075" t="s">
        <v>4258</v>
      </c>
      <c r="C2075" t="s">
        <v>13</v>
      </c>
      <c r="D2075" s="1" t="s">
        <v>4259</v>
      </c>
      <c r="E2075" t="s">
        <v>37</v>
      </c>
      <c r="F2075" s="5" t="str">
        <f>HYPERLINK("http://www.otzar.org/book.asp?630132","מקוה ישראל")</f>
        <v>מקוה ישראל</v>
      </c>
    </row>
    <row r="2076" spans="1:6" x14ac:dyDescent="0.2">
      <c r="A2076" t="s">
        <v>4260</v>
      </c>
      <c r="B2076" t="s">
        <v>4261</v>
      </c>
      <c r="C2076" t="s">
        <v>264</v>
      </c>
      <c r="D2076" s="1" t="s">
        <v>9</v>
      </c>
      <c r="E2076" t="s">
        <v>168</v>
      </c>
      <c r="F2076" s="5" t="str">
        <f>HYPERLINK("http://www.otzar.org/book.asp?84779","מקור הברכה - 3 כר'")</f>
        <v>מקור הברכה - 3 כר'</v>
      </c>
    </row>
    <row r="2077" spans="1:6" x14ac:dyDescent="0.2">
      <c r="A2077" t="s">
        <v>4262</v>
      </c>
      <c r="B2077" t="s">
        <v>4263</v>
      </c>
      <c r="C2077" t="s">
        <v>13</v>
      </c>
      <c r="D2077" s="1" t="s">
        <v>9</v>
      </c>
      <c r="E2077" t="s">
        <v>168</v>
      </c>
      <c r="F2077" s="5" t="str">
        <f>HYPERLINK("http://www.otzar.org/book.asp?627199","מקור החיים")</f>
        <v>מקור החיים</v>
      </c>
    </row>
    <row r="2078" spans="1:6" x14ac:dyDescent="0.2">
      <c r="A2078" t="s">
        <v>4264</v>
      </c>
      <c r="B2078" t="s">
        <v>4265</v>
      </c>
      <c r="C2078" t="s">
        <v>4266</v>
      </c>
      <c r="D2078" s="1" t="s">
        <v>4267</v>
      </c>
      <c r="E2078" t="s">
        <v>61</v>
      </c>
      <c r="F2078" s="5" t="str">
        <f>HYPERLINK("http://www.otzar.org/book.asp?623345","מקור חיים")</f>
        <v>מקור חיים</v>
      </c>
    </row>
    <row r="2079" spans="1:6" x14ac:dyDescent="0.2">
      <c r="A2079" t="s">
        <v>4268</v>
      </c>
      <c r="B2079" t="s">
        <v>4269</v>
      </c>
      <c r="C2079" t="s">
        <v>13</v>
      </c>
      <c r="D2079" s="1" t="s">
        <v>64</v>
      </c>
      <c r="E2079" t="s">
        <v>168</v>
      </c>
      <c r="F2079" s="5" t="str">
        <f>HYPERLINK("http://www.otzar.org/book.asp?626148","מקרא העדה - 3 כר'")</f>
        <v>מקרא העדה - 3 כר'</v>
      </c>
    </row>
    <row r="2080" spans="1:6" x14ac:dyDescent="0.2">
      <c r="A2080" t="s">
        <v>4270</v>
      </c>
      <c r="B2080" t="s">
        <v>4271</v>
      </c>
      <c r="C2080" t="s">
        <v>1554</v>
      </c>
      <c r="D2080" s="1" t="s">
        <v>949</v>
      </c>
      <c r="E2080" t="s">
        <v>168</v>
      </c>
      <c r="F2080" s="5" t="str">
        <f>HYPERLINK("http://www.otzar.org/book.asp?623442","מקראות שיש להם הכרע")</f>
        <v>מקראות שיש להם הכרע</v>
      </c>
    </row>
    <row r="2081" spans="1:6" x14ac:dyDescent="0.2">
      <c r="A2081" t="s">
        <v>4272</v>
      </c>
      <c r="B2081" t="s">
        <v>4273</v>
      </c>
      <c r="F2081" s="5" t="str">
        <f>HYPERLINK("http://www.otzar.org/book.asp?630763","מקראי קודש - במדבר")</f>
        <v>מקראי קודש - במדבר</v>
      </c>
    </row>
    <row r="2082" spans="1:6" x14ac:dyDescent="0.2">
      <c r="A2082" t="s">
        <v>4274</v>
      </c>
      <c r="B2082" t="s">
        <v>4275</v>
      </c>
      <c r="C2082" t="s">
        <v>1457</v>
      </c>
      <c r="D2082" s="1" t="s">
        <v>1526</v>
      </c>
      <c r="E2082" t="s">
        <v>295</v>
      </c>
      <c r="F2082" s="5" t="str">
        <f>HYPERLINK("http://www.otzar.org/book.asp?626084","מקראי קודש")</f>
        <v>מקראי קודש</v>
      </c>
    </row>
    <row r="2083" spans="1:6" x14ac:dyDescent="0.2">
      <c r="A2083" t="s">
        <v>4276</v>
      </c>
      <c r="B2083" t="s">
        <v>3281</v>
      </c>
      <c r="E2083" t="s">
        <v>168</v>
      </c>
      <c r="F2083" s="5" t="str">
        <f>HYPERLINK("http://www.otzar.org/book.asp?628209","מר דרור חמש מאות")</f>
        <v>מר דרור חמש מאות</v>
      </c>
    </row>
    <row r="2084" spans="1:6" x14ac:dyDescent="0.2">
      <c r="A2084" t="s">
        <v>4277</v>
      </c>
      <c r="B2084" t="s">
        <v>94</v>
      </c>
      <c r="C2084" t="s">
        <v>13</v>
      </c>
      <c r="D2084" s="1" t="s">
        <v>14</v>
      </c>
      <c r="E2084" t="s">
        <v>22</v>
      </c>
      <c r="F2084" s="5" t="str">
        <f>HYPERLINK("http://www.otzar.org/book.asp?623318","מראה אור - 3 כר'")</f>
        <v>מראה אור - 3 כר'</v>
      </c>
    </row>
    <row r="2085" spans="1:6" x14ac:dyDescent="0.2">
      <c r="A2085" t="s">
        <v>4278</v>
      </c>
      <c r="B2085" t="s">
        <v>4279</v>
      </c>
      <c r="C2085" t="s">
        <v>13</v>
      </c>
      <c r="D2085" s="1" t="s">
        <v>14</v>
      </c>
      <c r="E2085" t="s">
        <v>89</v>
      </c>
      <c r="F2085" s="5" t="str">
        <f>HYPERLINK("http://www.otzar.org/book.asp?629566","מראה אליהו - 2 כר'")</f>
        <v>מראה אליהו - 2 כר'</v>
      </c>
    </row>
    <row r="2086" spans="1:6" x14ac:dyDescent="0.2">
      <c r="A2086" t="s">
        <v>4280</v>
      </c>
      <c r="B2086" t="s">
        <v>4281</v>
      </c>
      <c r="C2086" t="s">
        <v>136</v>
      </c>
      <c r="D2086" s="1" t="s">
        <v>9</v>
      </c>
      <c r="F2086" s="5" t="str">
        <f>HYPERLINK("http://www.otzar.org/book.asp?632827","מראה דעה")</f>
        <v>מראה דעה</v>
      </c>
    </row>
    <row r="2087" spans="1:6" x14ac:dyDescent="0.2">
      <c r="A2087" t="s">
        <v>4282</v>
      </c>
      <c r="B2087" t="s">
        <v>4283</v>
      </c>
      <c r="C2087" t="s">
        <v>206</v>
      </c>
      <c r="D2087" s="1" t="s">
        <v>268</v>
      </c>
      <c r="E2087" t="s">
        <v>375</v>
      </c>
      <c r="F2087" s="5" t="str">
        <f>HYPERLINK("http://www.otzar.org/book.asp?623568","מראה המלאכות")</f>
        <v>מראה המלאכות</v>
      </c>
    </row>
    <row r="2088" spans="1:6" x14ac:dyDescent="0.2">
      <c r="A2088" t="s">
        <v>4284</v>
      </c>
      <c r="B2088" t="s">
        <v>4285</v>
      </c>
      <c r="C2088" t="s">
        <v>73</v>
      </c>
      <c r="E2088" t="s">
        <v>37</v>
      </c>
      <c r="F2088" s="5" t="str">
        <f>HYPERLINK("http://www.otzar.org/book.asp?628211","מראה יחזקאל")</f>
        <v>מראה יחזקאל</v>
      </c>
    </row>
    <row r="2089" spans="1:6" x14ac:dyDescent="0.2">
      <c r="A2089" t="s">
        <v>4286</v>
      </c>
      <c r="B2089" t="s">
        <v>4287</v>
      </c>
      <c r="C2089" t="s">
        <v>383</v>
      </c>
      <c r="D2089" s="1" t="s">
        <v>1364</v>
      </c>
      <c r="F2089" s="5" t="str">
        <f>HYPERLINK("http://www.otzar.org/book.asp?630410","מראה כהן")</f>
        <v>מראה כהן</v>
      </c>
    </row>
    <row r="2090" spans="1:6" x14ac:dyDescent="0.2">
      <c r="A2090" t="s">
        <v>4288</v>
      </c>
      <c r="B2090" t="s">
        <v>4289</v>
      </c>
      <c r="C2090" t="s">
        <v>818</v>
      </c>
      <c r="D2090" s="1" t="s">
        <v>14</v>
      </c>
      <c r="E2090" t="s">
        <v>10</v>
      </c>
      <c r="F2090" s="5" t="str">
        <f>HYPERLINK("http://www.otzar.org/book.asp?623937","מראה קנים - קן מפורשת")</f>
        <v>מראה קנים - קן מפורשת</v>
      </c>
    </row>
    <row r="2091" spans="1:6" x14ac:dyDescent="0.2">
      <c r="A2091" t="s">
        <v>4290</v>
      </c>
      <c r="B2091" t="s">
        <v>4291</v>
      </c>
      <c r="C2091" t="s">
        <v>8</v>
      </c>
      <c r="D2091" s="1" t="s">
        <v>52</v>
      </c>
      <c r="E2091" t="s">
        <v>168</v>
      </c>
      <c r="F2091" s="5" t="str">
        <f>HYPERLINK("http://www.otzar.org/book.asp?628641","מראי מקומות וציונים - דברים")</f>
        <v>מראי מקומות וציונים - דברים</v>
      </c>
    </row>
    <row r="2092" spans="1:6" x14ac:dyDescent="0.2">
      <c r="A2092" t="s">
        <v>4292</v>
      </c>
      <c r="B2092" t="s">
        <v>4293</v>
      </c>
      <c r="C2092" t="s">
        <v>13</v>
      </c>
      <c r="D2092" s="1" t="s">
        <v>362</v>
      </c>
      <c r="E2092" t="s">
        <v>49</v>
      </c>
      <c r="F2092" s="5" t="str">
        <f>HYPERLINK("http://www.otzar.org/book.asp?628509","מראי מקומות על ספר עבודת הקרבנות - 2 כר'")</f>
        <v>מראי מקומות על ספר עבודת הקרבנות - 2 כר'</v>
      </c>
    </row>
    <row r="2093" spans="1:6" x14ac:dyDescent="0.2">
      <c r="A2093" t="s">
        <v>4294</v>
      </c>
      <c r="B2093" t="s">
        <v>4293</v>
      </c>
      <c r="C2093" t="s">
        <v>25</v>
      </c>
      <c r="D2093" s="1" t="s">
        <v>557</v>
      </c>
      <c r="E2093" t="s">
        <v>10</v>
      </c>
      <c r="F2093" s="5" t="str">
        <f>HYPERLINK("http://www.otzar.org/book.asp?629425","מראי מקומות - מסכת מידות")</f>
        <v>מראי מקומות - מסכת מידות</v>
      </c>
    </row>
    <row r="2094" spans="1:6" x14ac:dyDescent="0.2">
      <c r="A2094" t="s">
        <v>4295</v>
      </c>
      <c r="B2094" t="s">
        <v>210</v>
      </c>
      <c r="C2094" t="s">
        <v>73</v>
      </c>
      <c r="D2094" s="1" t="s">
        <v>14</v>
      </c>
      <c r="E2094" t="s">
        <v>242</v>
      </c>
      <c r="F2094" s="5" t="str">
        <f>HYPERLINK("http://www.otzar.org/book.asp?626271","מראש מקדם")</f>
        <v>מראש מקדם</v>
      </c>
    </row>
    <row r="2095" spans="1:6" x14ac:dyDescent="0.2">
      <c r="A2095" t="s">
        <v>4296</v>
      </c>
      <c r="B2095" t="s">
        <v>4297</v>
      </c>
      <c r="C2095" t="s">
        <v>136</v>
      </c>
      <c r="D2095" s="1" t="s">
        <v>803</v>
      </c>
      <c r="E2095" t="s">
        <v>89</v>
      </c>
      <c r="F2095" s="5" t="str">
        <f>HYPERLINK("http://www.otzar.org/book.asp?625357","מרבדי חן")</f>
        <v>מרבדי חן</v>
      </c>
    </row>
    <row r="2096" spans="1:6" x14ac:dyDescent="0.2">
      <c r="A2096" t="s">
        <v>4298</v>
      </c>
      <c r="B2096" t="s">
        <v>4281</v>
      </c>
      <c r="C2096" t="s">
        <v>13</v>
      </c>
      <c r="D2096" s="1" t="s">
        <v>9</v>
      </c>
      <c r="F2096" s="5" t="str">
        <f>HYPERLINK("http://www.otzar.org/book.asp?632826","מרבה חיים")</f>
        <v>מרבה חיים</v>
      </c>
    </row>
    <row r="2097" spans="1:6" x14ac:dyDescent="0.2">
      <c r="A2097" t="s">
        <v>4299</v>
      </c>
      <c r="B2097" t="s">
        <v>4300</v>
      </c>
      <c r="E2097" t="s">
        <v>214</v>
      </c>
      <c r="F2097" s="5" t="str">
        <f>HYPERLINK("http://www.otzar.org/book.asp?623505","מרבה ספרים מרבה חכמה")</f>
        <v>מרבה ספרים מרבה חכמה</v>
      </c>
    </row>
    <row r="2098" spans="1:6" x14ac:dyDescent="0.2">
      <c r="A2098" t="s">
        <v>4301</v>
      </c>
      <c r="B2098" t="s">
        <v>4302</v>
      </c>
      <c r="C2098" t="s">
        <v>92</v>
      </c>
      <c r="D2098" s="1" t="s">
        <v>14</v>
      </c>
      <c r="E2098" t="s">
        <v>49</v>
      </c>
      <c r="F2098" s="5" t="str">
        <f>HYPERLINK("http://www.otzar.org/book.asp?623683","מרגניתא דרבי מאיר")</f>
        <v>מרגניתא דרבי מאיר</v>
      </c>
    </row>
    <row r="2099" spans="1:6" x14ac:dyDescent="0.2">
      <c r="A2099" t="s">
        <v>4303</v>
      </c>
      <c r="B2099" t="s">
        <v>4304</v>
      </c>
      <c r="C2099" t="s">
        <v>354</v>
      </c>
      <c r="D2099" s="1" t="s">
        <v>48</v>
      </c>
      <c r="E2099" t="s">
        <v>371</v>
      </c>
      <c r="F2099" s="5" t="str">
        <f>HYPERLINK("http://www.otzar.org/book.asp?626501","מרדכי עמנואל נח")</f>
        <v>מרדכי עמנואל נח</v>
      </c>
    </row>
    <row r="2100" spans="1:6" x14ac:dyDescent="0.2">
      <c r="A2100" t="s">
        <v>4305</v>
      </c>
      <c r="B2100" t="s">
        <v>4306</v>
      </c>
      <c r="C2100" t="s">
        <v>206</v>
      </c>
      <c r="D2100" s="1" t="s">
        <v>14</v>
      </c>
      <c r="E2100" t="s">
        <v>37</v>
      </c>
      <c r="F2100" s="5" t="str">
        <f>HYPERLINK("http://www.otzar.org/book.asp?629315","מרכבו ארגמן")</f>
        <v>מרכבו ארגמן</v>
      </c>
    </row>
    <row r="2101" spans="1:6" x14ac:dyDescent="0.2">
      <c r="A2101" t="s">
        <v>4307</v>
      </c>
      <c r="B2101" t="s">
        <v>4308</v>
      </c>
      <c r="C2101" t="s">
        <v>40</v>
      </c>
      <c r="D2101" s="1" t="s">
        <v>64</v>
      </c>
      <c r="E2101" t="s">
        <v>168</v>
      </c>
      <c r="F2101" s="5" t="str">
        <f>HYPERLINK("http://www.otzar.org/book.asp?622640","מרכבות ארגמן &lt;תורה&gt; - בראשית")</f>
        <v>מרכבות ארגמן &lt;תורה&gt; - בראשית</v>
      </c>
    </row>
    <row r="2102" spans="1:6" x14ac:dyDescent="0.2">
      <c r="A2102" t="s">
        <v>4309</v>
      </c>
      <c r="B2102" t="s">
        <v>4308</v>
      </c>
      <c r="C2102" t="s">
        <v>13</v>
      </c>
      <c r="D2102" s="1" t="s">
        <v>64</v>
      </c>
      <c r="E2102" t="s">
        <v>41</v>
      </c>
      <c r="F2102" s="5" t="str">
        <f>HYPERLINK("http://www.otzar.org/book.asp?628109","מרכבות ארגמן - 2 כר'")</f>
        <v>מרכבות ארגמן - 2 כר'</v>
      </c>
    </row>
    <row r="2103" spans="1:6" x14ac:dyDescent="0.2">
      <c r="A2103" t="s">
        <v>4310</v>
      </c>
      <c r="B2103" t="s">
        <v>1817</v>
      </c>
      <c r="C2103" t="s">
        <v>334</v>
      </c>
      <c r="D2103" s="1" t="s">
        <v>1295</v>
      </c>
      <c r="E2103" t="s">
        <v>10</v>
      </c>
      <c r="F2103" s="5" t="str">
        <f>HYPERLINK("http://www.otzar.org/book.asp?623795","מרכבת אליהו")</f>
        <v>מרכבת אליהו</v>
      </c>
    </row>
    <row r="2104" spans="1:6" x14ac:dyDescent="0.2">
      <c r="A2104" t="s">
        <v>4311</v>
      </c>
      <c r="C2104" t="s">
        <v>1602</v>
      </c>
      <c r="D2104" s="1" t="s">
        <v>9</v>
      </c>
      <c r="E2104" t="s">
        <v>371</v>
      </c>
      <c r="F2104" s="5" t="str">
        <f>HYPERLINK("http://www.otzar.org/book.asp?624699","מרן הגאון רבי אהרן קוטלר")</f>
        <v>מרן הגאון רבי אהרן קוטלר</v>
      </c>
    </row>
    <row r="2105" spans="1:6" x14ac:dyDescent="0.2">
      <c r="A2105" t="s">
        <v>4312</v>
      </c>
      <c r="B2105" t="s">
        <v>4313</v>
      </c>
      <c r="C2105" t="s">
        <v>13</v>
      </c>
      <c r="D2105" s="1" t="s">
        <v>52</v>
      </c>
      <c r="E2105" t="s">
        <v>34</v>
      </c>
      <c r="F2105" s="5" t="str">
        <f>HYPERLINK("http://www.otzar.org/book.asp?630291","מרעה טוב")</f>
        <v>מרעה טוב</v>
      </c>
    </row>
    <row r="2106" spans="1:6" x14ac:dyDescent="0.2">
      <c r="A2106" t="s">
        <v>4314</v>
      </c>
      <c r="B2106" t="s">
        <v>4315</v>
      </c>
      <c r="C2106" t="s">
        <v>20</v>
      </c>
      <c r="D2106" s="1" t="s">
        <v>52</v>
      </c>
      <c r="E2106" t="s">
        <v>731</v>
      </c>
      <c r="F2106" s="5" t="str">
        <f>HYPERLINK("http://www.otzar.org/book.asp?628059","מרפא לנפש - 2 כר'")</f>
        <v>מרפא לנפש - 2 כר'</v>
      </c>
    </row>
    <row r="2107" spans="1:6" x14ac:dyDescent="0.2">
      <c r="A2107" t="s">
        <v>4316</v>
      </c>
      <c r="B2107" t="s">
        <v>4317</v>
      </c>
      <c r="C2107" t="s">
        <v>4318</v>
      </c>
      <c r="D2107" s="1" t="s">
        <v>4319</v>
      </c>
      <c r="F2107" s="5" t="str">
        <f>HYPERLINK("http://www.otzar.org/book.asp?626416","מרפא לעצם")</f>
        <v>מרפא לעצם</v>
      </c>
    </row>
    <row r="2108" spans="1:6" x14ac:dyDescent="0.2">
      <c r="A2108" t="s">
        <v>4320</v>
      </c>
      <c r="B2108" t="s">
        <v>4321</v>
      </c>
      <c r="C2108" t="s">
        <v>1105</v>
      </c>
      <c r="D2108" s="1" t="s">
        <v>9</v>
      </c>
      <c r="E2108" t="s">
        <v>37</v>
      </c>
      <c r="F2108" s="5" t="str">
        <f>HYPERLINK("http://www.otzar.org/book.asp?624504","מרפא לשון - ג")</f>
        <v>מרפא לשון - ג</v>
      </c>
    </row>
    <row r="2109" spans="1:6" x14ac:dyDescent="0.2">
      <c r="A2109" t="s">
        <v>4322</v>
      </c>
      <c r="B2109" t="s">
        <v>4323</v>
      </c>
      <c r="C2109" t="s">
        <v>383</v>
      </c>
      <c r="D2109" s="1" t="s">
        <v>14</v>
      </c>
      <c r="E2109" t="s">
        <v>61</v>
      </c>
      <c r="F2109" s="5" t="str">
        <f>HYPERLINK("http://www.otzar.org/book.asp?630808","משא המלך - או""ח סימנים קנ""ח-ר""מ")</f>
        <v>משא המלך - או"ח סימנים קנ"ח-ר"מ</v>
      </c>
    </row>
    <row r="2110" spans="1:6" x14ac:dyDescent="0.2">
      <c r="A2110" t="s">
        <v>4324</v>
      </c>
      <c r="B2110" t="s">
        <v>4325</v>
      </c>
      <c r="C2110" t="s">
        <v>3164</v>
      </c>
      <c r="D2110" s="1" t="s">
        <v>537</v>
      </c>
      <c r="E2110" t="s">
        <v>1745</v>
      </c>
      <c r="F2110" s="5" t="str">
        <f>HYPERLINK("http://www.otzar.org/book.asp?624654","משא יהודה")</f>
        <v>משא יהודה</v>
      </c>
    </row>
    <row r="2111" spans="1:6" x14ac:dyDescent="0.2">
      <c r="A2111" t="s">
        <v>4326</v>
      </c>
      <c r="B2111" t="s">
        <v>4327</v>
      </c>
      <c r="C2111" t="s">
        <v>13</v>
      </c>
      <c r="D2111" s="1" t="s">
        <v>64</v>
      </c>
      <c r="E2111" t="s">
        <v>836</v>
      </c>
      <c r="F2111" s="5" t="str">
        <f>HYPERLINK("http://www.otzar.org/book.asp?627222","משאת אברהם - 2 כר'")</f>
        <v>משאת אברהם - 2 כר'</v>
      </c>
    </row>
    <row r="2112" spans="1:6" x14ac:dyDescent="0.2">
      <c r="A2112" t="s">
        <v>4328</v>
      </c>
      <c r="B2112" t="s">
        <v>4329</v>
      </c>
      <c r="C2112" t="s">
        <v>20</v>
      </c>
      <c r="D2112" s="1" t="s">
        <v>14</v>
      </c>
      <c r="E2112" t="s">
        <v>22</v>
      </c>
      <c r="F2112" s="5" t="str">
        <f>HYPERLINK("http://www.otzar.org/book.asp?627854","משאת אחי - שבת, ביצה")</f>
        <v>משאת אחי - שבת, ביצה</v>
      </c>
    </row>
    <row r="2113" spans="1:6" x14ac:dyDescent="0.2">
      <c r="A2113" t="s">
        <v>4330</v>
      </c>
      <c r="B2113" t="s">
        <v>4331</v>
      </c>
      <c r="C2113" t="s">
        <v>136</v>
      </c>
      <c r="D2113" s="1" t="s">
        <v>9</v>
      </c>
      <c r="E2113" t="s">
        <v>41</v>
      </c>
      <c r="F2113" s="5" t="str">
        <f>HYPERLINK("http://www.otzar.org/book.asp?628809","משאת בנימין &lt;זכרון אהרן מהדורה מתוקנת&gt;")</f>
        <v>משאת בנימין &lt;זכרון אהרן מהדורה מתוקנת&gt;</v>
      </c>
    </row>
    <row r="2114" spans="1:6" x14ac:dyDescent="0.2">
      <c r="A2114" t="s">
        <v>4332</v>
      </c>
      <c r="B2114" t="s">
        <v>84</v>
      </c>
      <c r="C2114" t="s">
        <v>133</v>
      </c>
      <c r="D2114" s="1" t="s">
        <v>14</v>
      </c>
      <c r="E2114" t="s">
        <v>154</v>
      </c>
      <c r="F2114" s="5" t="str">
        <f>HYPERLINK("http://www.otzar.org/book.asp?626203","משאת וארוחה")</f>
        <v>משאת וארוחה</v>
      </c>
    </row>
    <row r="2115" spans="1:6" x14ac:dyDescent="0.2">
      <c r="A2115" t="s">
        <v>4333</v>
      </c>
      <c r="B2115" t="s">
        <v>194</v>
      </c>
      <c r="C2115" t="s">
        <v>13</v>
      </c>
      <c r="D2115" s="1" t="s">
        <v>29</v>
      </c>
      <c r="E2115" t="s">
        <v>295</v>
      </c>
      <c r="F2115" s="5" t="str">
        <f>HYPERLINK("http://www.otzar.org/book.asp?627264","משאת כפי - יא")</f>
        <v>משאת כפי - יא</v>
      </c>
    </row>
    <row r="2116" spans="1:6" x14ac:dyDescent="0.2">
      <c r="A2116" t="s">
        <v>4334</v>
      </c>
      <c r="B2116" t="s">
        <v>4335</v>
      </c>
      <c r="C2116" t="s">
        <v>463</v>
      </c>
      <c r="D2116" s="1" t="s">
        <v>29</v>
      </c>
      <c r="E2116" t="s">
        <v>1616</v>
      </c>
      <c r="F2116" s="5" t="str">
        <f>HYPERLINK("http://www.otzar.org/book.asp?613447","משאת לוי")</f>
        <v>משאת לוי</v>
      </c>
    </row>
    <row r="2117" spans="1:6" x14ac:dyDescent="0.2">
      <c r="A2117" t="s">
        <v>4336</v>
      </c>
      <c r="B2117" t="s">
        <v>4337</v>
      </c>
      <c r="C2117" t="s">
        <v>307</v>
      </c>
      <c r="D2117" s="1" t="s">
        <v>52</v>
      </c>
      <c r="E2117" t="s">
        <v>37</v>
      </c>
      <c r="F2117" s="5" t="str">
        <f>HYPERLINK("http://www.otzar.org/book.asp?630131","משביר בר")</f>
        <v>משביר בר</v>
      </c>
    </row>
    <row r="2118" spans="1:6" x14ac:dyDescent="0.2">
      <c r="A2118" t="s">
        <v>4338</v>
      </c>
      <c r="B2118" t="s">
        <v>4337</v>
      </c>
      <c r="C2118" t="s">
        <v>307</v>
      </c>
      <c r="D2118" s="1" t="s">
        <v>52</v>
      </c>
      <c r="E2118" t="s">
        <v>37</v>
      </c>
      <c r="F2118" s="5" t="str">
        <f>HYPERLINK("http://www.otzar.org/book.asp?630527","משביר ברכה")</f>
        <v>משביר ברכה</v>
      </c>
    </row>
    <row r="2119" spans="1:6" x14ac:dyDescent="0.2">
      <c r="A2119" t="s">
        <v>4339</v>
      </c>
      <c r="B2119" t="s">
        <v>4337</v>
      </c>
      <c r="C2119" t="s">
        <v>8</v>
      </c>
      <c r="D2119" s="1" t="s">
        <v>14</v>
      </c>
      <c r="E2119" t="s">
        <v>10</v>
      </c>
      <c r="F2119" s="5" t="str">
        <f>HYPERLINK("http://www.otzar.org/book.asp?630814","משביר זרע - שביעית")</f>
        <v>משביר זרע - שביעית</v>
      </c>
    </row>
    <row r="2120" spans="1:6" x14ac:dyDescent="0.2">
      <c r="A2120" t="s">
        <v>4340</v>
      </c>
      <c r="B2120" t="s">
        <v>4341</v>
      </c>
      <c r="C2120" t="s">
        <v>190</v>
      </c>
      <c r="D2120" s="1" t="s">
        <v>29</v>
      </c>
      <c r="E2120" t="s">
        <v>61</v>
      </c>
      <c r="F2120" s="5" t="str">
        <f>HYPERLINK("http://www.otzar.org/book.asp?627687","משבצות חיים - 4 כר'")</f>
        <v>משבצות חיים - 4 כר'</v>
      </c>
    </row>
    <row r="2121" spans="1:6" x14ac:dyDescent="0.2">
      <c r="A2121" t="s">
        <v>4342</v>
      </c>
      <c r="B2121" t="s">
        <v>4343</v>
      </c>
      <c r="C2121" t="s">
        <v>13</v>
      </c>
      <c r="D2121" s="1" t="s">
        <v>64</v>
      </c>
      <c r="E2121" t="s">
        <v>121</v>
      </c>
      <c r="F2121" s="5" t="str">
        <f>HYPERLINK("http://www.otzar.org/book.asp?630306","משה רבנו אדון הנביאים")</f>
        <v>משה רבנו אדון הנביאים</v>
      </c>
    </row>
    <row r="2122" spans="1:6" x14ac:dyDescent="0.2">
      <c r="A2122" t="s">
        <v>4344</v>
      </c>
      <c r="B2122" t="s">
        <v>393</v>
      </c>
      <c r="C2122" t="s">
        <v>119</v>
      </c>
      <c r="D2122" s="1" t="s">
        <v>394</v>
      </c>
      <c r="E2122" t="s">
        <v>295</v>
      </c>
      <c r="F2122" s="5" t="str">
        <f>HYPERLINK("http://www.otzar.org/book.asp?624596","משוש כל הארץ")</f>
        <v>משוש כל הארץ</v>
      </c>
    </row>
    <row r="2123" spans="1:6" x14ac:dyDescent="0.2">
      <c r="A2123" t="s">
        <v>4345</v>
      </c>
      <c r="B2123" t="s">
        <v>4346</v>
      </c>
      <c r="C2123" t="s">
        <v>3394</v>
      </c>
      <c r="D2123" s="1" t="s">
        <v>4347</v>
      </c>
      <c r="E2123" t="s">
        <v>295</v>
      </c>
      <c r="F2123" s="5" t="str">
        <f>HYPERLINK("http://www.otzar.org/book.asp?627077","משיב נפש")</f>
        <v>משיב נפש</v>
      </c>
    </row>
    <row r="2124" spans="1:6" x14ac:dyDescent="0.2">
      <c r="A2124" t="s">
        <v>4348</v>
      </c>
      <c r="B2124" t="s">
        <v>4349</v>
      </c>
      <c r="C2124" t="s">
        <v>136</v>
      </c>
      <c r="D2124" s="1" t="s">
        <v>14</v>
      </c>
      <c r="E2124" t="s">
        <v>37</v>
      </c>
      <c r="F2124" s="5" t="str">
        <f>HYPERLINK("http://www.otzar.org/book.asp?623287","משיעורי הגרב""צ פלמן -ג הפרשת תרו""מ")</f>
        <v>משיעורי הגרב"צ פלמן -ג הפרשת תרו"מ</v>
      </c>
    </row>
    <row r="2125" spans="1:6" x14ac:dyDescent="0.2">
      <c r="A2125" t="s">
        <v>4350</v>
      </c>
      <c r="B2125" t="s">
        <v>4351</v>
      </c>
      <c r="C2125" t="s">
        <v>13</v>
      </c>
      <c r="D2125" s="1" t="s">
        <v>1341</v>
      </c>
      <c r="E2125" t="s">
        <v>4352</v>
      </c>
      <c r="F2125" s="5" t="str">
        <f>HYPERLINK("http://www.otzar.org/book.asp?630367","משכיל לאיתן - א")</f>
        <v>משכיל לאיתן - א</v>
      </c>
    </row>
    <row r="2126" spans="1:6" x14ac:dyDescent="0.2">
      <c r="A2126" t="s">
        <v>4353</v>
      </c>
      <c r="B2126" t="s">
        <v>4354</v>
      </c>
      <c r="C2126" t="s">
        <v>13</v>
      </c>
      <c r="D2126" s="1" t="s">
        <v>1364</v>
      </c>
      <c r="E2126" t="s">
        <v>22</v>
      </c>
      <c r="F2126" s="5" t="str">
        <f>HYPERLINK("http://www.otzar.org/book.asp?627836","משכיל לאסף - 2 כר'")</f>
        <v>משכיל לאסף - 2 כר'</v>
      </c>
    </row>
    <row r="2127" spans="1:6" x14ac:dyDescent="0.2">
      <c r="A2127" t="s">
        <v>4355</v>
      </c>
      <c r="B2127" t="s">
        <v>4356</v>
      </c>
      <c r="C2127" t="s">
        <v>133</v>
      </c>
      <c r="D2127" s="1" t="s">
        <v>9</v>
      </c>
      <c r="E2127" t="s">
        <v>214</v>
      </c>
      <c r="F2127" s="5" t="str">
        <f>HYPERLINK("http://www.otzar.org/book.asp?629138","משכיל לאסף")</f>
        <v>משכיל לאסף</v>
      </c>
    </row>
    <row r="2128" spans="1:6" x14ac:dyDescent="0.2">
      <c r="A2128" t="s">
        <v>4355</v>
      </c>
      <c r="B2128" t="s">
        <v>3822</v>
      </c>
      <c r="C2128" t="s">
        <v>20</v>
      </c>
      <c r="D2128" s="1" t="s">
        <v>1280</v>
      </c>
      <c r="E2128" t="s">
        <v>49</v>
      </c>
      <c r="F2128" s="5" t="str">
        <f>HYPERLINK("http://www.otzar.org/book.asp?624666","משכיל לאסף")</f>
        <v>משכיל לאסף</v>
      </c>
    </row>
    <row r="2129" spans="1:6" x14ac:dyDescent="0.2">
      <c r="A2129" t="s">
        <v>4357</v>
      </c>
      <c r="B2129" t="s">
        <v>651</v>
      </c>
      <c r="C2129" t="s">
        <v>190</v>
      </c>
      <c r="D2129" s="1" t="s">
        <v>229</v>
      </c>
      <c r="E2129" t="s">
        <v>168</v>
      </c>
      <c r="F2129" s="5" t="str">
        <f>HYPERLINK("http://www.otzar.org/book.asp?625619","משכיל לדוד - 2 כר'")</f>
        <v>משכיל לדוד - 2 כר'</v>
      </c>
    </row>
    <row r="2130" spans="1:6" x14ac:dyDescent="0.2">
      <c r="A2130" t="s">
        <v>4358</v>
      </c>
      <c r="B2130" t="s">
        <v>4359</v>
      </c>
      <c r="C2130" t="s">
        <v>133</v>
      </c>
      <c r="D2130" s="1" t="s">
        <v>4360</v>
      </c>
      <c r="E2130" t="s">
        <v>22</v>
      </c>
      <c r="F2130" s="5" t="str">
        <f>HYPERLINK("http://www.otzar.org/book.asp?628757","משכן אהרן - סוכה")</f>
        <v>משכן אהרן - סוכה</v>
      </c>
    </row>
    <row r="2131" spans="1:6" x14ac:dyDescent="0.2">
      <c r="A2131" t="s">
        <v>4361</v>
      </c>
      <c r="B2131" t="s">
        <v>4362</v>
      </c>
      <c r="C2131" t="s">
        <v>13</v>
      </c>
      <c r="D2131" s="1" t="s">
        <v>52</v>
      </c>
      <c r="F2131" s="5" t="str">
        <f>HYPERLINK("http://www.otzar.org/book.asp?631401","משכן גבריאל - שבת ג")</f>
        <v>משכן גבריאל - שבת ג</v>
      </c>
    </row>
    <row r="2132" spans="1:6" x14ac:dyDescent="0.2">
      <c r="A2132" t="s">
        <v>4363</v>
      </c>
      <c r="B2132" t="s">
        <v>4364</v>
      </c>
      <c r="C2132" t="s">
        <v>136</v>
      </c>
      <c r="D2132" s="1" t="s">
        <v>1257</v>
      </c>
      <c r="E2132" t="s">
        <v>168</v>
      </c>
      <c r="F2132" s="5" t="str">
        <f>HYPERLINK("http://www.otzar.org/book.asp?625893","משכן הראל")</f>
        <v>משכן הראל</v>
      </c>
    </row>
    <row r="2133" spans="1:6" x14ac:dyDescent="0.2">
      <c r="A2133" t="s">
        <v>4365</v>
      </c>
      <c r="B2133" t="s">
        <v>3448</v>
      </c>
      <c r="C2133" t="s">
        <v>136</v>
      </c>
      <c r="D2133" s="1" t="s">
        <v>4366</v>
      </c>
      <c r="E2133" t="s">
        <v>30</v>
      </c>
      <c r="F2133" s="5" t="str">
        <f>HYPERLINK("http://www.otzar.org/book.asp?630308","משכן וכליו ע""פ חסידות")</f>
        <v>משכן וכליו ע"פ חסידות</v>
      </c>
    </row>
    <row r="2134" spans="1:6" x14ac:dyDescent="0.2">
      <c r="A2134" t="s">
        <v>4367</v>
      </c>
      <c r="B2134" t="s">
        <v>4368</v>
      </c>
      <c r="C2134" t="s">
        <v>397</v>
      </c>
      <c r="D2134" s="1" t="s">
        <v>9</v>
      </c>
      <c r="E2134" t="s">
        <v>41</v>
      </c>
      <c r="F2134" s="5" t="str">
        <f>HYPERLINK("http://www.otzar.org/book.asp?627562","משכן שלום - 2 כר'")</f>
        <v>משכן שלום - 2 כר'</v>
      </c>
    </row>
    <row r="2135" spans="1:6" x14ac:dyDescent="0.2">
      <c r="A2135" t="s">
        <v>4369</v>
      </c>
      <c r="B2135" t="s">
        <v>4370</v>
      </c>
      <c r="C2135" t="s">
        <v>13</v>
      </c>
      <c r="D2135" s="1" t="s">
        <v>9</v>
      </c>
      <c r="E2135" t="s">
        <v>214</v>
      </c>
      <c r="F2135" s="5" t="str">
        <f>HYPERLINK("http://www.otzar.org/book.asp?627254","משכן שלום - הלכות שמחות")</f>
        <v>משכן שלום - הלכות שמחות</v>
      </c>
    </row>
    <row r="2136" spans="1:6" x14ac:dyDescent="0.2">
      <c r="A2136" t="s">
        <v>4371</v>
      </c>
      <c r="B2136" t="s">
        <v>4372</v>
      </c>
      <c r="C2136" t="s">
        <v>639</v>
      </c>
      <c r="D2136" s="1" t="s">
        <v>9</v>
      </c>
      <c r="E2136" t="s">
        <v>108</v>
      </c>
      <c r="F2136" s="5" t="str">
        <f>HYPERLINK("http://www.otzar.org/book.asp?627817","משכנות ידידיה - ד")</f>
        <v>משכנות ידידיה - ד</v>
      </c>
    </row>
    <row r="2137" spans="1:6" x14ac:dyDescent="0.2">
      <c r="A2137" t="s">
        <v>4373</v>
      </c>
      <c r="B2137" t="s">
        <v>94</v>
      </c>
      <c r="C2137" t="s">
        <v>8</v>
      </c>
      <c r="D2137" s="1" t="s">
        <v>52</v>
      </c>
      <c r="E2137" t="s">
        <v>34</v>
      </c>
      <c r="F2137" s="5" t="str">
        <f>HYPERLINK("http://www.otzar.org/book.asp?630089","משכני אחריך")</f>
        <v>משכני אחריך</v>
      </c>
    </row>
    <row r="2138" spans="1:6" x14ac:dyDescent="0.2">
      <c r="A2138" t="s">
        <v>4374</v>
      </c>
      <c r="B2138" t="s">
        <v>4375</v>
      </c>
      <c r="C2138" t="s">
        <v>8</v>
      </c>
      <c r="D2138" s="1" t="s">
        <v>9</v>
      </c>
      <c r="E2138" t="s">
        <v>22</v>
      </c>
      <c r="F2138" s="5" t="str">
        <f>HYPERLINK("http://www.otzar.org/book.asp?623213","משל סופרים - שכירות")</f>
        <v>משל סופרים - שכירות</v>
      </c>
    </row>
    <row r="2139" spans="1:6" x14ac:dyDescent="0.2">
      <c r="A2139" t="s">
        <v>4376</v>
      </c>
      <c r="B2139" t="s">
        <v>4377</v>
      </c>
      <c r="C2139" t="s">
        <v>13</v>
      </c>
      <c r="D2139" s="1" t="s">
        <v>9</v>
      </c>
      <c r="E2139" t="s">
        <v>37</v>
      </c>
      <c r="F2139" s="5" t="str">
        <f>HYPERLINK("http://www.otzar.org/book.asp?624838","משלחן יהודה")</f>
        <v>משלחן יהודה</v>
      </c>
    </row>
    <row r="2140" spans="1:6" x14ac:dyDescent="0.2">
      <c r="A2140" t="s">
        <v>4378</v>
      </c>
      <c r="B2140" t="s">
        <v>2049</v>
      </c>
      <c r="C2140" t="s">
        <v>25</v>
      </c>
      <c r="D2140" s="1" t="s">
        <v>21</v>
      </c>
      <c r="F2140" s="5" t="str">
        <f>HYPERLINK("http://www.otzar.org/book.asp?631227","משמרת הבית - בישולי עכו""ם וחלב עכו""ם, יין נסך")</f>
        <v>משמרת הבית - בישולי עכו"ם וחלב עכו"ם, יין נסך</v>
      </c>
    </row>
    <row r="2141" spans="1:6" x14ac:dyDescent="0.2">
      <c r="A2141" t="s">
        <v>4379</v>
      </c>
      <c r="B2141" t="s">
        <v>4380</v>
      </c>
      <c r="C2141" t="s">
        <v>20</v>
      </c>
      <c r="D2141" s="1" t="s">
        <v>21</v>
      </c>
      <c r="E2141" t="s">
        <v>242</v>
      </c>
      <c r="F2141" s="5" t="str">
        <f>HYPERLINK("http://www.otzar.org/book.asp?627029","משמרת הזמנים")</f>
        <v>משמרת הזמנים</v>
      </c>
    </row>
    <row r="2142" spans="1:6" x14ac:dyDescent="0.2">
      <c r="A2142" t="s">
        <v>4381</v>
      </c>
      <c r="B2142" t="s">
        <v>1774</v>
      </c>
      <c r="C2142" t="s">
        <v>8</v>
      </c>
      <c r="D2142" s="1" t="s">
        <v>14</v>
      </c>
      <c r="E2142" t="s">
        <v>22</v>
      </c>
      <c r="F2142" s="5" t="str">
        <f>HYPERLINK("http://www.otzar.org/book.asp?627453","משמרת הקדש")</f>
        <v>משמרת הקדש</v>
      </c>
    </row>
    <row r="2143" spans="1:6" x14ac:dyDescent="0.2">
      <c r="A2143" t="s">
        <v>4382</v>
      </c>
      <c r="B2143" t="s">
        <v>1774</v>
      </c>
      <c r="C2143" t="s">
        <v>40</v>
      </c>
      <c r="D2143" s="1" t="s">
        <v>14</v>
      </c>
      <c r="E2143" t="s">
        <v>199</v>
      </c>
      <c r="F2143" s="5" t="str">
        <f>HYPERLINK("http://www.otzar.org/book.asp?628755","משמרת הקודש - הלכות תערובות")</f>
        <v>משמרת הקודש - הלכות תערובות</v>
      </c>
    </row>
    <row r="2144" spans="1:6" x14ac:dyDescent="0.2">
      <c r="A2144" t="s">
        <v>4383</v>
      </c>
      <c r="B2144" t="s">
        <v>4384</v>
      </c>
      <c r="C2144" t="s">
        <v>13</v>
      </c>
      <c r="D2144" s="1" t="s">
        <v>9</v>
      </c>
      <c r="E2144" t="s">
        <v>4385</v>
      </c>
      <c r="F2144" s="5" t="str">
        <f>HYPERLINK("http://www.otzar.org/book.asp?630643","משמרת כהן - 8 כר'")</f>
        <v>משמרת כהן - 8 כר'</v>
      </c>
    </row>
    <row r="2145" spans="1:6" x14ac:dyDescent="0.2">
      <c r="A2145" t="s">
        <v>4386</v>
      </c>
      <c r="B2145" t="s">
        <v>4387</v>
      </c>
      <c r="C2145" t="s">
        <v>73</v>
      </c>
      <c r="D2145" s="1" t="s">
        <v>14</v>
      </c>
      <c r="E2145" t="s">
        <v>34</v>
      </c>
      <c r="F2145" s="5" t="str">
        <f>HYPERLINK("http://www.otzar.org/book.asp?628018","משמרת לתורה")</f>
        <v>משמרת לתורה</v>
      </c>
    </row>
    <row r="2146" spans="1:6" x14ac:dyDescent="0.2">
      <c r="A2146" t="s">
        <v>4388</v>
      </c>
      <c r="B2146" t="s">
        <v>4389</v>
      </c>
      <c r="C2146" t="s">
        <v>20</v>
      </c>
      <c r="D2146" s="1" t="s">
        <v>9</v>
      </c>
      <c r="F2146" s="5" t="str">
        <f>HYPERLINK("http://www.otzar.org/book.asp?632618","משנה ברורה &lt;מאורות&gt; - א")</f>
        <v>משנה ברורה &lt;מאורות&gt; - א</v>
      </c>
    </row>
    <row r="2147" spans="1:6" x14ac:dyDescent="0.2">
      <c r="A2147" t="s">
        <v>4390</v>
      </c>
      <c r="B2147" t="s">
        <v>4391</v>
      </c>
      <c r="C2147" t="s">
        <v>20</v>
      </c>
      <c r="D2147" s="1" t="s">
        <v>64</v>
      </c>
      <c r="F2147" s="5" t="str">
        <f>HYPERLINK("http://www.otzar.org/book.asp?633167","משנה ברורה &lt;אור המזרח&gt; - ב")</f>
        <v>משנה ברורה &lt;אור המזרח&gt; - ב</v>
      </c>
    </row>
    <row r="2148" spans="1:6" x14ac:dyDescent="0.2">
      <c r="A2148" t="s">
        <v>4392</v>
      </c>
      <c r="B2148" t="s">
        <v>1772</v>
      </c>
      <c r="C2148" t="s">
        <v>13</v>
      </c>
      <c r="D2148" s="1" t="s">
        <v>29</v>
      </c>
      <c r="E2148" t="s">
        <v>61</v>
      </c>
      <c r="F2148" s="5" t="str">
        <f>HYPERLINK("http://www.otzar.org/book.asp?626493","משנה ברורה &lt;משנה אחרונה&gt; - 2 כר'")</f>
        <v>משנה ברורה &lt;משנה אחרונה&gt; - 2 כר'</v>
      </c>
    </row>
    <row r="2149" spans="1:6" x14ac:dyDescent="0.2">
      <c r="A2149" t="s">
        <v>4393</v>
      </c>
      <c r="B2149" t="s">
        <v>4394</v>
      </c>
      <c r="C2149" t="s">
        <v>13</v>
      </c>
      <c r="D2149" s="1" t="s">
        <v>9</v>
      </c>
      <c r="E2149" t="s">
        <v>37</v>
      </c>
      <c r="F2149" s="5" t="str">
        <f>HYPERLINK("http://www.otzar.org/book.asp?630772","משנה כסף על הרמב""ם")</f>
        <v>משנה כסף על הרמב"ם</v>
      </c>
    </row>
    <row r="2150" spans="1:6" x14ac:dyDescent="0.2">
      <c r="A2150" t="s">
        <v>4395</v>
      </c>
      <c r="B2150" t="s">
        <v>4396</v>
      </c>
      <c r="C2150" t="s">
        <v>386</v>
      </c>
      <c r="D2150" s="1" t="s">
        <v>29</v>
      </c>
      <c r="E2150" t="s">
        <v>37</v>
      </c>
      <c r="F2150" s="5" t="str">
        <f>HYPERLINK("http://www.otzar.org/book.asp?628687","משנה לחם")</f>
        <v>משנה לחם</v>
      </c>
    </row>
    <row r="2151" spans="1:6" x14ac:dyDescent="0.2">
      <c r="A2151" t="s">
        <v>4397</v>
      </c>
      <c r="B2151" t="s">
        <v>4398</v>
      </c>
      <c r="C2151" t="s">
        <v>8</v>
      </c>
      <c r="D2151" s="1" t="s">
        <v>52</v>
      </c>
      <c r="E2151" t="s">
        <v>10</v>
      </c>
      <c r="F2151" s="5" t="str">
        <f>HYPERLINK("http://www.otzar.org/book.asp?629854","משנה שלמה - 8 כר'")</f>
        <v>משנה שלמה - 8 כר'</v>
      </c>
    </row>
    <row r="2152" spans="1:6" x14ac:dyDescent="0.2">
      <c r="A2152" t="s">
        <v>4399</v>
      </c>
      <c r="B2152" t="s">
        <v>4400</v>
      </c>
      <c r="C2152">
        <v>1927</v>
      </c>
      <c r="D2152" s="1" t="s">
        <v>618</v>
      </c>
      <c r="F2152" s="5" t="str">
        <f>HYPERLINK("http://www.otzar.org/book.asp?630733","משניות מסכת ברכות עם תרגום הולנדית ועם הערות")</f>
        <v>משניות מסכת ברכות עם תרגום הולנדית ועם הערות</v>
      </c>
    </row>
    <row r="2153" spans="1:6" x14ac:dyDescent="0.2">
      <c r="A2153" t="s">
        <v>4401</v>
      </c>
      <c r="B2153" t="s">
        <v>4402</v>
      </c>
      <c r="C2153" t="s">
        <v>40</v>
      </c>
      <c r="D2153" s="1" t="s">
        <v>9</v>
      </c>
      <c r="E2153" t="s">
        <v>10</v>
      </c>
      <c r="F2153" s="5" t="str">
        <f>HYPERLINK("http://www.otzar.org/book.asp?622644","משניות עם ביאור מים טהורים - פרה")</f>
        <v>משניות עם ביאור מים טהורים - פרה</v>
      </c>
    </row>
    <row r="2154" spans="1:6" x14ac:dyDescent="0.2">
      <c r="A2154" t="s">
        <v>4403</v>
      </c>
      <c r="B2154" t="s">
        <v>4404</v>
      </c>
      <c r="C2154" t="s">
        <v>20</v>
      </c>
      <c r="D2154" s="1" t="s">
        <v>864</v>
      </c>
      <c r="E2154" t="s">
        <v>199</v>
      </c>
      <c r="F2154" s="5" t="str">
        <f>HYPERLINK("http://www.otzar.org/book.asp?629302","משנת אליעזר - 3 כר'")</f>
        <v>משנת אליעזר - 3 כר'</v>
      </c>
    </row>
    <row r="2155" spans="1:6" x14ac:dyDescent="0.2">
      <c r="A2155" t="s">
        <v>4405</v>
      </c>
      <c r="B2155" t="s">
        <v>4406</v>
      </c>
      <c r="C2155" t="s">
        <v>40</v>
      </c>
      <c r="D2155" s="1" t="s">
        <v>14</v>
      </c>
      <c r="E2155" t="s">
        <v>22</v>
      </c>
      <c r="F2155" s="5" t="str">
        <f>HYPERLINK("http://www.otzar.org/book.asp?630444","משנת בבא מציעא")</f>
        <v>משנת בבא מציעא</v>
      </c>
    </row>
    <row r="2156" spans="1:6" x14ac:dyDescent="0.2">
      <c r="A2156" t="s">
        <v>4407</v>
      </c>
      <c r="B2156" t="s">
        <v>4408</v>
      </c>
      <c r="C2156" t="s">
        <v>73</v>
      </c>
      <c r="D2156" s="1" t="s">
        <v>9</v>
      </c>
      <c r="E2156" t="s">
        <v>22</v>
      </c>
      <c r="F2156" s="5" t="str">
        <f>HYPERLINK("http://www.otzar.org/book.asp?623733","משנת ברוך - 3 כר'")</f>
        <v>משנת ברוך - 3 כר'</v>
      </c>
    </row>
    <row r="2157" spans="1:6" x14ac:dyDescent="0.2">
      <c r="A2157" t="s">
        <v>4409</v>
      </c>
      <c r="B2157" t="s">
        <v>4410</v>
      </c>
      <c r="C2157" t="s">
        <v>13</v>
      </c>
      <c r="D2157" s="1" t="s">
        <v>9</v>
      </c>
      <c r="E2157" t="s">
        <v>22</v>
      </c>
      <c r="F2157" s="5" t="str">
        <f>HYPERLINK("http://www.otzar.org/book.asp?626243","משנת הבכורה")</f>
        <v>משנת הבכורה</v>
      </c>
    </row>
    <row r="2158" spans="1:6" x14ac:dyDescent="0.2">
      <c r="A2158" t="s">
        <v>4411</v>
      </c>
      <c r="B2158" t="s">
        <v>4412</v>
      </c>
      <c r="C2158" t="s">
        <v>73</v>
      </c>
      <c r="D2158" s="1" t="s">
        <v>4053</v>
      </c>
      <c r="E2158" t="s">
        <v>26</v>
      </c>
      <c r="F2158" s="5" t="str">
        <f>HYPERLINK("http://www.otzar.org/book.asp?630034","משנת הגזילה")</f>
        <v>משנת הגזילה</v>
      </c>
    </row>
    <row r="2159" spans="1:6" x14ac:dyDescent="0.2">
      <c r="A2159" t="s">
        <v>4413</v>
      </c>
      <c r="B2159" t="s">
        <v>4412</v>
      </c>
      <c r="C2159" t="s">
        <v>8</v>
      </c>
      <c r="D2159" s="1" t="s">
        <v>4053</v>
      </c>
      <c r="E2159" t="s">
        <v>26</v>
      </c>
      <c r="F2159" s="5" t="str">
        <f>HYPERLINK("http://www.otzar.org/book.asp?630035","משנת החזקה")</f>
        <v>משנת החזקה</v>
      </c>
    </row>
    <row r="2160" spans="1:6" x14ac:dyDescent="0.2">
      <c r="A2160" t="s">
        <v>4414</v>
      </c>
      <c r="B2160" t="s">
        <v>4415</v>
      </c>
      <c r="C2160" t="s">
        <v>1074</v>
      </c>
      <c r="D2160" s="1" t="s">
        <v>4416</v>
      </c>
      <c r="E2160" t="s">
        <v>10</v>
      </c>
      <c r="F2160" s="5" t="str">
        <f>HYPERLINK("http://www.otzar.org/book.asp?197487","משנת המדות - א")</f>
        <v>משנת המדות - א</v>
      </c>
    </row>
    <row r="2161" spans="1:6" x14ac:dyDescent="0.2">
      <c r="A2161" t="s">
        <v>4417</v>
      </c>
      <c r="B2161" t="s">
        <v>4406</v>
      </c>
      <c r="C2161" t="s">
        <v>13</v>
      </c>
      <c r="D2161" s="1" t="s">
        <v>14</v>
      </c>
      <c r="E2161" t="s">
        <v>89</v>
      </c>
      <c r="F2161" s="5" t="str">
        <f>HYPERLINK("http://www.otzar.org/book.asp?630437","משנת המועדים - 7 כר'")</f>
        <v>משנת המועדים - 7 כר'</v>
      </c>
    </row>
    <row r="2162" spans="1:6" x14ac:dyDescent="0.2">
      <c r="A2162" t="s">
        <v>4418</v>
      </c>
      <c r="B2162" t="s">
        <v>4419</v>
      </c>
      <c r="C2162" t="s">
        <v>20</v>
      </c>
      <c r="D2162" s="1" t="s">
        <v>21</v>
      </c>
      <c r="E2162" t="s">
        <v>37</v>
      </c>
      <c r="F2162" s="5" t="str">
        <f>HYPERLINK("http://www.otzar.org/book.asp?629560","משנת המלבן")</f>
        <v>משנת המלבן</v>
      </c>
    </row>
    <row r="2163" spans="1:6" x14ac:dyDescent="0.2">
      <c r="A2163" t="s">
        <v>4420</v>
      </c>
      <c r="B2163" t="s">
        <v>4412</v>
      </c>
      <c r="C2163" t="s">
        <v>20</v>
      </c>
      <c r="D2163" s="1" t="s">
        <v>4053</v>
      </c>
      <c r="E2163" t="s">
        <v>26</v>
      </c>
      <c r="F2163" s="5" t="str">
        <f>HYPERLINK("http://www.otzar.org/book.asp?630033","משנת השומרים")</f>
        <v>משנת השומרים</v>
      </c>
    </row>
    <row r="2164" spans="1:6" x14ac:dyDescent="0.2">
      <c r="A2164" t="s">
        <v>4421</v>
      </c>
      <c r="B2164" t="s">
        <v>4422</v>
      </c>
      <c r="C2164" t="s">
        <v>13</v>
      </c>
      <c r="D2164" s="1" t="s">
        <v>21</v>
      </c>
      <c r="E2164" t="s">
        <v>154</v>
      </c>
      <c r="F2164" s="5" t="str">
        <f>HYPERLINK("http://www.otzar.org/book.asp?629221","משנת ויכולו")</f>
        <v>משנת ויכולו</v>
      </c>
    </row>
    <row r="2165" spans="1:6" x14ac:dyDescent="0.2">
      <c r="A2165" t="s">
        <v>4423</v>
      </c>
      <c r="B2165" t="s">
        <v>4424</v>
      </c>
      <c r="C2165" t="s">
        <v>463</v>
      </c>
      <c r="D2165" s="1" t="s">
        <v>9</v>
      </c>
      <c r="E2165" t="s">
        <v>2993</v>
      </c>
      <c r="F2165" s="5" t="str">
        <f>HYPERLINK("http://www.otzar.org/book.asp?627734","משנת חסידים &lt;עם הוספות מכת""י&gt;")</f>
        <v>משנת חסידים &lt;עם הוספות מכת"י&gt;</v>
      </c>
    </row>
    <row r="2166" spans="1:6" x14ac:dyDescent="0.2">
      <c r="A2166" t="s">
        <v>4425</v>
      </c>
      <c r="B2166" t="s">
        <v>4406</v>
      </c>
      <c r="C2166" t="s">
        <v>20</v>
      </c>
      <c r="D2166" s="1" t="s">
        <v>14</v>
      </c>
      <c r="E2166" t="s">
        <v>10</v>
      </c>
      <c r="F2166" s="5" t="str">
        <f>HYPERLINK("http://www.otzar.org/book.asp?631159","משנת טהרות - 3 כר'")</f>
        <v>משנת טהרות - 3 כר'</v>
      </c>
    </row>
    <row r="2167" spans="1:6" x14ac:dyDescent="0.2">
      <c r="A2167" t="s">
        <v>4426</v>
      </c>
      <c r="B2167" t="s">
        <v>3203</v>
      </c>
      <c r="C2167" t="s">
        <v>20</v>
      </c>
      <c r="D2167" s="1" t="s">
        <v>14</v>
      </c>
      <c r="E2167" t="s">
        <v>10</v>
      </c>
      <c r="F2167" s="5" t="str">
        <f>HYPERLINK("http://www.otzar.org/book.asp?629427","משנת יהודה - כלים, טהרות")</f>
        <v>משנת יהודה - כלים, טהרות</v>
      </c>
    </row>
    <row r="2168" spans="1:6" x14ac:dyDescent="0.2">
      <c r="A2168" t="s">
        <v>4427</v>
      </c>
      <c r="B2168" t="s">
        <v>4428</v>
      </c>
      <c r="C2168" t="s">
        <v>13</v>
      </c>
      <c r="D2168" s="1" t="s">
        <v>9</v>
      </c>
      <c r="E2168" t="s">
        <v>41</v>
      </c>
      <c r="F2168" s="5" t="str">
        <f>HYPERLINK("http://www.otzar.org/book.asp?628098","משנת יוסף &lt;שו""ת&gt; - יד")</f>
        <v>משנת יוסף &lt;שו"ת&gt; - יד</v>
      </c>
    </row>
    <row r="2169" spans="1:6" x14ac:dyDescent="0.2">
      <c r="A2169" t="s">
        <v>4429</v>
      </c>
      <c r="B2169" t="s">
        <v>4430</v>
      </c>
      <c r="C2169" t="s">
        <v>136</v>
      </c>
      <c r="D2169" s="1" t="s">
        <v>9</v>
      </c>
      <c r="E2169" t="s">
        <v>214</v>
      </c>
      <c r="F2169" s="5" t="str">
        <f>HYPERLINK("http://www.otzar.org/book.asp?630047","משנת יוסף - 2 כר'")</f>
        <v>משנת יוסף - 2 כר'</v>
      </c>
    </row>
    <row r="2170" spans="1:6" x14ac:dyDescent="0.2">
      <c r="A2170" t="s">
        <v>4431</v>
      </c>
      <c r="B2170" t="s">
        <v>4432</v>
      </c>
      <c r="C2170" t="s">
        <v>8</v>
      </c>
      <c r="D2170" s="1" t="s">
        <v>52</v>
      </c>
      <c r="E2170" t="s">
        <v>22</v>
      </c>
      <c r="F2170" s="5" t="str">
        <f>HYPERLINK("http://www.otzar.org/book.asp?630244","משנת יעקב - בבא קמא")</f>
        <v>משנת יעקב - בבא קמא</v>
      </c>
    </row>
    <row r="2171" spans="1:6" x14ac:dyDescent="0.2">
      <c r="A2171" t="s">
        <v>4433</v>
      </c>
      <c r="B2171" t="s">
        <v>4406</v>
      </c>
      <c r="C2171" t="s">
        <v>73</v>
      </c>
      <c r="D2171" s="1" t="s">
        <v>14</v>
      </c>
      <c r="E2171" t="s">
        <v>22</v>
      </c>
      <c r="F2171" s="5" t="str">
        <f>HYPERLINK("http://www.otzar.org/book.asp?630445","משנת קידושין")</f>
        <v>משנת קידושין</v>
      </c>
    </row>
    <row r="2172" spans="1:6" x14ac:dyDescent="0.2">
      <c r="A2172" t="s">
        <v>4434</v>
      </c>
      <c r="B2172" t="s">
        <v>4435</v>
      </c>
      <c r="C2172" t="s">
        <v>13</v>
      </c>
      <c r="D2172" s="1" t="s">
        <v>52</v>
      </c>
      <c r="E2172" t="s">
        <v>22</v>
      </c>
      <c r="F2172" s="5" t="str">
        <f>HYPERLINK("http://www.otzar.org/book.asp?629429","משנת תשביתו")</f>
        <v>משנת תשביתו</v>
      </c>
    </row>
    <row r="2173" spans="1:6" x14ac:dyDescent="0.2">
      <c r="A2173" t="s">
        <v>4436</v>
      </c>
      <c r="B2173" t="s">
        <v>4437</v>
      </c>
      <c r="C2173" t="s">
        <v>248</v>
      </c>
      <c r="D2173" s="1" t="s">
        <v>64</v>
      </c>
      <c r="E2173" t="s">
        <v>371</v>
      </c>
      <c r="F2173" s="5" t="str">
        <f>HYPERLINK("http://www.otzar.org/book.asp?626435","משנתה של אגודת ישראל")</f>
        <v>משנתה של אגודת ישראל</v>
      </c>
    </row>
    <row r="2174" spans="1:6" x14ac:dyDescent="0.2">
      <c r="A2174" t="s">
        <v>4438</v>
      </c>
      <c r="B2174" t="s">
        <v>4439</v>
      </c>
      <c r="C2174" t="s">
        <v>8</v>
      </c>
      <c r="D2174" s="1" t="s">
        <v>14</v>
      </c>
      <c r="E2174" t="s">
        <v>22</v>
      </c>
      <c r="F2174" s="5" t="str">
        <f>HYPERLINK("http://www.otzar.org/book.asp?629999","משנתם סדורה - תערובות א")</f>
        <v>משנתם סדורה - תערובות א</v>
      </c>
    </row>
    <row r="2175" spans="1:6" x14ac:dyDescent="0.2">
      <c r="A2175" t="s">
        <v>4440</v>
      </c>
      <c r="B2175" t="s">
        <v>4441</v>
      </c>
      <c r="C2175" t="s">
        <v>148</v>
      </c>
      <c r="D2175" s="1" t="s">
        <v>14</v>
      </c>
      <c r="E2175" t="s">
        <v>371</v>
      </c>
      <c r="F2175" s="5" t="str">
        <f>HYPERLINK("http://www.otzar.org/book.asp?625575","משפחת הרבנים אדלר")</f>
        <v>משפחת הרבנים אדלר</v>
      </c>
    </row>
    <row r="2176" spans="1:6" x14ac:dyDescent="0.2">
      <c r="A2176" t="s">
        <v>4442</v>
      </c>
      <c r="B2176" t="s">
        <v>4443</v>
      </c>
      <c r="C2176" t="s">
        <v>369</v>
      </c>
      <c r="D2176" s="1" t="s">
        <v>774</v>
      </c>
      <c r="E2176" t="s">
        <v>371</v>
      </c>
      <c r="F2176" s="5" t="str">
        <f>HYPERLINK("http://www.otzar.org/book.asp?626153","משפחת פצ'יפיצ'י")</f>
        <v>משפחת פצ'יפיצ'י</v>
      </c>
    </row>
    <row r="2177" spans="1:6" x14ac:dyDescent="0.2">
      <c r="A2177" t="s">
        <v>4444</v>
      </c>
      <c r="B2177" t="s">
        <v>3274</v>
      </c>
      <c r="C2177" t="s">
        <v>13</v>
      </c>
      <c r="D2177" s="1" t="s">
        <v>9</v>
      </c>
      <c r="E2177" t="s">
        <v>61</v>
      </c>
      <c r="F2177" s="5" t="str">
        <f>HYPERLINK("http://www.otzar.org/book.asp?630207","משפט החושן בימינו - א")</f>
        <v>משפט החושן בימינו - א</v>
      </c>
    </row>
    <row r="2178" spans="1:6" x14ac:dyDescent="0.2">
      <c r="A2178" t="s">
        <v>4445</v>
      </c>
      <c r="B2178" t="s">
        <v>4446</v>
      </c>
      <c r="C2178" t="s">
        <v>13</v>
      </c>
      <c r="D2178" s="1" t="s">
        <v>21</v>
      </c>
      <c r="F2178" s="5" t="str">
        <f>HYPERLINK("http://www.otzar.org/book.asp?632211","משפט המצרנות")</f>
        <v>משפט המצרנות</v>
      </c>
    </row>
    <row r="2179" spans="1:6" x14ac:dyDescent="0.2">
      <c r="A2179" t="s">
        <v>4447</v>
      </c>
      <c r="B2179" t="s">
        <v>4448</v>
      </c>
      <c r="E2179" t="s">
        <v>41</v>
      </c>
      <c r="F2179" s="5" t="str">
        <f>HYPERLINK("http://www.otzar.org/book.asp?622734","משפטי אהרן")</f>
        <v>משפטי אהרן</v>
      </c>
    </row>
    <row r="2180" spans="1:6" x14ac:dyDescent="0.2">
      <c r="A2180" t="s">
        <v>4449</v>
      </c>
      <c r="B2180" t="s">
        <v>1343</v>
      </c>
      <c r="C2180" t="s">
        <v>307</v>
      </c>
      <c r="D2180" s="1" t="s">
        <v>9</v>
      </c>
      <c r="F2180" s="5" t="str">
        <f>HYPERLINK("http://www.otzar.org/book.asp?630758","משפטי אמת - 2 כר'")</f>
        <v>משפטי אמת - 2 כר'</v>
      </c>
    </row>
    <row r="2181" spans="1:6" x14ac:dyDescent="0.2">
      <c r="A2181" t="s">
        <v>4450</v>
      </c>
      <c r="B2181" t="s">
        <v>4451</v>
      </c>
      <c r="C2181" t="s">
        <v>73</v>
      </c>
      <c r="D2181" s="1" t="s">
        <v>14</v>
      </c>
      <c r="F2181" s="5" t="str">
        <f>HYPERLINK("http://www.otzar.org/book.asp?632851","משפטי הבשן - 4 כר'")</f>
        <v>משפטי הבשן - 4 כר'</v>
      </c>
    </row>
    <row r="2182" spans="1:6" x14ac:dyDescent="0.2">
      <c r="A2182" t="s">
        <v>4452</v>
      </c>
      <c r="B2182" t="s">
        <v>482</v>
      </c>
      <c r="C2182" t="s">
        <v>8</v>
      </c>
      <c r="D2182" s="1" t="s">
        <v>9</v>
      </c>
      <c r="E2182" t="s">
        <v>49</v>
      </c>
      <c r="F2182" s="5" t="str">
        <f>HYPERLINK("http://www.otzar.org/book.asp?625796","משפטי התורה, נבואה ונביא")</f>
        <v>משפטי התורה, נבואה ונביא</v>
      </c>
    </row>
    <row r="2183" spans="1:6" x14ac:dyDescent="0.2">
      <c r="A2183" t="s">
        <v>4453</v>
      </c>
      <c r="B2183" t="s">
        <v>3919</v>
      </c>
      <c r="C2183" t="s">
        <v>1385</v>
      </c>
      <c r="D2183" s="1" t="s">
        <v>14</v>
      </c>
      <c r="E2183" t="s">
        <v>22</v>
      </c>
      <c r="F2183" s="5" t="str">
        <f>HYPERLINK("http://www.otzar.org/book.asp?626728","משפטי חיים - סנהדרין")</f>
        <v>משפטי חיים - סנהדרין</v>
      </c>
    </row>
    <row r="2184" spans="1:6" x14ac:dyDescent="0.2">
      <c r="A2184" t="s">
        <v>4454</v>
      </c>
      <c r="B2184" t="s">
        <v>1410</v>
      </c>
      <c r="C2184" t="s">
        <v>13</v>
      </c>
      <c r="D2184" s="1" t="s">
        <v>803</v>
      </c>
      <c r="E2184" t="s">
        <v>199</v>
      </c>
      <c r="F2184" s="5" t="str">
        <f>HYPERLINK("http://www.otzar.org/book.asp?631536","משפטי רבית")</f>
        <v>משפטי רבית</v>
      </c>
    </row>
    <row r="2185" spans="1:6" x14ac:dyDescent="0.2">
      <c r="A2185" t="s">
        <v>4455</v>
      </c>
      <c r="B2185" t="s">
        <v>4456</v>
      </c>
      <c r="C2185" t="s">
        <v>136</v>
      </c>
      <c r="D2185" s="1" t="s">
        <v>9</v>
      </c>
      <c r="E2185" t="s">
        <v>41</v>
      </c>
      <c r="F2185" s="5" t="str">
        <f>HYPERLINK("http://www.otzar.org/book.asp?627586","משפטי שמואל &lt;מהדורת זכרון אהרן&gt;")</f>
        <v>משפטי שמואל &lt;מהדורת זכרון אהרן&gt;</v>
      </c>
    </row>
    <row r="2186" spans="1:6" x14ac:dyDescent="0.2">
      <c r="A2186" t="s">
        <v>4457</v>
      </c>
      <c r="B2186" t="s">
        <v>4458</v>
      </c>
      <c r="E2186" t="s">
        <v>242</v>
      </c>
      <c r="F2186" s="5" t="str">
        <f>HYPERLINK("http://www.otzar.org/book.asp?623950","משקיעים כהלכה")</f>
        <v>משקיעים כהלכה</v>
      </c>
    </row>
    <row r="2187" spans="1:6" x14ac:dyDescent="0.2">
      <c r="A2187" t="s">
        <v>4459</v>
      </c>
      <c r="B2187" t="s">
        <v>4460</v>
      </c>
      <c r="C2187" t="s">
        <v>8</v>
      </c>
      <c r="D2187" s="1" t="s">
        <v>4461</v>
      </c>
      <c r="E2187" t="s">
        <v>4462</v>
      </c>
      <c r="F2187" s="5" t="str">
        <f>HYPERLINK("http://www.otzar.org/book.asp?626637","מתוך העמק")</f>
        <v>מתוך העמק</v>
      </c>
    </row>
    <row r="2188" spans="1:6" x14ac:dyDescent="0.2">
      <c r="A2188" t="s">
        <v>4463</v>
      </c>
      <c r="B2188" t="s">
        <v>4464</v>
      </c>
      <c r="C2188" t="s">
        <v>8</v>
      </c>
      <c r="D2188" s="1" t="s">
        <v>471</v>
      </c>
      <c r="E2188" t="s">
        <v>168</v>
      </c>
      <c r="F2188" s="5" t="str">
        <f>HYPERLINK("http://www.otzar.org/book.asp?625830","מתוקים מדבש - 4 כר'")</f>
        <v>מתוקים מדבש - 4 כר'</v>
      </c>
    </row>
    <row r="2189" spans="1:6" x14ac:dyDescent="0.2">
      <c r="A2189" t="s">
        <v>4465</v>
      </c>
      <c r="B2189" t="s">
        <v>4466</v>
      </c>
      <c r="C2189" t="s">
        <v>136</v>
      </c>
      <c r="D2189" s="1" t="s">
        <v>9</v>
      </c>
      <c r="E2189" t="s">
        <v>22</v>
      </c>
      <c r="F2189" s="5" t="str">
        <f>HYPERLINK("http://www.otzar.org/book.asp?629064","מתורגמן &lt;זכרון אהרן&gt;")</f>
        <v>מתורגמן &lt;זכרון אהרן&gt;</v>
      </c>
    </row>
    <row r="2190" spans="1:6" x14ac:dyDescent="0.2">
      <c r="A2190" t="s">
        <v>4467</v>
      </c>
      <c r="B2190" t="s">
        <v>4468</v>
      </c>
      <c r="C2190" t="s">
        <v>20</v>
      </c>
      <c r="D2190" s="1" t="s">
        <v>114</v>
      </c>
      <c r="F2190" s="5" t="str">
        <f>HYPERLINK("http://www.otzar.org/book.asp?633168","מתורתו של רבי פנחס - 2 כר'")</f>
        <v>מתורתו של רבי פנחס - 2 כר'</v>
      </c>
    </row>
    <row r="2191" spans="1:6" x14ac:dyDescent="0.2">
      <c r="A2191" t="s">
        <v>4469</v>
      </c>
      <c r="B2191" t="s">
        <v>4470</v>
      </c>
      <c r="C2191" t="s">
        <v>13</v>
      </c>
      <c r="D2191" s="1" t="s">
        <v>213</v>
      </c>
      <c r="E2191" t="s">
        <v>214</v>
      </c>
      <c r="F2191" s="5" t="str">
        <f>HYPERLINK("http://www.otzar.org/book.asp?625219","מתחזקים בתורה - תשע""ט")</f>
        <v>מתחזקים בתורה - תשע"ט</v>
      </c>
    </row>
    <row r="2192" spans="1:6" x14ac:dyDescent="0.2">
      <c r="A2192" t="s">
        <v>4471</v>
      </c>
      <c r="B2192" t="s">
        <v>4472</v>
      </c>
      <c r="C2192" t="s">
        <v>13</v>
      </c>
      <c r="D2192" s="1" t="s">
        <v>52</v>
      </c>
      <c r="E2192" t="s">
        <v>22</v>
      </c>
      <c r="F2192" s="5" t="str">
        <f>HYPERLINK("http://www.otzar.org/book.asp?628415","מתנת חלקו - נשים-נזיקין")</f>
        <v>מתנת חלקו - נשים-נזיקין</v>
      </c>
    </row>
    <row r="2193" spans="1:6" x14ac:dyDescent="0.2">
      <c r="A2193" t="s">
        <v>4473</v>
      </c>
      <c r="B2193" t="s">
        <v>4474</v>
      </c>
      <c r="C2193" t="s">
        <v>73</v>
      </c>
      <c r="D2193" s="1" t="s">
        <v>9</v>
      </c>
      <c r="E2193" t="s">
        <v>22</v>
      </c>
      <c r="F2193" s="5" t="str">
        <f>HYPERLINK("http://www.otzar.org/book.asp?624835","מתנת כהן - עירובין")</f>
        <v>מתנת כהן - עירובין</v>
      </c>
    </row>
    <row r="2194" spans="1:6" x14ac:dyDescent="0.2">
      <c r="A2194" t="s">
        <v>4475</v>
      </c>
      <c r="B2194" t="s">
        <v>4476</v>
      </c>
      <c r="C2194" t="s">
        <v>383</v>
      </c>
      <c r="D2194" s="1" t="s">
        <v>9</v>
      </c>
      <c r="E2194" t="s">
        <v>49</v>
      </c>
      <c r="F2194" s="5" t="str">
        <f>HYPERLINK("http://www.otzar.org/book.asp?630789","מתרדמת הגנזים לארון הספרים")</f>
        <v>מתרדמת הגנזים לארון הספרים</v>
      </c>
    </row>
    <row r="2195" spans="1:6" x14ac:dyDescent="0.2">
      <c r="A2195" t="s">
        <v>4477</v>
      </c>
      <c r="B2195" t="s">
        <v>150</v>
      </c>
      <c r="C2195" t="s">
        <v>13</v>
      </c>
      <c r="D2195" s="1" t="s">
        <v>14</v>
      </c>
      <c r="E2195" t="s">
        <v>37</v>
      </c>
      <c r="F2195" s="5" t="str">
        <f>HYPERLINK("http://www.otzar.org/book.asp?628764","נאות מרדכי - 6 כר'")</f>
        <v>נאות מרדכי - 6 כר'</v>
      </c>
    </row>
    <row r="2196" spans="1:6" x14ac:dyDescent="0.2">
      <c r="A2196" t="s">
        <v>4478</v>
      </c>
      <c r="B2196" t="s">
        <v>94</v>
      </c>
      <c r="C2196" t="s">
        <v>13</v>
      </c>
      <c r="D2196" s="1" t="s">
        <v>14</v>
      </c>
      <c r="E2196" t="s">
        <v>22</v>
      </c>
      <c r="F2196" s="5" t="str">
        <f>HYPERLINK("http://www.otzar.org/book.asp?630103","נבחר מכסף")</f>
        <v>נבחר מכסף</v>
      </c>
    </row>
    <row r="2197" spans="1:6" x14ac:dyDescent="0.2">
      <c r="A2197" t="s">
        <v>4479</v>
      </c>
      <c r="B2197" t="s">
        <v>4480</v>
      </c>
      <c r="C2197" t="s">
        <v>20</v>
      </c>
      <c r="D2197" s="1" t="s">
        <v>1295</v>
      </c>
      <c r="F2197" s="5" t="str">
        <f>HYPERLINK("http://www.otzar.org/book.asp?632064","נביאים וכתובים &lt;יפלס נתיב&gt; - שופטים")</f>
        <v>נביאים וכתובים &lt;יפלס נתיב&gt; - שופטים</v>
      </c>
    </row>
    <row r="2198" spans="1:6" x14ac:dyDescent="0.2">
      <c r="A2198" t="s">
        <v>4481</v>
      </c>
      <c r="B2198" t="s">
        <v>897</v>
      </c>
      <c r="C2198" t="s">
        <v>1385</v>
      </c>
      <c r="D2198" s="1" t="s">
        <v>1364</v>
      </c>
      <c r="E2198" t="s">
        <v>214</v>
      </c>
      <c r="F2198" s="5" t="str">
        <f>HYPERLINK("http://www.otzar.org/book.asp?625650","נגוהות")</f>
        <v>נגוהות</v>
      </c>
    </row>
    <row r="2199" spans="1:6" x14ac:dyDescent="0.2">
      <c r="A2199" t="s">
        <v>4482</v>
      </c>
      <c r="B2199" t="s">
        <v>4483</v>
      </c>
      <c r="C2199" t="s">
        <v>4484</v>
      </c>
      <c r="D2199" s="1" t="s">
        <v>2094</v>
      </c>
      <c r="E2199" t="s">
        <v>121</v>
      </c>
      <c r="F2199" s="5" t="str">
        <f>HYPERLINK("http://www.otzar.org/book.asp?627012","נדודי היהודים בעולם")</f>
        <v>נדודי היהודים בעולם</v>
      </c>
    </row>
    <row r="2200" spans="1:6" x14ac:dyDescent="0.2">
      <c r="A2200" t="s">
        <v>4485</v>
      </c>
      <c r="B2200" t="s">
        <v>4486</v>
      </c>
      <c r="C2200" t="s">
        <v>13</v>
      </c>
      <c r="D2200" s="1" t="s">
        <v>21</v>
      </c>
      <c r="E2200" t="s">
        <v>214</v>
      </c>
      <c r="F2200" s="5" t="str">
        <f>HYPERLINK("http://www.otzar.org/book.asp?627046","נהורא דשמעתתא - מלאכות שבת חלק ב")</f>
        <v>נהורא דשמעתתא - מלאכות שבת חלק ב</v>
      </c>
    </row>
    <row r="2201" spans="1:6" x14ac:dyDescent="0.2">
      <c r="A2201" t="s">
        <v>4487</v>
      </c>
      <c r="B2201" t="s">
        <v>4488</v>
      </c>
      <c r="C2201" t="s">
        <v>1002</v>
      </c>
      <c r="D2201" s="1" t="s">
        <v>1364</v>
      </c>
      <c r="E2201" t="s">
        <v>214</v>
      </c>
      <c r="F2201" s="5" t="str">
        <f>HYPERLINK("http://www.otzar.org/book.asp?623598","נהורא - 3 כר'")</f>
        <v>נהורא - 3 כר'</v>
      </c>
    </row>
    <row r="2202" spans="1:6" x14ac:dyDescent="0.2">
      <c r="A2202" t="s">
        <v>4489</v>
      </c>
      <c r="B2202" t="s">
        <v>4490</v>
      </c>
      <c r="C2202" t="s">
        <v>13</v>
      </c>
      <c r="D2202" s="1" t="s">
        <v>14</v>
      </c>
      <c r="E2202" t="s">
        <v>214</v>
      </c>
      <c r="F2202" s="5" t="str">
        <f>HYPERLINK("http://www.otzar.org/book.asp?628587","נהר מעדן - ו")</f>
        <v>נהר מעדן - ו</v>
      </c>
    </row>
    <row r="2203" spans="1:6" x14ac:dyDescent="0.2">
      <c r="A2203" t="s">
        <v>4491</v>
      </c>
      <c r="B2203" t="s">
        <v>4492</v>
      </c>
      <c r="C2203" t="s">
        <v>136</v>
      </c>
      <c r="D2203" s="1" t="s">
        <v>400</v>
      </c>
      <c r="E2203" t="s">
        <v>1207</v>
      </c>
      <c r="F2203" s="5" t="str">
        <f>HYPERLINK("http://www.otzar.org/book.asp?628197","נהרות איתן - ה")</f>
        <v>נהרות איתן - ה</v>
      </c>
    </row>
    <row r="2204" spans="1:6" x14ac:dyDescent="0.2">
      <c r="A2204" t="s">
        <v>4493</v>
      </c>
      <c r="B2204" t="s">
        <v>4494</v>
      </c>
      <c r="C2204" t="s">
        <v>20</v>
      </c>
      <c r="D2204" s="1" t="s">
        <v>471</v>
      </c>
      <c r="E2204" t="s">
        <v>37</v>
      </c>
      <c r="F2204" s="5" t="str">
        <f>HYPERLINK("http://www.otzar.org/book.asp?629239","נוסח כתובה מתוקן")</f>
        <v>נוסח כתובה מתוקן</v>
      </c>
    </row>
    <row r="2205" spans="1:6" x14ac:dyDescent="0.2">
      <c r="A2205" t="s">
        <v>4495</v>
      </c>
      <c r="B2205" t="s">
        <v>4496</v>
      </c>
      <c r="C2205" t="s">
        <v>20</v>
      </c>
      <c r="D2205" s="1" t="s">
        <v>9</v>
      </c>
      <c r="E2205" t="s">
        <v>168</v>
      </c>
      <c r="F2205" s="5" t="str">
        <f>HYPERLINK("http://www.otzar.org/book.asp?626768","נועם אלימלך - 2 כר'")</f>
        <v>נועם אלימלך - 2 כר'</v>
      </c>
    </row>
    <row r="2206" spans="1:6" x14ac:dyDescent="0.2">
      <c r="A2206" t="s">
        <v>4497</v>
      </c>
      <c r="B2206" t="s">
        <v>1646</v>
      </c>
      <c r="C2206" t="s">
        <v>1074</v>
      </c>
      <c r="D2206" s="1" t="s">
        <v>29</v>
      </c>
      <c r="E2206" t="s">
        <v>168</v>
      </c>
      <c r="F2206" s="5" t="str">
        <f>HYPERLINK("http://www.otzar.org/book.asp?625743","נועם אליעזר - א")</f>
        <v>נועם אליעזר - א</v>
      </c>
    </row>
    <row r="2207" spans="1:6" x14ac:dyDescent="0.2">
      <c r="A2207" t="s">
        <v>4498</v>
      </c>
      <c r="B2207" t="s">
        <v>4499</v>
      </c>
      <c r="C2207" t="s">
        <v>639</v>
      </c>
      <c r="D2207" s="1" t="s">
        <v>3186</v>
      </c>
      <c r="E2207" t="s">
        <v>4500</v>
      </c>
      <c r="F2207" s="5" t="str">
        <f>HYPERLINK("http://www.otzar.org/book.asp?623859","נועם אמרים")</f>
        <v>נועם אמרים</v>
      </c>
    </row>
    <row r="2208" spans="1:6" x14ac:dyDescent="0.2">
      <c r="A2208" t="s">
        <v>4501</v>
      </c>
      <c r="B2208" t="s">
        <v>4502</v>
      </c>
      <c r="E2208" t="s">
        <v>17</v>
      </c>
      <c r="F2208" s="5" t="str">
        <f>HYPERLINK("http://www.otzar.org/book.asp?627919","נועם הנשמות")</f>
        <v>נועם הנשמות</v>
      </c>
    </row>
    <row r="2209" spans="1:6" x14ac:dyDescent="0.2">
      <c r="A2209" t="s">
        <v>4503</v>
      </c>
      <c r="B2209" t="s">
        <v>4504</v>
      </c>
      <c r="C2209" t="s">
        <v>13</v>
      </c>
      <c r="D2209" s="1" t="s">
        <v>841</v>
      </c>
      <c r="E2209" t="s">
        <v>836</v>
      </c>
      <c r="F2209" s="5" t="str">
        <f>HYPERLINK("http://www.otzar.org/book.asp?627518","נועם זיוך")</f>
        <v>נועם זיוך</v>
      </c>
    </row>
    <row r="2210" spans="1:6" x14ac:dyDescent="0.2">
      <c r="A2210" t="s">
        <v>4505</v>
      </c>
      <c r="B2210" t="s">
        <v>1061</v>
      </c>
      <c r="E2210" t="s">
        <v>192</v>
      </c>
      <c r="F2210" s="5" t="str">
        <f>HYPERLINK("http://www.otzar.org/book.asp?631192","נועם שבת - 2 כר'")</f>
        <v>נועם שבת - 2 כר'</v>
      </c>
    </row>
    <row r="2211" spans="1:6" x14ac:dyDescent="0.2">
      <c r="A2211" t="s">
        <v>4506</v>
      </c>
      <c r="B2211" t="s">
        <v>4507</v>
      </c>
      <c r="C2211" t="s">
        <v>20</v>
      </c>
      <c r="D2211" s="1" t="s">
        <v>659</v>
      </c>
      <c r="E2211" t="s">
        <v>168</v>
      </c>
      <c r="F2211" s="5" t="str">
        <f>HYPERLINK("http://www.otzar.org/book.asp?626151","נועם שי""ח - 2 כר'")</f>
        <v>נועם שי"ח - 2 כר'</v>
      </c>
    </row>
    <row r="2212" spans="1:6" x14ac:dyDescent="0.2">
      <c r="A2212" t="s">
        <v>4508</v>
      </c>
      <c r="B2212" t="s">
        <v>4402</v>
      </c>
      <c r="C2212" t="s">
        <v>13</v>
      </c>
      <c r="D2212" s="1" t="s">
        <v>9</v>
      </c>
      <c r="E2212" t="s">
        <v>305</v>
      </c>
      <c r="F2212" s="5" t="str">
        <f>HYPERLINK("http://www.otzar.org/book.asp?627482","נופת צופים - בראשית, ;שמות")</f>
        <v>נופת צופים - בראשית, ;שמות</v>
      </c>
    </row>
    <row r="2213" spans="1:6" x14ac:dyDescent="0.2">
      <c r="A2213" t="s">
        <v>4509</v>
      </c>
      <c r="B2213" t="s">
        <v>4510</v>
      </c>
      <c r="C2213" t="s">
        <v>13</v>
      </c>
      <c r="D2213" s="1" t="s">
        <v>14</v>
      </c>
      <c r="E2213" t="s">
        <v>22</v>
      </c>
      <c r="F2213" s="5" t="str">
        <f>HYPERLINK("http://www.otzar.org/book.asp?629439","נופת צופים - ב""ב, סנהדרין, מכות, שבועות, ע""ז, הוריות")</f>
        <v>נופת צופים - ב"ב, סנהדרין, מכות, שבועות, ע"ז, הוריות</v>
      </c>
    </row>
    <row r="2214" spans="1:6" x14ac:dyDescent="0.2">
      <c r="A2214" t="s">
        <v>4511</v>
      </c>
      <c r="B2214" t="s">
        <v>4512</v>
      </c>
      <c r="C2214" t="s">
        <v>133</v>
      </c>
      <c r="D2214" s="1" t="s">
        <v>9</v>
      </c>
      <c r="E2214" t="s">
        <v>2505</v>
      </c>
      <c r="F2214" s="5" t="str">
        <f>HYPERLINK("http://www.otzar.org/book.asp?624902","נוצר תאנה")</f>
        <v>נוצר תאנה</v>
      </c>
    </row>
    <row r="2215" spans="1:6" x14ac:dyDescent="0.2">
      <c r="A2215" t="s">
        <v>4513</v>
      </c>
      <c r="B2215" t="s">
        <v>1686</v>
      </c>
      <c r="C2215" t="s">
        <v>13</v>
      </c>
      <c r="D2215" s="1" t="s">
        <v>14</v>
      </c>
      <c r="F2215" s="5" t="str">
        <f>HYPERLINK("http://www.otzar.org/book.asp?632026","נושא אלמתיו")</f>
        <v>נושא אלמתיו</v>
      </c>
    </row>
    <row r="2216" spans="1:6" x14ac:dyDescent="0.2">
      <c r="A2216" t="s">
        <v>4514</v>
      </c>
      <c r="B2216" t="s">
        <v>364</v>
      </c>
      <c r="C2216" t="s">
        <v>13</v>
      </c>
      <c r="D2216" s="1" t="s">
        <v>9</v>
      </c>
      <c r="E2216" t="s">
        <v>214</v>
      </c>
      <c r="F2216" s="5" t="str">
        <f>HYPERLINK("http://www.otzar.org/book.asp?626574","נזר התורה - ל")</f>
        <v>נזר התורה - ל</v>
      </c>
    </row>
    <row r="2217" spans="1:6" x14ac:dyDescent="0.2">
      <c r="A2217" t="s">
        <v>4515</v>
      </c>
      <c r="B2217" t="s">
        <v>4460</v>
      </c>
      <c r="C2217" t="s">
        <v>1127</v>
      </c>
      <c r="D2217" s="1" t="s">
        <v>4461</v>
      </c>
      <c r="E2217" t="s">
        <v>49</v>
      </c>
      <c r="F2217" s="5" t="str">
        <f>HYPERLINK("http://www.otzar.org/book.asp?626642","נחית בחסדך")</f>
        <v>נחית בחסדך</v>
      </c>
    </row>
    <row r="2218" spans="1:6" x14ac:dyDescent="0.2">
      <c r="A2218" t="s">
        <v>4516</v>
      </c>
      <c r="B2218" t="s">
        <v>3281</v>
      </c>
      <c r="C2218" t="s">
        <v>13</v>
      </c>
      <c r="D2218" s="1" t="s">
        <v>14</v>
      </c>
      <c r="E2218" t="s">
        <v>4517</v>
      </c>
      <c r="F2218" s="5" t="str">
        <f>HYPERLINK("http://www.otzar.org/book.asp?623805","נחל איתן")</f>
        <v>נחל איתן</v>
      </c>
    </row>
    <row r="2219" spans="1:6" x14ac:dyDescent="0.2">
      <c r="A2219" t="s">
        <v>4518</v>
      </c>
      <c r="B2219" t="s">
        <v>4519</v>
      </c>
      <c r="E2219" t="s">
        <v>168</v>
      </c>
      <c r="F2219" s="5" t="str">
        <f>HYPERLINK("http://www.otzar.org/book.asp?623932","נחל אליהו")</f>
        <v>נחל אליהו</v>
      </c>
    </row>
    <row r="2220" spans="1:6" x14ac:dyDescent="0.2">
      <c r="A2220" t="s">
        <v>4520</v>
      </c>
      <c r="B2220" t="s">
        <v>2218</v>
      </c>
      <c r="C2220" t="s">
        <v>25</v>
      </c>
      <c r="D2220" s="1" t="s">
        <v>14</v>
      </c>
      <c r="E2220" t="s">
        <v>168</v>
      </c>
      <c r="F2220" s="5" t="str">
        <f>HYPERLINK("http://www.otzar.org/book.asp?628080","נחל עדניך - 2 כר'")</f>
        <v>נחל עדניך - 2 כר'</v>
      </c>
    </row>
    <row r="2221" spans="1:6" x14ac:dyDescent="0.2">
      <c r="A2221" t="s">
        <v>4521</v>
      </c>
      <c r="B2221" t="s">
        <v>4522</v>
      </c>
      <c r="C2221" t="s">
        <v>290</v>
      </c>
      <c r="D2221" s="1" t="s">
        <v>64</v>
      </c>
      <c r="E2221" t="s">
        <v>17</v>
      </c>
      <c r="F2221" s="5" t="str">
        <f>HYPERLINK("http://www.otzar.org/book.asp?623818","נחלי אמונה - 14 כר'")</f>
        <v>נחלי אמונה - 14 כר'</v>
      </c>
    </row>
    <row r="2222" spans="1:6" x14ac:dyDescent="0.2">
      <c r="A2222" t="s">
        <v>4523</v>
      </c>
      <c r="B2222" t="s">
        <v>2246</v>
      </c>
      <c r="C2222" t="s">
        <v>20</v>
      </c>
      <c r="D2222" s="1" t="s">
        <v>229</v>
      </c>
      <c r="E2222" t="s">
        <v>242</v>
      </c>
      <c r="F2222" s="5" t="str">
        <f>HYPERLINK("http://www.otzar.org/book.asp?629282","נחלת אבות - שרשי מנהגי תימן - א")</f>
        <v>נחלת אבות - שרשי מנהגי תימן - א</v>
      </c>
    </row>
    <row r="2223" spans="1:6" x14ac:dyDescent="0.2">
      <c r="A2223" t="s">
        <v>4524</v>
      </c>
      <c r="B2223" t="s">
        <v>4525</v>
      </c>
      <c r="C2223" t="s">
        <v>606</v>
      </c>
      <c r="D2223" s="1" t="s">
        <v>400</v>
      </c>
      <c r="E2223" t="s">
        <v>168</v>
      </c>
      <c r="F2223" s="5" t="str">
        <f>HYPERLINK("http://www.otzar.org/book.asp?629895","נחלת אלחנן - 3 כר'")</f>
        <v>נחלת אלחנן - 3 כר'</v>
      </c>
    </row>
    <row r="2224" spans="1:6" x14ac:dyDescent="0.2">
      <c r="A2224" t="s">
        <v>4526</v>
      </c>
      <c r="B2224" t="s">
        <v>4527</v>
      </c>
      <c r="C2224" t="s">
        <v>8</v>
      </c>
      <c r="D2224" s="1" t="s">
        <v>120</v>
      </c>
      <c r="E2224" t="s">
        <v>214</v>
      </c>
      <c r="F2224" s="5" t="str">
        <f>HYPERLINK("http://www.otzar.org/book.asp?625879","נחלת בנימין - 3 כר'")</f>
        <v>נחלת בנימין - 3 כר'</v>
      </c>
    </row>
    <row r="2225" spans="1:6" x14ac:dyDescent="0.2">
      <c r="A2225" t="s">
        <v>4528</v>
      </c>
      <c r="B2225" t="s">
        <v>4529</v>
      </c>
      <c r="C2225" t="s">
        <v>13</v>
      </c>
      <c r="D2225" s="1" t="s">
        <v>14</v>
      </c>
      <c r="E2225" t="s">
        <v>49</v>
      </c>
      <c r="F2225" s="5" t="str">
        <f>HYPERLINK("http://www.otzar.org/book.asp?626495","נחלת יוסף &lt;מהדורה חדשה&gt; - א")</f>
        <v>נחלת יוסף &lt;מהדורה חדשה&gt; - א</v>
      </c>
    </row>
    <row r="2226" spans="1:6" x14ac:dyDescent="0.2">
      <c r="A2226" t="s">
        <v>4530</v>
      </c>
      <c r="B2226" t="s">
        <v>2544</v>
      </c>
      <c r="C2226" t="s">
        <v>40</v>
      </c>
      <c r="D2226" s="1" t="s">
        <v>107</v>
      </c>
      <c r="E2226" t="s">
        <v>154</v>
      </c>
      <c r="F2226" s="5" t="str">
        <f>HYPERLINK("http://www.otzar.org/book.asp?630143","נחלת יעקב")</f>
        <v>נחלת יעקב</v>
      </c>
    </row>
    <row r="2227" spans="1:6" x14ac:dyDescent="0.2">
      <c r="A2227" t="s">
        <v>4531</v>
      </c>
      <c r="B2227" t="s">
        <v>1141</v>
      </c>
      <c r="C2227" t="s">
        <v>397</v>
      </c>
      <c r="D2227" s="1" t="s">
        <v>1142</v>
      </c>
      <c r="E2227" t="s">
        <v>168</v>
      </c>
      <c r="F2227" s="5" t="str">
        <f>HYPERLINK("http://www.otzar.org/book.asp?626624","נחלת צבי")</f>
        <v>נחלת צבי</v>
      </c>
    </row>
    <row r="2228" spans="1:6" x14ac:dyDescent="0.2">
      <c r="A2228" t="s">
        <v>4532</v>
      </c>
      <c r="B2228" t="s">
        <v>4533</v>
      </c>
      <c r="C2228" t="s">
        <v>73</v>
      </c>
      <c r="D2228" s="1" t="s">
        <v>9</v>
      </c>
      <c r="E2228" t="s">
        <v>22</v>
      </c>
      <c r="F2228" s="5" t="str">
        <f>HYPERLINK("http://www.otzar.org/book.asp?629356","נחלת צבי - 2 כר'")</f>
        <v>נחלת צבי - 2 כר'</v>
      </c>
    </row>
    <row r="2229" spans="1:6" x14ac:dyDescent="0.2">
      <c r="A2229" t="s">
        <v>4534</v>
      </c>
      <c r="B2229" t="s">
        <v>4535</v>
      </c>
      <c r="C2229" t="s">
        <v>8</v>
      </c>
      <c r="D2229" s="1" t="s">
        <v>52</v>
      </c>
      <c r="E2229" t="s">
        <v>61</v>
      </c>
      <c r="F2229" s="5" t="str">
        <f>HYPERLINK("http://www.otzar.org/book.asp?629778","נחלת שמעון")</f>
        <v>נחלת שמעון</v>
      </c>
    </row>
    <row r="2230" spans="1:6" x14ac:dyDescent="0.2">
      <c r="A2230" t="s">
        <v>4536</v>
      </c>
      <c r="B2230" t="s">
        <v>4537</v>
      </c>
      <c r="D2230" s="1" t="s">
        <v>14</v>
      </c>
      <c r="E2230" t="s">
        <v>214</v>
      </c>
      <c r="F2230" s="5" t="str">
        <f>HYPERLINK("http://www.otzar.org/book.asp?622546","נחלתנו - 2 כר'")</f>
        <v>נחלתנו - 2 כר'</v>
      </c>
    </row>
    <row r="2231" spans="1:6" x14ac:dyDescent="0.2">
      <c r="A2231" t="s">
        <v>4538</v>
      </c>
      <c r="B2231" t="s">
        <v>1227</v>
      </c>
      <c r="C2231" t="s">
        <v>148</v>
      </c>
      <c r="D2231" s="1" t="s">
        <v>4539</v>
      </c>
      <c r="E2231" t="s">
        <v>242</v>
      </c>
      <c r="F2231" s="5" t="str">
        <f>HYPERLINK("http://www.otzar.org/book.asp?631084","נחפשה דרכינו")</f>
        <v>נחפשה דרכינו</v>
      </c>
    </row>
    <row r="2232" spans="1:6" x14ac:dyDescent="0.2">
      <c r="A2232" t="s">
        <v>4540</v>
      </c>
      <c r="B2232" t="s">
        <v>4541</v>
      </c>
      <c r="C2232" t="s">
        <v>4542</v>
      </c>
      <c r="D2232" s="1" t="s">
        <v>9</v>
      </c>
      <c r="F2232" s="5" t="str">
        <f>HYPERLINK("http://www.otzar.org/book.asp?622559","נטיעה של שמחה - 12 כר'")</f>
        <v>נטיעה של שמחה - 12 כר'</v>
      </c>
    </row>
    <row r="2233" spans="1:6" x14ac:dyDescent="0.2">
      <c r="A2233" t="s">
        <v>4543</v>
      </c>
      <c r="B2233" t="s">
        <v>4541</v>
      </c>
      <c r="C2233" t="s">
        <v>13</v>
      </c>
      <c r="D2233" s="1" t="s">
        <v>9</v>
      </c>
      <c r="E2233" t="s">
        <v>214</v>
      </c>
      <c r="F2233" s="5" t="str">
        <f>HYPERLINK("http://www.otzar.org/book.asp?628143","נטיעה של תורה ותפלה")</f>
        <v>נטיעה של תורה ותפלה</v>
      </c>
    </row>
    <row r="2234" spans="1:6" x14ac:dyDescent="0.2">
      <c r="A2234" t="s">
        <v>4544</v>
      </c>
      <c r="B2234" t="s">
        <v>4545</v>
      </c>
      <c r="C2234" t="s">
        <v>25</v>
      </c>
      <c r="D2234" s="1" t="s">
        <v>52</v>
      </c>
      <c r="E2234" t="s">
        <v>22</v>
      </c>
      <c r="F2234" s="5" t="str">
        <f>HYPERLINK("http://www.otzar.org/book.asp?629431","נטיעות משה - תערובות")</f>
        <v>נטיעות משה - תערובות</v>
      </c>
    </row>
    <row r="2235" spans="1:6" x14ac:dyDescent="0.2">
      <c r="A2235" t="s">
        <v>4546</v>
      </c>
      <c r="B2235" t="s">
        <v>4547</v>
      </c>
      <c r="C2235" t="s">
        <v>20</v>
      </c>
      <c r="D2235" s="1" t="s">
        <v>52</v>
      </c>
      <c r="E2235" t="s">
        <v>22</v>
      </c>
      <c r="F2235" s="5" t="str">
        <f>HYPERLINK("http://www.otzar.org/book.asp?623946","נטיעות משה - שומרים")</f>
        <v>נטיעות משה - שומרים</v>
      </c>
    </row>
    <row r="2236" spans="1:6" x14ac:dyDescent="0.2">
      <c r="A2236" t="s">
        <v>4548</v>
      </c>
      <c r="B2236" t="s">
        <v>4549</v>
      </c>
      <c r="C2236" t="s">
        <v>20</v>
      </c>
      <c r="E2236" t="s">
        <v>371</v>
      </c>
      <c r="F2236" s="5" t="str">
        <f>HYPERLINK("http://www.otzar.org/book.asp?628210","נטעי אש")</f>
        <v>נטעי אש</v>
      </c>
    </row>
    <row r="2237" spans="1:6" x14ac:dyDescent="0.2">
      <c r="A2237" t="s">
        <v>4550</v>
      </c>
      <c r="B2237" t="s">
        <v>4551</v>
      </c>
      <c r="C2237" t="s">
        <v>206</v>
      </c>
      <c r="E2237" t="s">
        <v>4552</v>
      </c>
      <c r="F2237" s="5" t="str">
        <f>HYPERLINK("http://www.otzar.org/book.asp?626055","נטעי שלום")</f>
        <v>נטעי שלום</v>
      </c>
    </row>
    <row r="2238" spans="1:6" x14ac:dyDescent="0.2">
      <c r="A2238" t="s">
        <v>4553</v>
      </c>
      <c r="C2238" t="s">
        <v>639</v>
      </c>
      <c r="D2238" s="1" t="s">
        <v>268</v>
      </c>
      <c r="E2238" t="s">
        <v>168</v>
      </c>
      <c r="F2238" s="5" t="str">
        <f>HYPERLINK("http://www.otzar.org/book.asp?629132","נטפי חיים")</f>
        <v>נטפי חיים</v>
      </c>
    </row>
    <row r="2239" spans="1:6" x14ac:dyDescent="0.2">
      <c r="A2239" t="s">
        <v>4554</v>
      </c>
      <c r="B2239" t="s">
        <v>4555</v>
      </c>
      <c r="C2239" t="s">
        <v>25</v>
      </c>
      <c r="D2239" s="1" t="s">
        <v>64</v>
      </c>
      <c r="E2239" t="s">
        <v>168</v>
      </c>
      <c r="F2239" s="5" t="str">
        <f>HYPERLINK("http://www.otzar.org/book.asp?630481","נטפי משה - בראשית, שמות")</f>
        <v>נטפי משה - בראשית, שמות</v>
      </c>
    </row>
    <row r="2240" spans="1:6" x14ac:dyDescent="0.2">
      <c r="A2240" t="s">
        <v>4556</v>
      </c>
      <c r="B2240" t="s">
        <v>364</v>
      </c>
      <c r="C2240" t="s">
        <v>2081</v>
      </c>
      <c r="D2240" s="1" t="s">
        <v>471</v>
      </c>
      <c r="E2240" t="s">
        <v>214</v>
      </c>
      <c r="F2240" s="5" t="str">
        <f>HYPERLINK("http://www.otzar.org/book.asp?626588","ניב המדרשיה - תשכ""ב")</f>
        <v>ניב המדרשיה - תשכ"ב</v>
      </c>
    </row>
    <row r="2241" spans="1:6" x14ac:dyDescent="0.2">
      <c r="A2241" t="s">
        <v>4557</v>
      </c>
      <c r="B2241" t="s">
        <v>4558</v>
      </c>
      <c r="C2241" t="s">
        <v>264</v>
      </c>
      <c r="D2241" s="1" t="s">
        <v>471</v>
      </c>
      <c r="E2241" t="s">
        <v>214</v>
      </c>
      <c r="F2241" s="5" t="str">
        <f>HYPERLINK("http://www.otzar.org/book.asp?623608","ניב המורה - נז")</f>
        <v>ניב המורה - נז</v>
      </c>
    </row>
    <row r="2242" spans="1:6" x14ac:dyDescent="0.2">
      <c r="A2242" t="s">
        <v>4559</v>
      </c>
      <c r="B2242" t="s">
        <v>4560</v>
      </c>
      <c r="C2242" t="s">
        <v>136</v>
      </c>
      <c r="D2242" s="1" t="s">
        <v>29</v>
      </c>
      <c r="E2242" t="s">
        <v>30</v>
      </c>
      <c r="F2242" s="5" t="str">
        <f>HYPERLINK("http://www.otzar.org/book.asp?630123","ניגוני הרבי שלימד לאורך השנים")</f>
        <v>ניגוני הרבי שלימד לאורך השנים</v>
      </c>
    </row>
    <row r="2243" spans="1:6" x14ac:dyDescent="0.2">
      <c r="A2243" t="s">
        <v>4561</v>
      </c>
      <c r="B2243" t="s">
        <v>4562</v>
      </c>
      <c r="C2243" t="s">
        <v>4563</v>
      </c>
      <c r="D2243" s="1" t="s">
        <v>9</v>
      </c>
      <c r="F2243" s="5" t="str">
        <f>HYPERLINK("http://www.otzar.org/book.asp?626391","ניט אויסדערציילן")</f>
        <v>ניט אויסדערציילן</v>
      </c>
    </row>
    <row r="2244" spans="1:6" x14ac:dyDescent="0.2">
      <c r="A2244" t="s">
        <v>4564</v>
      </c>
      <c r="B2244" t="s">
        <v>4565</v>
      </c>
      <c r="C2244" t="s">
        <v>13</v>
      </c>
      <c r="D2244" s="1" t="s">
        <v>14</v>
      </c>
      <c r="E2244" t="s">
        <v>49</v>
      </c>
      <c r="F2244" s="5" t="str">
        <f>HYPERLINK("http://www.otzar.org/book.asp?625892","נימוקי המנחה")</f>
        <v>נימוקי המנחה</v>
      </c>
    </row>
    <row r="2245" spans="1:6" x14ac:dyDescent="0.2">
      <c r="A2245" t="s">
        <v>4566</v>
      </c>
      <c r="B2245" t="s">
        <v>4567</v>
      </c>
      <c r="C2245" t="s">
        <v>190</v>
      </c>
      <c r="D2245" s="1" t="s">
        <v>14</v>
      </c>
      <c r="E2245" t="s">
        <v>49</v>
      </c>
      <c r="F2245" s="5" t="str">
        <f>HYPERLINK("http://www.otzar.org/book.asp?623844","ניצוצי אור החיים הקדוש")</f>
        <v>ניצוצי אור החיים הקדוש</v>
      </c>
    </row>
    <row r="2246" spans="1:6" x14ac:dyDescent="0.2">
      <c r="A2246" t="s">
        <v>4568</v>
      </c>
      <c r="B2246" t="s">
        <v>4569</v>
      </c>
      <c r="C2246" t="s">
        <v>460</v>
      </c>
      <c r="D2246" s="1" t="s">
        <v>9</v>
      </c>
      <c r="E2246" t="s">
        <v>214</v>
      </c>
      <c r="F2246" s="5" t="str">
        <f>HYPERLINK("http://www.otzar.org/book.asp?624584","ניצני ארץ - 2 כר'")</f>
        <v>ניצני ארץ - 2 כר'</v>
      </c>
    </row>
    <row r="2247" spans="1:6" x14ac:dyDescent="0.2">
      <c r="A2247" t="s">
        <v>4570</v>
      </c>
      <c r="B2247" t="s">
        <v>1597</v>
      </c>
      <c r="C2247">
        <v>1996</v>
      </c>
      <c r="D2247" s="1" t="s">
        <v>9</v>
      </c>
      <c r="E2247" t="s">
        <v>49</v>
      </c>
      <c r="F2247" s="5" t="str">
        <f>HYPERLINK("http://www.otzar.org/book.asp?625844","ניצני עוז בימי עברה")</f>
        <v>ניצני עוז בימי עברה</v>
      </c>
    </row>
    <row r="2248" spans="1:6" x14ac:dyDescent="0.2">
      <c r="A2248" t="s">
        <v>4571</v>
      </c>
      <c r="B2248" t="s">
        <v>1686</v>
      </c>
      <c r="C2248" t="s">
        <v>13</v>
      </c>
      <c r="D2248" s="1" t="s">
        <v>14</v>
      </c>
      <c r="F2248" s="5" t="str">
        <f>HYPERLINK("http://www.otzar.org/book.asp?632024","נכח השלחן")</f>
        <v>נכח השלחן</v>
      </c>
    </row>
    <row r="2249" spans="1:6" x14ac:dyDescent="0.2">
      <c r="A2249" t="s">
        <v>4572</v>
      </c>
      <c r="B2249" t="s">
        <v>4573</v>
      </c>
      <c r="C2249" t="s">
        <v>8</v>
      </c>
      <c r="D2249" s="1" t="s">
        <v>9</v>
      </c>
      <c r="E2249" t="s">
        <v>41</v>
      </c>
      <c r="F2249" s="5" t="str">
        <f>HYPERLINK("http://www.otzar.org/book.asp?624842","נמלא טל - שו""ת")</f>
        <v>נמלא טל - שו"ת</v>
      </c>
    </row>
    <row r="2250" spans="1:6" x14ac:dyDescent="0.2">
      <c r="A2250" t="s">
        <v>4574</v>
      </c>
      <c r="B2250" t="s">
        <v>4575</v>
      </c>
      <c r="C2250" t="s">
        <v>8</v>
      </c>
      <c r="D2250" s="1" t="s">
        <v>52</v>
      </c>
      <c r="E2250" t="s">
        <v>89</v>
      </c>
      <c r="F2250" s="5" t="str">
        <f>HYPERLINK("http://www.otzar.org/book.asp?625827","נספר נפלאותיך")</f>
        <v>נספר נפלאותיך</v>
      </c>
    </row>
    <row r="2251" spans="1:6" x14ac:dyDescent="0.2">
      <c r="A2251" t="s">
        <v>4576</v>
      </c>
      <c r="B2251" t="s">
        <v>4577</v>
      </c>
      <c r="C2251" t="s">
        <v>20</v>
      </c>
      <c r="D2251" s="1" t="s">
        <v>29</v>
      </c>
      <c r="E2251" t="s">
        <v>10</v>
      </c>
      <c r="F2251" s="5" t="str">
        <f>HYPERLINK("http://www.otzar.org/book.asp?630106","נעלה ביהודה - מקואות, ידים")</f>
        <v>נעלה ביהודה - מקואות, ידים</v>
      </c>
    </row>
    <row r="2252" spans="1:6" x14ac:dyDescent="0.2">
      <c r="A2252" t="s">
        <v>4578</v>
      </c>
      <c r="B2252" t="s">
        <v>4579</v>
      </c>
      <c r="C2252" t="s">
        <v>13</v>
      </c>
      <c r="D2252" s="1" t="s">
        <v>4580</v>
      </c>
      <c r="E2252" t="s">
        <v>242</v>
      </c>
      <c r="F2252" s="5" t="str">
        <f>HYPERLINK("http://www.otzar.org/book.asp?629377","נעם אמרי - ה")</f>
        <v>נעם אמרי - ה</v>
      </c>
    </row>
    <row r="2253" spans="1:6" x14ac:dyDescent="0.2">
      <c r="A2253" t="s">
        <v>4581</v>
      </c>
      <c r="B2253" t="s">
        <v>4582</v>
      </c>
      <c r="C2253" t="s">
        <v>13</v>
      </c>
      <c r="D2253" s="1" t="s">
        <v>14</v>
      </c>
      <c r="E2253" t="s">
        <v>22</v>
      </c>
      <c r="F2253" s="5" t="str">
        <f>HYPERLINK("http://www.otzar.org/book.asp?627204","נעם יעקב - ערכין ב")</f>
        <v>נעם יעקב - ערכין ב</v>
      </c>
    </row>
    <row r="2254" spans="1:6" x14ac:dyDescent="0.2">
      <c r="A2254" t="s">
        <v>4583</v>
      </c>
      <c r="B2254" t="s">
        <v>2134</v>
      </c>
      <c r="C2254" t="s">
        <v>73</v>
      </c>
      <c r="D2254" s="1" t="s">
        <v>268</v>
      </c>
      <c r="E2254" t="s">
        <v>89</v>
      </c>
      <c r="F2254" s="5" t="str">
        <f>HYPERLINK("http://www.otzar.org/book.asp?626155","נעשה ונשמע")</f>
        <v>נעשה ונשמע</v>
      </c>
    </row>
    <row r="2255" spans="1:6" x14ac:dyDescent="0.2">
      <c r="A2255" t="s">
        <v>4584</v>
      </c>
      <c r="B2255" t="s">
        <v>4585</v>
      </c>
      <c r="C2255" t="s">
        <v>13</v>
      </c>
      <c r="D2255" s="1" t="s">
        <v>803</v>
      </c>
      <c r="F2255" s="5" t="str">
        <f>HYPERLINK("http://www.otzar.org/book.asp?624840","נפלאותיך אשיחה - 2 כר'")</f>
        <v>נפלאותיך אשיחה - 2 כר'</v>
      </c>
    </row>
    <row r="2256" spans="1:6" x14ac:dyDescent="0.2">
      <c r="A2256" t="s">
        <v>4586</v>
      </c>
      <c r="B2256" t="s">
        <v>1754</v>
      </c>
      <c r="C2256" t="s">
        <v>13</v>
      </c>
      <c r="D2256" s="1" t="s">
        <v>14</v>
      </c>
      <c r="E2256" t="s">
        <v>34</v>
      </c>
      <c r="F2256" s="5" t="str">
        <f>HYPERLINK("http://www.otzar.org/book.asp?630237","נפש החיים &lt;לוח הלימוד היומי&gt;")</f>
        <v>נפש החיים &lt;לוח הלימוד היומי&gt;</v>
      </c>
    </row>
    <row r="2257" spans="1:6" x14ac:dyDescent="0.2">
      <c r="A2257" t="s">
        <v>4587</v>
      </c>
      <c r="B2257" t="s">
        <v>4588</v>
      </c>
      <c r="C2257" t="s">
        <v>8</v>
      </c>
      <c r="D2257" s="1" t="s">
        <v>9</v>
      </c>
      <c r="E2257" t="s">
        <v>34</v>
      </c>
      <c r="F2257" s="5" t="str">
        <f>HYPERLINK("http://www.otzar.org/book.asp?625537","נפש החיים עם ביאור משיבת נפש - ד")</f>
        <v>נפש החיים עם ביאור משיבת נפש - ד</v>
      </c>
    </row>
    <row r="2258" spans="1:6" x14ac:dyDescent="0.2">
      <c r="A2258" t="s">
        <v>4589</v>
      </c>
      <c r="B2258" t="s">
        <v>3573</v>
      </c>
      <c r="C2258" t="s">
        <v>818</v>
      </c>
      <c r="D2258" s="1" t="s">
        <v>537</v>
      </c>
      <c r="E2258" t="s">
        <v>34</v>
      </c>
      <c r="F2258" s="5" t="str">
        <f>HYPERLINK("http://www.otzar.org/book.asp?623671","נפש הראי""ה - לשלשה באלול")</f>
        <v>נפש הראי"ה - לשלשה באלול</v>
      </c>
    </row>
    <row r="2259" spans="1:6" x14ac:dyDescent="0.2">
      <c r="A2259" t="s">
        <v>4590</v>
      </c>
      <c r="B2259" t="s">
        <v>1692</v>
      </c>
      <c r="C2259" t="s">
        <v>190</v>
      </c>
      <c r="D2259" s="1" t="s">
        <v>14</v>
      </c>
      <c r="E2259" t="s">
        <v>34</v>
      </c>
      <c r="F2259" s="5" t="str">
        <f>HYPERLINK("http://www.otzar.org/book.asp?629628","נפש חיה")</f>
        <v>נפש חיה</v>
      </c>
    </row>
    <row r="2260" spans="1:6" x14ac:dyDescent="0.2">
      <c r="A2260" t="s">
        <v>4591</v>
      </c>
      <c r="B2260" t="s">
        <v>4592</v>
      </c>
      <c r="C2260" t="s">
        <v>190</v>
      </c>
      <c r="D2260" s="1" t="s">
        <v>14</v>
      </c>
      <c r="E2260" t="s">
        <v>61</v>
      </c>
      <c r="F2260" s="5" t="str">
        <f>HYPERLINK("http://www.otzar.org/book.asp?623238","נפש יחזקאל - 3 כר'")</f>
        <v>נפש יחזקאל - 3 כר'</v>
      </c>
    </row>
    <row r="2261" spans="1:6" x14ac:dyDescent="0.2">
      <c r="A2261" t="s">
        <v>4593</v>
      </c>
      <c r="B2261" t="s">
        <v>4594</v>
      </c>
      <c r="C2261" t="s">
        <v>248</v>
      </c>
      <c r="D2261" s="1" t="s">
        <v>9</v>
      </c>
      <c r="E2261" t="s">
        <v>675</v>
      </c>
      <c r="F2261" s="5" t="str">
        <f>HYPERLINK("http://www.otzar.org/book.asp?623709","נצוצות")</f>
        <v>נצוצות</v>
      </c>
    </row>
    <row r="2262" spans="1:6" x14ac:dyDescent="0.2">
      <c r="A2262" t="s">
        <v>4595</v>
      </c>
      <c r="B2262" t="s">
        <v>4596</v>
      </c>
      <c r="C2262" t="s">
        <v>2674</v>
      </c>
      <c r="D2262" s="1" t="s">
        <v>355</v>
      </c>
      <c r="E2262" t="s">
        <v>108</v>
      </c>
      <c r="F2262" s="5" t="str">
        <f>HYPERLINK("http://www.otzar.org/book.asp?626463","נצחיות הנפש")</f>
        <v>נצחיות הנפש</v>
      </c>
    </row>
    <row r="2263" spans="1:6" x14ac:dyDescent="0.2">
      <c r="A2263" t="s">
        <v>4597</v>
      </c>
      <c r="B2263" t="s">
        <v>2494</v>
      </c>
      <c r="C2263" t="s">
        <v>13</v>
      </c>
      <c r="D2263" s="1" t="s">
        <v>52</v>
      </c>
      <c r="E2263" t="s">
        <v>108</v>
      </c>
      <c r="F2263" s="5" t="str">
        <f>HYPERLINK("http://www.otzar.org/book.asp?625821","נקדמה פניו בתודה")</f>
        <v>נקדמה פניו בתודה</v>
      </c>
    </row>
    <row r="2264" spans="1:6" x14ac:dyDescent="0.2">
      <c r="A2264" t="s">
        <v>4598</v>
      </c>
      <c r="B2264" t="s">
        <v>4599</v>
      </c>
      <c r="C2264" t="s">
        <v>13</v>
      </c>
      <c r="D2264" s="1" t="s">
        <v>52</v>
      </c>
      <c r="E2264" t="s">
        <v>49</v>
      </c>
      <c r="F2264" s="5" t="str">
        <f>HYPERLINK("http://www.otzar.org/book.asp?629739","נקודות אור")</f>
        <v>נקודות אור</v>
      </c>
    </row>
    <row r="2265" spans="1:6" x14ac:dyDescent="0.2">
      <c r="A2265" t="s">
        <v>4600</v>
      </c>
      <c r="B2265" t="s">
        <v>4601</v>
      </c>
      <c r="D2265" s="1" t="s">
        <v>774</v>
      </c>
      <c r="E2265" t="s">
        <v>168</v>
      </c>
      <c r="F2265" s="5" t="str">
        <f>HYPERLINK("http://www.otzar.org/book.asp?625280","נקודות הכסף - שיר השירים")</f>
        <v>נקודות הכסף - שיר השירים</v>
      </c>
    </row>
    <row r="2266" spans="1:6" x14ac:dyDescent="0.2">
      <c r="A2266" t="s">
        <v>4602</v>
      </c>
      <c r="B2266" t="s">
        <v>4603</v>
      </c>
      <c r="C2266" t="s">
        <v>14</v>
      </c>
      <c r="D2266" s="1" t="s">
        <v>383</v>
      </c>
      <c r="E2266" t="s">
        <v>22</v>
      </c>
      <c r="F2266" s="5" t="str">
        <f>HYPERLINK("http://www.otzar.org/book.asp?629293","נר דולק")</f>
        <v>נר דולק</v>
      </c>
    </row>
    <row r="2267" spans="1:6" x14ac:dyDescent="0.2">
      <c r="A2267" t="s">
        <v>4604</v>
      </c>
      <c r="B2267" t="s">
        <v>4605</v>
      </c>
      <c r="C2267" t="s">
        <v>20</v>
      </c>
      <c r="D2267" s="1" t="s">
        <v>2484</v>
      </c>
      <c r="E2267" t="s">
        <v>538</v>
      </c>
      <c r="F2267" s="5" t="str">
        <f>HYPERLINK("http://www.otzar.org/book.asp?626268","נר המאיר")</f>
        <v>נר המאיר</v>
      </c>
    </row>
    <row r="2268" spans="1:6" x14ac:dyDescent="0.2">
      <c r="A2268" t="s">
        <v>4606</v>
      </c>
      <c r="B2268" t="s">
        <v>954</v>
      </c>
      <c r="D2268" s="1" t="s">
        <v>14</v>
      </c>
      <c r="E2268" t="s">
        <v>154</v>
      </c>
      <c r="F2268" s="5" t="str">
        <f>HYPERLINK("http://www.otzar.org/book.asp?628727","נר והלל")</f>
        <v>נר והלל</v>
      </c>
    </row>
    <row r="2269" spans="1:6" x14ac:dyDescent="0.2">
      <c r="A2269" t="s">
        <v>4607</v>
      </c>
      <c r="B2269" t="s">
        <v>4608</v>
      </c>
      <c r="C2269" t="s">
        <v>73</v>
      </c>
      <c r="D2269" s="1" t="s">
        <v>14</v>
      </c>
      <c r="E2269" t="s">
        <v>49</v>
      </c>
      <c r="F2269" s="5" t="str">
        <f>HYPERLINK("http://www.otzar.org/book.asp?626913","נר חוה - 3 כר'")</f>
        <v>נר חוה - 3 כר'</v>
      </c>
    </row>
    <row r="2270" spans="1:6" x14ac:dyDescent="0.2">
      <c r="A2270" t="s">
        <v>4609</v>
      </c>
      <c r="B2270" t="s">
        <v>4610</v>
      </c>
      <c r="C2270" t="s">
        <v>133</v>
      </c>
      <c r="D2270" s="1" t="s">
        <v>4611</v>
      </c>
      <c r="E2270" t="s">
        <v>214</v>
      </c>
      <c r="F2270" s="5" t="str">
        <f>HYPERLINK("http://www.otzar.org/book.asp?626023","נר ישראל יעקב - 3 כר'")</f>
        <v>נר ישראל יעקב - 3 כר'</v>
      </c>
    </row>
    <row r="2271" spans="1:6" x14ac:dyDescent="0.2">
      <c r="A2271" t="s">
        <v>4609</v>
      </c>
      <c r="B2271" t="s">
        <v>4612</v>
      </c>
      <c r="C2271" t="s">
        <v>383</v>
      </c>
      <c r="D2271" s="1" t="s">
        <v>4611</v>
      </c>
      <c r="E2271" t="s">
        <v>37</v>
      </c>
      <c r="F2271" s="5" t="str">
        <f>HYPERLINK("http://www.otzar.org/book.asp?626017","נר ישראל יעקב - 3 כר'")</f>
        <v>נר ישראל יעקב - 3 כר'</v>
      </c>
    </row>
    <row r="2272" spans="1:6" x14ac:dyDescent="0.2">
      <c r="A2272" t="s">
        <v>4613</v>
      </c>
      <c r="B2272" t="s">
        <v>4614</v>
      </c>
      <c r="C2272" t="s">
        <v>13</v>
      </c>
      <c r="D2272" s="1" t="s">
        <v>52</v>
      </c>
      <c r="E2272" t="s">
        <v>836</v>
      </c>
      <c r="F2272" s="5" t="str">
        <f>HYPERLINK("http://www.otzar.org/book.asp?628768","נר לצדיק - ה דברים")</f>
        <v>נר לצדיק - ה דברים</v>
      </c>
    </row>
    <row r="2273" spans="1:6" x14ac:dyDescent="0.2">
      <c r="A2273" t="s">
        <v>4615</v>
      </c>
      <c r="B2273" t="s">
        <v>4616</v>
      </c>
      <c r="C2273" t="s">
        <v>25</v>
      </c>
      <c r="D2273" s="1" t="s">
        <v>52</v>
      </c>
      <c r="E2273" t="s">
        <v>1334</v>
      </c>
      <c r="F2273" s="5" t="str">
        <f>HYPERLINK("http://www.otzar.org/book.asp?631104","נר לרגלי דברך")</f>
        <v>נר לרגלי דברך</v>
      </c>
    </row>
    <row r="2274" spans="1:6" x14ac:dyDescent="0.2">
      <c r="A2274" t="s">
        <v>4617</v>
      </c>
      <c r="B2274" t="s">
        <v>1116</v>
      </c>
      <c r="C2274" t="s">
        <v>8</v>
      </c>
      <c r="D2274" s="1" t="s">
        <v>803</v>
      </c>
      <c r="E2274" t="s">
        <v>671</v>
      </c>
      <c r="F2274" s="5" t="str">
        <f>HYPERLINK("http://www.otzar.org/book.asp?623587","נר לרגלי - חנוכה")</f>
        <v>נר לרגלי - חנוכה</v>
      </c>
    </row>
    <row r="2275" spans="1:6" x14ac:dyDescent="0.2">
      <c r="A2275" t="s">
        <v>4618</v>
      </c>
      <c r="B2275" t="s">
        <v>4619</v>
      </c>
      <c r="C2275" t="s">
        <v>148</v>
      </c>
      <c r="D2275" s="1" t="s">
        <v>9</v>
      </c>
      <c r="E2275" t="s">
        <v>4620</v>
      </c>
      <c r="F2275" s="5" t="str">
        <f>HYPERLINK("http://www.otzar.org/book.asp?624793","נר מערבי - י")</f>
        <v>נר מערבי - י</v>
      </c>
    </row>
    <row r="2276" spans="1:6" x14ac:dyDescent="0.2">
      <c r="A2276" t="s">
        <v>4621</v>
      </c>
      <c r="B2276" t="s">
        <v>4622</v>
      </c>
      <c r="C2276" t="s">
        <v>3056</v>
      </c>
      <c r="D2276" s="1" t="s">
        <v>4623</v>
      </c>
      <c r="E2276" t="s">
        <v>89</v>
      </c>
      <c r="F2276" s="5" t="str">
        <f>HYPERLINK("http://www.otzar.org/book.asp?624740","נר מצוה")</f>
        <v>נר מצוה</v>
      </c>
    </row>
    <row r="2277" spans="1:6" x14ac:dyDescent="0.2">
      <c r="A2277" t="s">
        <v>4624</v>
      </c>
      <c r="B2277" t="s">
        <v>4625</v>
      </c>
      <c r="D2277" s="1" t="s">
        <v>9</v>
      </c>
      <c r="E2277" t="s">
        <v>49</v>
      </c>
      <c r="F2277" s="5" t="str">
        <f>HYPERLINK("http://www.otzar.org/book.asp?624756","נרות המערכה")</f>
        <v>נרות המערכה</v>
      </c>
    </row>
    <row r="2278" spans="1:6" x14ac:dyDescent="0.2">
      <c r="A2278" t="s">
        <v>4626</v>
      </c>
      <c r="B2278" t="s">
        <v>4627</v>
      </c>
      <c r="C2278" t="s">
        <v>13</v>
      </c>
      <c r="D2278" s="1" t="s">
        <v>9</v>
      </c>
      <c r="E2278" t="s">
        <v>168</v>
      </c>
      <c r="F2278" s="5" t="str">
        <f>HYPERLINK("http://www.otzar.org/book.asp?626745","נשיא יששכר - 2 כר'")</f>
        <v>נשיא יששכר - 2 כר'</v>
      </c>
    </row>
    <row r="2279" spans="1:6" x14ac:dyDescent="0.2">
      <c r="A2279" t="s">
        <v>4628</v>
      </c>
      <c r="B2279" t="s">
        <v>4629</v>
      </c>
      <c r="C2279" t="s">
        <v>157</v>
      </c>
      <c r="D2279" s="1" t="s">
        <v>2349</v>
      </c>
      <c r="E2279" t="s">
        <v>214</v>
      </c>
      <c r="F2279" s="5" t="str">
        <f>HYPERLINK("http://www.otzar.org/book.asp?623672","נשמה של שבת")</f>
        <v>נשמה של שבת</v>
      </c>
    </row>
    <row r="2280" spans="1:6" x14ac:dyDescent="0.2">
      <c r="A2280" t="s">
        <v>4630</v>
      </c>
      <c r="B2280" t="s">
        <v>4631</v>
      </c>
      <c r="D2280" s="1" t="s">
        <v>774</v>
      </c>
      <c r="E2280" t="s">
        <v>4632</v>
      </c>
      <c r="F2280" s="5" t="str">
        <f>HYPERLINK("http://www.otzar.org/book.asp?624714","נשמת חיים")</f>
        <v>נשמת חיים</v>
      </c>
    </row>
    <row r="2281" spans="1:6" x14ac:dyDescent="0.2">
      <c r="A2281" t="s">
        <v>4633</v>
      </c>
      <c r="B2281" t="s">
        <v>4634</v>
      </c>
      <c r="C2281" t="s">
        <v>136</v>
      </c>
      <c r="D2281" s="1" t="s">
        <v>471</v>
      </c>
      <c r="E2281" t="s">
        <v>44</v>
      </c>
      <c r="F2281" s="5" t="str">
        <f>HYPERLINK("http://www.otzar.org/book.asp?629296","נשמת חיים - 4 כר'")</f>
        <v>נשמת חיים - 4 כר'</v>
      </c>
    </row>
    <row r="2282" spans="1:6" x14ac:dyDescent="0.2">
      <c r="A2282" t="s">
        <v>4635</v>
      </c>
      <c r="B2282" t="s">
        <v>4636</v>
      </c>
      <c r="C2282" t="s">
        <v>133</v>
      </c>
      <c r="D2282" s="1" t="s">
        <v>9</v>
      </c>
      <c r="E2282" t="s">
        <v>731</v>
      </c>
      <c r="F2282" s="5" t="str">
        <f>HYPERLINK("http://www.otzar.org/book.asp?629973","נשמתא דצלותא")</f>
        <v>נשמתא דצלותא</v>
      </c>
    </row>
    <row r="2283" spans="1:6" x14ac:dyDescent="0.2">
      <c r="A2283" t="s">
        <v>4637</v>
      </c>
      <c r="B2283" t="s">
        <v>4638</v>
      </c>
      <c r="C2283" t="s">
        <v>13</v>
      </c>
      <c r="D2283" s="1" t="s">
        <v>9</v>
      </c>
      <c r="E2283" t="s">
        <v>22</v>
      </c>
      <c r="F2283" s="5" t="str">
        <f>HYPERLINK("http://www.otzar.org/book.asp?628769","נתיב בינה - ברכות")</f>
        <v>נתיב בינה - ברכות</v>
      </c>
    </row>
    <row r="2284" spans="1:6" x14ac:dyDescent="0.2">
      <c r="A2284" t="s">
        <v>4639</v>
      </c>
      <c r="B2284" t="s">
        <v>715</v>
      </c>
      <c r="C2284" t="s">
        <v>25</v>
      </c>
      <c r="D2284" s="1" t="s">
        <v>716</v>
      </c>
      <c r="E2284" t="s">
        <v>22</v>
      </c>
      <c r="F2284" s="5" t="str">
        <f>HYPERLINK("http://www.otzar.org/book.asp?629554","נתיב גבוה - יבמות")</f>
        <v>נתיב גבוה - יבמות</v>
      </c>
    </row>
    <row r="2285" spans="1:6" x14ac:dyDescent="0.2">
      <c r="A2285" t="s">
        <v>4640</v>
      </c>
      <c r="B2285" t="s">
        <v>4641</v>
      </c>
      <c r="C2285" t="s">
        <v>1066</v>
      </c>
      <c r="D2285" s="1" t="s">
        <v>9</v>
      </c>
      <c r="E2285" t="s">
        <v>37</v>
      </c>
      <c r="F2285" s="5" t="str">
        <f>HYPERLINK("http://www.otzar.org/book.asp?624565","נתיב לגר")</f>
        <v>נתיב לגר</v>
      </c>
    </row>
    <row r="2286" spans="1:6" x14ac:dyDescent="0.2">
      <c r="A2286" t="s">
        <v>4642</v>
      </c>
      <c r="B2286" t="s">
        <v>4643</v>
      </c>
      <c r="C2286" t="s">
        <v>4644</v>
      </c>
      <c r="D2286" s="1" t="s">
        <v>48</v>
      </c>
      <c r="E2286" t="s">
        <v>295</v>
      </c>
      <c r="F2286" s="5" t="str">
        <f>HYPERLINK("http://www.otzar.org/book.asp?626509","נתיב לחיי עולם")</f>
        <v>נתיב לחיי עולם</v>
      </c>
    </row>
    <row r="2287" spans="1:6" x14ac:dyDescent="0.2">
      <c r="A2287" t="s">
        <v>4645</v>
      </c>
      <c r="B2287" t="s">
        <v>4646</v>
      </c>
      <c r="C2287" t="s">
        <v>20</v>
      </c>
      <c r="D2287" s="1" t="s">
        <v>29</v>
      </c>
      <c r="E2287" t="s">
        <v>22</v>
      </c>
      <c r="F2287" s="5" t="str">
        <f>HYPERLINK("http://www.otzar.org/book.asp?623361","נתיב מאיר - יבמות")</f>
        <v>נתיב מאיר - יבמות</v>
      </c>
    </row>
    <row r="2288" spans="1:6" x14ac:dyDescent="0.2">
      <c r="A2288" t="s">
        <v>4647</v>
      </c>
      <c r="B2288" t="s">
        <v>4648</v>
      </c>
      <c r="C2288" t="s">
        <v>383</v>
      </c>
      <c r="D2288" s="1" t="s">
        <v>14</v>
      </c>
      <c r="E2288" t="s">
        <v>168</v>
      </c>
      <c r="F2288" s="5" t="str">
        <f>HYPERLINK("http://www.otzar.org/book.asp?625947","נתיב רפאל")</f>
        <v>נתיב רפאל</v>
      </c>
    </row>
    <row r="2289" spans="1:6" x14ac:dyDescent="0.2">
      <c r="A2289" t="s">
        <v>4649</v>
      </c>
      <c r="B2289" t="s">
        <v>4650</v>
      </c>
      <c r="E2289" t="s">
        <v>214</v>
      </c>
      <c r="F2289" s="5" t="str">
        <f>HYPERLINK("http://www.otzar.org/book.asp?627339","נתיבה")</f>
        <v>נתיבה</v>
      </c>
    </row>
    <row r="2290" spans="1:6" x14ac:dyDescent="0.2">
      <c r="A2290" t="s">
        <v>4651</v>
      </c>
      <c r="B2290" t="s">
        <v>4652</v>
      </c>
      <c r="C2290" t="s">
        <v>20</v>
      </c>
      <c r="D2290" s="1" t="s">
        <v>9</v>
      </c>
      <c r="F2290" s="5" t="str">
        <f>HYPERLINK("http://www.otzar.org/book.asp?630768","נתיבות אברהם  - הבונה")</f>
        <v>נתיבות אברהם  - הבונה</v>
      </c>
    </row>
    <row r="2291" spans="1:6" x14ac:dyDescent="0.2">
      <c r="A2291" t="s">
        <v>4653</v>
      </c>
      <c r="B2291" t="s">
        <v>4654</v>
      </c>
      <c r="E2291" t="s">
        <v>49</v>
      </c>
      <c r="F2291" s="5" t="str">
        <f>HYPERLINK("http://www.otzar.org/book.asp?622612","נתיבות אשר - מאמרים")</f>
        <v>נתיבות אשר - מאמרים</v>
      </c>
    </row>
    <row r="2292" spans="1:6" x14ac:dyDescent="0.2">
      <c r="A2292" t="s">
        <v>4655</v>
      </c>
      <c r="B2292" t="s">
        <v>4656</v>
      </c>
      <c r="C2292" t="s">
        <v>13</v>
      </c>
      <c r="D2292" s="1" t="s">
        <v>803</v>
      </c>
      <c r="E2292" t="s">
        <v>22</v>
      </c>
      <c r="F2292" s="5" t="str">
        <f>HYPERLINK("http://www.otzar.org/book.asp?627549","נתיבות בסוגיות - יבמות")</f>
        <v>נתיבות בסוגיות - יבמות</v>
      </c>
    </row>
    <row r="2293" spans="1:6" x14ac:dyDescent="0.2">
      <c r="A2293" t="s">
        <v>4657</v>
      </c>
      <c r="B2293" t="s">
        <v>4658</v>
      </c>
      <c r="C2293" t="s">
        <v>13</v>
      </c>
      <c r="D2293" s="1" t="s">
        <v>9</v>
      </c>
      <c r="E2293" t="s">
        <v>22</v>
      </c>
      <c r="F2293" s="5" t="str">
        <f>HYPERLINK("http://www.otzar.org/book.asp?629838","נתיבות הברכה")</f>
        <v>נתיבות הברכה</v>
      </c>
    </row>
    <row r="2294" spans="1:6" x14ac:dyDescent="0.2">
      <c r="A2294" t="s">
        <v>4659</v>
      </c>
      <c r="B2294" t="s">
        <v>4660</v>
      </c>
      <c r="C2294" t="s">
        <v>460</v>
      </c>
      <c r="D2294" s="1" t="s">
        <v>9</v>
      </c>
      <c r="E2294" t="s">
        <v>242</v>
      </c>
      <c r="F2294" s="5" t="str">
        <f>HYPERLINK("http://www.otzar.org/book.asp?623597","נתיבות הכשרות -")</f>
        <v>נתיבות הכשרות -</v>
      </c>
    </row>
    <row r="2295" spans="1:6" x14ac:dyDescent="0.2">
      <c r="A2295" t="s">
        <v>4661</v>
      </c>
      <c r="B2295" t="s">
        <v>4662</v>
      </c>
      <c r="C2295" t="s">
        <v>136</v>
      </c>
      <c r="D2295" s="1" t="s">
        <v>52</v>
      </c>
      <c r="E2295" t="s">
        <v>22</v>
      </c>
      <c r="F2295" s="5" t="str">
        <f>HYPERLINK("http://www.otzar.org/book.asp?626213","נתיבות משה - איזהו נשך א")</f>
        <v>נתיבות משה - איזהו נשך א</v>
      </c>
    </row>
    <row r="2296" spans="1:6" x14ac:dyDescent="0.2">
      <c r="A2296" t="s">
        <v>4663</v>
      </c>
      <c r="B2296" t="s">
        <v>4664</v>
      </c>
      <c r="C2296" t="s">
        <v>4665</v>
      </c>
      <c r="D2296" s="1" t="s">
        <v>48</v>
      </c>
      <c r="E2296" t="s">
        <v>34</v>
      </c>
      <c r="F2296" s="5" t="str">
        <f>HYPERLINK("http://www.otzar.org/book.asp?624810","נתיבות עולם")</f>
        <v>נתיבות עולם</v>
      </c>
    </row>
    <row r="2297" spans="1:6" x14ac:dyDescent="0.2">
      <c r="A2297" t="s">
        <v>4666</v>
      </c>
      <c r="B2297" t="s">
        <v>210</v>
      </c>
      <c r="C2297" t="s">
        <v>8</v>
      </c>
      <c r="D2297" s="1" t="s">
        <v>14</v>
      </c>
      <c r="E2297" t="s">
        <v>34</v>
      </c>
      <c r="F2297" s="5" t="str">
        <f>HYPERLINK("http://www.otzar.org/book.asp?626237","נתיבות שמואל - 3 כר'")</f>
        <v>נתיבות שמואל - 3 כר'</v>
      </c>
    </row>
    <row r="2298" spans="1:6" x14ac:dyDescent="0.2">
      <c r="A2298" t="s">
        <v>4667</v>
      </c>
      <c r="B2298" t="s">
        <v>4668</v>
      </c>
      <c r="C2298" t="s">
        <v>13</v>
      </c>
      <c r="D2298" s="1" t="s">
        <v>52</v>
      </c>
      <c r="E2298" t="s">
        <v>10</v>
      </c>
      <c r="F2298" s="5" t="str">
        <f>HYPERLINK("http://www.otzar.org/book.asp?628770","נתיבי דעת - 2 כר'")</f>
        <v>נתיבי דעת - 2 כר'</v>
      </c>
    </row>
    <row r="2299" spans="1:6" x14ac:dyDescent="0.2">
      <c r="A2299" t="s">
        <v>4669</v>
      </c>
      <c r="B2299" t="s">
        <v>4670</v>
      </c>
      <c r="C2299" t="s">
        <v>73</v>
      </c>
      <c r="D2299" s="1" t="s">
        <v>3638</v>
      </c>
      <c r="E2299" t="s">
        <v>375</v>
      </c>
      <c r="F2299" s="5" t="str">
        <f>HYPERLINK("http://www.otzar.org/book.asp?629914","נתיבי הלכה - 2 כר'")</f>
        <v>נתיבי הלכה - 2 כר'</v>
      </c>
    </row>
    <row r="2300" spans="1:6" x14ac:dyDescent="0.2">
      <c r="A2300" t="s">
        <v>4671</v>
      </c>
      <c r="B2300" t="s">
        <v>4672</v>
      </c>
      <c r="C2300" t="s">
        <v>1755</v>
      </c>
      <c r="D2300" s="1" t="s">
        <v>14</v>
      </c>
      <c r="E2300" t="s">
        <v>168</v>
      </c>
      <c r="F2300" s="5" t="str">
        <f>HYPERLINK("http://www.otzar.org/book.asp?627823","נתיבי חיים - ה דברים א")</f>
        <v>נתיבי חיים - ה דברים א</v>
      </c>
    </row>
    <row r="2301" spans="1:6" x14ac:dyDescent="0.2">
      <c r="A2301" t="s">
        <v>4673</v>
      </c>
      <c r="B2301" t="s">
        <v>4674</v>
      </c>
      <c r="C2301" t="s">
        <v>73</v>
      </c>
      <c r="D2301" s="1" t="s">
        <v>9</v>
      </c>
      <c r="E2301" t="s">
        <v>108</v>
      </c>
      <c r="F2301" s="5" t="str">
        <f>HYPERLINK("http://www.otzar.org/book.asp?624829","נתיבי ריפוי")</f>
        <v>נתיבי ריפוי</v>
      </c>
    </row>
    <row r="2302" spans="1:6" x14ac:dyDescent="0.2">
      <c r="A2302" t="s">
        <v>4675</v>
      </c>
      <c r="B2302" t="s">
        <v>4676</v>
      </c>
      <c r="C2302" t="s">
        <v>13</v>
      </c>
      <c r="D2302" s="1" t="s">
        <v>1375</v>
      </c>
      <c r="E2302" t="s">
        <v>22</v>
      </c>
      <c r="F2302" s="5" t="str">
        <f>HYPERLINK("http://www.otzar.org/book.asp?629994","נתן דברו - 3 כר'")</f>
        <v>נתן דברו - 3 כר'</v>
      </c>
    </row>
    <row r="2303" spans="1:6" x14ac:dyDescent="0.2">
      <c r="A2303" t="s">
        <v>4677</v>
      </c>
      <c r="B2303" t="s">
        <v>3379</v>
      </c>
      <c r="C2303" t="s">
        <v>190</v>
      </c>
      <c r="D2303" s="1" t="s">
        <v>14</v>
      </c>
      <c r="E2303" t="s">
        <v>22</v>
      </c>
      <c r="F2303" s="5" t="str">
        <f>HYPERLINK("http://www.otzar.org/book.asp?631554","נתן פריו - 7 כר'")</f>
        <v>נתן פריו - 7 כר'</v>
      </c>
    </row>
    <row r="2304" spans="1:6" x14ac:dyDescent="0.2">
      <c r="A2304" t="s">
        <v>4678</v>
      </c>
      <c r="B2304" t="s">
        <v>4679</v>
      </c>
      <c r="C2304" t="s">
        <v>13</v>
      </c>
      <c r="D2304" s="1" t="s">
        <v>14</v>
      </c>
      <c r="E2304" t="s">
        <v>22</v>
      </c>
      <c r="F2304" s="5" t="str">
        <f>HYPERLINK("http://www.otzar.org/book.asp?628772","סגן הכהנים")</f>
        <v>סגן הכהנים</v>
      </c>
    </row>
    <row r="2305" spans="1:6" x14ac:dyDescent="0.2">
      <c r="A2305" t="s">
        <v>4680</v>
      </c>
      <c r="B2305" t="s">
        <v>4681</v>
      </c>
      <c r="C2305" t="s">
        <v>190</v>
      </c>
      <c r="D2305" s="1" t="s">
        <v>14</v>
      </c>
      <c r="E2305" t="s">
        <v>731</v>
      </c>
      <c r="F2305" s="5" t="str">
        <f>HYPERLINK("http://www.otzar.org/book.asp?624884","סדור תפילה &lt;מנחת יהודה&gt; - שבת קודש")</f>
        <v>סדור תפילה &lt;מנחת יהודה&gt; - שבת קודש</v>
      </c>
    </row>
    <row r="2306" spans="1:6" x14ac:dyDescent="0.2">
      <c r="A2306" t="s">
        <v>4682</v>
      </c>
      <c r="B2306" t="s">
        <v>4683</v>
      </c>
      <c r="C2306">
        <v>1925</v>
      </c>
      <c r="D2306" s="1" t="s">
        <v>29</v>
      </c>
      <c r="E2306" t="s">
        <v>295</v>
      </c>
      <c r="F2306" s="5" t="str">
        <f>HYPERLINK("http://www.otzar.org/book.asp?626316","סדור תפלות לשבת ויום טוב")</f>
        <v>סדור תפלות לשבת ויום טוב</v>
      </c>
    </row>
    <row r="2307" spans="1:6" x14ac:dyDescent="0.2">
      <c r="A2307" t="s">
        <v>4684</v>
      </c>
      <c r="C2307" t="s">
        <v>133</v>
      </c>
      <c r="D2307" s="1" t="s">
        <v>14</v>
      </c>
      <c r="E2307" t="s">
        <v>89</v>
      </c>
      <c r="F2307" s="5" t="str">
        <f>HYPERLINK("http://www.otzar.org/book.asp?623968","סדר הדלקת נר חנוכה עם פסקי בעל המנחת יצחק")</f>
        <v>סדר הדלקת נר חנוכה עם פסקי בעל המנחת יצחק</v>
      </c>
    </row>
    <row r="2308" spans="1:6" x14ac:dyDescent="0.2">
      <c r="A2308" t="s">
        <v>4685</v>
      </c>
      <c r="B2308" t="s">
        <v>4686</v>
      </c>
      <c r="C2308" t="s">
        <v>8</v>
      </c>
      <c r="D2308" s="1" t="s">
        <v>14</v>
      </c>
      <c r="E2308" t="s">
        <v>171</v>
      </c>
      <c r="F2308" s="5" t="str">
        <f>HYPERLINK("http://www.otzar.org/book.asp?623232","סדר ההושענות עם פירוש המילים וביאורים")</f>
        <v>סדר ההושענות עם פירוש המילים וביאורים</v>
      </c>
    </row>
    <row r="2309" spans="1:6" x14ac:dyDescent="0.2">
      <c r="A2309" t="s">
        <v>4687</v>
      </c>
      <c r="B2309" t="s">
        <v>677</v>
      </c>
      <c r="C2309" t="s">
        <v>206</v>
      </c>
      <c r="D2309" s="1" t="s">
        <v>9</v>
      </c>
      <c r="E2309" t="s">
        <v>171</v>
      </c>
      <c r="F2309" s="5" t="str">
        <f>HYPERLINK("http://www.otzar.org/book.asp?625509","סדר הושענות הבהיר")</f>
        <v>סדר הושענות הבהיר</v>
      </c>
    </row>
    <row r="2310" spans="1:6" x14ac:dyDescent="0.2">
      <c r="A2310" t="s">
        <v>4688</v>
      </c>
      <c r="B2310" t="s">
        <v>4689</v>
      </c>
      <c r="C2310" t="s">
        <v>13</v>
      </c>
      <c r="D2310" s="1" t="s">
        <v>607</v>
      </c>
      <c r="E2310" t="s">
        <v>199</v>
      </c>
      <c r="F2310" s="5" t="str">
        <f>HYPERLINK("http://www.otzar.org/book.asp?627249","סדר החיים")</f>
        <v>סדר החיים</v>
      </c>
    </row>
    <row r="2311" spans="1:6" x14ac:dyDescent="0.2">
      <c r="A2311" t="s">
        <v>4690</v>
      </c>
      <c r="B2311" t="s">
        <v>4691</v>
      </c>
      <c r="C2311" t="s">
        <v>4692</v>
      </c>
      <c r="D2311" s="1" t="s">
        <v>3792</v>
      </c>
      <c r="E2311" t="s">
        <v>37</v>
      </c>
      <c r="F2311" s="5" t="str">
        <f>HYPERLINK("http://www.otzar.org/book.asp?624773","סדר היום")</f>
        <v>סדר היום</v>
      </c>
    </row>
    <row r="2312" spans="1:6" x14ac:dyDescent="0.2">
      <c r="A2312" t="s">
        <v>4693</v>
      </c>
      <c r="B2312" t="s">
        <v>4694</v>
      </c>
      <c r="C2312" t="s">
        <v>1568</v>
      </c>
      <c r="D2312" s="1" t="s">
        <v>9</v>
      </c>
      <c r="E2312" t="s">
        <v>295</v>
      </c>
      <c r="F2312" s="5" t="str">
        <f>HYPERLINK("http://www.otzar.org/book.asp?626367","סדר הקאפיטליך")</f>
        <v>סדר הקאפיטליך</v>
      </c>
    </row>
    <row r="2313" spans="1:6" x14ac:dyDescent="0.2">
      <c r="A2313" t="s">
        <v>4695</v>
      </c>
      <c r="B2313" t="s">
        <v>4696</v>
      </c>
      <c r="C2313" t="s">
        <v>1026</v>
      </c>
      <c r="D2313" s="1" t="s">
        <v>64</v>
      </c>
      <c r="E2313" t="s">
        <v>171</v>
      </c>
      <c r="F2313" s="5" t="str">
        <f>HYPERLINK("http://www.otzar.org/book.asp?626418","סדר הקפות, הקרבנות ואושפיזין על פי נוסח צאנז")</f>
        <v>סדר הקפות, הקרבנות ואושפיזין על פי נוסח צאנז</v>
      </c>
    </row>
    <row r="2314" spans="1:6" x14ac:dyDescent="0.2">
      <c r="A2314" t="s">
        <v>4697</v>
      </c>
      <c r="B2314" t="s">
        <v>4698</v>
      </c>
      <c r="C2314" t="s">
        <v>136</v>
      </c>
      <c r="D2314" s="1" t="s">
        <v>9</v>
      </c>
      <c r="E2314" t="s">
        <v>37</v>
      </c>
      <c r="F2314" s="5" t="str">
        <f>HYPERLINK("http://www.otzar.org/book.asp?630590","סדר הרבית - 2 כר'")</f>
        <v>סדר הרבית - 2 כר'</v>
      </c>
    </row>
    <row r="2315" spans="1:6" x14ac:dyDescent="0.2">
      <c r="A2315" t="s">
        <v>4699</v>
      </c>
      <c r="B2315" t="s">
        <v>4700</v>
      </c>
      <c r="C2315" t="s">
        <v>1066</v>
      </c>
      <c r="D2315" s="1" t="s">
        <v>151</v>
      </c>
      <c r="E2315" t="s">
        <v>37</v>
      </c>
      <c r="F2315" s="5" t="str">
        <f>HYPERLINK("http://www.otzar.org/book.asp?623499","סדר השביעית - 2 כר'")</f>
        <v>סדר השביעית - 2 כר'</v>
      </c>
    </row>
    <row r="2316" spans="1:6" x14ac:dyDescent="0.2">
      <c r="A2316" t="s">
        <v>4701</v>
      </c>
      <c r="B2316" t="s">
        <v>4702</v>
      </c>
      <c r="D2316" s="1" t="s">
        <v>29</v>
      </c>
      <c r="E2316" t="s">
        <v>171</v>
      </c>
      <c r="F2316" s="5" t="str">
        <f>HYPERLINK("http://www.otzar.org/book.asp?624741","סדר זמירות לשבת &lt;עונג ושמחה לשבת&gt;")</f>
        <v>סדר זמירות לשבת &lt;עונג ושמחה לשבת&gt;</v>
      </c>
    </row>
    <row r="2317" spans="1:6" x14ac:dyDescent="0.2">
      <c r="A2317" t="s">
        <v>4703</v>
      </c>
      <c r="B2317" t="s">
        <v>4704</v>
      </c>
      <c r="C2317" t="s">
        <v>13</v>
      </c>
      <c r="D2317" s="1" t="s">
        <v>557</v>
      </c>
      <c r="E2317" t="s">
        <v>171</v>
      </c>
      <c r="F2317" s="5" t="str">
        <f>HYPERLINK("http://www.otzar.org/book.asp?622516","סדר זמירות לשבת קודש &lt;מעשה אבותי&gt;")</f>
        <v>סדר זמירות לשבת קודש &lt;מעשה אבותי&gt;</v>
      </c>
    </row>
    <row r="2318" spans="1:6" x14ac:dyDescent="0.2">
      <c r="A2318" t="s">
        <v>4705</v>
      </c>
      <c r="B2318" t="s">
        <v>4706</v>
      </c>
      <c r="C2318" t="s">
        <v>8</v>
      </c>
      <c r="D2318" s="1" t="s">
        <v>14</v>
      </c>
      <c r="E2318" t="s">
        <v>295</v>
      </c>
      <c r="F2318" s="5" t="str">
        <f>HYPERLINK("http://www.otzar.org/book.asp?623525","סדר יום כיפור קטן עם ביאורים ממרן הגר""ח קנייבסקי")</f>
        <v>סדר יום כיפור קטן עם ביאורים ממרן הגר"ח קנייבסקי</v>
      </c>
    </row>
    <row r="2319" spans="1:6" x14ac:dyDescent="0.2">
      <c r="A2319" t="s">
        <v>4707</v>
      </c>
      <c r="E2319" t="s">
        <v>295</v>
      </c>
      <c r="F2319" s="5" t="str">
        <f>HYPERLINK("http://www.otzar.org/book.asp?626594","סדר יום כפור קטן")</f>
        <v>סדר יום כפור קטן</v>
      </c>
    </row>
    <row r="2320" spans="1:6" x14ac:dyDescent="0.2">
      <c r="A2320" t="s">
        <v>4708</v>
      </c>
      <c r="B2320" t="s">
        <v>4709</v>
      </c>
      <c r="E2320" t="s">
        <v>171</v>
      </c>
      <c r="F2320" s="5" t="str">
        <f>HYPERLINK("http://www.otzar.org/book.asp?626587","סדר יוצרות עם קרובץ לפורים")</f>
        <v>סדר יוצרות עם קרובץ לפורים</v>
      </c>
    </row>
    <row r="2321" spans="1:6" x14ac:dyDescent="0.2">
      <c r="A2321" t="s">
        <v>4710</v>
      </c>
      <c r="B2321" t="s">
        <v>4711</v>
      </c>
      <c r="F2321" s="5" t="str">
        <f>HYPERLINK("http://www.otzar.org/book.asp?628759","סדר כונת ברכת הסוכה וסדר הקפות לשמחת תורה")</f>
        <v>סדר כונת ברכת הסוכה וסדר הקפות לשמחת תורה</v>
      </c>
    </row>
    <row r="2322" spans="1:6" x14ac:dyDescent="0.2">
      <c r="A2322" t="s">
        <v>4712</v>
      </c>
      <c r="B2322" t="s">
        <v>4713</v>
      </c>
      <c r="C2322" t="s">
        <v>4714</v>
      </c>
      <c r="D2322" s="1" t="s">
        <v>9</v>
      </c>
      <c r="E2322" t="s">
        <v>171</v>
      </c>
      <c r="F2322" s="5" t="str">
        <f>HYPERLINK("http://www.otzar.org/book.asp?626366","סדר ליל ר""ה")</f>
        <v>סדר ליל ר"ה</v>
      </c>
    </row>
    <row r="2323" spans="1:6" x14ac:dyDescent="0.2">
      <c r="A2323" t="s">
        <v>4715</v>
      </c>
      <c r="B2323" t="s">
        <v>4716</v>
      </c>
      <c r="C2323" t="s">
        <v>8</v>
      </c>
      <c r="D2323" s="1" t="s">
        <v>9</v>
      </c>
      <c r="E2323" t="s">
        <v>401</v>
      </c>
      <c r="F2323" s="5" t="str">
        <f>HYPERLINK("http://www.otzar.org/book.asp?630347","סדר לימוד ליל ש""ק - חיי שרה")</f>
        <v>סדר לימוד ליל ש"ק - חיי שרה</v>
      </c>
    </row>
    <row r="2324" spans="1:6" x14ac:dyDescent="0.2">
      <c r="A2324" t="s">
        <v>4717</v>
      </c>
      <c r="B2324" t="s">
        <v>94</v>
      </c>
      <c r="C2324" t="s">
        <v>8</v>
      </c>
      <c r="D2324" s="1" t="s">
        <v>52</v>
      </c>
      <c r="F2324" s="5" t="str">
        <f>HYPERLINK("http://www.otzar.org/book.asp?629862","סדר לימוד משניות לעילוי הנשמה")</f>
        <v>סדר לימוד משניות לעילוי הנשמה</v>
      </c>
    </row>
    <row r="2325" spans="1:6" x14ac:dyDescent="0.2">
      <c r="A2325" t="s">
        <v>4718</v>
      </c>
      <c r="B2325" t="s">
        <v>4686</v>
      </c>
      <c r="C2325" t="s">
        <v>8</v>
      </c>
      <c r="D2325" s="1" t="s">
        <v>14</v>
      </c>
      <c r="E2325" t="s">
        <v>295</v>
      </c>
      <c r="F2325" s="5" t="str">
        <f>HYPERLINK("http://www.otzar.org/book.asp?623233","סדר סליחות לימות השנה -בה""ב, י' בטבת, תענית אסתר, י""ז בתמוז, יוכ""ק")</f>
        <v>סדר סליחות לימות השנה -בה"ב, י' בטבת, תענית אסתר, י"ז בתמוז, יוכ"ק</v>
      </c>
    </row>
    <row r="2326" spans="1:6" x14ac:dyDescent="0.2">
      <c r="A2326" t="s">
        <v>4719</v>
      </c>
      <c r="B2326" t="s">
        <v>3937</v>
      </c>
      <c r="C2326" t="s">
        <v>190</v>
      </c>
      <c r="D2326" s="1" t="s">
        <v>9</v>
      </c>
      <c r="E2326" t="s">
        <v>261</v>
      </c>
      <c r="F2326" s="5" t="str">
        <f>HYPERLINK("http://www.otzar.org/book.asp?627665","סדר עולם רבה, סדר עולם זוטא, מגילת תענית")</f>
        <v>סדר עולם רבה, סדר עולם זוטא, מגילת תענית</v>
      </c>
    </row>
    <row r="2327" spans="1:6" x14ac:dyDescent="0.2">
      <c r="A2327" t="s">
        <v>4720</v>
      </c>
      <c r="B2327" t="s">
        <v>3091</v>
      </c>
      <c r="C2327" t="s">
        <v>136</v>
      </c>
      <c r="D2327" s="1" t="s">
        <v>4721</v>
      </c>
      <c r="E2327" t="s">
        <v>295</v>
      </c>
      <c r="F2327" s="5" t="str">
        <f>HYPERLINK("http://www.otzar.org/book.asp?629503","סדר תפילות - סידור הרמ""ז")</f>
        <v>סדר תפילות - סידור הרמ"ז</v>
      </c>
    </row>
    <row r="2328" spans="1:6" x14ac:dyDescent="0.2">
      <c r="A2328" t="s">
        <v>4722</v>
      </c>
      <c r="B2328" t="s">
        <v>4723</v>
      </c>
      <c r="C2328" t="s">
        <v>4724</v>
      </c>
      <c r="D2328" s="1" t="s">
        <v>4725</v>
      </c>
      <c r="E2328" t="s">
        <v>295</v>
      </c>
      <c r="F2328" s="5" t="str">
        <f>HYPERLINK("http://www.otzar.org/book.asp?628773","סדר תפלה דרך ישרה")</f>
        <v>סדר תפלה דרך ישרה</v>
      </c>
    </row>
    <row r="2329" spans="1:6" x14ac:dyDescent="0.2">
      <c r="A2329" t="s">
        <v>4726</v>
      </c>
      <c r="B2329" t="s">
        <v>4727</v>
      </c>
      <c r="C2329" t="s">
        <v>4728</v>
      </c>
      <c r="D2329" s="1" t="s">
        <v>4729</v>
      </c>
      <c r="E2329" t="s">
        <v>171</v>
      </c>
      <c r="F2329" s="5" t="str">
        <f>HYPERLINK("http://www.otzar.org/book.asp?623720","סדר תקון ליל שבועות והושענא רבה")</f>
        <v>סדר תקון ליל שבועות והושענא רבה</v>
      </c>
    </row>
    <row r="2330" spans="1:6" x14ac:dyDescent="0.2">
      <c r="A2330" t="s">
        <v>4730</v>
      </c>
      <c r="B2330" t="s">
        <v>482</v>
      </c>
      <c r="C2330" t="s">
        <v>8</v>
      </c>
      <c r="D2330" s="1" t="s">
        <v>9</v>
      </c>
      <c r="E2330" t="s">
        <v>49</v>
      </c>
      <c r="F2330" s="5" t="str">
        <f>HYPERLINK("http://www.otzar.org/book.asp?625803","סדרת תורה ומדע - 3 כר'")</f>
        <v>סדרת תורה ומדע - 3 כר'</v>
      </c>
    </row>
    <row r="2331" spans="1:6" x14ac:dyDescent="0.2">
      <c r="A2331" t="s">
        <v>4731</v>
      </c>
      <c r="B2331" t="s">
        <v>4732</v>
      </c>
      <c r="C2331" t="s">
        <v>2081</v>
      </c>
      <c r="D2331" s="1" t="s">
        <v>14</v>
      </c>
      <c r="E2331" t="s">
        <v>17</v>
      </c>
      <c r="F2331" s="5" t="str">
        <f>HYPERLINK("http://www.otzar.org/book.asp?626165","סוד תקון העולם")</f>
        <v>סוד תקון העולם</v>
      </c>
    </row>
    <row r="2332" spans="1:6" x14ac:dyDescent="0.2">
      <c r="A2332" t="s">
        <v>4733</v>
      </c>
      <c r="B2332" t="s">
        <v>1858</v>
      </c>
      <c r="D2332" s="1" t="s">
        <v>471</v>
      </c>
      <c r="E2332" t="s">
        <v>89</v>
      </c>
      <c r="F2332" s="5" t="str">
        <f>HYPERLINK("http://www.otzar.org/book.asp?628223","סוכת גדולי ישראל")</f>
        <v>סוכת גדולי ישראל</v>
      </c>
    </row>
    <row r="2333" spans="1:6" x14ac:dyDescent="0.2">
      <c r="A2333" t="s">
        <v>4734</v>
      </c>
      <c r="B2333" t="s">
        <v>4735</v>
      </c>
      <c r="C2333" t="s">
        <v>383</v>
      </c>
      <c r="D2333" s="1" t="s">
        <v>9</v>
      </c>
      <c r="E2333" t="s">
        <v>4736</v>
      </c>
      <c r="F2333" s="5" t="str">
        <f>HYPERLINK("http://www.otzar.org/book.asp?623983","סוכת הלויים")</f>
        <v>סוכת הלויים</v>
      </c>
    </row>
    <row r="2334" spans="1:6" x14ac:dyDescent="0.2">
      <c r="A2334" t="s">
        <v>4737</v>
      </c>
      <c r="B2334" t="s">
        <v>1418</v>
      </c>
      <c r="C2334" t="s">
        <v>40</v>
      </c>
      <c r="D2334" s="1" t="s">
        <v>9</v>
      </c>
      <c r="E2334" t="s">
        <v>22</v>
      </c>
      <c r="F2334" s="5" t="str">
        <f>HYPERLINK("http://www.otzar.org/book.asp?623567","סוכת עצי היער")</f>
        <v>סוכת עצי היער</v>
      </c>
    </row>
    <row r="2335" spans="1:6" x14ac:dyDescent="0.2">
      <c r="A2335" t="s">
        <v>4738</v>
      </c>
      <c r="B2335" t="s">
        <v>4739</v>
      </c>
      <c r="C2335" t="s">
        <v>20</v>
      </c>
      <c r="D2335" s="1" t="s">
        <v>9</v>
      </c>
      <c r="E2335" t="s">
        <v>22</v>
      </c>
      <c r="F2335" s="5" t="str">
        <f>HYPERLINK("http://www.otzar.org/book.asp?624834","סוכת שלומך")</f>
        <v>סוכת שלומך</v>
      </c>
    </row>
    <row r="2336" spans="1:6" x14ac:dyDescent="0.2">
      <c r="A2336" t="s">
        <v>4740</v>
      </c>
      <c r="B2336" t="s">
        <v>1705</v>
      </c>
      <c r="C2336" t="s">
        <v>148</v>
      </c>
      <c r="D2336" s="1" t="s">
        <v>9</v>
      </c>
      <c r="E2336" t="s">
        <v>295</v>
      </c>
      <c r="F2336" s="5" t="str">
        <f>HYPERLINK("http://www.otzar.org/book.asp?623635","סידור בני יששכר")</f>
        <v>סידור בני יששכר</v>
      </c>
    </row>
    <row r="2337" spans="1:6" x14ac:dyDescent="0.2">
      <c r="A2337" t="s">
        <v>4741</v>
      </c>
      <c r="B2337" t="s">
        <v>4742</v>
      </c>
      <c r="C2337" t="s">
        <v>13</v>
      </c>
      <c r="D2337" s="1" t="s">
        <v>4743</v>
      </c>
      <c r="E2337" t="s">
        <v>295</v>
      </c>
      <c r="F2337" s="5" t="str">
        <f>HYPERLINK("http://www.otzar.org/book.asp?626002","סידור המבואר  אביר יעקב - ימות החול")</f>
        <v>סידור המבואר  אביר יעקב - ימות החול</v>
      </c>
    </row>
    <row r="2338" spans="1:6" x14ac:dyDescent="0.2">
      <c r="A2338" t="s">
        <v>4744</v>
      </c>
      <c r="B2338" t="s">
        <v>4745</v>
      </c>
      <c r="C2338" t="s">
        <v>1727</v>
      </c>
      <c r="D2338" s="1" t="s">
        <v>4746</v>
      </c>
      <c r="E2338" t="s">
        <v>295</v>
      </c>
      <c r="F2338" s="5" t="str">
        <f>HYPERLINK("http://www.otzar.org/book.asp?623347","סידור מנחת יהודה")</f>
        <v>סידור מנחת יהודה</v>
      </c>
    </row>
    <row r="2339" spans="1:6" x14ac:dyDescent="0.2">
      <c r="A2339" t="s">
        <v>4747</v>
      </c>
      <c r="B2339" t="s">
        <v>739</v>
      </c>
      <c r="C2339" t="s">
        <v>307</v>
      </c>
      <c r="D2339" s="1" t="s">
        <v>9</v>
      </c>
      <c r="E2339" t="s">
        <v>295</v>
      </c>
      <c r="F2339" s="5" t="str">
        <f>HYPERLINK("http://www.otzar.org/book.asp?630792","סידור צלותא דאהרן &lt;בית אהרן&gt; - 2 כר'")</f>
        <v>סידור צלותא דאהרן &lt;בית אהרן&gt; - 2 כר'</v>
      </c>
    </row>
    <row r="2340" spans="1:6" x14ac:dyDescent="0.2">
      <c r="A2340" t="s">
        <v>4748</v>
      </c>
      <c r="B2340" t="s">
        <v>4749</v>
      </c>
      <c r="C2340" t="s">
        <v>4750</v>
      </c>
      <c r="D2340" s="1" t="s">
        <v>9</v>
      </c>
      <c r="F2340" s="5" t="str">
        <f>HYPERLINK("http://www.otzar.org/book.asp?629067","סידור רבינו חיים - א")</f>
        <v>סידור רבינו חיים - א</v>
      </c>
    </row>
    <row r="2341" spans="1:6" x14ac:dyDescent="0.2">
      <c r="A2341" t="s">
        <v>4751</v>
      </c>
      <c r="B2341" t="s">
        <v>274</v>
      </c>
      <c r="C2341" t="s">
        <v>20</v>
      </c>
      <c r="D2341" s="1" t="s">
        <v>120</v>
      </c>
      <c r="E2341" t="s">
        <v>295</v>
      </c>
      <c r="F2341" s="5" t="str">
        <f>HYPERLINK("http://www.otzar.org/book.asp?625877","סידור תפילת החודש החדש &lt;מהדורת אור וישועה&gt;")</f>
        <v>סידור תפילת החודש החדש &lt;מהדורת אור וישועה&gt;</v>
      </c>
    </row>
    <row r="2342" spans="1:6" x14ac:dyDescent="0.2">
      <c r="A2342" t="s">
        <v>4752</v>
      </c>
      <c r="B2342" t="s">
        <v>4753</v>
      </c>
      <c r="C2342" t="s">
        <v>13</v>
      </c>
      <c r="D2342" s="1" t="s">
        <v>9</v>
      </c>
      <c r="E2342" t="s">
        <v>37</v>
      </c>
      <c r="F2342" s="5" t="str">
        <f>HYPERLINK("http://www.otzar.org/book.asp?629269","סיכום הלכות - 12 כר'")</f>
        <v>סיכום הלכות - 12 כר'</v>
      </c>
    </row>
    <row r="2343" spans="1:6" x14ac:dyDescent="0.2">
      <c r="A2343" t="s">
        <v>4754</v>
      </c>
      <c r="B2343" t="s">
        <v>351</v>
      </c>
      <c r="C2343" t="s">
        <v>383</v>
      </c>
      <c r="D2343" s="1" t="s">
        <v>9</v>
      </c>
      <c r="E2343" t="s">
        <v>22</v>
      </c>
      <c r="F2343" s="5" t="str">
        <f>HYPERLINK("http://www.otzar.org/book.asp?628089","סיכום פסחים")</f>
        <v>סיכום פסחים</v>
      </c>
    </row>
    <row r="2344" spans="1:6" x14ac:dyDescent="0.2">
      <c r="A2344" t="s">
        <v>4755</v>
      </c>
      <c r="B2344" t="s">
        <v>890</v>
      </c>
      <c r="C2344" t="s">
        <v>20</v>
      </c>
      <c r="D2344" s="1" t="s">
        <v>1341</v>
      </c>
      <c r="E2344" t="s">
        <v>34</v>
      </c>
      <c r="F2344" s="5" t="str">
        <f>HYPERLINK("http://www.otzar.org/book.asp?630142","סיכומי וביאורי ספר נפש החיים - א")</f>
        <v>סיכומי וביאורי ספר נפש החיים - א</v>
      </c>
    </row>
    <row r="2345" spans="1:6" x14ac:dyDescent="0.2">
      <c r="A2345" t="s">
        <v>4756</v>
      </c>
      <c r="B2345" t="s">
        <v>4757</v>
      </c>
      <c r="C2345" t="s">
        <v>40</v>
      </c>
      <c r="D2345" s="1" t="s">
        <v>52</v>
      </c>
      <c r="E2345" t="s">
        <v>22</v>
      </c>
      <c r="F2345" s="5" t="str">
        <f>HYPERLINK("http://www.otzar.org/book.asp?622572","סיכומי סוגיות - 2 כר'")</f>
        <v>סיכומי סוגיות - 2 כר'</v>
      </c>
    </row>
    <row r="2346" spans="1:6" x14ac:dyDescent="0.2">
      <c r="A2346" t="s">
        <v>4758</v>
      </c>
      <c r="B2346" t="s">
        <v>4759</v>
      </c>
      <c r="C2346" t="s">
        <v>13</v>
      </c>
      <c r="D2346" s="1" t="s">
        <v>21</v>
      </c>
      <c r="E2346" t="s">
        <v>22</v>
      </c>
      <c r="F2346" s="5" t="str">
        <f>HYPERLINK("http://www.otzar.org/book.asp?629817","סיכומי סוגיות - ב""ק")</f>
        <v>סיכומי סוגיות - ב"ק</v>
      </c>
    </row>
    <row r="2347" spans="1:6" x14ac:dyDescent="0.2">
      <c r="A2347" t="s">
        <v>4760</v>
      </c>
      <c r="B2347" t="s">
        <v>4761</v>
      </c>
      <c r="D2347" s="1" t="s">
        <v>14</v>
      </c>
      <c r="E2347" t="s">
        <v>37</v>
      </c>
      <c r="F2347" s="5" t="str">
        <f>HYPERLINK("http://www.otzar.org/book.asp?625191","סיכומים בהלכות שביעית")</f>
        <v>סיכומים בהלכות שביעית</v>
      </c>
    </row>
    <row r="2348" spans="1:6" x14ac:dyDescent="0.2">
      <c r="A2348" t="s">
        <v>4762</v>
      </c>
      <c r="B2348" t="s">
        <v>138</v>
      </c>
      <c r="C2348" t="s">
        <v>20</v>
      </c>
      <c r="D2348" s="1" t="s">
        <v>52</v>
      </c>
      <c r="E2348" t="s">
        <v>168</v>
      </c>
      <c r="F2348" s="5" t="str">
        <f>HYPERLINK("http://www.otzar.org/book.asp?629654","סימן לבנים - 7 כר'")</f>
        <v>סימן לבנים - 7 כר'</v>
      </c>
    </row>
    <row r="2349" spans="1:6" x14ac:dyDescent="0.2">
      <c r="A2349" t="s">
        <v>4763</v>
      </c>
      <c r="B2349" t="s">
        <v>4764</v>
      </c>
      <c r="C2349" t="s">
        <v>148</v>
      </c>
      <c r="D2349" s="1" t="s">
        <v>9</v>
      </c>
      <c r="E2349" t="s">
        <v>154</v>
      </c>
      <c r="F2349" s="5" t="str">
        <f>HYPERLINK("http://www.otzar.org/book.asp?630191","סימנים טובים")</f>
        <v>סימנים טובים</v>
      </c>
    </row>
    <row r="2350" spans="1:6" x14ac:dyDescent="0.2">
      <c r="A2350" t="s">
        <v>4765</v>
      </c>
      <c r="B2350" t="s">
        <v>4766</v>
      </c>
      <c r="C2350" t="s">
        <v>13</v>
      </c>
      <c r="D2350" s="1" t="s">
        <v>52</v>
      </c>
      <c r="E2350" t="s">
        <v>49</v>
      </c>
      <c r="F2350" s="5" t="str">
        <f>HYPERLINK("http://www.otzar.org/book.asp?629440","סימנים עשה")</f>
        <v>סימנים עשה</v>
      </c>
    </row>
    <row r="2351" spans="1:6" x14ac:dyDescent="0.2">
      <c r="A2351" t="s">
        <v>4767</v>
      </c>
      <c r="B2351" t="s">
        <v>4768</v>
      </c>
      <c r="C2351" t="s">
        <v>13</v>
      </c>
      <c r="D2351" s="1" t="s">
        <v>9</v>
      </c>
      <c r="E2351" t="s">
        <v>214</v>
      </c>
      <c r="F2351" s="5" t="str">
        <f>HYPERLINK("http://www.otzar.org/book.asp?630174","סיני - 2 כר'")</f>
        <v>סיני - 2 כר'</v>
      </c>
    </row>
    <row r="2352" spans="1:6" x14ac:dyDescent="0.2">
      <c r="A2352" t="s">
        <v>4769</v>
      </c>
      <c r="B2352" t="s">
        <v>802</v>
      </c>
      <c r="C2352" t="s">
        <v>13</v>
      </c>
      <c r="D2352" s="1" t="s">
        <v>803</v>
      </c>
      <c r="E2352" t="s">
        <v>49</v>
      </c>
      <c r="F2352" s="5" t="str">
        <f>HYPERLINK("http://www.otzar.org/book.asp?627300","סיפור קטן - מעשה גדול")</f>
        <v>סיפור קטן - מעשה גדול</v>
      </c>
    </row>
    <row r="2353" spans="1:6" x14ac:dyDescent="0.2">
      <c r="A2353" t="s">
        <v>4770</v>
      </c>
      <c r="B2353" t="s">
        <v>4771</v>
      </c>
      <c r="C2353" t="s">
        <v>3366</v>
      </c>
      <c r="D2353" s="1" t="s">
        <v>4772</v>
      </c>
      <c r="E2353" t="s">
        <v>295</v>
      </c>
      <c r="F2353" s="5" t="str">
        <f>HYPERLINK("http://www.otzar.org/book.asp?179454","סליחות")</f>
        <v>סליחות</v>
      </c>
    </row>
    <row r="2354" spans="1:6" x14ac:dyDescent="0.2">
      <c r="A2354" t="s">
        <v>4773</v>
      </c>
      <c r="B2354" t="s">
        <v>4774</v>
      </c>
      <c r="C2354" t="s">
        <v>25</v>
      </c>
      <c r="D2354" s="1" t="s">
        <v>9</v>
      </c>
      <c r="E2354" t="s">
        <v>34</v>
      </c>
      <c r="F2354" s="5" t="str">
        <f>HYPERLINK("http://www.otzar.org/book.asp?627472","סלעי ומצודתי - 2 כר'")</f>
        <v>סלעי ומצודתי - 2 כר'</v>
      </c>
    </row>
    <row r="2355" spans="1:6" x14ac:dyDescent="0.2">
      <c r="A2355" t="s">
        <v>4775</v>
      </c>
      <c r="B2355" t="s">
        <v>4776</v>
      </c>
      <c r="C2355" t="s">
        <v>13</v>
      </c>
      <c r="D2355" s="1" t="s">
        <v>9</v>
      </c>
      <c r="E2355" t="s">
        <v>22</v>
      </c>
      <c r="F2355" s="5" t="str">
        <f>HYPERLINK("http://www.otzar.org/book.asp?626540","סנהדרי גדולה &lt;סנהדרין&gt; - ט")</f>
        <v>סנהדרי גדולה &lt;סנהדרין&gt; - ט</v>
      </c>
    </row>
    <row r="2356" spans="1:6" x14ac:dyDescent="0.2">
      <c r="A2356" t="s">
        <v>4777</v>
      </c>
      <c r="B2356" t="s">
        <v>4778</v>
      </c>
      <c r="C2356" t="s">
        <v>20</v>
      </c>
      <c r="D2356" s="1" t="s">
        <v>4779</v>
      </c>
      <c r="E2356" t="s">
        <v>37</v>
      </c>
      <c r="F2356" s="5" t="str">
        <f>HYPERLINK("http://www.otzar.org/book.asp?625523","סניגור של הציבור")</f>
        <v>סניגור של הציבור</v>
      </c>
    </row>
    <row r="2357" spans="1:6" x14ac:dyDescent="0.2">
      <c r="A2357" t="s">
        <v>4780</v>
      </c>
      <c r="B2357" t="s">
        <v>2681</v>
      </c>
      <c r="C2357" t="s">
        <v>8</v>
      </c>
      <c r="D2357" s="1" t="s">
        <v>14</v>
      </c>
      <c r="E2357" t="s">
        <v>168</v>
      </c>
      <c r="F2357" s="5" t="str">
        <f>HYPERLINK("http://www.otzar.org/book.asp?629776","ספור מן ההפטרה - 2 כר'")</f>
        <v>ספור מן ההפטרה - 2 כר'</v>
      </c>
    </row>
    <row r="2358" spans="1:6" x14ac:dyDescent="0.2">
      <c r="A2358" t="s">
        <v>4781</v>
      </c>
      <c r="C2358" t="s">
        <v>1788</v>
      </c>
      <c r="D2358" s="1" t="s">
        <v>9</v>
      </c>
      <c r="E2358" t="s">
        <v>538</v>
      </c>
      <c r="F2358" s="5" t="str">
        <f>HYPERLINK("http://www.otzar.org/book.asp?624372","ספורי החג - סוכות")</f>
        <v>ספורי החג - סוכות</v>
      </c>
    </row>
    <row r="2359" spans="1:6" x14ac:dyDescent="0.2">
      <c r="A2359" t="s">
        <v>4782</v>
      </c>
      <c r="B2359" t="s">
        <v>4783</v>
      </c>
      <c r="C2359" t="s">
        <v>4784</v>
      </c>
      <c r="D2359" s="1" t="s">
        <v>144</v>
      </c>
      <c r="E2359" t="s">
        <v>49</v>
      </c>
      <c r="F2359" s="5" t="str">
        <f>HYPERLINK("http://www.otzar.org/book.asp?624920","ספורי פראג")</f>
        <v>ספורי פראג</v>
      </c>
    </row>
    <row r="2360" spans="1:6" x14ac:dyDescent="0.2">
      <c r="A2360" t="s">
        <v>4785</v>
      </c>
      <c r="B2360" t="s">
        <v>2436</v>
      </c>
      <c r="C2360" t="s">
        <v>133</v>
      </c>
      <c r="D2360" s="1" t="s">
        <v>52</v>
      </c>
      <c r="E2360" t="s">
        <v>371</v>
      </c>
      <c r="F2360" s="5" t="str">
        <f>HYPERLINK("http://www.otzar.org/book.asp?629241","ספר אב הרחמים - 2 כר'")</f>
        <v>ספר אב הרחמים - 2 כר'</v>
      </c>
    </row>
    <row r="2361" spans="1:6" x14ac:dyDescent="0.2">
      <c r="A2361" t="s">
        <v>4786</v>
      </c>
      <c r="B2361" t="s">
        <v>4787</v>
      </c>
      <c r="C2361" t="s">
        <v>4788</v>
      </c>
      <c r="D2361" s="1" t="s">
        <v>4789</v>
      </c>
      <c r="E2361" t="s">
        <v>34</v>
      </c>
      <c r="F2361" s="5" t="str">
        <f>HYPERLINK("http://www.otzar.org/book.asp?624692","ספר אמת")</f>
        <v>ספר אמת</v>
      </c>
    </row>
    <row r="2362" spans="1:6" x14ac:dyDescent="0.2">
      <c r="A2362" t="s">
        <v>4790</v>
      </c>
      <c r="B2362" t="s">
        <v>4791</v>
      </c>
      <c r="C2362" t="s">
        <v>13</v>
      </c>
      <c r="D2362" s="1" t="s">
        <v>9</v>
      </c>
      <c r="E2362" t="s">
        <v>242</v>
      </c>
      <c r="F2362" s="5" t="str">
        <f>HYPERLINK("http://www.otzar.org/book.asp?627034","ספר אסיא - טז")</f>
        <v>ספר אסיא - טז</v>
      </c>
    </row>
    <row r="2363" spans="1:6" x14ac:dyDescent="0.2">
      <c r="A2363" t="s">
        <v>4792</v>
      </c>
      <c r="B2363" t="s">
        <v>4793</v>
      </c>
      <c r="C2363" t="s">
        <v>4794</v>
      </c>
      <c r="D2363" s="1" t="s">
        <v>4795</v>
      </c>
      <c r="E2363" t="s">
        <v>168</v>
      </c>
      <c r="F2363" s="5" t="str">
        <f>HYPERLINK("http://www.otzar.org/book.asp?624783","ספר דניאל &lt;מתורגם בלשון אשכנז - פירוש הרב אבן יחיא")</f>
        <v>ספר דניאל &lt;מתורגם בלשון אשכנז - פירוש הרב אבן יחיא</v>
      </c>
    </row>
    <row r="2364" spans="1:6" x14ac:dyDescent="0.2">
      <c r="A2364" t="s">
        <v>4796</v>
      </c>
      <c r="B2364" t="s">
        <v>4797</v>
      </c>
      <c r="C2364" t="s">
        <v>1050</v>
      </c>
      <c r="D2364" s="1" t="s">
        <v>29</v>
      </c>
      <c r="E2364" t="s">
        <v>168</v>
      </c>
      <c r="F2364" s="5" t="str">
        <f>HYPERLINK("http://www.otzar.org/book.asp?624751","ספר דניאל עם תרגום עברי וספר עזרא עם פירוש רחמים בדין")</f>
        <v>ספר דניאל עם תרגום עברי וספר עזרא עם פירוש רחמים בדין</v>
      </c>
    </row>
    <row r="2365" spans="1:6" x14ac:dyDescent="0.2">
      <c r="A2365" t="s">
        <v>4798</v>
      </c>
      <c r="B2365" t="s">
        <v>4799</v>
      </c>
      <c r="C2365" t="s">
        <v>1023</v>
      </c>
      <c r="D2365" s="1" t="s">
        <v>29</v>
      </c>
      <c r="E2365" t="s">
        <v>49</v>
      </c>
      <c r="F2365" s="5" t="str">
        <f>HYPERLINK("http://www.otzar.org/book.asp?623472","ספר הדקדוק לרמח""ל &lt;הגהות אשי בני ישראל&gt;")</f>
        <v>ספר הדקדוק לרמח"ל &lt;הגהות אשי בני ישראל&gt;</v>
      </c>
    </row>
    <row r="2366" spans="1:6" x14ac:dyDescent="0.2">
      <c r="A2366" t="s">
        <v>4800</v>
      </c>
      <c r="C2366" t="s">
        <v>73</v>
      </c>
      <c r="D2366" s="1" t="s">
        <v>9</v>
      </c>
      <c r="E2366" t="s">
        <v>44</v>
      </c>
      <c r="F2366" s="5" t="str">
        <f>HYPERLINK("http://www.otzar.org/book.asp?623267","ספר הזהר ע""פ הסולם &lt;מאורות הסולם&gt; - הקדמות")</f>
        <v>ספר הזהר ע"פ הסולם &lt;מאורות הסולם&gt; - הקדמות</v>
      </c>
    </row>
    <row r="2367" spans="1:6" x14ac:dyDescent="0.2">
      <c r="A2367" t="s">
        <v>4801</v>
      </c>
      <c r="B2367" t="s">
        <v>4802</v>
      </c>
      <c r="E2367" t="s">
        <v>44</v>
      </c>
      <c r="F2367" s="5" t="str">
        <f>HYPERLINK("http://www.otzar.org/book.asp?624811","ספר הזוהר - בראשית")</f>
        <v>ספר הזוהר - בראשית</v>
      </c>
    </row>
    <row r="2368" spans="1:6" x14ac:dyDescent="0.2">
      <c r="A2368" t="s">
        <v>4803</v>
      </c>
      <c r="B2368" t="s">
        <v>4804</v>
      </c>
      <c r="C2368" t="s">
        <v>92</v>
      </c>
      <c r="D2368" s="1" t="s">
        <v>9</v>
      </c>
      <c r="E2368" t="s">
        <v>214</v>
      </c>
      <c r="F2368" s="5" t="str">
        <f>HYPERLINK("http://www.otzar.org/book.asp?628745","ספר הזכרון יד יהודה")</f>
        <v>ספר הזכרון יד יהודה</v>
      </c>
    </row>
    <row r="2369" spans="1:6" x14ac:dyDescent="0.2">
      <c r="A2369" t="s">
        <v>4805</v>
      </c>
      <c r="B2369" t="s">
        <v>4806</v>
      </c>
      <c r="C2369" t="s">
        <v>40</v>
      </c>
      <c r="D2369" s="1" t="s">
        <v>1841</v>
      </c>
      <c r="E2369" t="s">
        <v>49</v>
      </c>
      <c r="F2369" s="5" t="str">
        <f>HYPERLINK("http://www.otzar.org/book.asp?628216","ספר החינוך מבואר - 3 כר'")</f>
        <v>ספר החינוך מבואר - 3 כר'</v>
      </c>
    </row>
    <row r="2370" spans="1:6" x14ac:dyDescent="0.2">
      <c r="A2370" t="s">
        <v>4807</v>
      </c>
      <c r="B2370" t="s">
        <v>4808</v>
      </c>
      <c r="E2370" t="s">
        <v>214</v>
      </c>
      <c r="F2370" s="5" t="str">
        <f>HYPERLINK("http://www.otzar.org/book.asp?625945","ספר היובל לישיבת לוצערן")</f>
        <v>ספר היובל לישיבת לוצערן</v>
      </c>
    </row>
    <row r="2371" spans="1:6" x14ac:dyDescent="0.2">
      <c r="A2371" t="s">
        <v>4809</v>
      </c>
      <c r="B2371" t="s">
        <v>4810</v>
      </c>
      <c r="C2371">
        <v>1947</v>
      </c>
      <c r="D2371" s="1" t="s">
        <v>29</v>
      </c>
      <c r="E2371" t="s">
        <v>214</v>
      </c>
      <c r="F2371" s="5" t="str">
        <f>HYPERLINK("http://www.otzar.org/book.asp?627736","ספר היובל לכבוד ד""ר יהושע פינקל")</f>
        <v>ספר היובל לכבוד ד"ר יהושע פינקל</v>
      </c>
    </row>
    <row r="2372" spans="1:6" x14ac:dyDescent="0.2">
      <c r="A2372" t="s">
        <v>4811</v>
      </c>
      <c r="B2372" t="s">
        <v>4812</v>
      </c>
      <c r="C2372" t="s">
        <v>379</v>
      </c>
      <c r="D2372" s="1" t="s">
        <v>3308</v>
      </c>
      <c r="E2372" t="s">
        <v>214</v>
      </c>
      <c r="F2372" s="5" t="str">
        <f>HYPERLINK("http://www.otzar.org/book.asp?627360","ספר היובל לכבוד צבי שארפשטיין")</f>
        <v>ספר היובל לכבוד צבי שארפשטיין</v>
      </c>
    </row>
    <row r="2373" spans="1:6" x14ac:dyDescent="0.2">
      <c r="A2373" t="s">
        <v>4813</v>
      </c>
      <c r="B2373" t="s">
        <v>4814</v>
      </c>
      <c r="C2373" t="s">
        <v>40</v>
      </c>
      <c r="D2373" s="1" t="s">
        <v>14</v>
      </c>
      <c r="F2373" s="5" t="str">
        <f>HYPERLINK("http://www.otzar.org/book.asp?189815","ספר היובל - חוג חתם סופר")</f>
        <v>ספר היובל - חוג חתם סופר</v>
      </c>
    </row>
    <row r="2374" spans="1:6" x14ac:dyDescent="0.2">
      <c r="A2374" t="s">
        <v>4808</v>
      </c>
      <c r="B2374" t="s">
        <v>4815</v>
      </c>
      <c r="C2374" t="s">
        <v>386</v>
      </c>
      <c r="D2374" s="1" t="s">
        <v>14</v>
      </c>
      <c r="E2374" t="s">
        <v>214</v>
      </c>
      <c r="F2374" s="5" t="str">
        <f>HYPERLINK("http://www.otzar.org/book.asp?624908","ספר היובל")</f>
        <v>ספר היובל</v>
      </c>
    </row>
    <row r="2375" spans="1:6" x14ac:dyDescent="0.2">
      <c r="A2375" t="s">
        <v>4816</v>
      </c>
      <c r="B2375" t="s">
        <v>2743</v>
      </c>
      <c r="C2375" t="s">
        <v>25</v>
      </c>
      <c r="D2375" s="1" t="s">
        <v>14</v>
      </c>
      <c r="E2375" t="s">
        <v>37</v>
      </c>
      <c r="F2375" s="5" t="str">
        <f>HYPERLINK("http://www.otzar.org/book.asp?627685","ספר הישר &lt;מהדורת דבליצקי&gt; - חלק החידושים")</f>
        <v>ספר הישר &lt;מהדורת דבליצקי&gt; - חלק החידושים</v>
      </c>
    </row>
    <row r="2376" spans="1:6" x14ac:dyDescent="0.2">
      <c r="A2376" t="s">
        <v>4817</v>
      </c>
      <c r="B2376" t="s">
        <v>4818</v>
      </c>
      <c r="C2376" t="s">
        <v>13</v>
      </c>
      <c r="D2376" s="1" t="s">
        <v>4721</v>
      </c>
      <c r="E2376" t="s">
        <v>44</v>
      </c>
      <c r="F2376" s="5" t="str">
        <f>HYPERLINK("http://www.otzar.org/book.asp?629502","ספר הכוונות - מאורות נתן")</f>
        <v>ספר הכוונות - מאורות נתן</v>
      </c>
    </row>
    <row r="2377" spans="1:6" x14ac:dyDescent="0.2">
      <c r="A2377" t="s">
        <v>4819</v>
      </c>
      <c r="B2377" t="s">
        <v>4806</v>
      </c>
      <c r="C2377" t="s">
        <v>136</v>
      </c>
      <c r="D2377" s="1" t="s">
        <v>1841</v>
      </c>
      <c r="E2377" t="s">
        <v>34</v>
      </c>
      <c r="F2377" s="5" t="str">
        <f>HYPERLINK("http://www.otzar.org/book.asp?628219","ספר הכוזרי המבואר")</f>
        <v>ספר הכוזרי המבואר</v>
      </c>
    </row>
    <row r="2378" spans="1:6" x14ac:dyDescent="0.2">
      <c r="A2378" t="s">
        <v>4820</v>
      </c>
      <c r="B2378" t="s">
        <v>4821</v>
      </c>
      <c r="C2378" t="s">
        <v>4822</v>
      </c>
      <c r="D2378" s="1" t="s">
        <v>850</v>
      </c>
      <c r="E2378" t="s">
        <v>34</v>
      </c>
      <c r="F2378" s="5" t="str">
        <f>HYPERLINK("http://www.otzar.org/book.asp?623473","ספר הכוזרי")</f>
        <v>ספר הכוזרי</v>
      </c>
    </row>
    <row r="2379" spans="1:6" x14ac:dyDescent="0.2">
      <c r="A2379" t="s">
        <v>4823</v>
      </c>
      <c r="B2379" t="s">
        <v>4824</v>
      </c>
      <c r="C2379" t="s">
        <v>88</v>
      </c>
      <c r="D2379" s="1" t="s">
        <v>14</v>
      </c>
      <c r="E2379" t="s">
        <v>37</v>
      </c>
      <c r="F2379" s="5" t="str">
        <f>HYPERLINK("http://www.otzar.org/book.asp?624896","ספר הלכה למעשה - ברכות הנהנין")</f>
        <v>ספר הלכה למעשה - ברכות הנהנין</v>
      </c>
    </row>
    <row r="2380" spans="1:6" x14ac:dyDescent="0.2">
      <c r="A2380" t="s">
        <v>4825</v>
      </c>
      <c r="B2380" t="s">
        <v>201</v>
      </c>
      <c r="C2380" t="s">
        <v>470</v>
      </c>
      <c r="D2380" s="1" t="s">
        <v>144</v>
      </c>
      <c r="E2380" t="s">
        <v>34</v>
      </c>
      <c r="F2380" s="5" t="str">
        <f>HYPERLINK("http://www.otzar.org/book.asp?623444","ספר המדות")</f>
        <v>ספר המדות</v>
      </c>
    </row>
    <row r="2381" spans="1:6" x14ac:dyDescent="0.2">
      <c r="A2381" t="s">
        <v>4826</v>
      </c>
      <c r="B2381" t="s">
        <v>4827</v>
      </c>
      <c r="C2381" t="s">
        <v>123</v>
      </c>
      <c r="D2381" s="1" t="s">
        <v>14</v>
      </c>
      <c r="E2381" t="s">
        <v>34</v>
      </c>
      <c r="F2381" s="5" t="str">
        <f>HYPERLINK("http://www.otzar.org/book.asp?623430","ספר המוסר &lt;הנהגות ישרות&gt;")</f>
        <v>ספר המוסר &lt;הנהגות ישרות&gt;</v>
      </c>
    </row>
    <row r="2382" spans="1:6" x14ac:dyDescent="0.2">
      <c r="A2382" t="s">
        <v>4828</v>
      </c>
      <c r="B2382" t="s">
        <v>4829</v>
      </c>
      <c r="C2382" t="s">
        <v>307</v>
      </c>
      <c r="D2382" s="1" t="s">
        <v>4830</v>
      </c>
      <c r="E2382" t="s">
        <v>37</v>
      </c>
      <c r="F2382" s="5" t="str">
        <f>HYPERLINK("http://www.otzar.org/book.asp?626130","ספר המקנה &lt;מהדורה חדשה&gt; - 3 כר'")</f>
        <v>ספר המקנה &lt;מהדורה חדשה&gt; - 3 כר'</v>
      </c>
    </row>
    <row r="2383" spans="1:6" x14ac:dyDescent="0.2">
      <c r="A2383" t="s">
        <v>4831</v>
      </c>
      <c r="B2383" t="s">
        <v>4832</v>
      </c>
      <c r="C2383" t="s">
        <v>4833</v>
      </c>
      <c r="D2383" s="1" t="s">
        <v>4834</v>
      </c>
      <c r="E2383" t="s">
        <v>34</v>
      </c>
      <c r="F2383" s="5" t="str">
        <f>HYPERLINK("http://www.otzar.org/book.asp?626471","ספר הנפש &lt;עם ביאור&gt;")</f>
        <v>ספר הנפש &lt;עם ביאור&gt;</v>
      </c>
    </row>
    <row r="2384" spans="1:6" x14ac:dyDescent="0.2">
      <c r="A2384" t="s">
        <v>4835</v>
      </c>
      <c r="B2384" t="s">
        <v>2035</v>
      </c>
      <c r="C2384" t="s">
        <v>8</v>
      </c>
      <c r="E2384" t="s">
        <v>4836</v>
      </c>
      <c r="F2384" s="5" t="str">
        <f>HYPERLINK("http://www.otzar.org/book.asp?628227","ספר הסוגיא - 2 כר'")</f>
        <v>ספר הסוגיא - 2 כר'</v>
      </c>
    </row>
    <row r="2385" spans="1:6" x14ac:dyDescent="0.2">
      <c r="A2385" t="s">
        <v>4837</v>
      </c>
      <c r="B2385" t="s">
        <v>888</v>
      </c>
      <c r="C2385" t="s">
        <v>8</v>
      </c>
      <c r="D2385" s="1" t="s">
        <v>52</v>
      </c>
      <c r="E2385" t="s">
        <v>49</v>
      </c>
      <c r="F2385" s="5" t="str">
        <f>HYPERLINK("http://www.otzar.org/book.asp?627006","ספר העקרונות")</f>
        <v>ספר העקרונות</v>
      </c>
    </row>
    <row r="2386" spans="1:6" x14ac:dyDescent="0.2">
      <c r="A2386" t="s">
        <v>4838</v>
      </c>
      <c r="B2386" t="s">
        <v>329</v>
      </c>
      <c r="C2386" t="s">
        <v>40</v>
      </c>
      <c r="D2386" s="1" t="s">
        <v>21</v>
      </c>
      <c r="F2386" s="5" t="str">
        <f>HYPERLINK("http://www.otzar.org/book.asp?632822","ספר הפעולות")</f>
        <v>ספר הפעולות</v>
      </c>
    </row>
    <row r="2387" spans="1:6" x14ac:dyDescent="0.2">
      <c r="A2387" t="s">
        <v>4839</v>
      </c>
      <c r="B2387" t="s">
        <v>4840</v>
      </c>
      <c r="C2387" t="s">
        <v>1066</v>
      </c>
      <c r="D2387" s="1" t="s">
        <v>803</v>
      </c>
      <c r="E2387" t="s">
        <v>34</v>
      </c>
      <c r="F2387" s="5" t="str">
        <f>HYPERLINK("http://www.otzar.org/book.asp?624777","ספר הצוואה")</f>
        <v>ספר הצוואה</v>
      </c>
    </row>
    <row r="2388" spans="1:6" x14ac:dyDescent="0.2">
      <c r="A2388" t="s">
        <v>4841</v>
      </c>
      <c r="B2388" t="s">
        <v>2243</v>
      </c>
      <c r="C2388" t="s">
        <v>13</v>
      </c>
      <c r="D2388" s="1" t="s">
        <v>4842</v>
      </c>
      <c r="E2388" t="s">
        <v>37</v>
      </c>
      <c r="F2388" s="5" t="str">
        <f>HYPERLINK("http://www.otzar.org/book.asp?627599","ספר הרוקח &lt;מהדורת זכרון אהרן&gt; - 2 כר'")</f>
        <v>ספר הרוקח &lt;מהדורת זכרון אהרן&gt; - 2 כר'</v>
      </c>
    </row>
    <row r="2389" spans="1:6" x14ac:dyDescent="0.2">
      <c r="A2389" t="s">
        <v>4843</v>
      </c>
      <c r="B2389" t="s">
        <v>2473</v>
      </c>
      <c r="C2389" t="s">
        <v>8</v>
      </c>
      <c r="D2389" s="1" t="s">
        <v>52</v>
      </c>
      <c r="E2389" t="s">
        <v>3160</v>
      </c>
      <c r="F2389" s="5" t="str">
        <f>HYPERLINK("http://www.otzar.org/book.asp?630248","ספר התיקונים")</f>
        <v>ספר התיקונים</v>
      </c>
    </row>
    <row r="2390" spans="1:6" x14ac:dyDescent="0.2">
      <c r="A2390" t="s">
        <v>4844</v>
      </c>
      <c r="B2390" t="s">
        <v>4845</v>
      </c>
      <c r="C2390" t="s">
        <v>4846</v>
      </c>
      <c r="D2390" s="1" t="s">
        <v>1543</v>
      </c>
      <c r="F2390" s="5" t="str">
        <f>HYPERLINK("http://www.otzar.org/book.asp?623638","ספר התרומות עם גדולי תרומה - א")</f>
        <v>ספר התרומות עם גדולי תרומה - א</v>
      </c>
    </row>
    <row r="2391" spans="1:6" x14ac:dyDescent="0.2">
      <c r="A2391" t="s">
        <v>4847</v>
      </c>
      <c r="B2391" t="s">
        <v>4848</v>
      </c>
      <c r="C2391" t="s">
        <v>88</v>
      </c>
      <c r="D2391" s="1" t="s">
        <v>14</v>
      </c>
      <c r="E2391" t="s">
        <v>214</v>
      </c>
      <c r="F2391" s="5" t="str">
        <f>HYPERLINK("http://www.otzar.org/book.asp?626034","ספר זכרון דרכי אליהו")</f>
        <v>ספר זכרון דרכי אליהו</v>
      </c>
    </row>
    <row r="2392" spans="1:6" x14ac:dyDescent="0.2">
      <c r="A2392" t="s">
        <v>4849</v>
      </c>
      <c r="B2392" t="s">
        <v>4850</v>
      </c>
      <c r="C2392" t="s">
        <v>76</v>
      </c>
      <c r="D2392" s="1" t="s">
        <v>9</v>
      </c>
      <c r="E2392" t="s">
        <v>2143</v>
      </c>
      <c r="F2392" s="5" t="str">
        <f>HYPERLINK("http://www.otzar.org/book.asp?627818","ספר זכרון זכרון פנחס")</f>
        <v>ספר זכרון זכרון פנחס</v>
      </c>
    </row>
    <row r="2393" spans="1:6" x14ac:dyDescent="0.2">
      <c r="A2393" t="s">
        <v>4851</v>
      </c>
      <c r="B2393" t="s">
        <v>4852</v>
      </c>
      <c r="C2393" t="s">
        <v>13</v>
      </c>
      <c r="D2393" s="1" t="s">
        <v>9</v>
      </c>
      <c r="E2393" t="s">
        <v>214</v>
      </c>
      <c r="F2393" s="5" t="str">
        <f>HYPERLINK("http://www.otzar.org/book.asp?626067","ספר זכרון להגאון רבי שמואל דוד ורשבצ'יק")</f>
        <v>ספר זכרון להגאון רבי שמואל דוד ורשבצ'יק</v>
      </c>
    </row>
    <row r="2394" spans="1:6" x14ac:dyDescent="0.2">
      <c r="A2394" t="s">
        <v>4853</v>
      </c>
      <c r="B2394" t="s">
        <v>3025</v>
      </c>
      <c r="C2394" t="s">
        <v>4854</v>
      </c>
      <c r="D2394" s="1" t="s">
        <v>3578</v>
      </c>
      <c r="E2394" t="s">
        <v>214</v>
      </c>
      <c r="F2394" s="5" t="str">
        <f>HYPERLINK("http://www.otzar.org/book.asp?627330","ספר זכרון להרכבי החלק העברי א")</f>
        <v>ספר זכרון להרכבי החלק העברי א</v>
      </c>
    </row>
    <row r="2395" spans="1:6" x14ac:dyDescent="0.2">
      <c r="A2395" t="s">
        <v>4855</v>
      </c>
      <c r="B2395" t="s">
        <v>4856</v>
      </c>
      <c r="C2395" t="s">
        <v>123</v>
      </c>
      <c r="D2395" s="1" t="s">
        <v>9</v>
      </c>
      <c r="E2395" t="s">
        <v>214</v>
      </c>
      <c r="F2395" s="5" t="str">
        <f>HYPERLINK("http://www.otzar.org/book.asp?627355","ספר זכרון לשלמה אומברטו נכון")</f>
        <v>ספר זכרון לשלמה אומברטו נכון</v>
      </c>
    </row>
    <row r="2396" spans="1:6" x14ac:dyDescent="0.2">
      <c r="A2396" t="s">
        <v>4857</v>
      </c>
      <c r="B2396" t="s">
        <v>3319</v>
      </c>
      <c r="C2396" t="s">
        <v>13</v>
      </c>
      <c r="D2396" s="1" t="s">
        <v>3320</v>
      </c>
      <c r="E2396" t="s">
        <v>168</v>
      </c>
      <c r="F2396" s="5" t="str">
        <f>HYPERLINK("http://www.otzar.org/book.asp?630127","ספר יונה עם ביאור")</f>
        <v>ספר יונה עם ביאור</v>
      </c>
    </row>
    <row r="2397" spans="1:6" x14ac:dyDescent="0.2">
      <c r="A2397" t="s">
        <v>4858</v>
      </c>
      <c r="B2397" t="s">
        <v>4859</v>
      </c>
      <c r="C2397" t="s">
        <v>4860</v>
      </c>
      <c r="D2397" s="1" t="s">
        <v>4861</v>
      </c>
      <c r="E2397" t="s">
        <v>37</v>
      </c>
      <c r="F2397" s="5" t="str">
        <f>HYPERLINK("http://www.otzar.org/book.asp?627366","ספר יראים &lt;ווי העמודים&gt;")</f>
        <v>ספר יראים &lt;ווי העמודים&gt;</v>
      </c>
    </row>
    <row r="2398" spans="1:6" x14ac:dyDescent="0.2">
      <c r="A2398" t="s">
        <v>4862</v>
      </c>
      <c r="B2398" t="s">
        <v>4605</v>
      </c>
      <c r="C2398" t="s">
        <v>13</v>
      </c>
      <c r="D2398" s="1" t="s">
        <v>2484</v>
      </c>
      <c r="E2398" t="s">
        <v>337</v>
      </c>
      <c r="F2398" s="5" t="str">
        <f>HYPERLINK("http://www.otzar.org/book.asp?627485","ספר מרי""ח ניחוח - א")</f>
        <v>ספר מרי"ח ניחוח - א</v>
      </c>
    </row>
    <row r="2399" spans="1:6" x14ac:dyDescent="0.2">
      <c r="A2399" t="s">
        <v>4863</v>
      </c>
      <c r="B2399" t="s">
        <v>1624</v>
      </c>
      <c r="C2399" t="s">
        <v>463</v>
      </c>
      <c r="D2399" s="1" t="s">
        <v>9</v>
      </c>
      <c r="E2399" t="s">
        <v>89</v>
      </c>
      <c r="F2399" s="5" t="str">
        <f>HYPERLINK("http://www.otzar.org/book.asp?625542","ספר סוכה וארבעת המינים")</f>
        <v>ספר סוכה וארבעת המינים</v>
      </c>
    </row>
    <row r="2400" spans="1:6" x14ac:dyDescent="0.2">
      <c r="A2400" t="s">
        <v>4864</v>
      </c>
      <c r="B2400" t="s">
        <v>4865</v>
      </c>
      <c r="C2400" t="s">
        <v>307</v>
      </c>
      <c r="D2400" s="1" t="s">
        <v>9</v>
      </c>
      <c r="E2400" t="s">
        <v>168</v>
      </c>
      <c r="F2400" s="5" t="str">
        <f>HYPERLINK("http://www.otzar.org/book.asp?630130","ספר תהלים &lt;עתרת רחמים, נאוה תהילה&gt;")</f>
        <v>ספר תהלים &lt;עתרת רחמים, נאוה תהילה&gt;</v>
      </c>
    </row>
    <row r="2401" spans="1:6" x14ac:dyDescent="0.2">
      <c r="A2401" t="s">
        <v>4866</v>
      </c>
      <c r="B2401" t="s">
        <v>4867</v>
      </c>
      <c r="C2401" t="s">
        <v>13</v>
      </c>
      <c r="D2401" s="1" t="s">
        <v>803</v>
      </c>
      <c r="E2401" t="s">
        <v>168</v>
      </c>
      <c r="F2401" s="5" t="str">
        <f>HYPERLINK("http://www.otzar.org/book.asp?627252","ספרא דאפטרתא - ביאור על ההפטרות")</f>
        <v>ספרא דאפטרתא - ביאור על ההפטרות</v>
      </c>
    </row>
    <row r="2402" spans="1:6" x14ac:dyDescent="0.2">
      <c r="A2402" t="s">
        <v>4868</v>
      </c>
      <c r="B2402" t="s">
        <v>4869</v>
      </c>
      <c r="C2402" t="s">
        <v>2674</v>
      </c>
      <c r="D2402" s="1" t="s">
        <v>537</v>
      </c>
      <c r="E2402" t="s">
        <v>49</v>
      </c>
      <c r="F2402" s="5" t="str">
        <f>HYPERLINK("http://www.otzar.org/book.asp?625117","ספרה של ארץ ישראל")</f>
        <v>ספרה של ארץ ישראל</v>
      </c>
    </row>
    <row r="2403" spans="1:6" x14ac:dyDescent="0.2">
      <c r="A2403" t="s">
        <v>4870</v>
      </c>
      <c r="B2403" t="s">
        <v>4871</v>
      </c>
      <c r="C2403" t="s">
        <v>8</v>
      </c>
      <c r="D2403" s="1" t="s">
        <v>9</v>
      </c>
      <c r="E2403" t="s">
        <v>261</v>
      </c>
      <c r="F2403" s="5" t="str">
        <f>HYPERLINK("http://www.otzar.org/book.asp?630567","ספרי במדבר - גירסת הגר""א")</f>
        <v>ספרי במדבר - גירסת הגר"א</v>
      </c>
    </row>
    <row r="2404" spans="1:6" x14ac:dyDescent="0.2">
      <c r="A2404" t="s">
        <v>4872</v>
      </c>
      <c r="C2404" t="s">
        <v>126</v>
      </c>
      <c r="D2404" s="1" t="s">
        <v>9</v>
      </c>
      <c r="E2404" t="s">
        <v>44</v>
      </c>
      <c r="F2404" s="5" t="str">
        <f>HYPERLINK("http://www.otzar.org/book.asp?627966","ספרי הערכים בקבלה - מאורי אור, ציצים ופרחים, כל הנקרא בשמי")</f>
        <v>ספרי הערכים בקבלה - מאורי אור, ציצים ופרחים, כל הנקרא בשמי</v>
      </c>
    </row>
    <row r="2405" spans="1:6" x14ac:dyDescent="0.2">
      <c r="A2405" t="s">
        <v>4873</v>
      </c>
      <c r="B2405" t="s">
        <v>4874</v>
      </c>
      <c r="C2405" t="s">
        <v>20</v>
      </c>
      <c r="D2405" s="1" t="s">
        <v>9</v>
      </c>
      <c r="E2405" t="s">
        <v>61</v>
      </c>
      <c r="F2405" s="5" t="str">
        <f>HYPERLINK("http://www.otzar.org/book.asp?629073","ספרי הרשב""ש - 4 כר'")</f>
        <v>ספרי הרשב"ש - 4 כר'</v>
      </c>
    </row>
    <row r="2406" spans="1:6" x14ac:dyDescent="0.2">
      <c r="A2406" t="s">
        <v>4875</v>
      </c>
      <c r="B2406" t="s">
        <v>4876</v>
      </c>
      <c r="C2406" t="s">
        <v>136</v>
      </c>
      <c r="D2406" s="1" t="s">
        <v>9</v>
      </c>
      <c r="E2406" t="s">
        <v>261</v>
      </c>
      <c r="F2406" s="5" t="str">
        <f>HYPERLINK("http://www.otzar.org/book.asp?626175","ספרי זוטא - עטרת יוסף")</f>
        <v>ספרי זוטא - עטרת יוסף</v>
      </c>
    </row>
    <row r="2407" spans="1:6" x14ac:dyDescent="0.2">
      <c r="A2407" t="s">
        <v>4877</v>
      </c>
      <c r="B2407" t="s">
        <v>4878</v>
      </c>
      <c r="C2407" t="s">
        <v>126</v>
      </c>
      <c r="D2407" s="1" t="s">
        <v>9</v>
      </c>
      <c r="E2407" t="s">
        <v>121</v>
      </c>
      <c r="F2407" s="5" t="str">
        <f>HYPERLINK("http://www.otzar.org/book.asp?627435","ספרי ירושלים הראשונים")</f>
        <v>ספרי ירושלים הראשונים</v>
      </c>
    </row>
    <row r="2408" spans="1:6" x14ac:dyDescent="0.2">
      <c r="A2408" t="s">
        <v>4879</v>
      </c>
      <c r="B2408" t="s">
        <v>4880</v>
      </c>
      <c r="C2408" t="s">
        <v>1788</v>
      </c>
      <c r="D2408" s="1" t="s">
        <v>9</v>
      </c>
      <c r="F2408" s="5" t="str">
        <f>HYPERLINK("http://www.otzar.org/book.asp?630734","ספרי מנחם מנדל - יום טוב ערצעהלונגען - חנוכה")</f>
        <v>ספרי מנחם מנדל - יום טוב ערצעהלונגען - חנוכה</v>
      </c>
    </row>
    <row r="2409" spans="1:6" x14ac:dyDescent="0.2">
      <c r="A2409" t="s">
        <v>4881</v>
      </c>
      <c r="B2409" t="s">
        <v>4882</v>
      </c>
      <c r="E2409" t="s">
        <v>671</v>
      </c>
      <c r="F2409" s="5" t="str">
        <f>HYPERLINK("http://www.otzar.org/book.asp?624373","ספרי רבותינו לפסח")</f>
        <v>ספרי רבותינו לפסח</v>
      </c>
    </row>
    <row r="2410" spans="1:6" x14ac:dyDescent="0.2">
      <c r="A2410" t="s">
        <v>4883</v>
      </c>
      <c r="B2410" t="s">
        <v>4466</v>
      </c>
      <c r="C2410" t="s">
        <v>13</v>
      </c>
      <c r="D2410" s="1" t="s">
        <v>9</v>
      </c>
      <c r="E2410" t="s">
        <v>49</v>
      </c>
      <c r="F2410" s="5" t="str">
        <f>HYPERLINK("http://www.otzar.org/book.asp?627556","ספרי רבי אליהו בחור - מהלך שבילי הדעת עם הגהות, הבחור, הרכבה, פרקי אליהו, מסורת המסורת, טוב טעם, נימוקי המכלול והשרשים")</f>
        <v>ספרי רבי אליהו בחור - מהלך שבילי הדעת עם הגהות, הבחור, הרכבה, פרקי אליהו, מסורת המסורת, טוב טעם, נימוקי המכלול והשרשים</v>
      </c>
    </row>
    <row r="2411" spans="1:6" x14ac:dyDescent="0.2">
      <c r="A2411" t="s">
        <v>4884</v>
      </c>
      <c r="B2411" t="s">
        <v>2243</v>
      </c>
      <c r="C2411" t="s">
        <v>190</v>
      </c>
      <c r="D2411" s="1" t="s">
        <v>9</v>
      </c>
      <c r="E2411" t="s">
        <v>49</v>
      </c>
      <c r="F2411" s="5" t="str">
        <f>HYPERLINK("http://www.otzar.org/book.asp?630801","ספרי רבינו בעל הרוקח - 2 כר'")</f>
        <v>ספרי רבינו בעל הרוקח - 2 כר'</v>
      </c>
    </row>
    <row r="2412" spans="1:6" x14ac:dyDescent="0.2">
      <c r="A2412" t="s">
        <v>4885</v>
      </c>
      <c r="B2412" t="e">
        <f>- Wiener Moshe Nisan</f>
        <v>#NAME?</v>
      </c>
      <c r="C2412" t="s">
        <v>13</v>
      </c>
      <c r="D2412" s="1" t="s">
        <v>29</v>
      </c>
      <c r="F2412" s="5" t="str">
        <f>HYPERLINK("http://www.otzar.org/book.asp?627256","ספרים באנגלית - AUTHORITATIVE RESPONSES")</f>
        <v>ספרים באנגלית - AUTHORITATIVE RESPONSES</v>
      </c>
    </row>
    <row r="2413" spans="1:6" x14ac:dyDescent="0.2">
      <c r="A2413" t="s">
        <v>4886</v>
      </c>
      <c r="B2413" t="e">
        <f>- אסחייק, יחזקאל</f>
        <v>#NAME?</v>
      </c>
      <c r="C2413" t="s">
        <v>20</v>
      </c>
      <c r="D2413" s="1" t="s">
        <v>14</v>
      </c>
      <c r="F2413" s="5" t="str">
        <f>HYPERLINK("http://www.otzar.org/book.asp?630631","ספרים באנגלית - חיים בריאים כהלכה")</f>
        <v>ספרים באנגלית - חיים בריאים כהלכה</v>
      </c>
    </row>
    <row r="2414" spans="1:6" x14ac:dyDescent="0.2">
      <c r="A2414" t="s">
        <v>4887</v>
      </c>
      <c r="B2414" t="e">
        <f>- הרצוג, יצחק אייזיק בן יואל ליב הלוי</f>
        <v>#NAME?</v>
      </c>
      <c r="C2414">
        <v>1974</v>
      </c>
      <c r="D2414" s="1" t="s">
        <v>29</v>
      </c>
      <c r="F2414" s="5" t="str">
        <f>HYPERLINK("http://www.otzar.org/book.asp?624514","ספרים באנגלית - 3 כר'")</f>
        <v>ספרים באנגלית - 3 כר'</v>
      </c>
    </row>
    <row r="2415" spans="1:6" x14ac:dyDescent="0.2">
      <c r="A2415" t="s">
        <v>4888</v>
      </c>
      <c r="B2415" t="e">
        <f>- וינרוט, אברהם</f>
        <v>#NAME?</v>
      </c>
      <c r="C2415" t="s">
        <v>8</v>
      </c>
      <c r="D2415" s="1" t="s">
        <v>52</v>
      </c>
      <c r="E2415" t="s">
        <v>2232</v>
      </c>
      <c r="F2415" s="5" t="str">
        <f>HYPERLINK("http://www.otzar.org/book.asp?629902","ספרים באנגלית - עיוני תפילה")</f>
        <v>ספרים באנגלית - עיוני תפילה</v>
      </c>
    </row>
    <row r="2416" spans="1:6" x14ac:dyDescent="0.2">
      <c r="A2416" t="s">
        <v>4889</v>
      </c>
      <c r="B2416" t="e">
        <f>- עדס, אברהם חיים בן דניאל</f>
        <v>#NAME?</v>
      </c>
      <c r="C2416" t="s">
        <v>136</v>
      </c>
      <c r="D2416" s="1" t="s">
        <v>9</v>
      </c>
      <c r="E2416" t="s">
        <v>37</v>
      </c>
      <c r="F2416" s="5" t="str">
        <f>HYPERLINK("http://www.otzar.org/book.asp?630575","ספרים באנגלית - 4 כר'")</f>
        <v>ספרים באנגלית - 4 כר'</v>
      </c>
    </row>
    <row r="2417" spans="1:6" x14ac:dyDescent="0.2">
      <c r="A2417" t="s">
        <v>4889</v>
      </c>
      <c r="B2417" t="e">
        <f>- פרנקל, יצחק ד.</f>
        <v>#NAME?</v>
      </c>
      <c r="C2417" t="s">
        <v>136</v>
      </c>
      <c r="D2417" s="1" t="s">
        <v>29</v>
      </c>
      <c r="E2417" t="s">
        <v>168</v>
      </c>
      <c r="F2417" s="5" t="str">
        <f>HYPERLINK("http://www.otzar.org/book.asp?630427","ספרים באנגלית - 4 כר'")</f>
        <v>ספרים באנגלית - 4 כר'</v>
      </c>
    </row>
    <row r="2418" spans="1:6" x14ac:dyDescent="0.2">
      <c r="A2418" t="s">
        <v>4890</v>
      </c>
      <c r="B2418" t="e">
        <f>- ריבקין, פרץ</f>
        <v>#NAME?</v>
      </c>
      <c r="C2418" t="s">
        <v>13</v>
      </c>
      <c r="D2418" s="1" t="s">
        <v>29</v>
      </c>
      <c r="F2418" s="5" t="str">
        <f>HYPERLINK("http://www.otzar.org/book.asp?631136","ספרים באנגלית - Bat Kohen To a Kohen")</f>
        <v>ספרים באנגלית - Bat Kohen To a Kohen</v>
      </c>
    </row>
    <row r="2419" spans="1:6" x14ac:dyDescent="0.2">
      <c r="A2419" t="s">
        <v>4891</v>
      </c>
      <c r="B2419" t="e">
        <f>- שוורץ, יואל</f>
        <v>#NAME?</v>
      </c>
      <c r="C2419" t="s">
        <v>73</v>
      </c>
      <c r="D2419" s="1" t="s">
        <v>64</v>
      </c>
      <c r="F2419" s="5" t="str">
        <f>HYPERLINK("http://www.otzar.org/book.asp?623722","ספרים באנגלית - Grasshoppersx and Locusts in Jewish Tradhition")</f>
        <v>ספרים באנגלית - Grasshoppersx and Locusts in Jewish Tradhition</v>
      </c>
    </row>
    <row r="2420" spans="1:6" x14ac:dyDescent="0.2">
      <c r="A2420" t="s">
        <v>4892</v>
      </c>
      <c r="B2420" t="e">
        <f>- תאומים, דוד</f>
        <v>#NAME?</v>
      </c>
      <c r="C2420" t="s">
        <v>133</v>
      </c>
      <c r="D2420" s="1" t="s">
        <v>607</v>
      </c>
      <c r="F2420" s="5" t="str">
        <f>HYPERLINK("http://www.otzar.org/book.asp?630213","ספרים באנגלית - The Complete Gude To The Arba Minim")</f>
        <v>ספרים באנגלית - The Complete Gude To The Arba Minim</v>
      </c>
    </row>
    <row r="2421" spans="1:6" x14ac:dyDescent="0.2">
      <c r="A2421" t="s">
        <v>4893</v>
      </c>
      <c r="B2421" t="s">
        <v>4894</v>
      </c>
      <c r="C2421" t="s">
        <v>8</v>
      </c>
      <c r="D2421" s="1" t="s">
        <v>29</v>
      </c>
      <c r="F2421" s="5" t="str">
        <f>HYPERLINK("http://www.otzar.org/book.asp?630050","ספרים באנגלית - 2 כר'")</f>
        <v>ספרים באנגלית - 2 כר'</v>
      </c>
    </row>
    <row r="2422" spans="1:6" x14ac:dyDescent="0.2">
      <c r="A2422" t="s">
        <v>4895</v>
      </c>
      <c r="B2422" t="s">
        <v>2840</v>
      </c>
      <c r="C2422" t="s">
        <v>8</v>
      </c>
      <c r="D2422" s="1" t="s">
        <v>29</v>
      </c>
      <c r="F2422" s="5" t="str">
        <f>HYPERLINK("http://www.otzar.org/book.asp?626629","ספרים באנגלית - Chasdei Hashem")</f>
        <v>ספרים באנגלית - Chasdei Hashem</v>
      </c>
    </row>
    <row r="2423" spans="1:6" x14ac:dyDescent="0.2">
      <c r="A2423" t="s">
        <v>4896</v>
      </c>
      <c r="C2423">
        <v>1918</v>
      </c>
      <c r="D2423" s="1" t="s">
        <v>4897</v>
      </c>
      <c r="F2423" s="5" t="str">
        <f>HYPERLINK("http://www.otzar.org/book.asp?623437","ספרים בגרמנית- Dr Leo Munk")</f>
        <v>ספרים בגרמנית- Dr Leo Munk</v>
      </c>
    </row>
    <row r="2424" spans="1:6" x14ac:dyDescent="0.2">
      <c r="A2424" t="s">
        <v>4898</v>
      </c>
      <c r="B2424" t="s">
        <v>4899</v>
      </c>
      <c r="F2424" s="5" t="str">
        <f>HYPERLINK("http://www.otzar.org/book.asp?623436","ספרים בגרמנית- HERMANN SCHWAB זצ""ל")</f>
        <v>ספרים בגרמנית- HERMANN SCHWAB זצ"ל</v>
      </c>
    </row>
    <row r="2425" spans="1:6" x14ac:dyDescent="0.2">
      <c r="A2425" t="s">
        <v>4900</v>
      </c>
      <c r="B2425" t="e">
        <f>- WEITZMAM,YEJIEL</f>
        <v>#NAME?</v>
      </c>
      <c r="C2425" t="s">
        <v>639</v>
      </c>
      <c r="D2425" s="1" t="s">
        <v>52</v>
      </c>
      <c r="F2425" s="5" t="str">
        <f>HYPERLINK("http://www.otzar.org/book.asp?624468","ספרים בספרדית - EL EXILIO ISMAELITA")</f>
        <v>ספרים בספרדית - EL EXILIO ISMAELITA</v>
      </c>
    </row>
    <row r="2426" spans="1:6" x14ac:dyDescent="0.2">
      <c r="A2426" t="s">
        <v>4901</v>
      </c>
      <c r="B2426" t="e">
        <f>- אסחייק, יחזקאל</f>
        <v>#NAME?</v>
      </c>
      <c r="C2426" t="s">
        <v>136</v>
      </c>
      <c r="D2426" s="1" t="s">
        <v>14</v>
      </c>
      <c r="F2426" s="5" t="str">
        <f>HYPERLINK("http://www.otzar.org/book.asp?630629","ספרים בספרדית - חיים בריאים כהלכה")</f>
        <v>ספרים בספרדית - חיים בריאים כהלכה</v>
      </c>
    </row>
    <row r="2427" spans="1:6" x14ac:dyDescent="0.2">
      <c r="A2427" t="s">
        <v>4902</v>
      </c>
      <c r="B2427" t="e">
        <f>- רבי משה בן מימון - סגל, מרדכי דוד הלוי</f>
        <v>#NAME?</v>
      </c>
      <c r="C2427" t="s">
        <v>190</v>
      </c>
      <c r="D2427" s="1" t="s">
        <v>239</v>
      </c>
      <c r="F2427" s="5" t="str">
        <f>HYPERLINK("http://www.otzar.org/book.asp?632033","ספרים בספרדית - משנה תורה לרמב""ם - זמנים")</f>
        <v>ספרים בספרדית - משנה תורה לרמב"ם - זמנים</v>
      </c>
    </row>
    <row r="2428" spans="1:6" x14ac:dyDescent="0.2">
      <c r="A2428" t="s">
        <v>4903</v>
      </c>
      <c r="B2428" t="s">
        <v>4894</v>
      </c>
      <c r="C2428" t="s">
        <v>136</v>
      </c>
      <c r="D2428" s="1" t="s">
        <v>223</v>
      </c>
      <c r="F2428" s="5" t="str">
        <f>HYPERLINK("http://www.otzar.org/book.asp?630289","ספרים בספרדית - אוצר מסיני א")</f>
        <v>ספרים בספרדית - אוצר מסיני א</v>
      </c>
    </row>
    <row r="2429" spans="1:6" x14ac:dyDescent="0.2">
      <c r="A2429" t="s">
        <v>4904</v>
      </c>
      <c r="B2429" t="e">
        <f>- אסחייק, יחזקאל</f>
        <v>#NAME?</v>
      </c>
      <c r="C2429" t="s">
        <v>136</v>
      </c>
      <c r="D2429" s="1" t="s">
        <v>14</v>
      </c>
      <c r="F2429" s="5" t="str">
        <f>HYPERLINK("http://www.otzar.org/book.asp?630630","ספרים בצרפתית - חיים בריאים כהלכה")</f>
        <v>ספרים בצרפתית - חיים בריאים כהלכה</v>
      </c>
    </row>
    <row r="2430" spans="1:6" x14ac:dyDescent="0.2">
      <c r="A2430" t="s">
        <v>4905</v>
      </c>
      <c r="B2430" t="s">
        <v>1151</v>
      </c>
      <c r="D2430" s="1" t="s">
        <v>14</v>
      </c>
      <c r="F2430" s="5" t="str">
        <f>HYPERLINK("http://www.otzar.org/book.asp?625971","ספרים בצרפתית - LHOMME ET SON CHEMIN")</f>
        <v>ספרים בצרפתית - LHOMME ET SON CHEMIN</v>
      </c>
    </row>
    <row r="2431" spans="1:6" x14ac:dyDescent="0.2">
      <c r="A2431" t="s">
        <v>4906</v>
      </c>
      <c r="B2431" t="e">
        <f>- אסחייק, יחזקאל</f>
        <v>#NAME?</v>
      </c>
      <c r="C2431" t="s">
        <v>136</v>
      </c>
      <c r="D2431" s="1" t="s">
        <v>14</v>
      </c>
      <c r="F2431" s="5" t="str">
        <f>HYPERLINK("http://www.otzar.org/book.asp?630627","ספרים ברוסית - חיים בריאים כהלכה")</f>
        <v>ספרים ברוסית - חיים בריאים כהלכה</v>
      </c>
    </row>
    <row r="2432" spans="1:6" x14ac:dyDescent="0.2">
      <c r="A2432" t="s">
        <v>4907</v>
      </c>
      <c r="B2432" t="s">
        <v>4908</v>
      </c>
      <c r="C2432" t="s">
        <v>9</v>
      </c>
      <c r="D2432" s="1" t="s">
        <v>136</v>
      </c>
      <c r="E2432" t="s">
        <v>168</v>
      </c>
      <c r="F2432" s="5" t="str">
        <f>HYPERLINK("http://www.otzar.org/book.asp?629903","עבד ה'")</f>
        <v>עבד ה'</v>
      </c>
    </row>
    <row r="2433" spans="1:6" x14ac:dyDescent="0.2">
      <c r="A2433" t="s">
        <v>4909</v>
      </c>
      <c r="B2433" t="s">
        <v>2494</v>
      </c>
      <c r="C2433" t="s">
        <v>136</v>
      </c>
      <c r="D2433" s="1" t="s">
        <v>52</v>
      </c>
      <c r="E2433" t="s">
        <v>108</v>
      </c>
      <c r="F2433" s="5" t="str">
        <f>HYPERLINK("http://www.otzar.org/book.asp?625818","עבדו את ה' בשמחה")</f>
        <v>עבדו את ה' בשמחה</v>
      </c>
    </row>
    <row r="2434" spans="1:6" x14ac:dyDescent="0.2">
      <c r="A2434" t="s">
        <v>4910</v>
      </c>
      <c r="B2434" t="s">
        <v>4911</v>
      </c>
      <c r="C2434">
        <v>1915</v>
      </c>
      <c r="E2434" t="s">
        <v>295</v>
      </c>
      <c r="F2434" s="5" t="str">
        <f>HYPERLINK("http://www.otzar.org/book.asp?626318","עבודה שבלב")</f>
        <v>עבודה שבלב</v>
      </c>
    </row>
    <row r="2435" spans="1:6" x14ac:dyDescent="0.2">
      <c r="A2435" t="s">
        <v>4912</v>
      </c>
      <c r="B2435" t="s">
        <v>4913</v>
      </c>
      <c r="C2435" t="s">
        <v>245</v>
      </c>
      <c r="D2435" s="1" t="s">
        <v>14</v>
      </c>
      <c r="E2435" t="s">
        <v>17</v>
      </c>
      <c r="F2435" s="5" t="str">
        <f>HYPERLINK("http://www.otzar.org/book.asp?623280","עבודת אמת - ב")</f>
        <v>עבודת אמת - ב</v>
      </c>
    </row>
    <row r="2436" spans="1:6" x14ac:dyDescent="0.2">
      <c r="A2436" t="s">
        <v>4914</v>
      </c>
      <c r="B2436" t="s">
        <v>4915</v>
      </c>
      <c r="D2436" s="1" t="s">
        <v>9</v>
      </c>
      <c r="E2436" t="s">
        <v>41</v>
      </c>
      <c r="F2436" s="5" t="str">
        <f>HYPERLINK("http://www.otzar.org/book.asp?630802","עבודת הגרשוני &lt;זכרון אהרן&gt;")</f>
        <v>עבודת הגרשוני &lt;זכרון אהרן&gt;</v>
      </c>
    </row>
    <row r="2437" spans="1:6" x14ac:dyDescent="0.2">
      <c r="A2437" t="s">
        <v>4916</v>
      </c>
      <c r="B2437" t="s">
        <v>4917</v>
      </c>
      <c r="C2437" t="s">
        <v>25</v>
      </c>
      <c r="D2437" s="1" t="s">
        <v>52</v>
      </c>
      <c r="E2437" t="s">
        <v>214</v>
      </c>
      <c r="F2437" s="5" t="str">
        <f>HYPERLINK("http://www.otzar.org/book.asp?629900","עבודת הגרשוני")</f>
        <v>עבודת הגרשוני</v>
      </c>
    </row>
    <row r="2438" spans="1:6" x14ac:dyDescent="0.2">
      <c r="A2438" t="s">
        <v>4918</v>
      </c>
      <c r="B2438" t="s">
        <v>4915</v>
      </c>
      <c r="D2438" s="1" t="s">
        <v>9</v>
      </c>
      <c r="E2438" t="s">
        <v>4919</v>
      </c>
      <c r="F2438" s="5" t="str">
        <f>HYPERLINK("http://www.otzar.org/book.asp?627679","עבודת הגרשוני, חידושי הגרשוני &lt;זכרון אהרן&gt;")</f>
        <v>עבודת הגרשוני, חידושי הגרשוני &lt;זכרון אהרן&gt;</v>
      </c>
    </row>
    <row r="2439" spans="1:6" x14ac:dyDescent="0.2">
      <c r="A2439" t="s">
        <v>4920</v>
      </c>
      <c r="B2439" t="s">
        <v>1244</v>
      </c>
      <c r="C2439" t="s">
        <v>4921</v>
      </c>
      <c r="D2439" s="1" t="s">
        <v>4922</v>
      </c>
      <c r="E2439" t="s">
        <v>37</v>
      </c>
      <c r="F2439" s="5" t="str">
        <f>HYPERLINK("http://www.otzar.org/book.asp?624803","עבודת הקודש החדש - לדוד אמת")</f>
        <v>עבודת הקודש החדש - לדוד אמת</v>
      </c>
    </row>
    <row r="2440" spans="1:6" x14ac:dyDescent="0.2">
      <c r="A2440" t="s">
        <v>4923</v>
      </c>
      <c r="B2440" t="s">
        <v>4924</v>
      </c>
      <c r="D2440" s="1" t="s">
        <v>29</v>
      </c>
      <c r="E2440" t="s">
        <v>30</v>
      </c>
      <c r="F2440" s="5" t="str">
        <f>HYPERLINK("http://www.otzar.org/book.asp?627070","עבודת התפילה")</f>
        <v>עבודת התפילה</v>
      </c>
    </row>
    <row r="2441" spans="1:6" x14ac:dyDescent="0.2">
      <c r="A2441" t="s">
        <v>4925</v>
      </c>
      <c r="B2441" t="s">
        <v>789</v>
      </c>
      <c r="C2441" t="s">
        <v>13</v>
      </c>
      <c r="D2441" s="1" t="s">
        <v>21</v>
      </c>
      <c r="E2441" t="s">
        <v>49</v>
      </c>
      <c r="F2441" s="5" t="str">
        <f>HYPERLINK("http://www.otzar.org/book.asp?630236","עבודת מנורה")</f>
        <v>עבודת מנורה</v>
      </c>
    </row>
    <row r="2442" spans="1:6" x14ac:dyDescent="0.2">
      <c r="A2442" t="s">
        <v>4926</v>
      </c>
      <c r="B2442" t="s">
        <v>4927</v>
      </c>
      <c r="C2442" t="s">
        <v>8</v>
      </c>
      <c r="D2442" s="1" t="s">
        <v>14</v>
      </c>
      <c r="E2442" t="s">
        <v>37</v>
      </c>
      <c r="F2442" s="5" t="str">
        <f>HYPERLINK("http://www.otzar.org/book.asp?627569","עבודת שלמה - שונא מתנות, הוצאות שבת ויו""ט, לא תנסו")</f>
        <v>עבודת שלמה - שונא מתנות, הוצאות שבת ויו"ט, לא תנסו</v>
      </c>
    </row>
    <row r="2443" spans="1:6" x14ac:dyDescent="0.2">
      <c r="A2443" t="s">
        <v>4928</v>
      </c>
      <c r="B2443" t="s">
        <v>156</v>
      </c>
      <c r="C2443" t="s">
        <v>206</v>
      </c>
      <c r="D2443" s="1" t="s">
        <v>158</v>
      </c>
      <c r="E2443" t="s">
        <v>4929</v>
      </c>
      <c r="F2443" s="5" t="str">
        <f>HYPERLINK("http://www.otzar.org/book.asp?628563","עדון המידות")</f>
        <v>עדון המידות</v>
      </c>
    </row>
    <row r="2444" spans="1:6" x14ac:dyDescent="0.2">
      <c r="A2444" t="s">
        <v>4930</v>
      </c>
      <c r="B2444" t="s">
        <v>4931</v>
      </c>
      <c r="C2444" t="s">
        <v>9</v>
      </c>
      <c r="D2444" s="1" t="s">
        <v>386</v>
      </c>
      <c r="E2444" t="s">
        <v>477</v>
      </c>
      <c r="F2444" s="5" t="str">
        <f>HYPERLINK("http://www.otzar.org/book.asp?626041","עדות ביהוסף")</f>
        <v>עדות ביהוסף</v>
      </c>
    </row>
    <row r="2445" spans="1:6" x14ac:dyDescent="0.2">
      <c r="A2445" t="s">
        <v>4932</v>
      </c>
      <c r="B2445" t="s">
        <v>4933</v>
      </c>
      <c r="C2445" t="s">
        <v>92</v>
      </c>
      <c r="D2445" s="1" t="s">
        <v>803</v>
      </c>
      <c r="E2445" t="s">
        <v>214</v>
      </c>
      <c r="F2445" s="5" t="str">
        <f>HYPERLINK("http://www.otzar.org/book.asp?624913","עדות לשושן - 1")</f>
        <v>עדות לשושן - 1</v>
      </c>
    </row>
    <row r="2446" spans="1:6" x14ac:dyDescent="0.2">
      <c r="A2446" t="s">
        <v>4934</v>
      </c>
      <c r="B2446" t="s">
        <v>4935</v>
      </c>
      <c r="C2446" t="s">
        <v>126</v>
      </c>
      <c r="D2446" s="1" t="s">
        <v>4936</v>
      </c>
      <c r="E2446" t="s">
        <v>214</v>
      </c>
      <c r="F2446" s="5" t="str">
        <f>HYPERLINK("http://www.otzar.org/book.asp?626508","עדות נאמנה - ב")</f>
        <v>עדות נאמנה - ב</v>
      </c>
    </row>
    <row r="2447" spans="1:6" x14ac:dyDescent="0.2">
      <c r="A2447" t="s">
        <v>4937</v>
      </c>
      <c r="B2447" t="s">
        <v>4938</v>
      </c>
      <c r="C2447" t="s">
        <v>8</v>
      </c>
      <c r="D2447" s="1" t="s">
        <v>52</v>
      </c>
      <c r="E2447" t="s">
        <v>371</v>
      </c>
      <c r="F2447" s="5" t="str">
        <f>HYPERLINK("http://www.otzar.org/book.asp?624905","עוד יוסף חי")</f>
        <v>עוד יוסף חי</v>
      </c>
    </row>
    <row r="2448" spans="1:6" x14ac:dyDescent="0.2">
      <c r="A2448" t="s">
        <v>4939</v>
      </c>
      <c r="B2448" t="s">
        <v>4940</v>
      </c>
      <c r="C2448" t="s">
        <v>1755</v>
      </c>
      <c r="D2448" s="1" t="s">
        <v>1257</v>
      </c>
      <c r="E2448" t="s">
        <v>34</v>
      </c>
      <c r="F2448" s="5" t="str">
        <f>HYPERLINK("http://www.otzar.org/book.asp?160665","עוז אמונה ותחיה - א")</f>
        <v>עוז אמונה ותחיה - א</v>
      </c>
    </row>
    <row r="2449" spans="1:6" x14ac:dyDescent="0.2">
      <c r="A2449" t="s">
        <v>4941</v>
      </c>
      <c r="B2449" t="s">
        <v>4942</v>
      </c>
      <c r="C2449" t="s">
        <v>369</v>
      </c>
      <c r="D2449" s="1" t="s">
        <v>4943</v>
      </c>
      <c r="E2449" t="s">
        <v>108</v>
      </c>
      <c r="F2449" s="5" t="str">
        <f>HYPERLINK("http://www.otzar.org/book.asp?624940","עוללות")</f>
        <v>עוללות</v>
      </c>
    </row>
    <row r="2450" spans="1:6" x14ac:dyDescent="0.2">
      <c r="A2450" t="s">
        <v>4944</v>
      </c>
      <c r="B2450" t="s">
        <v>4945</v>
      </c>
      <c r="C2450" t="s">
        <v>25</v>
      </c>
      <c r="D2450" s="1" t="s">
        <v>52</v>
      </c>
      <c r="E2450" t="s">
        <v>22</v>
      </c>
      <c r="F2450" s="5" t="str">
        <f>HYPERLINK("http://www.otzar.org/book.asp?629324","עולת יצחק - ארבע אבות")</f>
        <v>עולת יצחק - ארבע אבות</v>
      </c>
    </row>
    <row r="2451" spans="1:6" x14ac:dyDescent="0.2">
      <c r="A2451" t="s">
        <v>4946</v>
      </c>
      <c r="B2451" t="s">
        <v>4947</v>
      </c>
      <c r="C2451" t="s">
        <v>13</v>
      </c>
      <c r="D2451" s="1" t="s">
        <v>64</v>
      </c>
      <c r="E2451" t="s">
        <v>168</v>
      </c>
      <c r="F2451" s="5" t="str">
        <f>HYPERLINK("http://www.otzar.org/book.asp?630773","עולת שבת &lt;מהדורת אהבת שלום&gt;")</f>
        <v>עולת שבת &lt;מהדורת אהבת שלום&gt;</v>
      </c>
    </row>
    <row r="2452" spans="1:6" x14ac:dyDescent="0.2">
      <c r="A2452" t="s">
        <v>4948</v>
      </c>
      <c r="B2452" t="s">
        <v>4949</v>
      </c>
      <c r="C2452" t="s">
        <v>13</v>
      </c>
      <c r="D2452" s="1" t="s">
        <v>64</v>
      </c>
      <c r="E2452" t="s">
        <v>37</v>
      </c>
      <c r="F2452" s="5" t="str">
        <f>HYPERLINK("http://www.otzar.org/book.asp?630594","עומקה של הלכה")</f>
        <v>עומקה של הלכה</v>
      </c>
    </row>
    <row r="2453" spans="1:6" x14ac:dyDescent="0.2">
      <c r="A2453" t="s">
        <v>4950</v>
      </c>
      <c r="B2453" t="s">
        <v>4951</v>
      </c>
      <c r="C2453" t="s">
        <v>13</v>
      </c>
      <c r="D2453" s="1" t="s">
        <v>14</v>
      </c>
      <c r="F2453" s="5" t="str">
        <f>HYPERLINK("http://www.otzar.org/book.asp?632056","עומר התנופה - בבא מציעא")</f>
        <v>עומר התנופה - בבא מציעא</v>
      </c>
    </row>
    <row r="2454" spans="1:6" x14ac:dyDescent="0.2">
      <c r="A2454" t="s">
        <v>4952</v>
      </c>
      <c r="B2454" t="s">
        <v>4953</v>
      </c>
      <c r="C2454" t="s">
        <v>13</v>
      </c>
      <c r="D2454" s="1" t="s">
        <v>1295</v>
      </c>
      <c r="E2454" t="s">
        <v>37</v>
      </c>
      <c r="F2454" s="5" t="str">
        <f>HYPERLINK("http://www.otzar.org/book.asp?627208","עורה כבודי  - תפילה")</f>
        <v>עורה כבודי  - תפילה</v>
      </c>
    </row>
    <row r="2455" spans="1:6" x14ac:dyDescent="0.2">
      <c r="A2455" t="s">
        <v>4954</v>
      </c>
      <c r="B2455" t="s">
        <v>1720</v>
      </c>
      <c r="C2455" t="s">
        <v>13</v>
      </c>
      <c r="D2455" s="1" t="s">
        <v>9</v>
      </c>
      <c r="E2455" t="s">
        <v>199</v>
      </c>
      <c r="F2455" s="5" t="str">
        <f>HYPERLINK("http://www.otzar.org/book.asp?631251","עזר מציון")</f>
        <v>עזר מציון</v>
      </c>
    </row>
    <row r="2456" spans="1:6" x14ac:dyDescent="0.2">
      <c r="A2456" t="s">
        <v>4955</v>
      </c>
      <c r="B2456" t="s">
        <v>4956</v>
      </c>
      <c r="C2456" t="s">
        <v>40</v>
      </c>
      <c r="D2456" s="1" t="s">
        <v>4957</v>
      </c>
      <c r="E2456" t="s">
        <v>89</v>
      </c>
      <c r="F2456" s="5" t="str">
        <f>HYPERLINK("http://www.otzar.org/book.asp?627224","עזרי מעם ד' - 5 כר'")</f>
        <v>עזרי מעם ד' - 5 כר'</v>
      </c>
    </row>
    <row r="2457" spans="1:6" x14ac:dyDescent="0.2">
      <c r="A2457" t="s">
        <v>4958</v>
      </c>
      <c r="B2457" t="s">
        <v>4959</v>
      </c>
      <c r="C2457" t="s">
        <v>73</v>
      </c>
      <c r="D2457" s="1" t="s">
        <v>4960</v>
      </c>
      <c r="E2457" t="s">
        <v>168</v>
      </c>
      <c r="F2457" s="5" t="str">
        <f>HYPERLINK("http://www.otzar.org/book.asp?627989","עזרי מעם ה' - 15 כר'")</f>
        <v>עזרי מעם ה' - 15 כר'</v>
      </c>
    </row>
    <row r="2458" spans="1:6" x14ac:dyDescent="0.2">
      <c r="A2458" t="s">
        <v>4961</v>
      </c>
      <c r="B2458" t="s">
        <v>4962</v>
      </c>
      <c r="C2458" t="s">
        <v>606</v>
      </c>
      <c r="D2458" s="1" t="s">
        <v>911</v>
      </c>
      <c r="E2458" t="s">
        <v>49</v>
      </c>
      <c r="F2458" s="5" t="str">
        <f>HYPERLINK("http://www.otzar.org/book.asp?623289","עטרת יצחק")</f>
        <v>עטרת יצחק</v>
      </c>
    </row>
    <row r="2459" spans="1:6" x14ac:dyDescent="0.2">
      <c r="A2459" t="s">
        <v>4963</v>
      </c>
      <c r="B2459" t="s">
        <v>4964</v>
      </c>
      <c r="C2459" t="s">
        <v>13</v>
      </c>
      <c r="D2459" s="1" t="s">
        <v>4965</v>
      </c>
      <c r="E2459" t="s">
        <v>49</v>
      </c>
      <c r="F2459" s="5" t="str">
        <f>HYPERLINK("http://www.otzar.org/book.asp?626679","עטרת ישראל ורחמים - ב")</f>
        <v>עטרת ישראל ורחמים - ב</v>
      </c>
    </row>
    <row r="2460" spans="1:6" x14ac:dyDescent="0.2">
      <c r="A2460" t="s">
        <v>4966</v>
      </c>
      <c r="B2460" t="s">
        <v>4967</v>
      </c>
      <c r="C2460" t="s">
        <v>40</v>
      </c>
      <c r="D2460" s="1" t="s">
        <v>4968</v>
      </c>
      <c r="E2460" t="s">
        <v>30</v>
      </c>
      <c r="F2460" s="5" t="str">
        <f>HYPERLINK("http://www.otzar.org/book.asp?630296","עטרת לוי יצחק")</f>
        <v>עטרת לוי יצחק</v>
      </c>
    </row>
    <row r="2461" spans="1:6" x14ac:dyDescent="0.2">
      <c r="A2461" t="s">
        <v>4969</v>
      </c>
      <c r="B2461" t="s">
        <v>4970</v>
      </c>
      <c r="C2461" t="s">
        <v>20</v>
      </c>
      <c r="D2461" s="1" t="s">
        <v>9</v>
      </c>
      <c r="E2461" t="s">
        <v>168</v>
      </c>
      <c r="F2461" s="5" t="str">
        <f>HYPERLINK("http://www.otzar.org/book.asp?623382","עטרת משה - 3 כר'")</f>
        <v>עטרת משה - 3 כר'</v>
      </c>
    </row>
    <row r="2462" spans="1:6" x14ac:dyDescent="0.2">
      <c r="A2462" t="s">
        <v>4971</v>
      </c>
      <c r="B2462" t="s">
        <v>4972</v>
      </c>
      <c r="C2462" t="s">
        <v>73</v>
      </c>
      <c r="D2462" s="1" t="s">
        <v>1295</v>
      </c>
      <c r="E2462" t="s">
        <v>168</v>
      </c>
      <c r="F2462" s="5" t="str">
        <f>HYPERLINK("http://www.otzar.org/book.asp?624362","עטרת צבי - 2 כר'")</f>
        <v>עטרת צבי - 2 כר'</v>
      </c>
    </row>
    <row r="2463" spans="1:6" x14ac:dyDescent="0.2">
      <c r="A2463" t="s">
        <v>4973</v>
      </c>
      <c r="B2463" t="s">
        <v>4974</v>
      </c>
      <c r="C2463" t="s">
        <v>13</v>
      </c>
      <c r="D2463" s="1" t="s">
        <v>52</v>
      </c>
      <c r="E2463" t="s">
        <v>22</v>
      </c>
      <c r="F2463" s="5" t="str">
        <f>HYPERLINK("http://www.otzar.org/book.asp?627486","עטרת צבי - עירובין")</f>
        <v>עטרת צבי - עירובין</v>
      </c>
    </row>
    <row r="2464" spans="1:6" x14ac:dyDescent="0.2">
      <c r="A2464" t="s">
        <v>4975</v>
      </c>
      <c r="B2464" t="s">
        <v>4976</v>
      </c>
      <c r="C2464" t="s">
        <v>20</v>
      </c>
      <c r="D2464" s="1" t="s">
        <v>14</v>
      </c>
      <c r="E2464" t="s">
        <v>22</v>
      </c>
      <c r="F2464" s="5" t="str">
        <f>HYPERLINK("http://www.otzar.org/book.asp?623577","עטרת שמעון - בבא מציעא")</f>
        <v>עטרת שמעון - בבא מציעא</v>
      </c>
    </row>
    <row r="2465" spans="1:6" x14ac:dyDescent="0.2">
      <c r="A2465" t="s">
        <v>4977</v>
      </c>
      <c r="B2465" t="s">
        <v>4978</v>
      </c>
      <c r="C2465" t="s">
        <v>14</v>
      </c>
      <c r="F2465" s="5" t="str">
        <f>HYPERLINK("http://www.otzar.org/book.asp?630391","עידוד בתופת")</f>
        <v>עידוד בתופת</v>
      </c>
    </row>
    <row r="2466" spans="1:6" x14ac:dyDescent="0.2">
      <c r="A2466" t="s">
        <v>4979</v>
      </c>
      <c r="B2466" t="s">
        <v>4980</v>
      </c>
      <c r="C2466" t="s">
        <v>13</v>
      </c>
      <c r="D2466" s="1" t="s">
        <v>9</v>
      </c>
      <c r="E2466" t="s">
        <v>61</v>
      </c>
      <c r="F2466" s="5" t="str">
        <f>HYPERLINK("http://www.otzar.org/book.asp?627415","עיון ההלכה - משנה ברורה ח""ב")</f>
        <v>עיון ההלכה - משנה ברורה ח"ב</v>
      </c>
    </row>
    <row r="2467" spans="1:6" x14ac:dyDescent="0.2">
      <c r="A2467" t="s">
        <v>4981</v>
      </c>
      <c r="B2467" t="s">
        <v>4982</v>
      </c>
      <c r="C2467" t="s">
        <v>136</v>
      </c>
      <c r="E2467" t="s">
        <v>61</v>
      </c>
      <c r="F2467" s="5" t="str">
        <f>HYPERLINK("http://www.otzar.org/book.asp?627683","עיון המשפט - 2 כר'")</f>
        <v>עיון המשפט - 2 כר'</v>
      </c>
    </row>
    <row r="2468" spans="1:6" x14ac:dyDescent="0.2">
      <c r="A2468" t="s">
        <v>4983</v>
      </c>
      <c r="B2468" t="s">
        <v>4984</v>
      </c>
      <c r="C2468" t="s">
        <v>25</v>
      </c>
      <c r="D2468" s="1" t="s">
        <v>14</v>
      </c>
      <c r="E2468" t="s">
        <v>22</v>
      </c>
      <c r="F2468" s="5" t="str">
        <f>HYPERLINK("http://www.otzar.org/book.asp?629446","עיון הסוגיא - 3 כר'")</f>
        <v>עיון הסוגיא - 3 כר'</v>
      </c>
    </row>
    <row r="2469" spans="1:6" x14ac:dyDescent="0.2">
      <c r="A2469" t="s">
        <v>4985</v>
      </c>
      <c r="B2469" t="s">
        <v>4986</v>
      </c>
      <c r="C2469" t="s">
        <v>13</v>
      </c>
      <c r="D2469" s="1" t="s">
        <v>14</v>
      </c>
      <c r="E2469" t="s">
        <v>214</v>
      </c>
      <c r="F2469" s="5" t="str">
        <f>HYPERLINK("http://www.otzar.org/book.asp?627140","עיוני שמעתתא - 12 כר'")</f>
        <v>עיוני שמעתתא - 12 כר'</v>
      </c>
    </row>
    <row r="2470" spans="1:6" x14ac:dyDescent="0.2">
      <c r="A2470" t="s">
        <v>4987</v>
      </c>
      <c r="B2470" t="s">
        <v>4988</v>
      </c>
      <c r="C2470" t="s">
        <v>25</v>
      </c>
      <c r="D2470" s="1" t="s">
        <v>14</v>
      </c>
      <c r="E2470" t="s">
        <v>22</v>
      </c>
      <c r="F2470" s="5" t="str">
        <f>HYPERLINK("http://www.otzar.org/book.asp?629520","עיוני תוספות - שבת")</f>
        <v>עיוני תוספות - שבת</v>
      </c>
    </row>
    <row r="2471" spans="1:6" x14ac:dyDescent="0.2">
      <c r="A2471" t="s">
        <v>4989</v>
      </c>
      <c r="B2471" t="s">
        <v>4990</v>
      </c>
      <c r="C2471" t="s">
        <v>88</v>
      </c>
      <c r="D2471" s="1" t="s">
        <v>14</v>
      </c>
      <c r="E2471" t="s">
        <v>199</v>
      </c>
      <c r="F2471" s="5" t="str">
        <f>HYPERLINK("http://www.otzar.org/book.asp?629936","עיונים בחנוכה")</f>
        <v>עיונים בחנוכה</v>
      </c>
    </row>
    <row r="2472" spans="1:6" x14ac:dyDescent="0.2">
      <c r="A2472" t="s">
        <v>4991</v>
      </c>
      <c r="B2472" t="s">
        <v>4992</v>
      </c>
      <c r="C2472" t="s">
        <v>1554</v>
      </c>
      <c r="D2472" s="1" t="s">
        <v>471</v>
      </c>
      <c r="E2472" t="s">
        <v>168</v>
      </c>
      <c r="F2472" s="5" t="str">
        <f>HYPERLINK("http://www.otzar.org/book.asp?625390","עיונים במקרא - ה במדבר, דברים")</f>
        <v>עיונים במקרא - ה במדבר, דברים</v>
      </c>
    </row>
    <row r="2473" spans="1:6" x14ac:dyDescent="0.2">
      <c r="A2473" t="s">
        <v>4993</v>
      </c>
      <c r="B2473" t="s">
        <v>4990</v>
      </c>
      <c r="C2473" t="s">
        <v>133</v>
      </c>
      <c r="D2473" s="1" t="s">
        <v>14</v>
      </c>
      <c r="E2473" t="s">
        <v>61</v>
      </c>
      <c r="F2473" s="5" t="str">
        <f>HYPERLINK("http://www.otzar.org/book.asp?629938","עיונים במשנה ברורה - 7 כר'")</f>
        <v>עיונים במשנה ברורה - 7 כר'</v>
      </c>
    </row>
    <row r="2474" spans="1:6" x14ac:dyDescent="0.2">
      <c r="A2474" t="s">
        <v>4994</v>
      </c>
      <c r="B2474" t="s">
        <v>156</v>
      </c>
      <c r="C2474" t="s">
        <v>307</v>
      </c>
      <c r="D2474" s="1" t="s">
        <v>158</v>
      </c>
      <c r="E2474" t="s">
        <v>30</v>
      </c>
      <c r="F2474" s="5" t="str">
        <f>HYPERLINK("http://www.otzar.org/book.asp?628517","עיונים וביאורים מאמר איתא במדרש תילים")</f>
        <v>עיונים וביאורים מאמר איתא במדרש תילים</v>
      </c>
    </row>
    <row r="2475" spans="1:6" x14ac:dyDescent="0.2">
      <c r="A2475" t="s">
        <v>4995</v>
      </c>
      <c r="B2475" t="s">
        <v>4996</v>
      </c>
      <c r="C2475" t="s">
        <v>1074</v>
      </c>
      <c r="D2475" s="1" t="s">
        <v>9</v>
      </c>
      <c r="E2475" t="s">
        <v>37</v>
      </c>
      <c r="F2475" s="5" t="str">
        <f>HYPERLINK("http://www.otzar.org/book.asp?623926","עיטורי הלכה - סדר היום")</f>
        <v>עיטורי הלכה - סדר היום</v>
      </c>
    </row>
    <row r="2476" spans="1:6" x14ac:dyDescent="0.2">
      <c r="A2476" t="s">
        <v>4997</v>
      </c>
      <c r="B2476" t="s">
        <v>4998</v>
      </c>
      <c r="C2476" t="s">
        <v>25</v>
      </c>
      <c r="D2476" s="1" t="s">
        <v>14</v>
      </c>
      <c r="E2476" t="s">
        <v>37</v>
      </c>
      <c r="F2476" s="5" t="str">
        <f>HYPERLINK("http://www.otzar.org/book.asp?629559","עיטורי מרדכי - 5 כר'")</f>
        <v>עיטורי מרדכי - 5 כר'</v>
      </c>
    </row>
    <row r="2477" spans="1:6" x14ac:dyDescent="0.2">
      <c r="A2477" t="s">
        <v>4999</v>
      </c>
      <c r="B2477" t="s">
        <v>5000</v>
      </c>
      <c r="C2477" t="s">
        <v>73</v>
      </c>
      <c r="D2477" s="1" t="s">
        <v>9</v>
      </c>
      <c r="E2477" t="s">
        <v>41</v>
      </c>
      <c r="F2477" s="5" t="str">
        <f>HYPERLINK("http://www.otzar.org/book.asp?627855","עין אברהם - 2 כר'")</f>
        <v>עין אברהם - 2 כר'</v>
      </c>
    </row>
    <row r="2478" spans="1:6" x14ac:dyDescent="0.2">
      <c r="A2478" t="s">
        <v>5001</v>
      </c>
      <c r="B2478" t="s">
        <v>5002</v>
      </c>
      <c r="C2478" t="s">
        <v>136</v>
      </c>
      <c r="D2478" s="1" t="s">
        <v>756</v>
      </c>
      <c r="E2478" t="s">
        <v>22</v>
      </c>
      <c r="F2478" s="5" t="str">
        <f>HYPERLINK("http://www.otzar.org/book.asp?624603","עין הבדולח - שבת")</f>
        <v>עין הבדולח - שבת</v>
      </c>
    </row>
    <row r="2479" spans="1:6" x14ac:dyDescent="0.2">
      <c r="A2479" t="s">
        <v>5003</v>
      </c>
      <c r="B2479" t="s">
        <v>5004</v>
      </c>
      <c r="C2479" t="s">
        <v>20</v>
      </c>
      <c r="D2479" s="1" t="s">
        <v>9</v>
      </c>
      <c r="E2479" t="s">
        <v>5005</v>
      </c>
      <c r="F2479" s="5" t="str">
        <f>HYPERLINK("http://www.otzar.org/book.asp?627821","עין הבדולח")</f>
        <v>עין הבדולח</v>
      </c>
    </row>
    <row r="2480" spans="1:6" x14ac:dyDescent="0.2">
      <c r="A2480" t="s">
        <v>5006</v>
      </c>
      <c r="B2480" t="s">
        <v>5007</v>
      </c>
      <c r="C2480" t="s">
        <v>190</v>
      </c>
      <c r="D2480" s="1" t="s">
        <v>9</v>
      </c>
      <c r="E2480" t="s">
        <v>56</v>
      </c>
      <c r="F2480" s="5" t="str">
        <f>HYPERLINK("http://www.otzar.org/book.asp?615427","עין הבדלח - תניינא")</f>
        <v>עין הבדלח - תניינא</v>
      </c>
    </row>
    <row r="2481" spans="1:6" x14ac:dyDescent="0.2">
      <c r="A2481" t="s">
        <v>5008</v>
      </c>
      <c r="B2481" t="s">
        <v>5009</v>
      </c>
      <c r="C2481" t="s">
        <v>73</v>
      </c>
      <c r="D2481" s="1" t="s">
        <v>9</v>
      </c>
      <c r="E2481" t="s">
        <v>22</v>
      </c>
      <c r="F2481" s="5" t="str">
        <f>HYPERLINK("http://www.otzar.org/book.asp?629441","עין המים - מלאכות תופר, קורע, מחתך, בונה, סותר ואוהל")</f>
        <v>עין המים - מלאכות תופר, קורע, מחתך, בונה, סותר ואוהל</v>
      </c>
    </row>
    <row r="2482" spans="1:6" x14ac:dyDescent="0.2">
      <c r="A2482" t="s">
        <v>5010</v>
      </c>
      <c r="B2482" t="s">
        <v>5011</v>
      </c>
      <c r="C2482" t="s">
        <v>13</v>
      </c>
      <c r="D2482" s="1" t="s">
        <v>9</v>
      </c>
      <c r="E2482" t="s">
        <v>61</v>
      </c>
      <c r="F2482" s="5" t="str">
        <f>HYPERLINK("http://www.otzar.org/book.asp?627548","עין המשפט - חו""מ קפב-רלד")</f>
        <v>עין המשפט - חו"מ קפב-רלד</v>
      </c>
    </row>
    <row r="2483" spans="1:6" x14ac:dyDescent="0.2">
      <c r="A2483" t="s">
        <v>5012</v>
      </c>
      <c r="B2483" t="s">
        <v>5013</v>
      </c>
      <c r="E2483" t="s">
        <v>22</v>
      </c>
      <c r="F2483" s="5" t="str">
        <f>HYPERLINK("http://www.otzar.org/book.asp?628028","עין יעקב עם עברי דייטש - 4 כר'")</f>
        <v>עין יעקב עם עברי דייטש - 4 כר'</v>
      </c>
    </row>
    <row r="2484" spans="1:6" x14ac:dyDescent="0.2">
      <c r="A2484" t="s">
        <v>5014</v>
      </c>
      <c r="B2484" t="s">
        <v>5015</v>
      </c>
      <c r="C2484" t="s">
        <v>88</v>
      </c>
      <c r="D2484" s="1" t="s">
        <v>471</v>
      </c>
      <c r="E2484" t="s">
        <v>168</v>
      </c>
      <c r="F2484" s="5" t="str">
        <f>HYPERLINK("http://www.otzar.org/book.asp?624636","עיני יצחק - 6 כר'")</f>
        <v>עיני יצחק - 6 כר'</v>
      </c>
    </row>
    <row r="2485" spans="1:6" x14ac:dyDescent="0.2">
      <c r="A2485" t="s">
        <v>5016</v>
      </c>
      <c r="B2485" t="s">
        <v>156</v>
      </c>
      <c r="C2485" t="s">
        <v>133</v>
      </c>
      <c r="D2485" s="1" t="s">
        <v>158</v>
      </c>
      <c r="E2485" t="s">
        <v>5017</v>
      </c>
      <c r="F2485" s="5" t="str">
        <f>HYPERLINK("http://www.otzar.org/book.asp?628564","עיניך ברכות בחשבון - א בראשית")</f>
        <v>עיניך ברכות בחשבון - א בראשית</v>
      </c>
    </row>
    <row r="2486" spans="1:6" x14ac:dyDescent="0.2">
      <c r="A2486" t="s">
        <v>5018</v>
      </c>
      <c r="B2486" t="s">
        <v>1460</v>
      </c>
      <c r="C2486" t="s">
        <v>133</v>
      </c>
      <c r="D2486" s="1" t="s">
        <v>471</v>
      </c>
      <c r="E2486" t="s">
        <v>89</v>
      </c>
      <c r="F2486" s="5" t="str">
        <f>HYPERLINK("http://www.otzar.org/book.asp?626757","עיצומו של יום")</f>
        <v>עיצומו של יום</v>
      </c>
    </row>
    <row r="2487" spans="1:6" x14ac:dyDescent="0.2">
      <c r="A2487" t="s">
        <v>5019</v>
      </c>
      <c r="B2487" t="s">
        <v>3284</v>
      </c>
      <c r="C2487" t="s">
        <v>290</v>
      </c>
      <c r="D2487" s="1" t="s">
        <v>29</v>
      </c>
      <c r="E2487" t="s">
        <v>214</v>
      </c>
      <c r="F2487" s="5" t="str">
        <f>HYPERLINK("http://www.otzar.org/book.asp?624658","עיר התמרים")</f>
        <v>עיר התמרים</v>
      </c>
    </row>
    <row r="2488" spans="1:6" x14ac:dyDescent="0.2">
      <c r="A2488" t="s">
        <v>5020</v>
      </c>
      <c r="B2488" t="s">
        <v>5021</v>
      </c>
      <c r="C2488" t="s">
        <v>73</v>
      </c>
      <c r="D2488" s="1" t="s">
        <v>476</v>
      </c>
      <c r="F2488" s="5" t="str">
        <f>HYPERLINK("http://www.otzar.org/book.asp?631714","עיר מקלט &lt;מהדורה חדשה&gt;")</f>
        <v>עיר מקלט &lt;מהדורה חדשה&gt;</v>
      </c>
    </row>
    <row r="2489" spans="1:6" x14ac:dyDescent="0.2">
      <c r="A2489" t="s">
        <v>5022</v>
      </c>
      <c r="B2489" t="s">
        <v>5023</v>
      </c>
      <c r="C2489" t="s">
        <v>245</v>
      </c>
      <c r="D2489" s="1" t="s">
        <v>14</v>
      </c>
      <c r="E2489" t="s">
        <v>214</v>
      </c>
      <c r="F2489" s="5" t="str">
        <f>HYPERLINK("http://www.otzar.org/book.asp?623271","עיר על תילה - 2 כר'")</f>
        <v>עיר על תילה - 2 כר'</v>
      </c>
    </row>
    <row r="2490" spans="1:6" x14ac:dyDescent="0.2">
      <c r="A2490" t="s">
        <v>5024</v>
      </c>
      <c r="B2490" t="s">
        <v>5025</v>
      </c>
      <c r="E2490" t="s">
        <v>37</v>
      </c>
      <c r="F2490" s="5" t="str">
        <f>HYPERLINK("http://www.otzar.org/book.asp?629099","על חטא העיגול")</f>
        <v>על חטא העיגול</v>
      </c>
    </row>
    <row r="2491" spans="1:6" x14ac:dyDescent="0.2">
      <c r="A2491" t="s">
        <v>5026</v>
      </c>
      <c r="B2491" t="s">
        <v>94</v>
      </c>
      <c r="C2491" t="s">
        <v>73</v>
      </c>
      <c r="D2491" s="1" t="s">
        <v>14</v>
      </c>
      <c r="E2491" t="s">
        <v>214</v>
      </c>
      <c r="F2491" s="5" t="str">
        <f>HYPERLINK("http://www.otzar.org/book.asp?629250","על יובל ישלח שרשיו")</f>
        <v>על יובל ישלח שרשיו</v>
      </c>
    </row>
    <row r="2492" spans="1:6" x14ac:dyDescent="0.2">
      <c r="A2492" t="s">
        <v>5027</v>
      </c>
      <c r="B2492" t="s">
        <v>5028</v>
      </c>
      <c r="C2492" t="s">
        <v>8</v>
      </c>
      <c r="D2492" s="1" t="s">
        <v>52</v>
      </c>
      <c r="E2492" t="s">
        <v>168</v>
      </c>
      <c r="F2492" s="5" t="str">
        <f>HYPERLINK("http://www.otzar.org/book.asp?625482","על כן")</f>
        <v>על כן</v>
      </c>
    </row>
    <row r="2493" spans="1:6" x14ac:dyDescent="0.2">
      <c r="A2493" t="s">
        <v>5029</v>
      </c>
      <c r="B2493" t="s">
        <v>482</v>
      </c>
      <c r="C2493" t="s">
        <v>8</v>
      </c>
      <c r="D2493" s="1" t="s">
        <v>9</v>
      </c>
      <c r="E2493" t="s">
        <v>37</v>
      </c>
      <c r="F2493" s="5" t="str">
        <f>HYPERLINK("http://www.otzar.org/book.asp?625800","על מזוזות ביתך")</f>
        <v>על מזוזות ביתך</v>
      </c>
    </row>
    <row r="2494" spans="1:6" x14ac:dyDescent="0.2">
      <c r="A2494" t="s">
        <v>5030</v>
      </c>
      <c r="B2494" t="s">
        <v>5031</v>
      </c>
      <c r="C2494" t="s">
        <v>13</v>
      </c>
      <c r="D2494" s="1" t="s">
        <v>52</v>
      </c>
      <c r="E2494" t="s">
        <v>34</v>
      </c>
      <c r="F2494" s="5" t="str">
        <f>HYPERLINK("http://www.otzar.org/book.asp?629887","על עמך יערימו סוד")</f>
        <v>על עמך יערימו סוד</v>
      </c>
    </row>
    <row r="2495" spans="1:6" x14ac:dyDescent="0.2">
      <c r="A2495" t="s">
        <v>5032</v>
      </c>
      <c r="B2495" t="s">
        <v>2984</v>
      </c>
      <c r="C2495" t="s">
        <v>123</v>
      </c>
      <c r="D2495" s="1" t="s">
        <v>64</v>
      </c>
      <c r="E2495" t="s">
        <v>49</v>
      </c>
      <c r="F2495" s="5" t="str">
        <f>HYPERLINK("http://www.otzar.org/book.asp?623900","על פירוש רבינו גרשום מאור הגולה")</f>
        <v>על פירוש רבינו גרשום מאור הגולה</v>
      </c>
    </row>
    <row r="2496" spans="1:6" x14ac:dyDescent="0.2">
      <c r="A2496" t="s">
        <v>5033</v>
      </c>
      <c r="B2496" t="s">
        <v>1213</v>
      </c>
      <c r="D2496" s="1" t="s">
        <v>9</v>
      </c>
      <c r="F2496" s="5" t="str">
        <f>HYPERLINK("http://www.otzar.org/book.asp?630377","על פרשת דרכים")</f>
        <v>על פרשת דרכים</v>
      </c>
    </row>
    <row r="2497" spans="1:6" x14ac:dyDescent="0.2">
      <c r="A2497" t="s">
        <v>5034</v>
      </c>
      <c r="B2497" t="s">
        <v>5035</v>
      </c>
      <c r="C2497" t="s">
        <v>13</v>
      </c>
      <c r="D2497" s="1" t="s">
        <v>9</v>
      </c>
      <c r="E2497" t="s">
        <v>49</v>
      </c>
      <c r="F2497" s="5" t="str">
        <f>HYPERLINK("http://www.otzar.org/book.asp?630731","עלון אספקלריה - 3 כר'")</f>
        <v>עלון אספקלריה - 3 כר'</v>
      </c>
    </row>
    <row r="2498" spans="1:6" x14ac:dyDescent="0.2">
      <c r="A2498" t="s">
        <v>5036</v>
      </c>
      <c r="B2498" t="s">
        <v>5037</v>
      </c>
      <c r="C2498" t="s">
        <v>5038</v>
      </c>
      <c r="E2498" t="s">
        <v>17</v>
      </c>
      <c r="F2498" s="5" t="str">
        <f>HYPERLINK("http://www.otzar.org/book.asp?622633","עלון שער התפילה - 1-25")</f>
        <v>עלון שער התפילה - 1-25</v>
      </c>
    </row>
    <row r="2499" spans="1:6" x14ac:dyDescent="0.2">
      <c r="A2499" t="s">
        <v>5039</v>
      </c>
      <c r="B2499" t="s">
        <v>5040</v>
      </c>
      <c r="C2499" t="s">
        <v>13</v>
      </c>
      <c r="D2499" s="1" t="s">
        <v>9</v>
      </c>
      <c r="E2499" t="s">
        <v>375</v>
      </c>
      <c r="F2499" s="5" t="str">
        <f>HYPERLINK("http://www.otzar.org/book.asp?627504","עלי אור - מו""ק, חול המועד, הלכות שמחות")</f>
        <v>עלי אור - מו"ק, חול המועד, הלכות שמחות</v>
      </c>
    </row>
    <row r="2500" spans="1:6" x14ac:dyDescent="0.2">
      <c r="A2500" t="s">
        <v>5041</v>
      </c>
      <c r="B2500" t="s">
        <v>5042</v>
      </c>
      <c r="C2500" t="s">
        <v>133</v>
      </c>
      <c r="D2500" s="1" t="s">
        <v>9</v>
      </c>
      <c r="E2500" t="s">
        <v>660</v>
      </c>
      <c r="F2500" s="5" t="str">
        <f>HYPERLINK("http://www.otzar.org/book.asp?626581","עלי זבח")</f>
        <v>עלי זבח</v>
      </c>
    </row>
    <row r="2501" spans="1:6" x14ac:dyDescent="0.2">
      <c r="A2501" t="s">
        <v>5043</v>
      </c>
      <c r="B2501" t="s">
        <v>5044</v>
      </c>
      <c r="C2501" t="s">
        <v>13</v>
      </c>
      <c r="D2501" s="1" t="s">
        <v>14</v>
      </c>
      <c r="E2501" t="s">
        <v>5045</v>
      </c>
      <c r="F2501" s="5" t="str">
        <f>HYPERLINK("http://www.otzar.org/book.asp?625216","עלי זכרון - 3 כר'")</f>
        <v>עלי זכרון - 3 כר'</v>
      </c>
    </row>
    <row r="2502" spans="1:6" x14ac:dyDescent="0.2">
      <c r="A2502" t="s">
        <v>5046</v>
      </c>
      <c r="B2502" t="s">
        <v>5047</v>
      </c>
      <c r="C2502" t="s">
        <v>73</v>
      </c>
      <c r="D2502" s="1" t="s">
        <v>14</v>
      </c>
      <c r="E2502" t="s">
        <v>214</v>
      </c>
      <c r="F2502" s="5" t="str">
        <f>HYPERLINK("http://www.otzar.org/book.asp?625603","עלי עין")</f>
        <v>עלי עין</v>
      </c>
    </row>
    <row r="2503" spans="1:6" x14ac:dyDescent="0.2">
      <c r="A2503" t="s">
        <v>5048</v>
      </c>
      <c r="B2503" t="s">
        <v>5049</v>
      </c>
      <c r="E2503" t="s">
        <v>1458</v>
      </c>
      <c r="F2503" s="5" t="str">
        <f>HYPERLINK("http://www.otzar.org/book.asp?630274","עליהם הוא יחיה")</f>
        <v>עליהם הוא יחיה</v>
      </c>
    </row>
    <row r="2504" spans="1:6" x14ac:dyDescent="0.2">
      <c r="A2504" t="s">
        <v>5050</v>
      </c>
      <c r="B2504" t="s">
        <v>5051</v>
      </c>
      <c r="C2504" t="s">
        <v>73</v>
      </c>
      <c r="D2504" s="1" t="s">
        <v>5052</v>
      </c>
      <c r="E2504" t="s">
        <v>22</v>
      </c>
      <c r="F2504" s="5" t="str">
        <f>HYPERLINK("http://www.otzar.org/book.asp?623376","עליות שמואל")</f>
        <v>עליות שמואל</v>
      </c>
    </row>
    <row r="2505" spans="1:6" x14ac:dyDescent="0.2">
      <c r="A2505" t="s">
        <v>5053</v>
      </c>
      <c r="B2505" t="s">
        <v>5054</v>
      </c>
      <c r="C2505" t="s">
        <v>73</v>
      </c>
      <c r="D2505" s="1" t="s">
        <v>476</v>
      </c>
      <c r="E2505" t="s">
        <v>49</v>
      </c>
      <c r="F2505" s="5" t="str">
        <f>HYPERLINK("http://www.otzar.org/book.asp?623377","עליית שלמה")</f>
        <v>עליית שלמה</v>
      </c>
    </row>
    <row r="2506" spans="1:6" x14ac:dyDescent="0.2">
      <c r="A2506" t="s">
        <v>5055</v>
      </c>
      <c r="B2506" t="s">
        <v>5056</v>
      </c>
      <c r="C2506" t="s">
        <v>5057</v>
      </c>
      <c r="D2506" s="1" t="s">
        <v>2383</v>
      </c>
      <c r="E2506" t="s">
        <v>49</v>
      </c>
      <c r="F2506" s="5" t="str">
        <f>HYPERLINK("http://www.otzar.org/book.asp?627314","עלים לביבליוגרפיה וקורות ישראל - 4 כר'")</f>
        <v>עלים לביבליוגרפיה וקורות ישראל - 4 כר'</v>
      </c>
    </row>
    <row r="2507" spans="1:6" x14ac:dyDescent="0.2">
      <c r="A2507" t="s">
        <v>5058</v>
      </c>
      <c r="B2507" t="s">
        <v>364</v>
      </c>
      <c r="C2507" t="s">
        <v>1568</v>
      </c>
      <c r="D2507" s="1" t="s">
        <v>29</v>
      </c>
      <c r="E2507" t="s">
        <v>214</v>
      </c>
      <c r="F2507" s="5" t="str">
        <f>HYPERLINK("http://www.otzar.org/book.asp?624484","עם התורה - 9 כר'")</f>
        <v>עם התורה - 9 כר'</v>
      </c>
    </row>
    <row r="2508" spans="1:6" x14ac:dyDescent="0.2">
      <c r="A2508" t="s">
        <v>5059</v>
      </c>
      <c r="B2508" t="s">
        <v>5060</v>
      </c>
      <c r="C2508" t="s">
        <v>8</v>
      </c>
      <c r="D2508" s="1" t="s">
        <v>52</v>
      </c>
      <c r="E2508" t="s">
        <v>89</v>
      </c>
      <c r="F2508" s="5" t="str">
        <f>HYPERLINK("http://www.otzar.org/book.asp?623686","עם מקדשי שביעי")</f>
        <v>עם מקדשי שביעי</v>
      </c>
    </row>
    <row r="2509" spans="1:6" x14ac:dyDescent="0.2">
      <c r="A2509" t="s">
        <v>5061</v>
      </c>
      <c r="B2509" t="s">
        <v>5062</v>
      </c>
      <c r="C2509" t="s">
        <v>88</v>
      </c>
      <c r="D2509" s="1" t="s">
        <v>9</v>
      </c>
      <c r="E2509" t="s">
        <v>34</v>
      </c>
      <c r="F2509" s="5" t="str">
        <f>HYPERLINK("http://www.otzar.org/book.asp?629455","עם נושע בה'")</f>
        <v>עם נושע בה'</v>
      </c>
    </row>
    <row r="2510" spans="1:6" x14ac:dyDescent="0.2">
      <c r="A2510" t="s">
        <v>5063</v>
      </c>
      <c r="B2510" t="s">
        <v>210</v>
      </c>
      <c r="C2510" t="s">
        <v>13</v>
      </c>
      <c r="D2510" s="1" t="s">
        <v>14</v>
      </c>
      <c r="E2510" t="s">
        <v>89</v>
      </c>
      <c r="F2510" s="5" t="str">
        <f>HYPERLINK("http://www.otzar.org/book.asp?626234","עמוד אש - פסח")</f>
        <v>עמוד אש - פסח</v>
      </c>
    </row>
    <row r="2511" spans="1:6" x14ac:dyDescent="0.2">
      <c r="A2511" t="s">
        <v>5064</v>
      </c>
      <c r="B2511" t="s">
        <v>5065</v>
      </c>
      <c r="C2511" t="s">
        <v>397</v>
      </c>
      <c r="D2511" s="1" t="s">
        <v>14</v>
      </c>
      <c r="E2511" t="s">
        <v>5066</v>
      </c>
      <c r="F2511" s="5" t="str">
        <f>HYPERLINK("http://www.otzar.org/book.asp?624960","עמודי אור - ב")</f>
        <v>עמודי אור - ב</v>
      </c>
    </row>
    <row r="2512" spans="1:6" x14ac:dyDescent="0.2">
      <c r="A2512" t="s">
        <v>5067</v>
      </c>
      <c r="B2512" t="s">
        <v>5068</v>
      </c>
      <c r="C2512" t="s">
        <v>13</v>
      </c>
      <c r="D2512" s="1" t="s">
        <v>9</v>
      </c>
      <c r="F2512" s="5" t="str">
        <f>HYPERLINK("http://www.otzar.org/book.asp?627812","עמודי אורה - 2 כר'")</f>
        <v>עמודי אורה - 2 כר'</v>
      </c>
    </row>
    <row r="2513" spans="1:6" x14ac:dyDescent="0.2">
      <c r="A2513" t="s">
        <v>5069</v>
      </c>
      <c r="B2513" t="s">
        <v>1739</v>
      </c>
      <c r="C2513" t="s">
        <v>8</v>
      </c>
      <c r="D2513" s="1" t="s">
        <v>21</v>
      </c>
      <c r="E2513" t="s">
        <v>37</v>
      </c>
      <c r="F2513" s="5" t="str">
        <f>HYPERLINK("http://www.otzar.org/book.asp?627316","עמודי השולחן - 5 כר'")</f>
        <v>עמודי השולחן - 5 כר'</v>
      </c>
    </row>
    <row r="2514" spans="1:6" x14ac:dyDescent="0.2">
      <c r="A2514" t="s">
        <v>5070</v>
      </c>
      <c r="B2514" t="s">
        <v>5071</v>
      </c>
      <c r="C2514" t="s">
        <v>20</v>
      </c>
      <c r="D2514" s="1" t="s">
        <v>52</v>
      </c>
      <c r="E2514" t="s">
        <v>89</v>
      </c>
      <c r="F2514" s="5" t="str">
        <f>HYPERLINK("http://www.otzar.org/book.asp?627820","עמודי שלמה")</f>
        <v>עמודי שלמה</v>
      </c>
    </row>
    <row r="2515" spans="1:6" x14ac:dyDescent="0.2">
      <c r="A2515" t="s">
        <v>5072</v>
      </c>
      <c r="B2515" t="s">
        <v>156</v>
      </c>
      <c r="C2515" t="s">
        <v>73</v>
      </c>
      <c r="D2515" s="1" t="s">
        <v>158</v>
      </c>
      <c r="E2515" t="s">
        <v>401</v>
      </c>
      <c r="F2515" s="5" t="str">
        <f>HYPERLINK("http://www.otzar.org/book.asp?626893","עמודיה שבעה - 5 כר'")</f>
        <v>עמודיה שבעה - 5 כר'</v>
      </c>
    </row>
    <row r="2516" spans="1:6" x14ac:dyDescent="0.2">
      <c r="A2516" t="s">
        <v>5073</v>
      </c>
      <c r="B2516" t="s">
        <v>5074</v>
      </c>
      <c r="C2516" t="s">
        <v>1385</v>
      </c>
      <c r="D2516" s="1" t="s">
        <v>432</v>
      </c>
      <c r="E2516" t="s">
        <v>49</v>
      </c>
      <c r="F2516" s="5" t="str">
        <f>HYPERLINK("http://www.otzar.org/book.asp?627738","עמודים בתולדות הספר העברי - הגהות ומגיהים")</f>
        <v>עמודים בתולדות הספר העברי - הגהות ומגיהים</v>
      </c>
    </row>
    <row r="2517" spans="1:6" x14ac:dyDescent="0.2">
      <c r="A2517" t="s">
        <v>5075</v>
      </c>
      <c r="B2517" t="s">
        <v>5076</v>
      </c>
      <c r="C2517" t="s">
        <v>88</v>
      </c>
      <c r="D2517" s="1" t="s">
        <v>9</v>
      </c>
      <c r="E2517" t="s">
        <v>199</v>
      </c>
      <c r="F2517" s="5" t="str">
        <f>HYPERLINK("http://www.otzar.org/book.asp?626056","עמל פנחס")</f>
        <v>עמל פנחס</v>
      </c>
    </row>
    <row r="2518" spans="1:6" x14ac:dyDescent="0.2">
      <c r="A2518" t="s">
        <v>5077</v>
      </c>
      <c r="B2518" t="s">
        <v>1366</v>
      </c>
      <c r="C2518" t="s">
        <v>174</v>
      </c>
      <c r="D2518" s="1" t="s">
        <v>1367</v>
      </c>
      <c r="E2518" t="s">
        <v>214</v>
      </c>
      <c r="F2518" s="5" t="str">
        <f>HYPERLINK("http://www.otzar.org/book.asp?626206","עמלה של תורה - קידושין")</f>
        <v>עמלה של תורה - קידושין</v>
      </c>
    </row>
    <row r="2519" spans="1:6" x14ac:dyDescent="0.2">
      <c r="A2519" t="s">
        <v>5078</v>
      </c>
      <c r="B2519" t="s">
        <v>5079</v>
      </c>
      <c r="C2519" t="s">
        <v>20</v>
      </c>
      <c r="D2519" s="1" t="s">
        <v>120</v>
      </c>
      <c r="E2519" t="s">
        <v>22</v>
      </c>
      <c r="F2519" s="5" t="str">
        <f>HYPERLINK("http://www.otzar.org/book.asp?615426","עמלה של תורה - יבמות")</f>
        <v>עמלה של תורה - יבמות</v>
      </c>
    </row>
    <row r="2520" spans="1:6" x14ac:dyDescent="0.2">
      <c r="A2520" t="s">
        <v>5080</v>
      </c>
      <c r="B2520" t="s">
        <v>5081</v>
      </c>
      <c r="C2520" t="s">
        <v>13</v>
      </c>
      <c r="E2520" t="s">
        <v>22</v>
      </c>
      <c r="F2520" s="5" t="str">
        <f>HYPERLINK("http://www.otzar.org/book.asp?622557","עמק ארזים")</f>
        <v>עמק ארזים</v>
      </c>
    </row>
    <row r="2521" spans="1:6" x14ac:dyDescent="0.2">
      <c r="A2521" t="s">
        <v>5082</v>
      </c>
      <c r="B2521" t="s">
        <v>5083</v>
      </c>
      <c r="C2521" t="s">
        <v>40</v>
      </c>
      <c r="D2521" s="1" t="s">
        <v>9</v>
      </c>
      <c r="E2521" t="s">
        <v>37</v>
      </c>
      <c r="F2521" s="5" t="str">
        <f>HYPERLINK("http://www.otzar.org/book.asp?623135","עמק ההלכה - 2 כר'")</f>
        <v>עמק ההלכה - 2 כר'</v>
      </c>
    </row>
    <row r="2522" spans="1:6" x14ac:dyDescent="0.2">
      <c r="A2522" t="s">
        <v>5084</v>
      </c>
      <c r="B2522" t="s">
        <v>5085</v>
      </c>
      <c r="C2522" t="s">
        <v>190</v>
      </c>
      <c r="D2522" s="1" t="s">
        <v>14</v>
      </c>
      <c r="E2522" t="s">
        <v>22</v>
      </c>
      <c r="F2522" s="5" t="str">
        <f>HYPERLINK("http://www.otzar.org/book.asp?625851","עמק הזבח")</f>
        <v>עמק הזבח</v>
      </c>
    </row>
    <row r="2523" spans="1:6" x14ac:dyDescent="0.2">
      <c r="A2523" t="s">
        <v>5086</v>
      </c>
      <c r="B2523" t="s">
        <v>5085</v>
      </c>
      <c r="C2523" t="s">
        <v>73</v>
      </c>
      <c r="D2523" s="1" t="s">
        <v>14</v>
      </c>
      <c r="E2523" t="s">
        <v>22</v>
      </c>
      <c r="F2523" s="5" t="str">
        <f>HYPERLINK("http://www.otzar.org/book.asp?625849","עמק היבום")</f>
        <v>עמק היבום</v>
      </c>
    </row>
    <row r="2524" spans="1:6" x14ac:dyDescent="0.2">
      <c r="A2524" t="s">
        <v>5087</v>
      </c>
      <c r="B2524" t="s">
        <v>5085</v>
      </c>
      <c r="C2524" t="s">
        <v>73</v>
      </c>
      <c r="D2524" s="1" t="s">
        <v>14</v>
      </c>
      <c r="E2524" t="s">
        <v>22</v>
      </c>
      <c r="F2524" s="5" t="str">
        <f>HYPERLINK("http://www.otzar.org/book.asp?625854","עמק הספק")</f>
        <v>עמק הספק</v>
      </c>
    </row>
    <row r="2525" spans="1:6" x14ac:dyDescent="0.2">
      <c r="A2525" t="s">
        <v>5088</v>
      </c>
      <c r="B2525" t="s">
        <v>5085</v>
      </c>
      <c r="C2525" t="s">
        <v>133</v>
      </c>
      <c r="D2525" s="1" t="s">
        <v>14</v>
      </c>
      <c r="E2525" t="s">
        <v>22</v>
      </c>
      <c r="F2525" s="5" t="str">
        <f>HYPERLINK("http://www.otzar.org/book.asp?625853","עמק העירוב")</f>
        <v>עמק העירוב</v>
      </c>
    </row>
    <row r="2526" spans="1:6" x14ac:dyDescent="0.2">
      <c r="A2526" t="s">
        <v>5089</v>
      </c>
      <c r="B2526" t="s">
        <v>5090</v>
      </c>
      <c r="C2526" t="s">
        <v>8</v>
      </c>
      <c r="D2526" s="1" t="s">
        <v>1341</v>
      </c>
      <c r="E2526" t="s">
        <v>22</v>
      </c>
      <c r="F2526" s="5" t="str">
        <f>HYPERLINK("http://www.otzar.org/book.asp?623125","עמק הפשט - 2 כר'")</f>
        <v>עמק הפשט - 2 כר'</v>
      </c>
    </row>
    <row r="2527" spans="1:6" x14ac:dyDescent="0.2">
      <c r="A2527" t="s">
        <v>5091</v>
      </c>
      <c r="B2527" t="s">
        <v>5085</v>
      </c>
      <c r="C2527" t="s">
        <v>13</v>
      </c>
      <c r="D2527" s="1" t="s">
        <v>14</v>
      </c>
      <c r="E2527" t="s">
        <v>22</v>
      </c>
      <c r="F2527" s="5" t="str">
        <f>HYPERLINK("http://www.otzar.org/book.asp?625850","עמק הריבית")</f>
        <v>עמק הריבית</v>
      </c>
    </row>
    <row r="2528" spans="1:6" x14ac:dyDescent="0.2">
      <c r="A2528" t="s">
        <v>5092</v>
      </c>
      <c r="B2528" t="s">
        <v>5085</v>
      </c>
      <c r="C2528" t="s">
        <v>20</v>
      </c>
      <c r="D2528" s="1" t="s">
        <v>14</v>
      </c>
      <c r="E2528" t="s">
        <v>22</v>
      </c>
      <c r="F2528" s="5" t="str">
        <f>HYPERLINK("http://www.otzar.org/book.asp?625852","עמק השמירה")</f>
        <v>עמק השמירה</v>
      </c>
    </row>
    <row r="2529" spans="1:6" x14ac:dyDescent="0.2">
      <c r="A2529" t="s">
        <v>5093</v>
      </c>
      <c r="B2529" t="s">
        <v>5094</v>
      </c>
      <c r="C2529" t="s">
        <v>8</v>
      </c>
      <c r="D2529" s="1" t="s">
        <v>14</v>
      </c>
      <c r="E2529" t="s">
        <v>4919</v>
      </c>
      <c r="F2529" s="5" t="str">
        <f>HYPERLINK("http://www.otzar.org/book.asp?627515","עמק יהושפט - 6 כר'")</f>
        <v>עמק יהושפט - 6 כר'</v>
      </c>
    </row>
    <row r="2530" spans="1:6" x14ac:dyDescent="0.2">
      <c r="A2530" t="s">
        <v>5095</v>
      </c>
      <c r="B2530" t="s">
        <v>94</v>
      </c>
      <c r="C2530" t="s">
        <v>8</v>
      </c>
      <c r="D2530" s="1" t="s">
        <v>52</v>
      </c>
      <c r="E2530" t="s">
        <v>168</v>
      </c>
      <c r="F2530" s="5" t="str">
        <f>HYPERLINK("http://www.otzar.org/book.asp?626338","עמק יהושפט")</f>
        <v>עמק יהושפט</v>
      </c>
    </row>
    <row r="2531" spans="1:6" x14ac:dyDescent="0.2">
      <c r="A2531" t="s">
        <v>5096</v>
      </c>
      <c r="B2531" t="s">
        <v>5085</v>
      </c>
      <c r="C2531" t="s">
        <v>20</v>
      </c>
      <c r="D2531" s="1" t="s">
        <v>14</v>
      </c>
      <c r="E2531" t="s">
        <v>22</v>
      </c>
      <c r="F2531" s="5" t="str">
        <f>HYPERLINK("http://www.otzar.org/book.asp?625855","עמק סוכות")</f>
        <v>עמק סוכות</v>
      </c>
    </row>
    <row r="2532" spans="1:6" x14ac:dyDescent="0.2">
      <c r="A2532" t="s">
        <v>5097</v>
      </c>
      <c r="B2532" t="s">
        <v>156</v>
      </c>
      <c r="C2532" t="s">
        <v>383</v>
      </c>
      <c r="D2532" s="1" t="s">
        <v>158</v>
      </c>
      <c r="E2532" t="s">
        <v>30</v>
      </c>
      <c r="F2532" s="5" t="str">
        <f>HYPERLINK("http://www.otzar.org/book.asp?628565","עניין התפילה וההתבוננות")</f>
        <v>עניין התפילה וההתבוננות</v>
      </c>
    </row>
    <row r="2533" spans="1:6" x14ac:dyDescent="0.2">
      <c r="A2533" t="s">
        <v>5098</v>
      </c>
      <c r="B2533" t="s">
        <v>5099</v>
      </c>
      <c r="C2533" t="s">
        <v>13</v>
      </c>
      <c r="D2533" s="1" t="s">
        <v>9</v>
      </c>
      <c r="E2533" t="s">
        <v>89</v>
      </c>
      <c r="F2533" s="5" t="str">
        <f>HYPERLINK("http://www.otzar.org/book.asp?630116","עניינו של יום - ירח האיתנים")</f>
        <v>עניינו של יום - ירח האיתנים</v>
      </c>
    </row>
    <row r="2534" spans="1:6" x14ac:dyDescent="0.2">
      <c r="A2534" t="s">
        <v>5100</v>
      </c>
      <c r="B2534" t="s">
        <v>3131</v>
      </c>
      <c r="C2534" t="s">
        <v>307</v>
      </c>
      <c r="D2534" s="1" t="s">
        <v>52</v>
      </c>
      <c r="E2534" t="s">
        <v>22</v>
      </c>
      <c r="F2534" s="5" t="str">
        <f>HYPERLINK("http://www.otzar.org/book.asp?623257","ענינא דיומא")</f>
        <v>ענינא דיומא</v>
      </c>
    </row>
    <row r="2535" spans="1:6" x14ac:dyDescent="0.2">
      <c r="A2535" t="s">
        <v>5101</v>
      </c>
      <c r="B2535" t="s">
        <v>2609</v>
      </c>
      <c r="C2535" t="s">
        <v>245</v>
      </c>
      <c r="D2535" s="1" t="s">
        <v>9</v>
      </c>
      <c r="F2535" s="5" t="str">
        <f>HYPERLINK("http://www.otzar.org/book.asp?630417","עניני חג השבועות למהרא""ל צינץ")</f>
        <v>עניני חג השבועות למהרא"ל צינץ</v>
      </c>
    </row>
    <row r="2536" spans="1:6" x14ac:dyDescent="0.2">
      <c r="A2536" t="s">
        <v>5102</v>
      </c>
      <c r="B2536" t="s">
        <v>482</v>
      </c>
      <c r="C2536" t="s">
        <v>13</v>
      </c>
      <c r="D2536" s="1" t="s">
        <v>9</v>
      </c>
      <c r="E2536" t="s">
        <v>34</v>
      </c>
      <c r="F2536" s="5" t="str">
        <f>HYPERLINK("http://www.otzar.org/book.asp?623489","עניני חסד וצדקה")</f>
        <v>עניני חסד וצדקה</v>
      </c>
    </row>
    <row r="2537" spans="1:6" x14ac:dyDescent="0.2">
      <c r="A2537" t="s">
        <v>5103</v>
      </c>
      <c r="B2537" t="s">
        <v>482</v>
      </c>
      <c r="C2537" t="s">
        <v>73</v>
      </c>
      <c r="D2537" s="1" t="s">
        <v>9</v>
      </c>
      <c r="E2537" t="s">
        <v>89</v>
      </c>
      <c r="F2537" s="5" t="str">
        <f>HYPERLINK("http://www.otzar.org/book.asp?625778","עניני ל""ג בעומר")</f>
        <v>עניני ל"ג בעומר</v>
      </c>
    </row>
    <row r="2538" spans="1:6" x14ac:dyDescent="0.2">
      <c r="A2538" t="s">
        <v>5104</v>
      </c>
      <c r="B2538" t="s">
        <v>5105</v>
      </c>
      <c r="C2538" t="s">
        <v>5106</v>
      </c>
      <c r="D2538" s="1" t="s">
        <v>537</v>
      </c>
      <c r="E2538" t="s">
        <v>2232</v>
      </c>
      <c r="F2538" s="5" t="str">
        <f>HYPERLINK("http://www.otzar.org/book.asp?627377","עניני לשון")</f>
        <v>עניני לשון</v>
      </c>
    </row>
    <row r="2539" spans="1:6" x14ac:dyDescent="0.2">
      <c r="A2539" t="s">
        <v>5107</v>
      </c>
      <c r="B2539" t="s">
        <v>94</v>
      </c>
      <c r="C2539" t="s">
        <v>25</v>
      </c>
      <c r="D2539" s="1" t="s">
        <v>52</v>
      </c>
      <c r="E2539" t="s">
        <v>22</v>
      </c>
      <c r="F2539" s="5" t="str">
        <f>HYPERLINK("http://www.otzar.org/book.asp?629567","עניני ערב")</f>
        <v>עניני ערב</v>
      </c>
    </row>
    <row r="2540" spans="1:6" x14ac:dyDescent="0.2">
      <c r="A2540" t="s">
        <v>5108</v>
      </c>
      <c r="B2540" t="s">
        <v>94</v>
      </c>
      <c r="C2540" t="s">
        <v>13</v>
      </c>
      <c r="D2540" s="1" t="s">
        <v>52</v>
      </c>
      <c r="E2540" t="s">
        <v>37</v>
      </c>
      <c r="F2540" s="5" t="str">
        <f>HYPERLINK("http://www.otzar.org/book.asp?630107","עניני שעבוד - 2 כר'")</f>
        <v>עניני שעבוד - 2 כר'</v>
      </c>
    </row>
    <row r="2541" spans="1:6" x14ac:dyDescent="0.2">
      <c r="A2541" t="s">
        <v>5109</v>
      </c>
      <c r="B2541" t="s">
        <v>5110</v>
      </c>
      <c r="C2541" t="s">
        <v>383</v>
      </c>
      <c r="D2541" s="1" t="s">
        <v>120</v>
      </c>
      <c r="F2541" s="5" t="str">
        <f>HYPERLINK("http://www.otzar.org/book.asp?628205","ענף עץ אבות")</f>
        <v>ענף עץ אבות</v>
      </c>
    </row>
    <row r="2542" spans="1:6" x14ac:dyDescent="0.2">
      <c r="A2542" t="s">
        <v>5111</v>
      </c>
      <c r="B2542" t="s">
        <v>5112</v>
      </c>
      <c r="C2542" t="s">
        <v>25</v>
      </c>
      <c r="D2542" s="1" t="s">
        <v>2058</v>
      </c>
      <c r="E2542" t="s">
        <v>199</v>
      </c>
      <c r="F2542" s="5" t="str">
        <f>HYPERLINK("http://www.otzar.org/book.asp?629634","ענפי משה - יו""ט, חול המועד")</f>
        <v>ענפי משה - יו"ט, חול המועד</v>
      </c>
    </row>
    <row r="2543" spans="1:6" x14ac:dyDescent="0.2">
      <c r="A2543" t="s">
        <v>5113</v>
      </c>
      <c r="B2543" t="s">
        <v>5114</v>
      </c>
      <c r="C2543" t="s">
        <v>8</v>
      </c>
      <c r="D2543" s="1" t="s">
        <v>1364</v>
      </c>
      <c r="E2543" t="s">
        <v>168</v>
      </c>
      <c r="F2543" s="5" t="str">
        <f>HYPERLINK("http://www.otzar.org/book.asp?623234","עפרות זהב - א")</f>
        <v>עפרות זהב - א</v>
      </c>
    </row>
    <row r="2544" spans="1:6" x14ac:dyDescent="0.2">
      <c r="A2544" t="s">
        <v>5115</v>
      </c>
      <c r="B2544" t="s">
        <v>5116</v>
      </c>
      <c r="C2544" t="s">
        <v>133</v>
      </c>
      <c r="D2544" s="1" t="s">
        <v>52</v>
      </c>
      <c r="E2544" t="s">
        <v>49</v>
      </c>
      <c r="F2544" s="5" t="str">
        <f>HYPERLINK("http://www.otzar.org/book.asp?629249","עץ אבות")</f>
        <v>עץ אבות</v>
      </c>
    </row>
    <row r="2545" spans="1:6" x14ac:dyDescent="0.2">
      <c r="A2545" t="s">
        <v>5117</v>
      </c>
      <c r="B2545" t="s">
        <v>5118</v>
      </c>
      <c r="C2545" t="s">
        <v>1429</v>
      </c>
      <c r="D2545" s="1" t="s">
        <v>5119</v>
      </c>
      <c r="E2545" t="s">
        <v>34</v>
      </c>
      <c r="F2545" s="5" t="str">
        <f>HYPERLINK("http://www.otzar.org/book.asp?626457","עץ החיים")</f>
        <v>עץ החיים</v>
      </c>
    </row>
    <row r="2546" spans="1:6" x14ac:dyDescent="0.2">
      <c r="A2546" t="s">
        <v>5117</v>
      </c>
      <c r="B2546" t="s">
        <v>5120</v>
      </c>
      <c r="E2546" t="s">
        <v>295</v>
      </c>
      <c r="F2546" s="5" t="str">
        <f>HYPERLINK("http://www.otzar.org/book.asp?623530","עץ החיים")</f>
        <v>עץ החיים</v>
      </c>
    </row>
    <row r="2547" spans="1:6" x14ac:dyDescent="0.2">
      <c r="A2547" t="s">
        <v>5121</v>
      </c>
      <c r="B2547" t="s">
        <v>5122</v>
      </c>
      <c r="C2547" t="s">
        <v>20</v>
      </c>
      <c r="D2547" s="1" t="s">
        <v>9</v>
      </c>
      <c r="E2547" t="s">
        <v>371</v>
      </c>
      <c r="F2547" s="5" t="str">
        <f>HYPERLINK("http://www.otzar.org/book.asp?623623","עץ התפוחים")</f>
        <v>עץ התפוחים</v>
      </c>
    </row>
    <row r="2548" spans="1:6" x14ac:dyDescent="0.2">
      <c r="A2548" t="s">
        <v>5123</v>
      </c>
      <c r="B2548" t="s">
        <v>364</v>
      </c>
      <c r="C2548" t="s">
        <v>1780</v>
      </c>
      <c r="D2548" s="1" t="s">
        <v>29</v>
      </c>
      <c r="E2548" t="s">
        <v>214</v>
      </c>
      <c r="F2548" s="5" t="str">
        <f>HYPERLINK("http://www.otzar.org/book.asp?627151","עץ חיים &lt;באבוב הישן&gt; - א")</f>
        <v>עץ חיים &lt;באבוב הישן&gt; - א</v>
      </c>
    </row>
    <row r="2549" spans="1:6" x14ac:dyDescent="0.2">
      <c r="A2549" t="s">
        <v>5124</v>
      </c>
      <c r="B2549" t="s">
        <v>156</v>
      </c>
      <c r="C2549" t="s">
        <v>383</v>
      </c>
      <c r="D2549" s="1" t="s">
        <v>158</v>
      </c>
      <c r="E2549" t="s">
        <v>5125</v>
      </c>
      <c r="F2549" s="5" t="str">
        <f>HYPERLINK("http://www.otzar.org/book.asp?628567","עץ פרי")</f>
        <v>עץ פרי</v>
      </c>
    </row>
    <row r="2550" spans="1:6" x14ac:dyDescent="0.2">
      <c r="A2550" t="s">
        <v>5126</v>
      </c>
      <c r="B2550" t="s">
        <v>5127</v>
      </c>
      <c r="C2550" t="s">
        <v>133</v>
      </c>
      <c r="D2550" s="1" t="s">
        <v>52</v>
      </c>
      <c r="E2550" t="s">
        <v>89</v>
      </c>
      <c r="F2550" s="5" t="str">
        <f>HYPERLINK("http://www.otzar.org/book.asp?626226","עקבי דרך")</f>
        <v>עקבי דרך</v>
      </c>
    </row>
    <row r="2551" spans="1:6" x14ac:dyDescent="0.2">
      <c r="A2551" t="s">
        <v>5128</v>
      </c>
      <c r="B2551" t="s">
        <v>5129</v>
      </c>
      <c r="C2551" t="s">
        <v>13</v>
      </c>
      <c r="D2551" s="1" t="s">
        <v>29</v>
      </c>
      <c r="E2551" t="s">
        <v>34</v>
      </c>
      <c r="F2551" s="5" t="str">
        <f>HYPERLINK("http://www.otzar.org/book.asp?627427","עקבי הצאן")</f>
        <v>עקבי הצאן</v>
      </c>
    </row>
    <row r="2552" spans="1:6" x14ac:dyDescent="0.2">
      <c r="A2552" t="s">
        <v>5130</v>
      </c>
      <c r="B2552" t="s">
        <v>5131</v>
      </c>
      <c r="C2552" t="s">
        <v>20</v>
      </c>
      <c r="D2552" s="1" t="s">
        <v>1295</v>
      </c>
      <c r="E2552" t="s">
        <v>10</v>
      </c>
      <c r="F2552" s="5" t="str">
        <f>HYPERLINK("http://www.otzar.org/book.asp?626804","עקבי חיים - זרעים")</f>
        <v>עקבי חיים - זרעים</v>
      </c>
    </row>
    <row r="2553" spans="1:6" x14ac:dyDescent="0.2">
      <c r="A2553" t="s">
        <v>5132</v>
      </c>
      <c r="B2553" t="s">
        <v>5133</v>
      </c>
      <c r="C2553" t="s">
        <v>40</v>
      </c>
      <c r="D2553" s="1" t="s">
        <v>9</v>
      </c>
      <c r="E2553" t="s">
        <v>37</v>
      </c>
      <c r="F2553" s="5" t="str">
        <f>HYPERLINK("http://www.otzar.org/book.asp?630105","ערוגת הבשם - 2 כר'")</f>
        <v>ערוגת הבשם - 2 כר'</v>
      </c>
    </row>
    <row r="2554" spans="1:6" x14ac:dyDescent="0.2">
      <c r="A2554" t="s">
        <v>5134</v>
      </c>
      <c r="B2554" t="s">
        <v>5135</v>
      </c>
      <c r="C2554" t="s">
        <v>92</v>
      </c>
      <c r="D2554" s="1" t="s">
        <v>9</v>
      </c>
      <c r="E2554" t="s">
        <v>168</v>
      </c>
      <c r="F2554" s="5" t="str">
        <f>HYPERLINK("http://www.otzar.org/book.asp?623960","ערוך החדש  - ערוך הקצר - זכר רב")</f>
        <v>ערוך החדש  - ערוך הקצר - זכר רב</v>
      </c>
    </row>
    <row r="2555" spans="1:6" x14ac:dyDescent="0.2">
      <c r="A2555" t="s">
        <v>5136</v>
      </c>
      <c r="B2555" t="s">
        <v>5137</v>
      </c>
      <c r="C2555" t="s">
        <v>13</v>
      </c>
      <c r="D2555" s="1" t="s">
        <v>268</v>
      </c>
      <c r="E2555" t="s">
        <v>199</v>
      </c>
      <c r="F2555" s="5" t="str">
        <f>HYPERLINK("http://www.otzar.org/book.asp?630039","ערוך המשפט - דיני הסיוע לבעל דין")</f>
        <v>ערוך המשפט - דיני הסיוע לבעל דין</v>
      </c>
    </row>
    <row r="2556" spans="1:6" x14ac:dyDescent="0.2">
      <c r="A2556" t="s">
        <v>5138</v>
      </c>
      <c r="B2556" t="s">
        <v>5139</v>
      </c>
      <c r="C2556" t="s">
        <v>13</v>
      </c>
      <c r="D2556" s="1" t="s">
        <v>9</v>
      </c>
      <c r="E2556" t="s">
        <v>22</v>
      </c>
      <c r="F2556" s="5" t="str">
        <f>HYPERLINK("http://www.otzar.org/book.asp?623547","עריכת ברכות - 2 כר'")</f>
        <v>עריכת ברכות - 2 כר'</v>
      </c>
    </row>
    <row r="2557" spans="1:6" x14ac:dyDescent="0.2">
      <c r="A2557" t="s">
        <v>5140</v>
      </c>
      <c r="B2557" t="s">
        <v>5139</v>
      </c>
      <c r="C2557" t="s">
        <v>73</v>
      </c>
      <c r="D2557" s="1" t="s">
        <v>9</v>
      </c>
      <c r="E2557" t="s">
        <v>22</v>
      </c>
      <c r="F2557" s="5" t="str">
        <f>HYPERLINK("http://www.otzar.org/book.asp?623549","עריכת יום טוב - 2 כר'")</f>
        <v>עריכת יום טוב - 2 כר'</v>
      </c>
    </row>
    <row r="2558" spans="1:6" x14ac:dyDescent="0.2">
      <c r="A2558" t="s">
        <v>5141</v>
      </c>
      <c r="B2558" t="s">
        <v>5139</v>
      </c>
      <c r="C2558" t="s">
        <v>136</v>
      </c>
      <c r="D2558" s="1" t="s">
        <v>9</v>
      </c>
      <c r="E2558" t="s">
        <v>2449</v>
      </c>
      <c r="F2558" s="5" t="str">
        <f>HYPERLINK("http://www.otzar.org/book.asp?623586","עריכת נר")</f>
        <v>עריכת נר</v>
      </c>
    </row>
    <row r="2559" spans="1:6" x14ac:dyDescent="0.2">
      <c r="A2559" t="s">
        <v>5142</v>
      </c>
      <c r="B2559" t="s">
        <v>5143</v>
      </c>
      <c r="C2559" t="s">
        <v>13</v>
      </c>
      <c r="D2559" s="1" t="s">
        <v>5144</v>
      </c>
      <c r="E2559" t="s">
        <v>22</v>
      </c>
      <c r="F2559" s="5" t="str">
        <f>HYPERLINK("http://www.otzar.org/book.asp?627552","ערך ים")</f>
        <v>ערך ים</v>
      </c>
    </row>
    <row r="2560" spans="1:6" x14ac:dyDescent="0.2">
      <c r="A2560" t="s">
        <v>5145</v>
      </c>
      <c r="B2560" t="s">
        <v>5146</v>
      </c>
      <c r="C2560" t="s">
        <v>298</v>
      </c>
      <c r="D2560" s="1" t="s">
        <v>5147</v>
      </c>
      <c r="E2560" t="s">
        <v>1616</v>
      </c>
      <c r="F2560" s="5" t="str">
        <f>HYPERLINK("http://www.otzar.org/book.asp?626377","ערכי הכנויים &lt;קב שלום&gt;")</f>
        <v>ערכי הכנויים &lt;קב שלום&gt;</v>
      </c>
    </row>
    <row r="2561" spans="1:6" x14ac:dyDescent="0.2">
      <c r="A2561" t="s">
        <v>5148</v>
      </c>
      <c r="B2561" t="s">
        <v>5149</v>
      </c>
      <c r="C2561" t="s">
        <v>1429</v>
      </c>
      <c r="D2561" s="1" t="s">
        <v>537</v>
      </c>
      <c r="E2561" t="s">
        <v>121</v>
      </c>
      <c r="F2561" s="5" t="str">
        <f>HYPERLINK("http://www.otzar.org/book.asp?624568","ערכי מדות בתורת הרמב""ם")</f>
        <v>ערכי מדות בתורת הרמב"ם</v>
      </c>
    </row>
    <row r="2562" spans="1:6" x14ac:dyDescent="0.2">
      <c r="A2562" t="s">
        <v>5150</v>
      </c>
      <c r="B2562" t="s">
        <v>5151</v>
      </c>
      <c r="C2562" t="s">
        <v>148</v>
      </c>
      <c r="D2562" s="1" t="s">
        <v>52</v>
      </c>
      <c r="E2562" t="s">
        <v>37</v>
      </c>
      <c r="F2562" s="5" t="str">
        <f>HYPERLINK("http://www.otzar.org/book.asp?623705","ערכי שמיטה")</f>
        <v>ערכי שמיטה</v>
      </c>
    </row>
    <row r="2563" spans="1:6" x14ac:dyDescent="0.2">
      <c r="A2563" t="s">
        <v>5152</v>
      </c>
      <c r="B2563" t="s">
        <v>789</v>
      </c>
      <c r="C2563" t="s">
        <v>13</v>
      </c>
      <c r="D2563" s="1" t="s">
        <v>21</v>
      </c>
      <c r="E2563" t="s">
        <v>49</v>
      </c>
      <c r="F2563" s="5" t="str">
        <f>HYPERLINK("http://www.otzar.org/book.asp?628002","עשה ולא תעשה")</f>
        <v>עשה ולא תעשה</v>
      </c>
    </row>
    <row r="2564" spans="1:6" x14ac:dyDescent="0.2">
      <c r="A2564" t="s">
        <v>5153</v>
      </c>
      <c r="B2564" t="s">
        <v>5154</v>
      </c>
      <c r="C2564" t="s">
        <v>5155</v>
      </c>
      <c r="D2564" s="1" t="s">
        <v>5156</v>
      </c>
      <c r="E2564" t="s">
        <v>34</v>
      </c>
      <c r="F2564" s="5" t="str">
        <f>HYPERLINK("http://www.otzar.org/book.asp?624760","עשרה למאה")</f>
        <v>עשרה למאה</v>
      </c>
    </row>
    <row r="2565" spans="1:6" x14ac:dyDescent="0.2">
      <c r="A2565" t="s">
        <v>5157</v>
      </c>
      <c r="B2565" t="s">
        <v>1700</v>
      </c>
      <c r="C2565" t="s">
        <v>8</v>
      </c>
      <c r="D2565" s="1" t="s">
        <v>52</v>
      </c>
      <c r="E2565" t="s">
        <v>242</v>
      </c>
      <c r="F2565" s="5" t="str">
        <f>HYPERLINK("http://www.otzar.org/book.asp?626767","עת ללדת")</f>
        <v>עת ללדת</v>
      </c>
    </row>
    <row r="2566" spans="1:6" x14ac:dyDescent="0.2">
      <c r="A2566" t="s">
        <v>5158</v>
      </c>
      <c r="B2566" t="s">
        <v>5159</v>
      </c>
      <c r="C2566" t="s">
        <v>180</v>
      </c>
      <c r="D2566" s="1" t="s">
        <v>5160</v>
      </c>
      <c r="E2566" t="s">
        <v>214</v>
      </c>
      <c r="F2566" s="5" t="str">
        <f>HYPERLINK("http://www.otzar.org/book.asp?625984","עתרת - 2 כר'")</f>
        <v>עתרת - 2 כר'</v>
      </c>
    </row>
    <row r="2567" spans="1:6" x14ac:dyDescent="0.2">
      <c r="A2567" t="s">
        <v>5161</v>
      </c>
      <c r="B2567" t="s">
        <v>5162</v>
      </c>
      <c r="C2567" t="s">
        <v>20</v>
      </c>
      <c r="D2567" s="1" t="s">
        <v>911</v>
      </c>
      <c r="E2567" t="s">
        <v>37</v>
      </c>
      <c r="F2567" s="5" t="str">
        <f>HYPERLINK("http://www.otzar.org/book.asp?627087","פאר הבית - תערובות ב")</f>
        <v>פאר הבית - תערובות ב</v>
      </c>
    </row>
    <row r="2568" spans="1:6" x14ac:dyDescent="0.2">
      <c r="A2568" t="s">
        <v>5163</v>
      </c>
      <c r="B2568" t="s">
        <v>147</v>
      </c>
      <c r="C2568" t="s">
        <v>5164</v>
      </c>
      <c r="D2568" s="1" t="s">
        <v>203</v>
      </c>
      <c r="E2568" t="s">
        <v>41</v>
      </c>
      <c r="F2568" s="5" t="str">
        <f>HYPERLINK("http://www.otzar.org/book.asp?626475","פאר הדור")</f>
        <v>פאר הדור</v>
      </c>
    </row>
    <row r="2569" spans="1:6" x14ac:dyDescent="0.2">
      <c r="A2569" t="s">
        <v>5165</v>
      </c>
      <c r="B2569" t="s">
        <v>5166</v>
      </c>
      <c r="C2569" t="s">
        <v>787</v>
      </c>
      <c r="D2569" s="1" t="s">
        <v>5167</v>
      </c>
      <c r="E2569" t="s">
        <v>214</v>
      </c>
      <c r="F2569" s="5" t="str">
        <f>HYPERLINK("http://www.otzar.org/book.asp?627147","פאר מרדכי - 3 כר'")</f>
        <v>פאר מרדכי - 3 כר'</v>
      </c>
    </row>
    <row r="2570" spans="1:6" x14ac:dyDescent="0.2">
      <c r="A2570" t="s">
        <v>5168</v>
      </c>
      <c r="B2570" t="s">
        <v>5169</v>
      </c>
      <c r="C2570" t="s">
        <v>8</v>
      </c>
      <c r="E2570" t="s">
        <v>199</v>
      </c>
      <c r="F2570" s="5" t="str">
        <f>HYPERLINK("http://www.otzar.org/book.asp?623352","פארו עלי ופארי עליו")</f>
        <v>פארו עלי ופארי עליו</v>
      </c>
    </row>
    <row r="2571" spans="1:6" x14ac:dyDescent="0.2">
      <c r="A2571" t="s">
        <v>5170</v>
      </c>
      <c r="B2571" t="s">
        <v>5171</v>
      </c>
      <c r="E2571" t="s">
        <v>10</v>
      </c>
      <c r="F2571" s="5" t="str">
        <f>HYPERLINK("http://www.otzar.org/book.asp?624762","פון אונזער אלטען אוצר - אבות")</f>
        <v>פון אונזער אלטען אוצר - אבות</v>
      </c>
    </row>
    <row r="2572" spans="1:6" x14ac:dyDescent="0.2">
      <c r="A2572" t="s">
        <v>5172</v>
      </c>
      <c r="B2572" t="s">
        <v>5173</v>
      </c>
      <c r="C2572" t="s">
        <v>1066</v>
      </c>
      <c r="D2572" s="1" t="s">
        <v>1067</v>
      </c>
      <c r="E2572" t="s">
        <v>168</v>
      </c>
      <c r="F2572" s="5" t="str">
        <f>HYPERLINK("http://www.otzar.org/book.asp?627058","פון אייביקן קוואל")</f>
        <v>פון אייביקן קוואל</v>
      </c>
    </row>
    <row r="2573" spans="1:6" x14ac:dyDescent="0.2">
      <c r="A2573" t="s">
        <v>5174</v>
      </c>
      <c r="B2573" t="s">
        <v>5175</v>
      </c>
      <c r="C2573" t="s">
        <v>5176</v>
      </c>
      <c r="D2573" s="1" t="s">
        <v>29</v>
      </c>
      <c r="E2573" t="s">
        <v>49</v>
      </c>
      <c r="F2573" s="5" t="str">
        <f>HYPERLINK("http://www.otzar.org/book.asp?627328","פון וואלאזין ביז ירושלים - ב")</f>
        <v>פון וואלאזין ביז ירושלים - ב</v>
      </c>
    </row>
    <row r="2574" spans="1:6" x14ac:dyDescent="0.2">
      <c r="A2574" t="s">
        <v>5177</v>
      </c>
      <c r="B2574" t="s">
        <v>5178</v>
      </c>
      <c r="C2574" t="s">
        <v>812</v>
      </c>
      <c r="D2574" s="1" t="s">
        <v>14</v>
      </c>
      <c r="E2574" t="s">
        <v>214</v>
      </c>
      <c r="F2574" s="5" t="str">
        <f>HYPERLINK("http://www.otzar.org/book.asp?625576","פוניבז - 1")</f>
        <v>פוניבז - 1</v>
      </c>
    </row>
    <row r="2575" spans="1:6" x14ac:dyDescent="0.2">
      <c r="A2575" t="s">
        <v>5179</v>
      </c>
      <c r="B2575" t="s">
        <v>1611</v>
      </c>
      <c r="C2575" t="s">
        <v>13</v>
      </c>
      <c r="D2575" s="1" t="s">
        <v>14</v>
      </c>
      <c r="E2575" t="s">
        <v>154</v>
      </c>
      <c r="F2575" s="5" t="str">
        <f>HYPERLINK("http://www.otzar.org/book.asp?623634","פורים בעיר לוד")</f>
        <v>פורים בעיר לוד</v>
      </c>
    </row>
    <row r="2576" spans="1:6" x14ac:dyDescent="0.2">
      <c r="A2576" t="s">
        <v>5180</v>
      </c>
      <c r="B2576" t="s">
        <v>1618</v>
      </c>
      <c r="C2576" t="s">
        <v>1385</v>
      </c>
      <c r="D2576" s="1" t="s">
        <v>9</v>
      </c>
      <c r="E2576" t="s">
        <v>154</v>
      </c>
      <c r="F2576" s="5" t="str">
        <f>HYPERLINK("http://www.otzar.org/book.asp?626085","פורים המשולש וערב פסח שחל להיות בשבת - ע""פ פסקי רבי מרדכי אליהו")</f>
        <v>פורים המשולש וערב פסח שחל להיות בשבת - ע"פ פסקי רבי מרדכי אליהו</v>
      </c>
    </row>
    <row r="2577" spans="1:6" x14ac:dyDescent="0.2">
      <c r="A2577" t="s">
        <v>5181</v>
      </c>
      <c r="B2577" t="s">
        <v>156</v>
      </c>
      <c r="C2577" t="s">
        <v>383</v>
      </c>
      <c r="D2577" s="1" t="s">
        <v>158</v>
      </c>
      <c r="E2577" t="s">
        <v>2457</v>
      </c>
      <c r="F2577" s="5" t="str">
        <f>HYPERLINK("http://www.otzar.org/book.asp?628568","פורים לנו")</f>
        <v>פורים לנו</v>
      </c>
    </row>
    <row r="2578" spans="1:6" x14ac:dyDescent="0.2">
      <c r="A2578" t="s">
        <v>5182</v>
      </c>
      <c r="B2578" t="s">
        <v>5183</v>
      </c>
      <c r="C2578" t="s">
        <v>5184</v>
      </c>
      <c r="D2578" s="1" t="s">
        <v>2411</v>
      </c>
      <c r="E2578" t="s">
        <v>22</v>
      </c>
      <c r="F2578" s="5" t="str">
        <f>HYPERLINK("http://www.otzar.org/book.asp?626510","פורת יוסף")</f>
        <v>פורת יוסף</v>
      </c>
    </row>
    <row r="2579" spans="1:6" x14ac:dyDescent="0.2">
      <c r="A2579" t="s">
        <v>5185</v>
      </c>
      <c r="B2579" t="s">
        <v>4164</v>
      </c>
      <c r="C2579" t="s">
        <v>397</v>
      </c>
      <c r="D2579" s="1" t="s">
        <v>9</v>
      </c>
      <c r="E2579" t="s">
        <v>168</v>
      </c>
      <c r="F2579" s="5" t="str">
        <f>HYPERLINK("http://www.otzar.org/book.asp?627437","פז רב - 2 כר'")</f>
        <v>פז רב - 2 כר'</v>
      </c>
    </row>
    <row r="2580" spans="1:6" x14ac:dyDescent="0.2">
      <c r="A2580" t="s">
        <v>5186</v>
      </c>
      <c r="B2580" t="s">
        <v>5187</v>
      </c>
      <c r="D2580" s="1" t="s">
        <v>5188</v>
      </c>
      <c r="E2580" t="s">
        <v>295</v>
      </c>
      <c r="F2580" s="5" t="str">
        <f>HYPERLINK("http://www.otzar.org/book.asp?627319","פזמונים לחגים לפי מנהג יהודי קוצ'ין")</f>
        <v>פזמונים לחגים לפי מנהג יהודי קוצ'ין</v>
      </c>
    </row>
    <row r="2581" spans="1:6" x14ac:dyDescent="0.2">
      <c r="A2581" t="s">
        <v>5189</v>
      </c>
      <c r="B2581" t="s">
        <v>5190</v>
      </c>
      <c r="E2581" t="s">
        <v>295</v>
      </c>
      <c r="F2581" s="5" t="str">
        <f>HYPERLINK("http://www.otzar.org/book.asp?626306","פיוט אקדמות עם תרגום עברי")</f>
        <v>פיוט אקדמות עם תרגום עברי</v>
      </c>
    </row>
    <row r="2582" spans="1:6" x14ac:dyDescent="0.2">
      <c r="A2582" t="s">
        <v>5191</v>
      </c>
      <c r="B2582" t="s">
        <v>5192</v>
      </c>
      <c r="C2582" t="s">
        <v>383</v>
      </c>
      <c r="D2582" s="1" t="s">
        <v>9</v>
      </c>
      <c r="E2582" t="s">
        <v>5193</v>
      </c>
      <c r="F2582" s="5" t="str">
        <f>HYPERLINK("http://www.otzar.org/book.asp?629974","פיוטים חסידיים")</f>
        <v>פיוטים חסידיים</v>
      </c>
    </row>
    <row r="2583" spans="1:6" x14ac:dyDescent="0.2">
      <c r="A2583" t="s">
        <v>5194</v>
      </c>
      <c r="B2583" t="s">
        <v>5195</v>
      </c>
      <c r="C2583" t="s">
        <v>136</v>
      </c>
      <c r="D2583" s="1" t="s">
        <v>52</v>
      </c>
      <c r="E2583" t="s">
        <v>480</v>
      </c>
      <c r="F2583" s="5" t="str">
        <f>HYPERLINK("http://www.otzar.org/book.asp?623465","פיטטיא דאורייתא - ב")</f>
        <v>פיטטיא דאורייתא - ב</v>
      </c>
    </row>
    <row r="2584" spans="1:6" x14ac:dyDescent="0.2">
      <c r="A2584" t="s">
        <v>5196</v>
      </c>
      <c r="B2584" t="s">
        <v>3627</v>
      </c>
      <c r="C2584" t="s">
        <v>133</v>
      </c>
      <c r="D2584" s="1" t="s">
        <v>9</v>
      </c>
      <c r="E2584" t="s">
        <v>1334</v>
      </c>
      <c r="F2584" s="5" t="str">
        <f>HYPERLINK("http://www.otzar.org/book.asp?630566","פינת יקרת - 6 כר'")</f>
        <v>פינת יקרת - 6 כר'</v>
      </c>
    </row>
    <row r="2585" spans="1:6" x14ac:dyDescent="0.2">
      <c r="A2585" t="s">
        <v>5197</v>
      </c>
      <c r="B2585" t="s">
        <v>5198</v>
      </c>
      <c r="C2585" t="s">
        <v>8</v>
      </c>
      <c r="D2585" s="1" t="s">
        <v>21</v>
      </c>
      <c r="E2585" t="s">
        <v>37</v>
      </c>
      <c r="F2585" s="5" t="str">
        <f>HYPERLINK("http://www.otzar.org/book.asp?626733","פיקוח נפש ורפואה בשבת")</f>
        <v>פיקוח נפש ורפואה בשבת</v>
      </c>
    </row>
    <row r="2586" spans="1:6" x14ac:dyDescent="0.2">
      <c r="A2586" t="s">
        <v>5199</v>
      </c>
      <c r="B2586" t="s">
        <v>5200</v>
      </c>
      <c r="C2586" t="s">
        <v>25</v>
      </c>
      <c r="D2586" s="1" t="s">
        <v>9</v>
      </c>
      <c r="E2586" t="s">
        <v>168</v>
      </c>
      <c r="F2586" s="5" t="str">
        <f>HYPERLINK("http://www.otzar.org/book.asp?630653","פירוש הרא""ם על התורה &lt;עם הערות ועיונים&gt; - 5 כר'")</f>
        <v>פירוש הרא"ם על התורה &lt;עם הערות ועיונים&gt; - 5 כר'</v>
      </c>
    </row>
    <row r="2587" spans="1:6" x14ac:dyDescent="0.2">
      <c r="A2587" t="s">
        <v>5201</v>
      </c>
      <c r="B2587" t="s">
        <v>5202</v>
      </c>
      <c r="C2587" t="s">
        <v>20</v>
      </c>
      <c r="D2587" s="1" t="s">
        <v>9</v>
      </c>
      <c r="E2587" t="s">
        <v>168</v>
      </c>
      <c r="F2587" s="5" t="str">
        <f>HYPERLINK("http://www.otzar.org/book.asp?626716","פירוש הרמב""ן על התורה &lt;הדרי קודש&gt; - ה דברים")</f>
        <v>פירוש הרמב"ן על התורה &lt;הדרי קודש&gt; - ה דברים</v>
      </c>
    </row>
    <row r="2588" spans="1:6" x14ac:dyDescent="0.2">
      <c r="A2588" t="s">
        <v>5203</v>
      </c>
      <c r="B2588" t="s">
        <v>5204</v>
      </c>
      <c r="C2588" t="s">
        <v>5205</v>
      </c>
      <c r="D2588" s="1" t="s">
        <v>850</v>
      </c>
      <c r="E2588" t="s">
        <v>168</v>
      </c>
      <c r="F2588" s="5" t="str">
        <f>HYPERLINK("http://www.otzar.org/book.asp?628194","פירוש על עזרא ונחמיה")</f>
        <v>פירוש על עזרא ונחמיה</v>
      </c>
    </row>
    <row r="2589" spans="1:6" x14ac:dyDescent="0.2">
      <c r="A2589" t="s">
        <v>5206</v>
      </c>
      <c r="B2589" t="s">
        <v>5207</v>
      </c>
      <c r="C2589" t="s">
        <v>20</v>
      </c>
      <c r="D2589" s="1" t="s">
        <v>9</v>
      </c>
      <c r="E2589" t="s">
        <v>61</v>
      </c>
      <c r="F2589" s="5" t="str">
        <f>HYPERLINK("http://www.otzar.org/book.asp?627430","פירות הבית - 3 כר'")</f>
        <v>פירות הבית - 3 כר'</v>
      </c>
    </row>
    <row r="2590" spans="1:6" x14ac:dyDescent="0.2">
      <c r="A2590" t="s">
        <v>5208</v>
      </c>
      <c r="B2590" t="s">
        <v>5209</v>
      </c>
      <c r="C2590" t="s">
        <v>190</v>
      </c>
      <c r="D2590" s="1" t="s">
        <v>52</v>
      </c>
      <c r="E2590" t="s">
        <v>168</v>
      </c>
      <c r="F2590" s="5" t="str">
        <f>HYPERLINK("http://www.otzar.org/book.asp?629456","פיתחא להאי פרשתא")</f>
        <v>פיתחא להאי פרשתא</v>
      </c>
    </row>
    <row r="2591" spans="1:6" x14ac:dyDescent="0.2">
      <c r="A2591" t="s">
        <v>5210</v>
      </c>
      <c r="B2591" t="s">
        <v>5211</v>
      </c>
      <c r="C2591" t="s">
        <v>20</v>
      </c>
      <c r="D2591" s="1" t="s">
        <v>9</v>
      </c>
      <c r="E2591" t="s">
        <v>34</v>
      </c>
      <c r="F2591" s="5" t="str">
        <f>HYPERLINK("http://www.otzar.org/book.asp?629232","פלא יועץ &lt;דמשק אליעזר&gt; - 2 כר'")</f>
        <v>פלא יועץ &lt;דמשק אליעזר&gt; - 2 כר'</v>
      </c>
    </row>
    <row r="2592" spans="1:6" x14ac:dyDescent="0.2">
      <c r="A2592" t="s">
        <v>5212</v>
      </c>
      <c r="B2592" t="s">
        <v>5213</v>
      </c>
      <c r="C2592" t="s">
        <v>5214</v>
      </c>
      <c r="D2592" s="1" t="s">
        <v>5215</v>
      </c>
      <c r="F2592" s="5" t="str">
        <f>HYPERLINK("http://www.otzar.org/book.asp?625628","פלא יועץ &lt;מהדורה ראשונה&gt;")</f>
        <v>פלא יועץ &lt;מהדורה ראשונה&gt;</v>
      </c>
    </row>
    <row r="2593" spans="1:6" x14ac:dyDescent="0.2">
      <c r="A2593" t="s">
        <v>5216</v>
      </c>
      <c r="B2593" t="s">
        <v>1116</v>
      </c>
      <c r="C2593" t="s">
        <v>20</v>
      </c>
      <c r="D2593" s="1" t="s">
        <v>803</v>
      </c>
      <c r="E2593" t="s">
        <v>168</v>
      </c>
      <c r="F2593" s="5" t="str">
        <f>HYPERLINK("http://www.otzar.org/book.asp?623571","פלאות עדותיך")</f>
        <v>פלאות עדותיך</v>
      </c>
    </row>
    <row r="2594" spans="1:6" x14ac:dyDescent="0.2">
      <c r="A2594" t="s">
        <v>5217</v>
      </c>
      <c r="B2594" t="s">
        <v>5218</v>
      </c>
      <c r="C2594" t="s">
        <v>20</v>
      </c>
      <c r="D2594" s="1" t="s">
        <v>14</v>
      </c>
      <c r="E2594" t="s">
        <v>5219</v>
      </c>
      <c r="F2594" s="5" t="str">
        <f>HYPERLINK("http://www.otzar.org/book.asp?628047","פלגי מים - מהדורה תליתאי")</f>
        <v>פלגי מים - מהדורה תליתאי</v>
      </c>
    </row>
    <row r="2595" spans="1:6" x14ac:dyDescent="0.2">
      <c r="A2595" t="s">
        <v>5220</v>
      </c>
      <c r="B2595" t="s">
        <v>5221</v>
      </c>
      <c r="C2595" t="s">
        <v>25</v>
      </c>
      <c r="D2595" s="1" t="s">
        <v>14</v>
      </c>
      <c r="E2595" t="s">
        <v>49</v>
      </c>
      <c r="F2595" s="5" t="str">
        <f>HYPERLINK("http://www.otzar.org/book.asp?629459","פליטת סופריהם - בית האוצר")</f>
        <v>פליטת סופריהם - בית האוצר</v>
      </c>
    </row>
    <row r="2596" spans="1:6" x14ac:dyDescent="0.2">
      <c r="A2596" t="s">
        <v>5222</v>
      </c>
      <c r="B2596" t="s">
        <v>3448</v>
      </c>
      <c r="D2596" s="1" t="s">
        <v>774</v>
      </c>
      <c r="E2596" t="s">
        <v>30</v>
      </c>
      <c r="F2596" s="5" t="str">
        <f>HYPERLINK("http://www.otzar.org/book.asp?629101","פלפול נאה לבר המצוה")</f>
        <v>פלפול נאה לבר המצוה</v>
      </c>
    </row>
    <row r="2597" spans="1:6" x14ac:dyDescent="0.2">
      <c r="A2597" t="s">
        <v>5223</v>
      </c>
      <c r="B2597" t="s">
        <v>1843</v>
      </c>
      <c r="C2597" t="s">
        <v>369</v>
      </c>
      <c r="D2597" s="1" t="s">
        <v>9</v>
      </c>
      <c r="E2597" t="s">
        <v>89</v>
      </c>
      <c r="F2597" s="5" t="str">
        <f>HYPERLINK("http://www.otzar.org/book.asp?630168","פלפולא חריפתא - 3 כר'")</f>
        <v>פלפולא חריפתא - 3 כר'</v>
      </c>
    </row>
    <row r="2598" spans="1:6" x14ac:dyDescent="0.2">
      <c r="A2598" t="s">
        <v>5224</v>
      </c>
      <c r="B2598" t="s">
        <v>789</v>
      </c>
      <c r="C2598" t="s">
        <v>13</v>
      </c>
      <c r="D2598" s="1" t="s">
        <v>21</v>
      </c>
      <c r="E2598" t="s">
        <v>34</v>
      </c>
      <c r="F2598" s="5" t="str">
        <f>HYPERLINK("http://www.otzar.org/book.asp?629906","פן אבוא")</f>
        <v>פן אבוא</v>
      </c>
    </row>
    <row r="2599" spans="1:6" x14ac:dyDescent="0.2">
      <c r="A2599" t="s">
        <v>5225</v>
      </c>
      <c r="B2599" t="s">
        <v>5226</v>
      </c>
      <c r="C2599" t="s">
        <v>20</v>
      </c>
      <c r="D2599" s="1" t="s">
        <v>9</v>
      </c>
      <c r="E2599" t="s">
        <v>1197</v>
      </c>
      <c r="F2599" s="5" t="str">
        <f>HYPERLINK("http://www.otzar.org/book.asp?630182","פנחס יפלל - 2 כר'")</f>
        <v>פנחס יפלל - 2 כר'</v>
      </c>
    </row>
    <row r="2600" spans="1:6" x14ac:dyDescent="0.2">
      <c r="A2600" t="s">
        <v>5227</v>
      </c>
      <c r="B2600" t="s">
        <v>5228</v>
      </c>
      <c r="C2600" t="s">
        <v>73</v>
      </c>
      <c r="D2600" s="1" t="s">
        <v>1295</v>
      </c>
      <c r="E2600" t="s">
        <v>22</v>
      </c>
      <c r="F2600" s="5" t="str">
        <f>HYPERLINK("http://www.otzar.org/book.asp?626786","פני אריה - עירובין")</f>
        <v>פני אריה - עירובין</v>
      </c>
    </row>
    <row r="2601" spans="1:6" x14ac:dyDescent="0.2">
      <c r="A2601" t="s">
        <v>5229</v>
      </c>
      <c r="B2601" t="s">
        <v>5230</v>
      </c>
      <c r="C2601" t="s">
        <v>8</v>
      </c>
      <c r="D2601" s="1" t="s">
        <v>9</v>
      </c>
      <c r="E2601" t="s">
        <v>227</v>
      </c>
      <c r="F2601" s="5" t="str">
        <f>HYPERLINK("http://www.otzar.org/book.asp?623546","פני המנורה - מגילה")</f>
        <v>פני המנורה - מגילה</v>
      </c>
    </row>
    <row r="2602" spans="1:6" x14ac:dyDescent="0.2">
      <c r="A2602" t="s">
        <v>5231</v>
      </c>
      <c r="B2602" t="s">
        <v>5232</v>
      </c>
      <c r="C2602" t="s">
        <v>20</v>
      </c>
      <c r="D2602" s="1" t="s">
        <v>9</v>
      </c>
      <c r="E2602" t="s">
        <v>61</v>
      </c>
      <c r="F2602" s="5" t="str">
        <f>HYPERLINK("http://www.otzar.org/book.asp?628234","פני השולחן - קידושין")</f>
        <v>פני השולחן - קידושין</v>
      </c>
    </row>
    <row r="2603" spans="1:6" x14ac:dyDescent="0.2">
      <c r="A2603" t="s">
        <v>5233</v>
      </c>
      <c r="B2603" t="s">
        <v>1962</v>
      </c>
      <c r="C2603" t="s">
        <v>13</v>
      </c>
      <c r="D2603" s="1" t="s">
        <v>14</v>
      </c>
      <c r="E2603" t="s">
        <v>5234</v>
      </c>
      <c r="F2603" s="5" t="str">
        <f>HYPERLINK("http://www.otzar.org/book.asp?630185","פני השלחן - חנוכה")</f>
        <v>פני השלחן - חנוכה</v>
      </c>
    </row>
    <row r="2604" spans="1:6" x14ac:dyDescent="0.2">
      <c r="A2604" t="s">
        <v>5235</v>
      </c>
      <c r="B2604" t="s">
        <v>5236</v>
      </c>
      <c r="D2604" s="1" t="s">
        <v>1643</v>
      </c>
      <c r="E2604" t="s">
        <v>37</v>
      </c>
      <c r="F2604" s="5" t="str">
        <f>HYPERLINK("http://www.otzar.org/book.asp?626458","פני משה")</f>
        <v>פני משה</v>
      </c>
    </row>
    <row r="2605" spans="1:6" x14ac:dyDescent="0.2">
      <c r="A2605" t="s">
        <v>5235</v>
      </c>
      <c r="B2605" t="s">
        <v>2707</v>
      </c>
      <c r="C2605" t="s">
        <v>5237</v>
      </c>
      <c r="D2605" s="1" t="s">
        <v>1526</v>
      </c>
      <c r="F2605" s="5" t="str">
        <f>HYPERLINK("http://www.otzar.org/book.asp?626785","פני משה")</f>
        <v>פני משה</v>
      </c>
    </row>
    <row r="2606" spans="1:6" x14ac:dyDescent="0.2">
      <c r="A2606" t="s">
        <v>5238</v>
      </c>
      <c r="B2606" t="s">
        <v>5239</v>
      </c>
      <c r="C2606" t="s">
        <v>5240</v>
      </c>
      <c r="D2606" s="1" t="s">
        <v>5241</v>
      </c>
      <c r="E2606" t="s">
        <v>89</v>
      </c>
      <c r="F2606" s="5" t="str">
        <f>HYPERLINK("http://www.otzar.org/book.asp?623636","פני שבת")</f>
        <v>פני שבת</v>
      </c>
    </row>
    <row r="2607" spans="1:6" x14ac:dyDescent="0.2">
      <c r="A2607" t="s">
        <v>5242</v>
      </c>
      <c r="B2607" t="s">
        <v>156</v>
      </c>
      <c r="C2607" t="s">
        <v>245</v>
      </c>
      <c r="D2607" s="1" t="s">
        <v>400</v>
      </c>
      <c r="E2607" t="s">
        <v>2667</v>
      </c>
      <c r="F2607" s="5" t="str">
        <f>HYPERLINK("http://www.otzar.org/book.asp?628569","פנים אל פנים - 2 כר'")</f>
        <v>פנים אל פנים - 2 כר'</v>
      </c>
    </row>
    <row r="2608" spans="1:6" x14ac:dyDescent="0.2">
      <c r="A2608" t="s">
        <v>5243</v>
      </c>
      <c r="B2608" t="s">
        <v>5244</v>
      </c>
      <c r="C2608" t="s">
        <v>20</v>
      </c>
      <c r="D2608" s="1" t="s">
        <v>52</v>
      </c>
      <c r="E2608" t="s">
        <v>22</v>
      </c>
      <c r="F2608" s="5" t="str">
        <f>HYPERLINK("http://www.otzar.org/book.asp?628006","פנים הבית")</f>
        <v>פנים הבית</v>
      </c>
    </row>
    <row r="2609" spans="1:6" x14ac:dyDescent="0.2">
      <c r="A2609" t="s">
        <v>5245</v>
      </c>
      <c r="B2609" t="s">
        <v>2134</v>
      </c>
      <c r="C2609" t="s">
        <v>397</v>
      </c>
      <c r="D2609" s="1" t="s">
        <v>268</v>
      </c>
      <c r="E2609" t="s">
        <v>89</v>
      </c>
      <c r="F2609" s="5" t="str">
        <f>HYPERLINK("http://www.otzar.org/book.asp?625734","פניני דברי יאשיהו - הגדה של פסח")</f>
        <v>פניני דברי יאשיהו - הגדה של פסח</v>
      </c>
    </row>
    <row r="2610" spans="1:6" x14ac:dyDescent="0.2">
      <c r="A2610" t="s">
        <v>5246</v>
      </c>
      <c r="B2610" t="s">
        <v>364</v>
      </c>
      <c r="C2610" t="s">
        <v>136</v>
      </c>
      <c r="D2610" s="1" t="s">
        <v>268</v>
      </c>
      <c r="E2610" t="s">
        <v>168</v>
      </c>
      <c r="F2610" s="5" t="str">
        <f>HYPERLINK("http://www.otzar.org/book.asp?629238","פניני הפרשה - 3 כר'")</f>
        <v>פניני הפרשה - 3 כר'</v>
      </c>
    </row>
    <row r="2611" spans="1:6" x14ac:dyDescent="0.2">
      <c r="A2611" t="s">
        <v>5247</v>
      </c>
      <c r="B2611" t="s">
        <v>5248</v>
      </c>
      <c r="C2611" t="s">
        <v>13</v>
      </c>
      <c r="D2611" s="1" t="s">
        <v>14</v>
      </c>
      <c r="E2611" t="s">
        <v>671</v>
      </c>
      <c r="F2611" s="5" t="str">
        <f>HYPERLINK("http://www.otzar.org/book.asp?628103","פניני חוקי חיים - ירח האיתנים")</f>
        <v>פניני חוקי חיים - ירח האיתנים</v>
      </c>
    </row>
    <row r="2612" spans="1:6" x14ac:dyDescent="0.2">
      <c r="A2612" t="s">
        <v>5249</v>
      </c>
      <c r="B2612" t="s">
        <v>5250</v>
      </c>
      <c r="C2612" t="s">
        <v>190</v>
      </c>
      <c r="E2612" t="s">
        <v>168</v>
      </c>
      <c r="F2612" s="5" t="str">
        <f>HYPERLINK("http://www.otzar.org/book.asp?625210","פניני חיים")</f>
        <v>פניני חיים</v>
      </c>
    </row>
    <row r="2613" spans="1:6" x14ac:dyDescent="0.2">
      <c r="A2613" t="s">
        <v>5251</v>
      </c>
      <c r="B2613" t="s">
        <v>94</v>
      </c>
      <c r="C2613" t="s">
        <v>8</v>
      </c>
      <c r="D2613" s="1" t="s">
        <v>52</v>
      </c>
      <c r="E2613" t="s">
        <v>34</v>
      </c>
      <c r="F2613" s="5" t="str">
        <f>HYPERLINK("http://www.otzar.org/book.asp?628152","פניני טוהר")</f>
        <v>פניני טוהר</v>
      </c>
    </row>
    <row r="2614" spans="1:6" x14ac:dyDescent="0.2">
      <c r="A2614" t="s">
        <v>5252</v>
      </c>
      <c r="B2614" t="s">
        <v>5253</v>
      </c>
      <c r="C2614" t="s">
        <v>13</v>
      </c>
      <c r="D2614" s="1" t="s">
        <v>14</v>
      </c>
      <c r="E2614" t="s">
        <v>4462</v>
      </c>
      <c r="F2614" s="5" t="str">
        <f>HYPERLINK("http://www.otzar.org/book.asp?629505","פניני יצחק")</f>
        <v>פניני יצחק</v>
      </c>
    </row>
    <row r="2615" spans="1:6" x14ac:dyDescent="0.2">
      <c r="A2615" t="s">
        <v>5254</v>
      </c>
      <c r="B2615" t="s">
        <v>5254</v>
      </c>
      <c r="C2615" t="s">
        <v>73</v>
      </c>
      <c r="D2615" s="1" t="s">
        <v>52</v>
      </c>
      <c r="E2615" t="s">
        <v>34</v>
      </c>
      <c r="F2615" s="5" t="str">
        <f>HYPERLINK("http://www.otzar.org/book.asp?628751","פניני מחשבה")</f>
        <v>פניני מחשבה</v>
      </c>
    </row>
    <row r="2616" spans="1:6" x14ac:dyDescent="0.2">
      <c r="A2616" t="s">
        <v>5255</v>
      </c>
      <c r="B2616" t="s">
        <v>5256</v>
      </c>
      <c r="C2616" t="s">
        <v>13</v>
      </c>
      <c r="D2616" s="1" t="s">
        <v>803</v>
      </c>
      <c r="E2616" t="s">
        <v>5257</v>
      </c>
      <c r="F2616" s="5" t="str">
        <f>HYPERLINK("http://www.otzar.org/book.asp?628583","פניני משה - 2 כר'")</f>
        <v>פניני משה - 2 כר'</v>
      </c>
    </row>
    <row r="2617" spans="1:6" x14ac:dyDescent="0.2">
      <c r="A2617" t="s">
        <v>5258</v>
      </c>
      <c r="B2617" t="s">
        <v>5259</v>
      </c>
      <c r="C2617" t="s">
        <v>13</v>
      </c>
      <c r="D2617" s="1" t="s">
        <v>1364</v>
      </c>
      <c r="E2617" t="s">
        <v>49</v>
      </c>
      <c r="F2617" s="5" t="str">
        <f>HYPERLINK("http://www.otzar.org/book.asp?624895","פניני נחלי בא גד")</f>
        <v>פניני נחלי בא גד</v>
      </c>
    </row>
    <row r="2618" spans="1:6" x14ac:dyDescent="0.2">
      <c r="A2618" t="s">
        <v>5260</v>
      </c>
      <c r="B2618" t="s">
        <v>5261</v>
      </c>
      <c r="C2618" t="s">
        <v>8</v>
      </c>
      <c r="D2618" s="1" t="s">
        <v>471</v>
      </c>
      <c r="E2618" t="s">
        <v>89</v>
      </c>
      <c r="F2618" s="5" t="str">
        <f>HYPERLINK("http://www.otzar.org/book.asp?623519","פניני נחמה לחג ולמועד")</f>
        <v>פניני נחמה לחג ולמועד</v>
      </c>
    </row>
    <row r="2619" spans="1:6" x14ac:dyDescent="0.2">
      <c r="A2619" t="s">
        <v>5262</v>
      </c>
      <c r="B2619" t="s">
        <v>5263</v>
      </c>
      <c r="E2619" t="s">
        <v>168</v>
      </c>
      <c r="F2619" s="5" t="str">
        <f>HYPERLINK("http://www.otzar.org/book.asp?622547","פניני פרשת השבוע - 5 כר'")</f>
        <v>פניני פרשת השבוע - 5 כר'</v>
      </c>
    </row>
    <row r="2620" spans="1:6" x14ac:dyDescent="0.2">
      <c r="A2620" t="s">
        <v>5264</v>
      </c>
      <c r="B2620" t="s">
        <v>5265</v>
      </c>
      <c r="C2620" t="s">
        <v>8</v>
      </c>
      <c r="D2620" s="1" t="s">
        <v>52</v>
      </c>
      <c r="E2620" t="s">
        <v>37</v>
      </c>
      <c r="F2620" s="5" t="str">
        <f>HYPERLINK("http://www.otzar.org/book.asp?624916","פניני שבע ברכות")</f>
        <v>פניני שבע ברכות</v>
      </c>
    </row>
    <row r="2621" spans="1:6" x14ac:dyDescent="0.2">
      <c r="A2621" t="s">
        <v>5266</v>
      </c>
      <c r="B2621" t="s">
        <v>4343</v>
      </c>
      <c r="C2621" t="s">
        <v>20</v>
      </c>
      <c r="D2621" s="1" t="s">
        <v>64</v>
      </c>
      <c r="E2621" t="s">
        <v>108</v>
      </c>
      <c r="F2621" s="5" t="str">
        <f>HYPERLINK("http://www.otzar.org/book.asp?626265","פניני תורה - 2 כר'")</f>
        <v>פניני תורה - 2 כר'</v>
      </c>
    </row>
    <row r="2622" spans="1:6" x14ac:dyDescent="0.2">
      <c r="A2622" t="s">
        <v>5267</v>
      </c>
      <c r="B2622" t="s">
        <v>5268</v>
      </c>
      <c r="C2622" t="s">
        <v>1127</v>
      </c>
      <c r="D2622" s="1" t="s">
        <v>471</v>
      </c>
      <c r="E2622" t="s">
        <v>168</v>
      </c>
      <c r="F2622" s="5" t="str">
        <f>HYPERLINK("http://www.otzar.org/book.asp?626062","פנינים ואבני חפץ - ויקרא, במדבר, דברים")</f>
        <v>פנינים ואבני חפץ - ויקרא, במדבר, דברים</v>
      </c>
    </row>
    <row r="2623" spans="1:6" x14ac:dyDescent="0.2">
      <c r="A2623" t="s">
        <v>5269</v>
      </c>
      <c r="B2623" t="s">
        <v>2169</v>
      </c>
      <c r="C2623" t="s">
        <v>8</v>
      </c>
      <c r="D2623" s="1" t="s">
        <v>2170</v>
      </c>
      <c r="E2623" t="s">
        <v>22</v>
      </c>
      <c r="F2623" s="5" t="str">
        <f>HYPERLINK("http://www.otzar.org/book.asp?623313","פנינים וציונים - 2 כר'")</f>
        <v>פנינים וציונים - 2 כר'</v>
      </c>
    </row>
    <row r="2624" spans="1:6" x14ac:dyDescent="0.2">
      <c r="A2624" t="s">
        <v>5270</v>
      </c>
      <c r="B2624" t="s">
        <v>5271</v>
      </c>
      <c r="C2624" t="s">
        <v>25</v>
      </c>
      <c r="D2624" s="1" t="s">
        <v>9</v>
      </c>
      <c r="F2624" s="5" t="str">
        <f>HYPERLINK("http://www.otzar.org/book.asp?632838","פנינים")</f>
        <v>פנינים</v>
      </c>
    </row>
    <row r="2625" spans="1:6" x14ac:dyDescent="0.2">
      <c r="A2625" t="s">
        <v>5272</v>
      </c>
      <c r="B2625" t="s">
        <v>1416</v>
      </c>
      <c r="C2625" t="s">
        <v>8</v>
      </c>
      <c r="D2625" s="1" t="s">
        <v>9</v>
      </c>
      <c r="E2625" t="s">
        <v>49</v>
      </c>
      <c r="F2625" s="5" t="str">
        <f>HYPERLINK("http://www.otzar.org/book.asp?629907","פנינת יקרת - א")</f>
        <v>פנינת יקרת - א</v>
      </c>
    </row>
    <row r="2626" spans="1:6" x14ac:dyDescent="0.2">
      <c r="A2626" t="s">
        <v>5273</v>
      </c>
      <c r="B2626" t="s">
        <v>5274</v>
      </c>
      <c r="C2626" t="s">
        <v>3456</v>
      </c>
      <c r="D2626" s="1" t="s">
        <v>667</v>
      </c>
      <c r="F2626" s="5" t="str">
        <f>HYPERLINK("http://www.otzar.org/book.asp?624752","פנקס פתוח")</f>
        <v>פנקס פתוח</v>
      </c>
    </row>
    <row r="2627" spans="1:6" x14ac:dyDescent="0.2">
      <c r="A2627" t="s">
        <v>5275</v>
      </c>
      <c r="B2627" t="s">
        <v>112</v>
      </c>
      <c r="C2627" t="s">
        <v>8</v>
      </c>
      <c r="D2627" s="1" t="s">
        <v>9</v>
      </c>
      <c r="F2627" s="5" t="str">
        <f>HYPERLINK("http://www.otzar.org/book.asp?631770","פנקסי הראי""ה - 3 כר'")</f>
        <v>פנקסי הראי"ה - 3 כר'</v>
      </c>
    </row>
    <row r="2628" spans="1:6" x14ac:dyDescent="0.2">
      <c r="A2628" t="s">
        <v>5276</v>
      </c>
      <c r="B2628" t="s">
        <v>5277</v>
      </c>
      <c r="C2628" t="s">
        <v>13</v>
      </c>
      <c r="D2628" s="1" t="s">
        <v>9</v>
      </c>
      <c r="E2628" t="s">
        <v>22</v>
      </c>
      <c r="F2628" s="5" t="str">
        <f>HYPERLINK("http://www.otzar.org/book.asp?627483","פסוק לי פסוקך - חולין")</f>
        <v>פסוק לי פסוקך - חולין</v>
      </c>
    </row>
    <row r="2629" spans="1:6" x14ac:dyDescent="0.2">
      <c r="A2629" t="s">
        <v>5278</v>
      </c>
      <c r="B2629" t="s">
        <v>5279</v>
      </c>
      <c r="C2629" t="s">
        <v>694</v>
      </c>
      <c r="D2629" s="1" t="s">
        <v>2170</v>
      </c>
      <c r="F2629" s="5" t="str">
        <f>HYPERLINK("http://www.otzar.org/book.asp?632012","פסח מעובין &lt;עם הגהות ר""י עמדין וזכר יצחק&gt;")</f>
        <v>פסח מעובין &lt;עם הגהות ר"י עמדין וזכר יצחק&gt;</v>
      </c>
    </row>
    <row r="2630" spans="1:6" x14ac:dyDescent="0.2">
      <c r="A2630" t="s">
        <v>5280</v>
      </c>
      <c r="B2630" t="s">
        <v>1624</v>
      </c>
      <c r="C2630" t="s">
        <v>1127</v>
      </c>
      <c r="D2630" s="1" t="s">
        <v>9</v>
      </c>
      <c r="E2630" t="s">
        <v>89</v>
      </c>
      <c r="F2630" s="5" t="str">
        <f>HYPERLINK("http://www.otzar.org/book.asp?625544","פסח שבועות")</f>
        <v>פסח שבועות</v>
      </c>
    </row>
    <row r="2631" spans="1:6" x14ac:dyDescent="0.2">
      <c r="A2631" t="s">
        <v>5281</v>
      </c>
      <c r="B2631" t="s">
        <v>2637</v>
      </c>
      <c r="C2631" t="s">
        <v>379</v>
      </c>
      <c r="D2631" s="1" t="s">
        <v>1134</v>
      </c>
      <c r="E2631" t="s">
        <v>89</v>
      </c>
      <c r="F2631" s="5" t="str">
        <f>HYPERLINK("http://www.otzar.org/book.asp?628735","פסח, ל""ג בעומר, שבועות")</f>
        <v>פסח, ל"ג בעומר, שבועות</v>
      </c>
    </row>
    <row r="2632" spans="1:6" x14ac:dyDescent="0.2">
      <c r="A2632" t="s">
        <v>5282</v>
      </c>
      <c r="B2632" t="s">
        <v>2637</v>
      </c>
      <c r="C2632" t="s">
        <v>1429</v>
      </c>
      <c r="D2632" s="1" t="s">
        <v>1134</v>
      </c>
      <c r="E2632" t="s">
        <v>89</v>
      </c>
      <c r="F2632" s="5" t="str">
        <f>HYPERLINK("http://www.otzar.org/book.asp?628734","פסח, שבועות")</f>
        <v>פסח, שבועות</v>
      </c>
    </row>
    <row r="2633" spans="1:6" x14ac:dyDescent="0.2">
      <c r="A2633" t="s">
        <v>5283</v>
      </c>
      <c r="B2633" t="s">
        <v>260</v>
      </c>
      <c r="C2633" t="s">
        <v>20</v>
      </c>
      <c r="D2633" s="1" t="s">
        <v>9</v>
      </c>
      <c r="E2633" t="s">
        <v>261</v>
      </c>
      <c r="F2633" s="5" t="str">
        <f>HYPERLINK("http://www.otzar.org/book.asp?627614","פסיקתא דרב כהנא")</f>
        <v>פסיקתא דרב כהנא</v>
      </c>
    </row>
    <row r="2634" spans="1:6" x14ac:dyDescent="0.2">
      <c r="A2634" t="s">
        <v>5284</v>
      </c>
      <c r="B2634" t="s">
        <v>5285</v>
      </c>
      <c r="C2634" t="s">
        <v>88</v>
      </c>
      <c r="D2634" s="1" t="s">
        <v>5286</v>
      </c>
      <c r="E2634" t="s">
        <v>154</v>
      </c>
      <c r="F2634" s="5" t="str">
        <f>HYPERLINK("http://www.otzar.org/book.asp?626310","פסקי בן איש חי - 2 כר'")</f>
        <v>פסקי בן איש חי - 2 כר'</v>
      </c>
    </row>
    <row r="2635" spans="1:6" x14ac:dyDescent="0.2">
      <c r="A2635" t="s">
        <v>5287</v>
      </c>
      <c r="B2635" t="s">
        <v>5288</v>
      </c>
      <c r="C2635" t="s">
        <v>25</v>
      </c>
      <c r="D2635" s="1" t="s">
        <v>52</v>
      </c>
      <c r="E2635" t="s">
        <v>37</v>
      </c>
      <c r="F2635" s="5" t="str">
        <f>HYPERLINK("http://www.otzar.org/book.asp?630333","פסקי הלכות")</f>
        <v>פסקי הלכות</v>
      </c>
    </row>
    <row r="2636" spans="1:6" x14ac:dyDescent="0.2">
      <c r="A2636" t="s">
        <v>5289</v>
      </c>
      <c r="B2636" t="s">
        <v>5290</v>
      </c>
      <c r="C2636" t="s">
        <v>5291</v>
      </c>
      <c r="D2636" s="1" t="s">
        <v>5292</v>
      </c>
      <c r="E2636" t="s">
        <v>37</v>
      </c>
      <c r="F2636" s="5" t="str">
        <f>HYPERLINK("http://www.otzar.org/book.asp?627347","פסקי המסכימים להוציא עשיר ופרנס מעירו &lt;פסקי הגאון מהר""ר ליווא סג""ל&gt;")</f>
        <v>פסקי המסכימים להוציא עשיר ופרנס מעירו &lt;פסקי הגאון מהר"ר ליווא סג"ל&gt;</v>
      </c>
    </row>
    <row r="2637" spans="1:6" x14ac:dyDescent="0.2">
      <c r="A2637" t="s">
        <v>5293</v>
      </c>
      <c r="B2637" t="s">
        <v>5294</v>
      </c>
      <c r="C2637" t="s">
        <v>136</v>
      </c>
      <c r="D2637" s="1" t="s">
        <v>14</v>
      </c>
      <c r="E2637" t="s">
        <v>37</v>
      </c>
      <c r="F2637" s="5" t="str">
        <f>HYPERLINK("http://www.otzar.org/book.asp?629506","פסקי מרן בעל החוט שני - חול המועד")</f>
        <v>פסקי מרן בעל החוט שני - חול המועד</v>
      </c>
    </row>
    <row r="2638" spans="1:6" x14ac:dyDescent="0.2">
      <c r="A2638" t="s">
        <v>5295</v>
      </c>
      <c r="B2638" t="s">
        <v>3730</v>
      </c>
      <c r="C2638" t="s">
        <v>5296</v>
      </c>
      <c r="D2638" s="1" t="s">
        <v>48</v>
      </c>
      <c r="F2638" s="5" t="str">
        <f>HYPERLINK("http://www.otzar.org/book.asp?624792","פסקי ראש השנה מהרשב""ץ")</f>
        <v>פסקי ראש השנה מהרשב"ץ</v>
      </c>
    </row>
    <row r="2639" spans="1:6" x14ac:dyDescent="0.2">
      <c r="A2639" t="s">
        <v>5297</v>
      </c>
      <c r="B2639" t="s">
        <v>5298</v>
      </c>
      <c r="C2639" t="s">
        <v>13</v>
      </c>
      <c r="D2639" s="1" t="s">
        <v>5299</v>
      </c>
      <c r="E2639" t="s">
        <v>61</v>
      </c>
      <c r="F2639" s="5" t="str">
        <f>HYPERLINK("http://www.otzar.org/book.asp?626771","פסקי רבנו")</f>
        <v>פסקי רבנו</v>
      </c>
    </row>
    <row r="2640" spans="1:6" x14ac:dyDescent="0.2">
      <c r="A2640" t="s">
        <v>5300</v>
      </c>
      <c r="B2640" t="s">
        <v>5301</v>
      </c>
      <c r="C2640" t="s">
        <v>572</v>
      </c>
      <c r="D2640" s="1" t="s">
        <v>9</v>
      </c>
      <c r="E2640" t="s">
        <v>121</v>
      </c>
      <c r="F2640" s="5" t="str">
        <f>HYPERLINK("http://www.otzar.org/book.asp?629146","פעולות התנועה")</f>
        <v>פעולות התנועה</v>
      </c>
    </row>
    <row r="2641" spans="1:6" x14ac:dyDescent="0.2">
      <c r="A2641" t="s">
        <v>5302</v>
      </c>
      <c r="B2641" t="s">
        <v>897</v>
      </c>
      <c r="C2641" t="s">
        <v>13</v>
      </c>
      <c r="D2641" s="1" t="s">
        <v>1134</v>
      </c>
      <c r="E2641" t="s">
        <v>214</v>
      </c>
      <c r="F2641" s="5" t="str">
        <f>HYPERLINK("http://www.otzar.org/book.asp?625215","פעלים לתורה - לח")</f>
        <v>פעלים לתורה - לח</v>
      </c>
    </row>
    <row r="2642" spans="1:6" x14ac:dyDescent="0.2">
      <c r="A2642" t="s">
        <v>5303</v>
      </c>
      <c r="B2642" t="s">
        <v>5304</v>
      </c>
      <c r="C2642" t="s">
        <v>5305</v>
      </c>
      <c r="D2642" s="1" t="s">
        <v>5306</v>
      </c>
      <c r="F2642" s="5" t="str">
        <f>HYPERLINK("http://www.otzar.org/book.asp?626502","פענח רזא")</f>
        <v>פענח רזא</v>
      </c>
    </row>
    <row r="2643" spans="1:6" x14ac:dyDescent="0.2">
      <c r="A2643" t="s">
        <v>5307</v>
      </c>
      <c r="C2643">
        <v>1951</v>
      </c>
      <c r="D2643" s="1" t="s">
        <v>29</v>
      </c>
      <c r="F2643" s="5" t="str">
        <f>HYPERLINK("http://www.otzar.org/book.asp?630402","פערל פון אונדזער תורה - כג-כג")</f>
        <v>פערל פון אונדזער תורה - כג-כג</v>
      </c>
    </row>
    <row r="2644" spans="1:6" x14ac:dyDescent="0.2">
      <c r="A2644" t="s">
        <v>5308</v>
      </c>
      <c r="B2644" t="s">
        <v>4269</v>
      </c>
      <c r="C2644" t="s">
        <v>13</v>
      </c>
      <c r="D2644" s="1" t="s">
        <v>9</v>
      </c>
      <c r="E2644" t="s">
        <v>37</v>
      </c>
      <c r="F2644" s="5" t="str">
        <f>HYPERLINK("http://www.otzar.org/book.asp?629765","פקודי העדה - סנהדרין ב")</f>
        <v>פקודי העדה - סנהדרין ב</v>
      </c>
    </row>
    <row r="2645" spans="1:6" x14ac:dyDescent="0.2">
      <c r="A2645" t="s">
        <v>5309</v>
      </c>
      <c r="B2645" t="s">
        <v>5310</v>
      </c>
      <c r="C2645" t="s">
        <v>174</v>
      </c>
      <c r="D2645" s="1" t="s">
        <v>29</v>
      </c>
      <c r="E2645" t="s">
        <v>56</v>
      </c>
      <c r="F2645" s="5" t="str">
        <f>HYPERLINK("http://www.otzar.org/book.asp?627131","פקודת אלעזר")</f>
        <v>פקודת אלעזר</v>
      </c>
    </row>
    <row r="2646" spans="1:6" x14ac:dyDescent="0.2">
      <c r="A2646" t="s">
        <v>5311</v>
      </c>
      <c r="B2646" t="s">
        <v>5312</v>
      </c>
      <c r="C2646" t="s">
        <v>25</v>
      </c>
      <c r="D2646" s="1" t="s">
        <v>29</v>
      </c>
      <c r="E2646" t="s">
        <v>199</v>
      </c>
      <c r="F2646" s="5" t="str">
        <f>HYPERLINK("http://www.otzar.org/book.asp?630557","פקודת הלוי - הלכות שבת ב")</f>
        <v>פקודת הלוי - הלכות שבת ב</v>
      </c>
    </row>
    <row r="2647" spans="1:6" x14ac:dyDescent="0.2">
      <c r="A2647" t="s">
        <v>5313</v>
      </c>
      <c r="B2647" t="s">
        <v>5314</v>
      </c>
      <c r="C2647" t="s">
        <v>13</v>
      </c>
      <c r="E2647" t="s">
        <v>836</v>
      </c>
      <c r="F2647" s="5" t="str">
        <f>HYPERLINK("http://www.otzar.org/book.asp?624757","פרדס אליהו")</f>
        <v>פרדס אליהו</v>
      </c>
    </row>
    <row r="2648" spans="1:6" x14ac:dyDescent="0.2">
      <c r="A2648" t="s">
        <v>5315</v>
      </c>
      <c r="B2648" t="s">
        <v>5316</v>
      </c>
      <c r="C2648" t="s">
        <v>13</v>
      </c>
      <c r="D2648" s="1" t="s">
        <v>9</v>
      </c>
      <c r="E2648" t="s">
        <v>2993</v>
      </c>
      <c r="F2648" s="5" t="str">
        <f>HYPERLINK("http://www.otzar.org/book.asp?626711","פרדס הספר")</f>
        <v>פרדס הספר</v>
      </c>
    </row>
    <row r="2649" spans="1:6" x14ac:dyDescent="0.2">
      <c r="A2649" t="s">
        <v>5317</v>
      </c>
      <c r="B2649" t="s">
        <v>5318</v>
      </c>
      <c r="C2649" t="s">
        <v>20</v>
      </c>
      <c r="D2649" s="1" t="s">
        <v>607</v>
      </c>
      <c r="E2649" t="s">
        <v>836</v>
      </c>
      <c r="F2649" s="5" t="str">
        <f>HYPERLINK("http://www.otzar.org/book.asp?627424","פרדס ישראל")</f>
        <v>פרדס ישראל</v>
      </c>
    </row>
    <row r="2650" spans="1:6" x14ac:dyDescent="0.2">
      <c r="A2650" t="s">
        <v>5319</v>
      </c>
      <c r="B2650" t="s">
        <v>5320</v>
      </c>
      <c r="C2650" t="s">
        <v>5321</v>
      </c>
      <c r="D2650" s="1" t="s">
        <v>1051</v>
      </c>
      <c r="E2650" t="s">
        <v>34</v>
      </c>
      <c r="F2650" s="5" t="str">
        <f>HYPERLINK("http://www.otzar.org/book.asp?626449","פרדס שלום")</f>
        <v>פרדס שלום</v>
      </c>
    </row>
    <row r="2651" spans="1:6" x14ac:dyDescent="0.2">
      <c r="A2651" t="s">
        <v>5322</v>
      </c>
      <c r="B2651" t="s">
        <v>5323</v>
      </c>
      <c r="C2651" t="s">
        <v>2973</v>
      </c>
      <c r="D2651" s="1" t="s">
        <v>5324</v>
      </c>
      <c r="E2651" t="s">
        <v>5325</v>
      </c>
      <c r="F2651" s="5" t="str">
        <f>HYPERLINK("http://www.otzar.org/book.asp?624735","פרח לבנון")</f>
        <v>פרח לבנון</v>
      </c>
    </row>
    <row r="2652" spans="1:6" x14ac:dyDescent="0.2">
      <c r="A2652" t="s">
        <v>5326</v>
      </c>
      <c r="B2652" t="s">
        <v>5327</v>
      </c>
      <c r="C2652" t="s">
        <v>20</v>
      </c>
      <c r="D2652" s="1" t="s">
        <v>9</v>
      </c>
      <c r="E2652" t="s">
        <v>660</v>
      </c>
      <c r="F2652" s="5" t="str">
        <f>HYPERLINK("http://www.otzar.org/book.asp?628341","פרי חדש - 2 כר'")</f>
        <v>פרי חדש - 2 כר'</v>
      </c>
    </row>
    <row r="2653" spans="1:6" x14ac:dyDescent="0.2">
      <c r="A2653" t="s">
        <v>5328</v>
      </c>
      <c r="B2653" t="s">
        <v>5329</v>
      </c>
      <c r="C2653" t="s">
        <v>13</v>
      </c>
      <c r="D2653" s="1" t="s">
        <v>14</v>
      </c>
      <c r="E2653" t="s">
        <v>22</v>
      </c>
      <c r="F2653" s="5" t="str">
        <f>HYPERLINK("http://www.otzar.org/book.asp?629975","פרי ידידות - פסחים")</f>
        <v>פרי ידידות - פסחים</v>
      </c>
    </row>
    <row r="2654" spans="1:6" x14ac:dyDescent="0.2">
      <c r="A2654" t="s">
        <v>5330</v>
      </c>
      <c r="B2654" t="s">
        <v>5331</v>
      </c>
      <c r="C2654" t="s">
        <v>8</v>
      </c>
      <c r="D2654" s="1" t="s">
        <v>14</v>
      </c>
      <c r="E2654" t="s">
        <v>61</v>
      </c>
      <c r="F2654" s="5" t="str">
        <f>HYPERLINK("http://www.otzar.org/book.asp?625528","פרי יוסף")</f>
        <v>פרי יוסף</v>
      </c>
    </row>
    <row r="2655" spans="1:6" x14ac:dyDescent="0.2">
      <c r="A2655" t="s">
        <v>5332</v>
      </c>
      <c r="B2655" t="s">
        <v>4567</v>
      </c>
      <c r="C2655" t="s">
        <v>133</v>
      </c>
      <c r="D2655" s="1" t="s">
        <v>14</v>
      </c>
      <c r="E2655" t="s">
        <v>199</v>
      </c>
      <c r="F2655" s="5" t="str">
        <f>HYPERLINK("http://www.otzar.org/book.asp?623842","פרי מגדים הלכות לולב &lt;ביאור קצר- ביאור ארוך&gt;")</f>
        <v>פרי מגדים הלכות לולב &lt;ביאור קצר- ביאור ארוך&gt;</v>
      </c>
    </row>
    <row r="2656" spans="1:6" x14ac:dyDescent="0.2">
      <c r="A2656" t="s">
        <v>5333</v>
      </c>
      <c r="B2656" t="s">
        <v>1391</v>
      </c>
      <c r="C2656" t="s">
        <v>13</v>
      </c>
      <c r="D2656" s="1" t="s">
        <v>1364</v>
      </c>
      <c r="E2656" t="s">
        <v>214</v>
      </c>
      <c r="F2656" s="5" t="str">
        <f>HYPERLINK("http://www.otzar.org/book.asp?630625","פרי עמלינו")</f>
        <v>פרי עמלינו</v>
      </c>
    </row>
    <row r="2657" spans="1:6" x14ac:dyDescent="0.2">
      <c r="A2657" t="s">
        <v>5334</v>
      </c>
      <c r="B2657" t="s">
        <v>5335</v>
      </c>
      <c r="C2657" t="s">
        <v>463</v>
      </c>
      <c r="D2657" s="1" t="s">
        <v>2985</v>
      </c>
      <c r="E2657" t="s">
        <v>214</v>
      </c>
      <c r="F2657" s="5" t="str">
        <f>HYPERLINK("http://www.otzar.org/book.asp?625647","פרי עץ הגן - א")</f>
        <v>פרי עץ הגן - א</v>
      </c>
    </row>
    <row r="2658" spans="1:6" x14ac:dyDescent="0.2">
      <c r="A2658" t="s">
        <v>5336</v>
      </c>
      <c r="B2658" t="s">
        <v>5337</v>
      </c>
      <c r="C2658" t="s">
        <v>5338</v>
      </c>
      <c r="D2658" s="1" t="s">
        <v>5339</v>
      </c>
      <c r="E2658" t="s">
        <v>44</v>
      </c>
      <c r="F2658" s="5" t="str">
        <f>HYPERLINK("http://www.otzar.org/book.asp?625940","פרי קדש הלולים")</f>
        <v>פרי קדש הלולים</v>
      </c>
    </row>
    <row r="2659" spans="1:6" x14ac:dyDescent="0.2">
      <c r="A2659" t="s">
        <v>5340</v>
      </c>
      <c r="B2659" t="s">
        <v>5341</v>
      </c>
      <c r="C2659" t="s">
        <v>13</v>
      </c>
      <c r="D2659" s="1" t="s">
        <v>1341</v>
      </c>
      <c r="E2659" t="s">
        <v>37</v>
      </c>
      <c r="F2659" s="5" t="str">
        <f>HYPERLINK("http://www.otzar.org/book.asp?626729","פרי רפאל")</f>
        <v>פרי רפאל</v>
      </c>
    </row>
    <row r="2660" spans="1:6" x14ac:dyDescent="0.2">
      <c r="A2660" t="s">
        <v>5342</v>
      </c>
      <c r="B2660" t="s">
        <v>5343</v>
      </c>
      <c r="C2660" t="s">
        <v>2023</v>
      </c>
      <c r="D2660" s="1" t="s">
        <v>841</v>
      </c>
      <c r="E2660" t="s">
        <v>34</v>
      </c>
      <c r="F2660" s="5" t="str">
        <f>HYPERLINK("http://www.otzar.org/book.asp?615610","פרי תבונות - 2 כר'")</f>
        <v>פרי תבונות - 2 כר'</v>
      </c>
    </row>
    <row r="2661" spans="1:6" x14ac:dyDescent="0.2">
      <c r="A2661" t="s">
        <v>5344</v>
      </c>
      <c r="B2661" t="s">
        <v>1686</v>
      </c>
      <c r="C2661" t="s">
        <v>13</v>
      </c>
      <c r="D2661" s="1" t="s">
        <v>14</v>
      </c>
      <c r="F2661" s="5" t="str">
        <f>HYPERLINK("http://www.otzar.org/book.asp?632030","פריו יתן בעתו")</f>
        <v>פריו יתן בעתו</v>
      </c>
    </row>
    <row r="2662" spans="1:6" x14ac:dyDescent="0.2">
      <c r="A2662" t="s">
        <v>5345</v>
      </c>
      <c r="B2662" t="s">
        <v>5346</v>
      </c>
      <c r="C2662" t="s">
        <v>1023</v>
      </c>
      <c r="D2662" s="1" t="s">
        <v>9</v>
      </c>
      <c r="E2662" t="s">
        <v>22</v>
      </c>
      <c r="F2662" s="5" t="str">
        <f>HYPERLINK("http://www.otzar.org/book.asp?625601","פרישת כהן")</f>
        <v>פרישת כהן</v>
      </c>
    </row>
    <row r="2663" spans="1:6" x14ac:dyDescent="0.2">
      <c r="A2663" t="s">
        <v>5347</v>
      </c>
      <c r="B2663" t="s">
        <v>5348</v>
      </c>
      <c r="C2663" t="s">
        <v>1105</v>
      </c>
      <c r="D2663" s="1" t="s">
        <v>9</v>
      </c>
      <c r="E2663" t="s">
        <v>168</v>
      </c>
      <c r="F2663" s="5" t="str">
        <f>HYPERLINK("http://www.otzar.org/book.asp?156105","פרפראות לתורה - א בראשית")</f>
        <v>פרפראות לתורה - א בראשית</v>
      </c>
    </row>
    <row r="2664" spans="1:6" x14ac:dyDescent="0.2">
      <c r="A2664" t="s">
        <v>5349</v>
      </c>
      <c r="C2664" t="s">
        <v>427</v>
      </c>
      <c r="D2664" s="1" t="s">
        <v>9</v>
      </c>
      <c r="E2664" t="s">
        <v>371</v>
      </c>
      <c r="F2664" s="5" t="str">
        <f>HYPERLINK("http://www.otzar.org/book.asp?623639","פרק חדש בתולדות הכותל המערבי")</f>
        <v>פרק חדש בתולדות הכותל המערבי</v>
      </c>
    </row>
    <row r="2665" spans="1:6" x14ac:dyDescent="0.2">
      <c r="A2665" t="s">
        <v>5350</v>
      </c>
      <c r="B2665" t="s">
        <v>2611</v>
      </c>
      <c r="C2665" t="s">
        <v>136</v>
      </c>
      <c r="D2665" s="1" t="s">
        <v>52</v>
      </c>
      <c r="E2665" t="s">
        <v>10</v>
      </c>
      <c r="F2665" s="5" t="str">
        <f>HYPERLINK("http://www.otzar.org/book.asp?628758","פרקי אבות &lt;משנה שכיר&gt;")</f>
        <v>פרקי אבות &lt;משנה שכיר&gt;</v>
      </c>
    </row>
    <row r="2666" spans="1:6" x14ac:dyDescent="0.2">
      <c r="A2666" t="s">
        <v>5351</v>
      </c>
      <c r="B2666" t="s">
        <v>5352</v>
      </c>
      <c r="C2666" t="s">
        <v>8</v>
      </c>
      <c r="D2666" s="1" t="s">
        <v>9</v>
      </c>
      <c r="E2666" t="s">
        <v>17</v>
      </c>
      <c r="F2666" s="5" t="str">
        <f>HYPERLINK("http://www.otzar.org/book.asp?628582","פרקי אמונה בטחון")</f>
        <v>פרקי אמונה בטחון</v>
      </c>
    </row>
    <row r="2667" spans="1:6" x14ac:dyDescent="0.2">
      <c r="A2667" t="s">
        <v>5353</v>
      </c>
      <c r="B2667" t="s">
        <v>3220</v>
      </c>
      <c r="C2667" t="s">
        <v>13</v>
      </c>
      <c r="D2667" s="1" t="s">
        <v>29</v>
      </c>
      <c r="E2667" t="s">
        <v>22</v>
      </c>
      <c r="F2667" s="5" t="str">
        <f>HYPERLINK("http://www.otzar.org/book.asp?623401","פרקי ברירה")</f>
        <v>פרקי ברירה</v>
      </c>
    </row>
    <row r="2668" spans="1:6" x14ac:dyDescent="0.2">
      <c r="A2668" t="s">
        <v>5354</v>
      </c>
      <c r="B2668" t="s">
        <v>4123</v>
      </c>
      <c r="C2668" t="s">
        <v>13</v>
      </c>
      <c r="D2668" s="1" t="s">
        <v>9</v>
      </c>
      <c r="E2668" t="s">
        <v>34</v>
      </c>
      <c r="F2668" s="5" t="str">
        <f>HYPERLINK("http://www.otzar.org/book.asp?627522","פרקי הדרכה")</f>
        <v>פרקי הדרכה</v>
      </c>
    </row>
    <row r="2669" spans="1:6" x14ac:dyDescent="0.2">
      <c r="A2669" t="s">
        <v>5355</v>
      </c>
      <c r="B2669" t="s">
        <v>5356</v>
      </c>
      <c r="C2669" t="s">
        <v>8</v>
      </c>
      <c r="D2669" s="1" t="s">
        <v>9</v>
      </c>
      <c r="E2669" t="s">
        <v>5357</v>
      </c>
      <c r="F2669" s="5" t="str">
        <f>HYPERLINK("http://www.otzar.org/book.asp?626395","פרקי משניות ליארצייט בביאור ע""ט")</f>
        <v>פרקי משניות ליארצייט בביאור ע"ט</v>
      </c>
    </row>
    <row r="2670" spans="1:6" x14ac:dyDescent="0.2">
      <c r="A2670" t="s">
        <v>5358</v>
      </c>
      <c r="B2670" t="s">
        <v>260</v>
      </c>
      <c r="C2670" t="s">
        <v>20</v>
      </c>
      <c r="D2670" s="1" t="s">
        <v>9</v>
      </c>
      <c r="E2670" t="s">
        <v>261</v>
      </c>
      <c r="F2670" s="5" t="str">
        <f>HYPERLINK("http://www.otzar.org/book.asp?627662","פרקי שירה עם ביאורים מכת""י - רבי שמואל קמחי, רבי בנימין הכהן, רבי דוד אופנהיים")</f>
        <v>פרקי שירה עם ביאורים מכת"י - רבי שמואל קמחי, רבי בנימין הכהן, רבי דוד אופנהיים</v>
      </c>
    </row>
    <row r="2671" spans="1:6" x14ac:dyDescent="0.2">
      <c r="A2671" t="s">
        <v>5359</v>
      </c>
      <c r="B2671" t="s">
        <v>5360</v>
      </c>
      <c r="C2671" t="s">
        <v>427</v>
      </c>
      <c r="D2671" s="1" t="s">
        <v>9</v>
      </c>
      <c r="E2671" t="s">
        <v>121</v>
      </c>
      <c r="F2671" s="5" t="str">
        <f>HYPERLINK("http://www.otzar.org/book.asp?14836","פרקים בתולדות הישוב היהודי")</f>
        <v>פרקים בתולדות הישוב היהודי</v>
      </c>
    </row>
    <row r="2672" spans="1:6" x14ac:dyDescent="0.2">
      <c r="A2672" t="s">
        <v>5361</v>
      </c>
      <c r="B2672" t="s">
        <v>3913</v>
      </c>
      <c r="C2672" t="s">
        <v>136</v>
      </c>
      <c r="D2672" s="1" t="s">
        <v>1295</v>
      </c>
      <c r="E2672" t="s">
        <v>22</v>
      </c>
      <c r="F2672" s="5" t="str">
        <f>HYPERLINK("http://www.otzar.org/book.asp?625954","פשוטו כמשמעו - 5 כר'")</f>
        <v>פשוטו כמשמעו - 5 כר'</v>
      </c>
    </row>
    <row r="2673" spans="1:6" x14ac:dyDescent="0.2">
      <c r="A2673" t="s">
        <v>5362</v>
      </c>
      <c r="B2673" t="s">
        <v>5363</v>
      </c>
      <c r="C2673" t="s">
        <v>8</v>
      </c>
      <c r="D2673" s="1" t="s">
        <v>52</v>
      </c>
      <c r="E2673" t="s">
        <v>89</v>
      </c>
      <c r="F2673" s="5" t="str">
        <f>HYPERLINK("http://www.otzar.org/book.asp?630004","פשר דבר - 7 כר'")</f>
        <v>פשר דבר - 7 כר'</v>
      </c>
    </row>
    <row r="2674" spans="1:6" x14ac:dyDescent="0.2">
      <c r="A2674" t="s">
        <v>5364</v>
      </c>
      <c r="B2674" t="s">
        <v>132</v>
      </c>
      <c r="C2674" t="s">
        <v>20</v>
      </c>
      <c r="D2674" s="1" t="s">
        <v>14</v>
      </c>
      <c r="E2674" t="s">
        <v>37</v>
      </c>
      <c r="F2674" s="5" t="str">
        <f>HYPERLINK("http://www.otzar.org/book.asp?624730","פתח אליהו - 4 כר'")</f>
        <v>פתח אליהו - 4 כר'</v>
      </c>
    </row>
    <row r="2675" spans="1:6" x14ac:dyDescent="0.2">
      <c r="A2675" t="s">
        <v>5365</v>
      </c>
      <c r="B2675" t="s">
        <v>138</v>
      </c>
      <c r="C2675" t="s">
        <v>20</v>
      </c>
      <c r="D2675" s="1" t="s">
        <v>52</v>
      </c>
      <c r="E2675" t="s">
        <v>538</v>
      </c>
      <c r="F2675" s="5" t="str">
        <f>HYPERLINK("http://www.otzar.org/book.asp?629677","פתח אליהו")</f>
        <v>פתח אליהו</v>
      </c>
    </row>
    <row r="2676" spans="1:6" x14ac:dyDescent="0.2">
      <c r="A2676" t="s">
        <v>5366</v>
      </c>
      <c r="B2676" t="s">
        <v>5367</v>
      </c>
      <c r="C2676" t="s">
        <v>119</v>
      </c>
      <c r="D2676" s="1" t="s">
        <v>294</v>
      </c>
      <c r="E2676" t="s">
        <v>49</v>
      </c>
      <c r="F2676" s="5" t="str">
        <f>HYPERLINK("http://www.otzar.org/book.asp?626497","פתח האהל")</f>
        <v>פתח האהל</v>
      </c>
    </row>
    <row r="2677" spans="1:6" x14ac:dyDescent="0.2">
      <c r="A2677" t="s">
        <v>5368</v>
      </c>
      <c r="B2677" t="s">
        <v>94</v>
      </c>
      <c r="C2677" t="s">
        <v>25</v>
      </c>
      <c r="D2677" s="1" t="s">
        <v>14</v>
      </c>
      <c r="E2677" t="s">
        <v>44</v>
      </c>
      <c r="F2677" s="5" t="str">
        <f>HYPERLINK("http://www.otzar.org/book.asp?629507","פתח לאוצר - 2 כר'")</f>
        <v>פתח לאוצר - 2 כר'</v>
      </c>
    </row>
    <row r="2678" spans="1:6" x14ac:dyDescent="0.2">
      <c r="A2678" t="s">
        <v>5369</v>
      </c>
      <c r="B2678" t="s">
        <v>5370</v>
      </c>
      <c r="C2678" t="s">
        <v>73</v>
      </c>
      <c r="D2678" s="1" t="s">
        <v>14</v>
      </c>
      <c r="E2678" t="s">
        <v>44</v>
      </c>
      <c r="F2678" s="5" t="str">
        <f>HYPERLINK("http://www.otzar.org/book.asp?626249","פתח עינים החדש - יב")</f>
        <v>פתח עינים החדש - יב</v>
      </c>
    </row>
    <row r="2679" spans="1:6" x14ac:dyDescent="0.2">
      <c r="A2679" t="s">
        <v>5371</v>
      </c>
      <c r="B2679" t="s">
        <v>5372</v>
      </c>
      <c r="C2679" t="s">
        <v>8</v>
      </c>
      <c r="D2679" s="1" t="s">
        <v>52</v>
      </c>
      <c r="E2679" t="s">
        <v>108</v>
      </c>
      <c r="F2679" s="5" t="str">
        <f>HYPERLINK("http://www.otzar.org/book.asp?623681","פתחה בחכמה")</f>
        <v>פתחה בחכמה</v>
      </c>
    </row>
    <row r="2680" spans="1:6" x14ac:dyDescent="0.2">
      <c r="A2680" t="s">
        <v>5373</v>
      </c>
      <c r="B2680" t="s">
        <v>1884</v>
      </c>
      <c r="C2680" t="s">
        <v>8</v>
      </c>
      <c r="D2680" s="1" t="s">
        <v>756</v>
      </c>
      <c r="E2680" t="s">
        <v>22</v>
      </c>
      <c r="F2680" s="5" t="str">
        <f>HYPERLINK("http://www.otzar.org/book.asp?631108","פתחו לי פתח - א")</f>
        <v>פתחו לי פתח - א</v>
      </c>
    </row>
    <row r="2681" spans="1:6" x14ac:dyDescent="0.2">
      <c r="A2681" t="s">
        <v>5374</v>
      </c>
      <c r="B2681" t="s">
        <v>5375</v>
      </c>
      <c r="C2681" t="s">
        <v>20</v>
      </c>
      <c r="D2681" s="1" t="s">
        <v>1793</v>
      </c>
      <c r="F2681" s="5" t="str">
        <f>HYPERLINK("http://www.otzar.org/book.asp?631204","פתחי אברהם - 5 כר'")</f>
        <v>פתחי אברהם - 5 כר'</v>
      </c>
    </row>
    <row r="2682" spans="1:6" x14ac:dyDescent="0.2">
      <c r="A2682" t="s">
        <v>5376</v>
      </c>
      <c r="B2682" t="s">
        <v>5377</v>
      </c>
      <c r="C2682" t="s">
        <v>13</v>
      </c>
      <c r="D2682" s="1" t="s">
        <v>14</v>
      </c>
      <c r="E2682" t="s">
        <v>10</v>
      </c>
      <c r="F2682" s="5" t="str">
        <f>HYPERLINK("http://www.otzar.org/book.asp?626541","פתחי אמונה - מעשרות, מעשר שני")</f>
        <v>פתחי אמונה - מעשרות, מעשר שני</v>
      </c>
    </row>
    <row r="2683" spans="1:6" x14ac:dyDescent="0.2">
      <c r="A2683" t="s">
        <v>5378</v>
      </c>
      <c r="B2683" t="s">
        <v>5379</v>
      </c>
      <c r="C2683" t="s">
        <v>13</v>
      </c>
      <c r="D2683" s="1" t="s">
        <v>2058</v>
      </c>
      <c r="E2683" t="s">
        <v>22</v>
      </c>
      <c r="F2683" s="5" t="str">
        <f>HYPERLINK("http://www.otzar.org/book.asp?630115","פתחי אשרי - בבא בתרא")</f>
        <v>פתחי אשרי - בבא בתרא</v>
      </c>
    </row>
    <row r="2684" spans="1:6" x14ac:dyDescent="0.2">
      <c r="A2684" t="s">
        <v>5380</v>
      </c>
      <c r="B2684" t="s">
        <v>5381</v>
      </c>
      <c r="C2684" t="s">
        <v>73</v>
      </c>
      <c r="D2684" s="1" t="s">
        <v>1230</v>
      </c>
      <c r="E2684" t="s">
        <v>61</v>
      </c>
      <c r="F2684" s="5" t="str">
        <f>HYPERLINK("http://www.otzar.org/book.asp?629561","פתחי הלכות - בשר בחלב, תערובות")</f>
        <v>פתחי הלכות - בשר בחלב, תערובות</v>
      </c>
    </row>
    <row r="2685" spans="1:6" x14ac:dyDescent="0.2">
      <c r="A2685" t="s">
        <v>5382</v>
      </c>
      <c r="B2685" t="s">
        <v>5383</v>
      </c>
      <c r="C2685" t="s">
        <v>13</v>
      </c>
      <c r="D2685" s="1" t="s">
        <v>5384</v>
      </c>
      <c r="E2685" t="s">
        <v>34</v>
      </c>
      <c r="F2685" s="5" t="str">
        <f>HYPERLINK("http://www.otzar.org/book.asp?630084","פתחי חכמה - ענווה וגאוה")</f>
        <v>פתחי חכמה - ענווה וגאוה</v>
      </c>
    </row>
    <row r="2686" spans="1:6" x14ac:dyDescent="0.2">
      <c r="A2686" t="s">
        <v>5385</v>
      </c>
      <c r="B2686" t="s">
        <v>800</v>
      </c>
      <c r="C2686" t="s">
        <v>73</v>
      </c>
      <c r="D2686" s="1" t="s">
        <v>213</v>
      </c>
      <c r="E2686" t="s">
        <v>37</v>
      </c>
      <c r="F2686" s="5" t="str">
        <f>HYPERLINK("http://www.otzar.org/book.asp?627395","פתחי כלאים")</f>
        <v>פתחי כלאים</v>
      </c>
    </row>
    <row r="2687" spans="1:6" x14ac:dyDescent="0.2">
      <c r="A2687" t="s">
        <v>5386</v>
      </c>
      <c r="B2687" t="s">
        <v>5387</v>
      </c>
      <c r="C2687" t="s">
        <v>25</v>
      </c>
      <c r="D2687" s="1" t="s">
        <v>14</v>
      </c>
      <c r="E2687" t="s">
        <v>10</v>
      </c>
      <c r="F2687" s="5" t="str">
        <f>HYPERLINK("http://www.otzar.org/book.asp?629509","פתחי סוגיות - פאה")</f>
        <v>פתחי סוגיות - פאה</v>
      </c>
    </row>
    <row r="2688" spans="1:6" x14ac:dyDescent="0.2">
      <c r="A2688" t="s">
        <v>5388</v>
      </c>
      <c r="B2688" t="s">
        <v>5389</v>
      </c>
      <c r="C2688" t="s">
        <v>307</v>
      </c>
      <c r="D2688" s="1" t="s">
        <v>14</v>
      </c>
      <c r="E2688" t="s">
        <v>22</v>
      </c>
      <c r="F2688" s="5" t="str">
        <f>HYPERLINK("http://www.otzar.org/book.asp?623766","פתחי סוכה")</f>
        <v>פתחי סוכה</v>
      </c>
    </row>
    <row r="2689" spans="1:6" x14ac:dyDescent="0.2">
      <c r="A2689" t="s">
        <v>5390</v>
      </c>
      <c r="B2689" t="s">
        <v>5391</v>
      </c>
      <c r="C2689" t="s">
        <v>13</v>
      </c>
      <c r="D2689" s="1" t="s">
        <v>52</v>
      </c>
      <c r="E2689" t="s">
        <v>22</v>
      </c>
      <c r="F2689" s="5" t="str">
        <f>HYPERLINK("http://www.otzar.org/book.asp?629510","פתחי עזר - 5 כר'")</f>
        <v>פתחי עזר - 5 כר'</v>
      </c>
    </row>
    <row r="2690" spans="1:6" x14ac:dyDescent="0.2">
      <c r="A2690" t="s">
        <v>5392</v>
      </c>
      <c r="B2690" t="s">
        <v>5393</v>
      </c>
      <c r="C2690" t="s">
        <v>13</v>
      </c>
      <c r="D2690" s="1" t="s">
        <v>5394</v>
      </c>
      <c r="E2690" t="s">
        <v>30</v>
      </c>
      <c r="F2690" s="5" t="str">
        <f>HYPERLINK("http://www.otzar.org/book.asp?630288","פתיחה - ביקורי רבותינו במאריסטאון")</f>
        <v>פתיחה - ביקורי רבותינו במאריסטאון</v>
      </c>
    </row>
    <row r="2691" spans="1:6" x14ac:dyDescent="0.2">
      <c r="A2691" t="s">
        <v>5395</v>
      </c>
      <c r="B2691" t="s">
        <v>5396</v>
      </c>
      <c r="C2691" t="s">
        <v>73</v>
      </c>
      <c r="D2691" s="1" t="s">
        <v>52</v>
      </c>
      <c r="E2691" t="s">
        <v>5397</v>
      </c>
      <c r="F2691" s="5" t="str">
        <f>HYPERLINK("http://www.otzar.org/book.asp?629463","צא מדירת קבע")</f>
        <v>צא מדירת קבע</v>
      </c>
    </row>
    <row r="2692" spans="1:6" x14ac:dyDescent="0.2">
      <c r="A2692" t="s">
        <v>5398</v>
      </c>
      <c r="B2692" t="s">
        <v>5399</v>
      </c>
      <c r="C2692" t="s">
        <v>5400</v>
      </c>
      <c r="D2692" s="1" t="s">
        <v>203</v>
      </c>
      <c r="E2692" t="s">
        <v>22</v>
      </c>
      <c r="F2692" s="5" t="str">
        <f>HYPERLINK("http://www.otzar.org/book.asp?625636","צאן קדשים")</f>
        <v>צאן קדשים</v>
      </c>
    </row>
    <row r="2693" spans="1:6" x14ac:dyDescent="0.2">
      <c r="A2693" t="s">
        <v>5401</v>
      </c>
      <c r="B2693" t="s">
        <v>5402</v>
      </c>
      <c r="C2693" t="s">
        <v>13</v>
      </c>
      <c r="D2693" s="1" t="s">
        <v>14</v>
      </c>
      <c r="E2693" t="s">
        <v>22</v>
      </c>
      <c r="F2693" s="5" t="str">
        <f>HYPERLINK("http://www.otzar.org/book.asp?630064","צבא הלוי - 2 כר'")</f>
        <v>צבא הלוי - 2 כר'</v>
      </c>
    </row>
    <row r="2694" spans="1:6" x14ac:dyDescent="0.2">
      <c r="A2694" t="s">
        <v>5403</v>
      </c>
      <c r="B2694" t="s">
        <v>5404</v>
      </c>
      <c r="C2694" t="s">
        <v>13</v>
      </c>
      <c r="D2694" s="1" t="s">
        <v>9</v>
      </c>
      <c r="E2694" t="s">
        <v>49</v>
      </c>
      <c r="F2694" s="5" t="str">
        <f>HYPERLINK("http://www.otzar.org/book.asp?627527","צבא השמים - ט-יג הגהות ומילואים")</f>
        <v>צבא השמים - ט-יג הגהות ומילואים</v>
      </c>
    </row>
    <row r="2695" spans="1:6" x14ac:dyDescent="0.2">
      <c r="A2695" t="s">
        <v>5405</v>
      </c>
      <c r="B2695" t="s">
        <v>5406</v>
      </c>
      <c r="E2695" t="s">
        <v>199</v>
      </c>
      <c r="F2695" s="5" t="str">
        <f>HYPERLINK("http://www.otzar.org/book.asp?629489","צבי לבית")</f>
        <v>צבי לבית</v>
      </c>
    </row>
    <row r="2696" spans="1:6" x14ac:dyDescent="0.2">
      <c r="A2696" t="s">
        <v>5407</v>
      </c>
      <c r="B2696" t="s">
        <v>5408</v>
      </c>
      <c r="C2696" t="s">
        <v>157</v>
      </c>
      <c r="D2696" s="1" t="s">
        <v>14</v>
      </c>
      <c r="E2696" t="s">
        <v>371</v>
      </c>
      <c r="F2696" s="5" t="str">
        <f>HYPERLINK("http://www.otzar.org/book.asp?623269","צבי לצדיק - א")</f>
        <v>צבי לצדיק - א</v>
      </c>
    </row>
    <row r="2697" spans="1:6" x14ac:dyDescent="0.2">
      <c r="A2697" t="s">
        <v>5409</v>
      </c>
      <c r="B2697" t="s">
        <v>5410</v>
      </c>
      <c r="C2697" t="s">
        <v>5411</v>
      </c>
      <c r="D2697" s="1" t="s">
        <v>1059</v>
      </c>
      <c r="E2697" t="s">
        <v>187</v>
      </c>
      <c r="F2697" s="5" t="str">
        <f>HYPERLINK("http://www.otzar.org/book.asp?625991","צבי תפארת")</f>
        <v>צבי תפארת</v>
      </c>
    </row>
    <row r="2698" spans="1:6" x14ac:dyDescent="0.2">
      <c r="A2698" t="s">
        <v>5412</v>
      </c>
      <c r="B2698" t="s">
        <v>5413</v>
      </c>
      <c r="C2698" t="s">
        <v>13</v>
      </c>
      <c r="D2698" s="1" t="s">
        <v>9</v>
      </c>
      <c r="E2698" t="s">
        <v>56</v>
      </c>
      <c r="F2698" s="5" t="str">
        <f>HYPERLINK("http://www.otzar.org/book.asp?623136","צבי תפארתו - ב""ק, ב""מ, שבועות")</f>
        <v>צבי תפארתו - ב"ק, ב"מ, שבועות</v>
      </c>
    </row>
    <row r="2699" spans="1:6" x14ac:dyDescent="0.2">
      <c r="A2699" t="s">
        <v>5414</v>
      </c>
      <c r="B2699" t="s">
        <v>5415</v>
      </c>
      <c r="C2699" t="s">
        <v>13</v>
      </c>
      <c r="D2699" s="1" t="s">
        <v>52</v>
      </c>
      <c r="E2699" t="s">
        <v>34</v>
      </c>
      <c r="F2699" s="5" t="str">
        <f>HYPERLINK("http://www.otzar.org/book.asp?629911","צדה לדרך")</f>
        <v>צדה לדרך</v>
      </c>
    </row>
    <row r="2700" spans="1:6" x14ac:dyDescent="0.2">
      <c r="A2700" t="s">
        <v>5416</v>
      </c>
      <c r="B2700" t="s">
        <v>506</v>
      </c>
      <c r="C2700" t="s">
        <v>8</v>
      </c>
      <c r="D2700" s="1" t="s">
        <v>14</v>
      </c>
      <c r="E2700" t="s">
        <v>49</v>
      </c>
      <c r="F2700" s="5" t="str">
        <f>HYPERLINK("http://www.otzar.org/book.asp?629382","צדקה וחסד בהלכה ובאגדה")</f>
        <v>צדקה וחסד בהלכה ובאגדה</v>
      </c>
    </row>
    <row r="2701" spans="1:6" x14ac:dyDescent="0.2">
      <c r="A2701" t="s">
        <v>5417</v>
      </c>
      <c r="B2701" t="s">
        <v>5418</v>
      </c>
      <c r="C2701" t="s">
        <v>20</v>
      </c>
      <c r="D2701" s="1" t="s">
        <v>5419</v>
      </c>
      <c r="E2701" t="s">
        <v>49</v>
      </c>
      <c r="F2701" s="5" t="str">
        <f>HYPERLINK("http://www.otzar.org/book.asp?627211","צדקות יהודה וישראל")</f>
        <v>צדקות יהודה וישראל</v>
      </c>
    </row>
    <row r="2702" spans="1:6" x14ac:dyDescent="0.2">
      <c r="A2702" t="s">
        <v>5420</v>
      </c>
      <c r="B2702" t="s">
        <v>5421</v>
      </c>
      <c r="C2702" t="s">
        <v>73</v>
      </c>
      <c r="D2702" s="1" t="s">
        <v>9</v>
      </c>
      <c r="E2702" t="s">
        <v>5422</v>
      </c>
      <c r="F2702" s="5" t="str">
        <f>HYPERLINK("http://www.otzar.org/book.asp?629702","צדקת ישע - 2 כר'")</f>
        <v>צדקת ישע - 2 כר'</v>
      </c>
    </row>
    <row r="2703" spans="1:6" x14ac:dyDescent="0.2">
      <c r="A2703" t="s">
        <v>5423</v>
      </c>
      <c r="B2703" t="s">
        <v>5424</v>
      </c>
      <c r="C2703" t="s">
        <v>136</v>
      </c>
      <c r="D2703" s="1" t="s">
        <v>14</v>
      </c>
      <c r="E2703" t="s">
        <v>168</v>
      </c>
      <c r="F2703" s="5" t="str">
        <f>HYPERLINK("http://www.otzar.org/book.asp?629291","צוף דבש &lt;קרית חנה&gt;")</f>
        <v>צוף דבש &lt;קרית חנה&gt;</v>
      </c>
    </row>
    <row r="2704" spans="1:6" x14ac:dyDescent="0.2">
      <c r="A2704" t="s">
        <v>5425</v>
      </c>
      <c r="B2704" t="s">
        <v>2790</v>
      </c>
      <c r="C2704" t="s">
        <v>8</v>
      </c>
      <c r="D2704" s="1" t="s">
        <v>52</v>
      </c>
      <c r="E2704" t="s">
        <v>37</v>
      </c>
      <c r="F2704" s="5" t="str">
        <f>HYPERLINK("http://www.otzar.org/book.asp?626743","צופיה הליכות ביתה")</f>
        <v>צופיה הליכות ביתה</v>
      </c>
    </row>
    <row r="2705" spans="1:6" x14ac:dyDescent="0.2">
      <c r="A2705" t="s">
        <v>5426</v>
      </c>
      <c r="B2705" t="s">
        <v>5427</v>
      </c>
      <c r="C2705" t="s">
        <v>694</v>
      </c>
      <c r="D2705" s="1" t="s">
        <v>9</v>
      </c>
      <c r="E2705" t="s">
        <v>37</v>
      </c>
      <c r="F2705" s="5" t="str">
        <f>HYPERLINK("http://www.otzar.org/book.asp?625376","צופיה הלכות")</f>
        <v>צופיה הלכות</v>
      </c>
    </row>
    <row r="2706" spans="1:6" x14ac:dyDescent="0.2">
      <c r="A2706" t="s">
        <v>5428</v>
      </c>
      <c r="B2706" t="s">
        <v>5429</v>
      </c>
      <c r="C2706" t="s">
        <v>13</v>
      </c>
      <c r="D2706" s="1" t="s">
        <v>14</v>
      </c>
      <c r="E2706" t="s">
        <v>1207</v>
      </c>
      <c r="F2706" s="5" t="str">
        <f>HYPERLINK("http://www.otzar.org/book.asp?625418","צור נעלה")</f>
        <v>צור נעלה</v>
      </c>
    </row>
    <row r="2707" spans="1:6" x14ac:dyDescent="0.2">
      <c r="A2707" t="s">
        <v>5430</v>
      </c>
      <c r="B2707" t="s">
        <v>5431</v>
      </c>
      <c r="C2707" t="s">
        <v>73</v>
      </c>
      <c r="D2707" s="1" t="s">
        <v>14</v>
      </c>
      <c r="E2707" t="s">
        <v>22</v>
      </c>
      <c r="F2707" s="5" t="str">
        <f>HYPERLINK("http://www.otzar.org/book.asp?625481","צורך יום טוב")</f>
        <v>צורך יום טוב</v>
      </c>
    </row>
    <row r="2708" spans="1:6" x14ac:dyDescent="0.2">
      <c r="A2708" t="s">
        <v>5432</v>
      </c>
      <c r="B2708" t="s">
        <v>970</v>
      </c>
      <c r="C2708" t="s">
        <v>13</v>
      </c>
      <c r="D2708" s="1" t="s">
        <v>14</v>
      </c>
      <c r="E2708" t="s">
        <v>154</v>
      </c>
      <c r="F2708" s="5" t="str">
        <f>HYPERLINK("http://www.otzar.org/book.asp?627162","צורת מצות ההסיבה")</f>
        <v>צורת מצות ההסיבה</v>
      </c>
    </row>
    <row r="2709" spans="1:6" x14ac:dyDescent="0.2">
      <c r="A2709" t="s">
        <v>5433</v>
      </c>
      <c r="B2709" t="s">
        <v>1720</v>
      </c>
      <c r="C2709" t="s">
        <v>20</v>
      </c>
      <c r="D2709" s="1" t="s">
        <v>9</v>
      </c>
      <c r="F2709" s="5" t="str">
        <f>HYPERLINK("http://www.otzar.org/book.asp?631240","ציון אליהו - ד")</f>
        <v>ציון אליהו - ד</v>
      </c>
    </row>
    <row r="2710" spans="1:6" x14ac:dyDescent="0.2">
      <c r="A2710" t="s">
        <v>5434</v>
      </c>
      <c r="B2710" t="s">
        <v>1720</v>
      </c>
      <c r="C2710" t="s">
        <v>20</v>
      </c>
      <c r="D2710" s="1" t="s">
        <v>64</v>
      </c>
      <c r="E2710" t="s">
        <v>61</v>
      </c>
      <c r="F2710" s="5" t="str">
        <f>HYPERLINK("http://www.otzar.org/book.asp?631241","ציון במשפט")</f>
        <v>ציון במשפט</v>
      </c>
    </row>
    <row r="2711" spans="1:6" x14ac:dyDescent="0.2">
      <c r="A2711" t="s">
        <v>5435</v>
      </c>
      <c r="B2711" t="s">
        <v>1940</v>
      </c>
      <c r="C2711" t="s">
        <v>8</v>
      </c>
      <c r="D2711" s="1" t="s">
        <v>52</v>
      </c>
      <c r="E2711" t="s">
        <v>214</v>
      </c>
      <c r="F2711" s="5" t="str">
        <f>HYPERLINK("http://www.otzar.org/book.asp?624900","ציון לנפש חיה")</f>
        <v>ציון לנפש חיה</v>
      </c>
    </row>
    <row r="2712" spans="1:6" x14ac:dyDescent="0.2">
      <c r="A2712" t="s">
        <v>5436</v>
      </c>
      <c r="B2712" t="s">
        <v>5437</v>
      </c>
      <c r="C2712" t="s">
        <v>4183</v>
      </c>
      <c r="D2712" s="1" t="s">
        <v>537</v>
      </c>
      <c r="E2712" t="s">
        <v>371</v>
      </c>
      <c r="F2712" s="5" t="str">
        <f>HYPERLINK("http://www.otzar.org/book.asp?628250","ציון לנפש צדיק - קצור תולדות וזכרונות")</f>
        <v>ציון לנפש צדיק - קצור תולדות וזכרונות</v>
      </c>
    </row>
    <row r="2713" spans="1:6" x14ac:dyDescent="0.2">
      <c r="A2713" t="s">
        <v>5438</v>
      </c>
      <c r="B2713" t="s">
        <v>5439</v>
      </c>
      <c r="C2713" t="s">
        <v>13</v>
      </c>
      <c r="D2713" s="1" t="s">
        <v>3320</v>
      </c>
      <c r="E2713" t="s">
        <v>168</v>
      </c>
      <c r="F2713" s="5" t="str">
        <f>HYPERLINK("http://www.otzar.org/book.asp?629993","ציוני &lt;מהדורה חדשה&gt;")</f>
        <v>ציוני &lt;מהדורה חדשה&gt;</v>
      </c>
    </row>
    <row r="2714" spans="1:6" x14ac:dyDescent="0.2">
      <c r="A2714" t="s">
        <v>5440</v>
      </c>
      <c r="B2714" t="s">
        <v>5441</v>
      </c>
      <c r="C2714" t="s">
        <v>20</v>
      </c>
      <c r="D2714" s="1" t="s">
        <v>14</v>
      </c>
      <c r="E2714" t="s">
        <v>10</v>
      </c>
      <c r="F2714" s="5" t="str">
        <f>HYPERLINK("http://www.otzar.org/book.asp?627494","ציוני דעת - 2 כר'")</f>
        <v>ציוני דעת - 2 כר'</v>
      </c>
    </row>
    <row r="2715" spans="1:6" x14ac:dyDescent="0.2">
      <c r="A2715" t="s">
        <v>5442</v>
      </c>
      <c r="B2715" t="s">
        <v>5443</v>
      </c>
      <c r="C2715" t="s">
        <v>13</v>
      </c>
      <c r="D2715" s="1" t="s">
        <v>14</v>
      </c>
      <c r="E2715" t="s">
        <v>22</v>
      </c>
      <c r="F2715" s="5" t="str">
        <f>HYPERLINK("http://www.otzar.org/book.asp?628478","ציוני הראשונים - בכורות")</f>
        <v>ציוני הראשונים - בכורות</v>
      </c>
    </row>
    <row r="2716" spans="1:6" x14ac:dyDescent="0.2">
      <c r="A2716" t="s">
        <v>5444</v>
      </c>
      <c r="B2716" t="s">
        <v>5445</v>
      </c>
      <c r="D2716" s="1" t="s">
        <v>432</v>
      </c>
      <c r="F2716" s="5" t="str">
        <f>HYPERLINK("http://www.otzar.org/book.asp?630380","ציורים ותמונות בבית הקברות - תדפיס")</f>
        <v>ציורים ותמונות בבית הקברות - תדפיס</v>
      </c>
    </row>
    <row r="2717" spans="1:6" x14ac:dyDescent="0.2">
      <c r="A2717" t="s">
        <v>5446</v>
      </c>
      <c r="B2717" t="s">
        <v>3379</v>
      </c>
      <c r="C2717" t="s">
        <v>383</v>
      </c>
      <c r="D2717" s="1" t="s">
        <v>14</v>
      </c>
      <c r="E2717" t="s">
        <v>41</v>
      </c>
      <c r="F2717" s="5" t="str">
        <f>HYPERLINK("http://www.otzar.org/book.asp?631565","ציץ ופרח")</f>
        <v>ציץ ופרח</v>
      </c>
    </row>
    <row r="2718" spans="1:6" x14ac:dyDescent="0.2">
      <c r="A2718" t="s">
        <v>5447</v>
      </c>
      <c r="B2718" t="s">
        <v>5448</v>
      </c>
      <c r="C2718" t="s">
        <v>5449</v>
      </c>
      <c r="D2718" s="1" t="s">
        <v>4772</v>
      </c>
      <c r="E2718" t="s">
        <v>168</v>
      </c>
      <c r="F2718" s="5" t="str">
        <f>HYPERLINK("http://www.otzar.org/book.asp?624767","צל המעלות")</f>
        <v>צל המעלות</v>
      </c>
    </row>
    <row r="2719" spans="1:6" x14ac:dyDescent="0.2">
      <c r="A2719" t="s">
        <v>5450</v>
      </c>
      <c r="B2719" t="s">
        <v>5451</v>
      </c>
      <c r="C2719" t="s">
        <v>136</v>
      </c>
      <c r="D2719" s="1" t="s">
        <v>29</v>
      </c>
      <c r="E2719" t="s">
        <v>154</v>
      </c>
      <c r="F2719" s="5" t="str">
        <f>HYPERLINK("http://www.otzar.org/book.asp?629889","צלותא דמעלי שבתא")</f>
        <v>צלותא דמעלי שבתא</v>
      </c>
    </row>
    <row r="2720" spans="1:6" x14ac:dyDescent="0.2">
      <c r="A2720" t="s">
        <v>5452</v>
      </c>
      <c r="B2720" t="s">
        <v>789</v>
      </c>
      <c r="C2720" t="s">
        <v>13</v>
      </c>
      <c r="D2720" s="1" t="s">
        <v>21</v>
      </c>
      <c r="E2720" t="s">
        <v>538</v>
      </c>
      <c r="F2720" s="5" t="str">
        <f>HYPERLINK("http://www.otzar.org/book.asp?629972","צליל שעורים")</f>
        <v>צליל שעורים</v>
      </c>
    </row>
    <row r="2721" spans="1:6" x14ac:dyDescent="0.2">
      <c r="A2721" t="s">
        <v>5453</v>
      </c>
      <c r="B2721" t="s">
        <v>5454</v>
      </c>
      <c r="C2721" t="s">
        <v>8</v>
      </c>
      <c r="D2721" s="1" t="s">
        <v>9</v>
      </c>
      <c r="E2721" t="s">
        <v>675</v>
      </c>
      <c r="F2721" s="5" t="str">
        <f>HYPERLINK("http://www.otzar.org/book.asp?619816","צעטיל קטן עם פירוש מעדני מלך")</f>
        <v>צעטיל קטן עם פירוש מעדני מלך</v>
      </c>
    </row>
    <row r="2722" spans="1:6" x14ac:dyDescent="0.2">
      <c r="A2722" t="s">
        <v>5455</v>
      </c>
      <c r="B2722" t="s">
        <v>5456</v>
      </c>
      <c r="C2722" t="s">
        <v>1846</v>
      </c>
      <c r="D2722" s="1" t="s">
        <v>1526</v>
      </c>
      <c r="E2722" t="s">
        <v>295</v>
      </c>
      <c r="F2722" s="5" t="str">
        <f>HYPERLINK("http://www.otzar.org/book.asp?624776","צעקת בני ישראל")</f>
        <v>צעקת בני ישראל</v>
      </c>
    </row>
    <row r="2723" spans="1:6" x14ac:dyDescent="0.2">
      <c r="A2723" t="s">
        <v>5457</v>
      </c>
      <c r="B2723" t="s">
        <v>5458</v>
      </c>
      <c r="D2723" s="1" t="s">
        <v>1280</v>
      </c>
      <c r="E2723" t="s">
        <v>49</v>
      </c>
      <c r="F2723" s="5" t="str">
        <f>HYPERLINK("http://www.otzar.org/book.asp?624670","צעקת תינוק")</f>
        <v>צעקת תינוק</v>
      </c>
    </row>
    <row r="2724" spans="1:6" x14ac:dyDescent="0.2">
      <c r="A2724" t="s">
        <v>5459</v>
      </c>
      <c r="B2724" t="s">
        <v>364</v>
      </c>
      <c r="C2724" t="s">
        <v>1023</v>
      </c>
      <c r="D2724" s="1" t="s">
        <v>64</v>
      </c>
      <c r="E2724" t="s">
        <v>337</v>
      </c>
      <c r="F2724" s="5" t="str">
        <f>HYPERLINK("http://www.otzar.org/book.asp?624598","צפיה - ד")</f>
        <v>צפיה - ד</v>
      </c>
    </row>
    <row r="2725" spans="1:6" x14ac:dyDescent="0.2">
      <c r="A2725" t="s">
        <v>5460</v>
      </c>
      <c r="B2725" t="s">
        <v>5461</v>
      </c>
      <c r="C2725" t="s">
        <v>397</v>
      </c>
      <c r="D2725" s="1" t="s">
        <v>21</v>
      </c>
      <c r="E2725" t="s">
        <v>168</v>
      </c>
      <c r="F2725" s="5" t="str">
        <f>HYPERLINK("http://www.otzar.org/book.asp?167815","צפנת פענח &lt;מהדורה חדשה&gt; - 5 כר'")</f>
        <v>צפנת פענח &lt;מהדורה חדשה&gt; - 5 כר'</v>
      </c>
    </row>
    <row r="2726" spans="1:6" x14ac:dyDescent="0.2">
      <c r="A2726" t="s">
        <v>5462</v>
      </c>
      <c r="B2726" t="s">
        <v>5463</v>
      </c>
      <c r="C2726" t="s">
        <v>5464</v>
      </c>
      <c r="D2726" s="1" t="s">
        <v>355</v>
      </c>
      <c r="E2726" t="s">
        <v>5465</v>
      </c>
      <c r="F2726" s="5" t="str">
        <f>HYPERLINK("http://www.otzar.org/book.asp?625990","צפנת פענח")</f>
        <v>צפנת פענח</v>
      </c>
    </row>
    <row r="2727" spans="1:6" x14ac:dyDescent="0.2">
      <c r="A2727" t="s">
        <v>5462</v>
      </c>
      <c r="B2727" t="s">
        <v>5466</v>
      </c>
      <c r="C2727" t="s">
        <v>133</v>
      </c>
      <c r="D2727" s="1" t="s">
        <v>1280</v>
      </c>
      <c r="E2727" t="s">
        <v>242</v>
      </c>
      <c r="F2727" s="5" t="str">
        <f>HYPERLINK("http://www.otzar.org/book.asp?624667","צפנת פענח")</f>
        <v>צפנת פענח</v>
      </c>
    </row>
    <row r="2728" spans="1:6" x14ac:dyDescent="0.2">
      <c r="A2728" t="s">
        <v>5467</v>
      </c>
      <c r="B2728" t="s">
        <v>5468</v>
      </c>
      <c r="D2728" s="1" t="s">
        <v>1364</v>
      </c>
      <c r="E2728" t="s">
        <v>371</v>
      </c>
      <c r="F2728" s="5" t="str">
        <f>HYPERLINK("http://www.otzar.org/book.asp?626154","קאליש - קהילת קאליש")</f>
        <v>קאליש - קהילת קאליש</v>
      </c>
    </row>
    <row r="2729" spans="1:6" x14ac:dyDescent="0.2">
      <c r="A2729" t="s">
        <v>5469</v>
      </c>
      <c r="B2729" t="s">
        <v>28</v>
      </c>
      <c r="C2729" t="s">
        <v>40</v>
      </c>
      <c r="E2729" t="s">
        <v>30</v>
      </c>
      <c r="F2729" s="5" t="str">
        <f>HYPERLINK("http://www.otzar.org/book.asp?627076","קאר א וועלט")</f>
        <v>קאר א וועלט</v>
      </c>
    </row>
    <row r="2730" spans="1:6" x14ac:dyDescent="0.2">
      <c r="A2730" t="s">
        <v>5470</v>
      </c>
      <c r="B2730" t="s">
        <v>5471</v>
      </c>
      <c r="C2730" t="s">
        <v>20</v>
      </c>
      <c r="D2730" s="1" t="s">
        <v>9</v>
      </c>
      <c r="E2730" t="s">
        <v>168</v>
      </c>
      <c r="F2730" s="5" t="str">
        <f>HYPERLINK("http://www.otzar.org/book.asp?625863","קב ונקי - שמות")</f>
        <v>קב ונקי - שמות</v>
      </c>
    </row>
    <row r="2731" spans="1:6" x14ac:dyDescent="0.2">
      <c r="A2731" t="s">
        <v>5472</v>
      </c>
      <c r="B2731" t="s">
        <v>5473</v>
      </c>
      <c r="C2731" t="s">
        <v>1127</v>
      </c>
      <c r="D2731" s="1" t="s">
        <v>9</v>
      </c>
      <c r="E2731" t="s">
        <v>22</v>
      </c>
      <c r="F2731" s="5" t="str">
        <f>HYPERLINK("http://www.otzar.org/book.asp?630171","קב צבי - 5 כר'")</f>
        <v>קב צבי - 5 כר'</v>
      </c>
    </row>
    <row r="2732" spans="1:6" x14ac:dyDescent="0.2">
      <c r="A2732" t="s">
        <v>5474</v>
      </c>
      <c r="B2732" t="s">
        <v>5475</v>
      </c>
      <c r="C2732" t="s">
        <v>20</v>
      </c>
      <c r="D2732" s="1" t="s">
        <v>9</v>
      </c>
      <c r="E2732" t="s">
        <v>34</v>
      </c>
      <c r="F2732" s="5" t="str">
        <f>HYPERLINK("http://www.otzar.org/book.asp?627000","קבלת הראי""ה - א")</f>
        <v>קבלת הראי"ה - א</v>
      </c>
    </row>
    <row r="2733" spans="1:6" x14ac:dyDescent="0.2">
      <c r="A2733" t="s">
        <v>5476</v>
      </c>
      <c r="B2733" t="s">
        <v>5477</v>
      </c>
      <c r="C2733" t="s">
        <v>20</v>
      </c>
      <c r="D2733" s="1" t="s">
        <v>14</v>
      </c>
      <c r="E2733" t="s">
        <v>34</v>
      </c>
      <c r="F2733" s="5" t="str">
        <f>HYPERLINK("http://www.otzar.org/book.asp?629517","קבלת התורה")</f>
        <v>קבלת התורה</v>
      </c>
    </row>
    <row r="2734" spans="1:6" x14ac:dyDescent="0.2">
      <c r="A2734" t="s">
        <v>5478</v>
      </c>
      <c r="B2734" t="s">
        <v>1692</v>
      </c>
      <c r="C2734" t="s">
        <v>13</v>
      </c>
      <c r="D2734" s="1" t="s">
        <v>14</v>
      </c>
      <c r="E2734" t="s">
        <v>37</v>
      </c>
      <c r="F2734" s="5" t="str">
        <f>HYPERLINK("http://www.otzar.org/book.asp?629625","קדושים תהיו")</f>
        <v>קדושים תהיו</v>
      </c>
    </row>
    <row r="2735" spans="1:6" x14ac:dyDescent="0.2">
      <c r="A2735" t="s">
        <v>5479</v>
      </c>
      <c r="B2735" t="s">
        <v>5480</v>
      </c>
      <c r="C2735" t="s">
        <v>20</v>
      </c>
      <c r="D2735" s="1" t="s">
        <v>21</v>
      </c>
      <c r="E2735" t="s">
        <v>37</v>
      </c>
      <c r="F2735" s="5" t="str">
        <f>HYPERLINK("http://www.otzar.org/book.asp?624819","קדושת המועד")</f>
        <v>קדושת המועד</v>
      </c>
    </row>
    <row r="2736" spans="1:6" x14ac:dyDescent="0.2">
      <c r="A2736" t="s">
        <v>5481</v>
      </c>
      <c r="B2736" t="s">
        <v>393</v>
      </c>
      <c r="D2736" s="1" t="s">
        <v>394</v>
      </c>
      <c r="E2736" t="s">
        <v>242</v>
      </c>
      <c r="F2736" s="5" t="str">
        <f>HYPERLINK("http://www.otzar.org/book.asp?624593","קדושת המקדש")</f>
        <v>קדושת המקדש</v>
      </c>
    </row>
    <row r="2737" spans="1:6" x14ac:dyDescent="0.2">
      <c r="A2737" t="s">
        <v>5482</v>
      </c>
      <c r="B2737" t="s">
        <v>5483</v>
      </c>
      <c r="C2737" t="s">
        <v>13</v>
      </c>
      <c r="D2737" s="1" t="s">
        <v>5484</v>
      </c>
      <c r="E2737" t="s">
        <v>108</v>
      </c>
      <c r="F2737" s="5" t="str">
        <f>HYPERLINK("http://www.otzar.org/book.asp?628783","קדושת הראי""ה")</f>
        <v>קדושת הראי"ה</v>
      </c>
    </row>
    <row r="2738" spans="1:6" x14ac:dyDescent="0.2">
      <c r="A2738" t="s">
        <v>5485</v>
      </c>
      <c r="B2738" t="s">
        <v>32</v>
      </c>
      <c r="C2738" t="s">
        <v>136</v>
      </c>
      <c r="D2738" s="1" t="s">
        <v>9</v>
      </c>
      <c r="E2738" t="s">
        <v>34</v>
      </c>
      <c r="F2738" s="5" t="str">
        <f>HYPERLINK("http://www.otzar.org/book.asp?625956","קדושת יעקב")</f>
        <v>קדושת יעקב</v>
      </c>
    </row>
    <row r="2739" spans="1:6" x14ac:dyDescent="0.2">
      <c r="A2739" t="s">
        <v>5486</v>
      </c>
      <c r="B2739" t="s">
        <v>5487</v>
      </c>
      <c r="C2739" t="s">
        <v>25</v>
      </c>
      <c r="D2739" s="1" t="s">
        <v>9</v>
      </c>
      <c r="E2739" t="s">
        <v>2143</v>
      </c>
      <c r="F2739" s="5" t="str">
        <f>HYPERLINK("http://www.otzar.org/book.asp?627646","קדושת ציון - סוכות תש""פ")</f>
        <v>קדושת ציון - סוכות תש"פ</v>
      </c>
    </row>
    <row r="2740" spans="1:6" x14ac:dyDescent="0.2">
      <c r="A2740" t="s">
        <v>5488</v>
      </c>
      <c r="B2740" t="s">
        <v>5489</v>
      </c>
      <c r="C2740" t="s">
        <v>5490</v>
      </c>
      <c r="D2740" s="1" t="s">
        <v>5491</v>
      </c>
      <c r="E2740" t="s">
        <v>371</v>
      </c>
      <c r="F2740" s="5" t="str">
        <f>HYPERLINK("http://www.otzar.org/book.asp?627394","קדמוניות היהודים במלבר")</f>
        <v>קדמוניות היהודים במלבר</v>
      </c>
    </row>
    <row r="2741" spans="1:6" x14ac:dyDescent="0.2">
      <c r="A2741" t="s">
        <v>5492</v>
      </c>
      <c r="B2741" t="s">
        <v>28</v>
      </c>
      <c r="C2741" t="s">
        <v>13</v>
      </c>
      <c r="D2741" s="1" t="s">
        <v>29</v>
      </c>
      <c r="E2741" t="s">
        <v>30</v>
      </c>
      <c r="F2741" s="5" t="str">
        <f>HYPERLINK("http://www.otzar.org/book.asp?627060","קדמונך תחילה - ימי הסליחות")</f>
        <v>קדמונך תחילה - ימי הסליחות</v>
      </c>
    </row>
    <row r="2742" spans="1:6" x14ac:dyDescent="0.2">
      <c r="A2742" t="s">
        <v>5493</v>
      </c>
      <c r="B2742" t="s">
        <v>5383</v>
      </c>
      <c r="C2742" t="s">
        <v>136</v>
      </c>
      <c r="D2742" s="1" t="s">
        <v>5384</v>
      </c>
      <c r="E2742" t="s">
        <v>4037</v>
      </c>
      <c r="F2742" s="5" t="str">
        <f>HYPERLINK("http://www.otzar.org/book.asp?630085","קדשים תהיו")</f>
        <v>קדשים תהיו</v>
      </c>
    </row>
    <row r="2743" spans="1:6" x14ac:dyDescent="0.2">
      <c r="A2743" t="s">
        <v>5494</v>
      </c>
      <c r="B2743" t="s">
        <v>1813</v>
      </c>
      <c r="C2743" t="s">
        <v>13</v>
      </c>
      <c r="D2743" s="1" t="s">
        <v>1295</v>
      </c>
      <c r="E2743" t="s">
        <v>242</v>
      </c>
      <c r="F2743" s="5" t="str">
        <f>HYPERLINK("http://www.otzar.org/book.asp?627043","קהלת יעקב &lt;משנת רבי אהרן&gt; - 2 כר'")</f>
        <v>קהלת יעקב &lt;משנת רבי אהרן&gt; - 2 כר'</v>
      </c>
    </row>
    <row r="2744" spans="1:6" x14ac:dyDescent="0.2">
      <c r="A2744" t="s">
        <v>5495</v>
      </c>
      <c r="B2744" t="s">
        <v>94</v>
      </c>
      <c r="C2744" t="s">
        <v>25</v>
      </c>
      <c r="D2744" s="1" t="s">
        <v>9</v>
      </c>
      <c r="E2744" t="s">
        <v>49</v>
      </c>
      <c r="F2744" s="5" t="str">
        <f>HYPERLINK("http://www.otzar.org/book.asp?631202","קו התאריך - קו חכמת התורה")</f>
        <v>קו התאריך - קו חכמת התורה</v>
      </c>
    </row>
    <row r="2745" spans="1:6" x14ac:dyDescent="0.2">
      <c r="A2745" t="s">
        <v>5496</v>
      </c>
      <c r="B2745" t="s">
        <v>897</v>
      </c>
      <c r="C2745" t="s">
        <v>25</v>
      </c>
      <c r="D2745" s="1" t="s">
        <v>29</v>
      </c>
      <c r="E2745" t="s">
        <v>214</v>
      </c>
      <c r="F2745" s="5" t="str">
        <f>HYPERLINK("http://www.otzar.org/book.asp?627513","קובץ אבקת רוכל - ז")</f>
        <v>קובץ אבקת רוכל - ז</v>
      </c>
    </row>
    <row r="2746" spans="1:6" x14ac:dyDescent="0.2">
      <c r="A2746" t="s">
        <v>5497</v>
      </c>
      <c r="B2746" t="s">
        <v>4406</v>
      </c>
      <c r="C2746" t="s">
        <v>88</v>
      </c>
      <c r="D2746" s="1" t="s">
        <v>14</v>
      </c>
      <c r="E2746" t="s">
        <v>22</v>
      </c>
      <c r="F2746" s="5" t="str">
        <f>HYPERLINK("http://www.otzar.org/book.asp?629795","קובץ אגרא דשמעתתא")</f>
        <v>קובץ אגרא דשמעתתא</v>
      </c>
    </row>
    <row r="2747" spans="1:6" x14ac:dyDescent="0.2">
      <c r="A2747" t="s">
        <v>5498</v>
      </c>
      <c r="B2747" t="s">
        <v>5499</v>
      </c>
      <c r="C2747" t="s">
        <v>13</v>
      </c>
      <c r="D2747" s="1" t="s">
        <v>14</v>
      </c>
      <c r="E2747" t="s">
        <v>214</v>
      </c>
      <c r="F2747" s="5" t="str">
        <f>HYPERLINK("http://www.otzar.org/book.asp?630784","קובץ אהלה של תורה - שבת, הוצאה")</f>
        <v>קובץ אהלה של תורה - שבת, הוצאה</v>
      </c>
    </row>
    <row r="2748" spans="1:6" x14ac:dyDescent="0.2">
      <c r="A2748" t="s">
        <v>5500</v>
      </c>
      <c r="B2748" t="s">
        <v>5501</v>
      </c>
      <c r="C2748" t="s">
        <v>8</v>
      </c>
      <c r="D2748" s="1" t="s">
        <v>9</v>
      </c>
      <c r="E2748" t="s">
        <v>214</v>
      </c>
      <c r="F2748" s="5" t="str">
        <f>HYPERLINK("http://www.otzar.org/book.asp?625451","קובץ אוצרות התורה")</f>
        <v>קובץ אוצרות התורה</v>
      </c>
    </row>
    <row r="2749" spans="1:6" x14ac:dyDescent="0.2">
      <c r="A2749" t="s">
        <v>5502</v>
      </c>
      <c r="B2749" t="s">
        <v>5503</v>
      </c>
      <c r="C2749" t="s">
        <v>1385</v>
      </c>
      <c r="D2749" s="1" t="s">
        <v>9</v>
      </c>
      <c r="E2749" t="s">
        <v>214</v>
      </c>
      <c r="F2749" s="5" t="str">
        <f>HYPERLINK("http://www.otzar.org/book.asp?629149","קובץ אורחות יום טוב -חזקת הבתים")</f>
        <v>קובץ אורחות יום טוב -חזקת הבתים</v>
      </c>
    </row>
    <row r="2750" spans="1:6" x14ac:dyDescent="0.2">
      <c r="A2750" t="s">
        <v>5504</v>
      </c>
      <c r="B2750" t="s">
        <v>364</v>
      </c>
      <c r="C2750" t="s">
        <v>73</v>
      </c>
      <c r="D2750" s="1" t="s">
        <v>14</v>
      </c>
      <c r="E2750" t="s">
        <v>214</v>
      </c>
      <c r="F2750" s="5" t="str">
        <f>HYPERLINK("http://www.otzar.org/book.asp?626488","קובץ איסתכל באורייתא - ו")</f>
        <v>קובץ איסתכל באורייתא - ו</v>
      </c>
    </row>
    <row r="2751" spans="1:6" x14ac:dyDescent="0.2">
      <c r="A2751" t="s">
        <v>5505</v>
      </c>
      <c r="B2751" t="s">
        <v>5506</v>
      </c>
      <c r="C2751" t="s">
        <v>13</v>
      </c>
      <c r="D2751" s="1" t="s">
        <v>9</v>
      </c>
      <c r="E2751" t="s">
        <v>214</v>
      </c>
      <c r="F2751" s="5" t="str">
        <f>HYPERLINK("http://www.otzar.org/book.asp?629145","קובץ אמרי שפר")</f>
        <v>קובץ אמרי שפר</v>
      </c>
    </row>
    <row r="2752" spans="1:6" x14ac:dyDescent="0.2">
      <c r="A2752" t="s">
        <v>5507</v>
      </c>
      <c r="B2752" t="s">
        <v>364</v>
      </c>
      <c r="C2752" t="s">
        <v>206</v>
      </c>
      <c r="D2752" s="1" t="s">
        <v>29</v>
      </c>
      <c r="E2752" t="s">
        <v>30</v>
      </c>
      <c r="F2752" s="5" t="str">
        <f>HYPERLINK("http://www.otzar.org/book.asp?627073","קובץ אני לדודי - תשס""ח")</f>
        <v>קובץ אני לדודי - תשס"ח</v>
      </c>
    </row>
    <row r="2753" spans="1:6" x14ac:dyDescent="0.2">
      <c r="A2753" t="s">
        <v>5508</v>
      </c>
      <c r="B2753" t="s">
        <v>5509</v>
      </c>
      <c r="C2753" t="s">
        <v>13</v>
      </c>
      <c r="D2753" s="1" t="s">
        <v>14</v>
      </c>
      <c r="E2753" t="s">
        <v>214</v>
      </c>
      <c r="F2753" s="5" t="str">
        <f>HYPERLINK("http://www.otzar.org/book.asp?626238","קובץ אש הדעת")</f>
        <v>קובץ אש הדעת</v>
      </c>
    </row>
    <row r="2754" spans="1:6" x14ac:dyDescent="0.2">
      <c r="A2754" t="s">
        <v>5510</v>
      </c>
      <c r="B2754" t="s">
        <v>5511</v>
      </c>
      <c r="C2754" t="s">
        <v>383</v>
      </c>
      <c r="D2754" s="1" t="s">
        <v>1134</v>
      </c>
      <c r="E2754" t="s">
        <v>214</v>
      </c>
      <c r="F2754" s="5" t="str">
        <f>HYPERLINK("http://www.otzar.org/book.asp?630202","קובץ אשירה לה' בחיי")</f>
        <v>קובץ אשירה לה' בחיי</v>
      </c>
    </row>
    <row r="2755" spans="1:6" x14ac:dyDescent="0.2">
      <c r="A2755" t="s">
        <v>5512</v>
      </c>
      <c r="B2755" t="s">
        <v>5513</v>
      </c>
      <c r="C2755" t="s">
        <v>334</v>
      </c>
      <c r="D2755" s="1" t="s">
        <v>29</v>
      </c>
      <c r="E2755" t="s">
        <v>214</v>
      </c>
      <c r="F2755" s="5" t="str">
        <f>HYPERLINK("http://www.otzar.org/book.asp?627154","קובץ באהלי יעקב - תשמ""ז")</f>
        <v>קובץ באהלי יעקב - תשמ"ז</v>
      </c>
    </row>
    <row r="2756" spans="1:6" x14ac:dyDescent="0.2">
      <c r="A2756" t="s">
        <v>5514</v>
      </c>
      <c r="B2756" t="s">
        <v>5515</v>
      </c>
      <c r="C2756" t="s">
        <v>411</v>
      </c>
      <c r="E2756" t="s">
        <v>214</v>
      </c>
      <c r="F2756" s="5" t="str">
        <f>HYPERLINK("http://www.otzar.org/book.asp?625369","קובץ באר יעקב - בבא מציעא")</f>
        <v>קובץ באר יעקב - בבא מציעא</v>
      </c>
    </row>
    <row r="2757" spans="1:6" x14ac:dyDescent="0.2">
      <c r="A2757" t="s">
        <v>5516</v>
      </c>
      <c r="B2757" t="s">
        <v>5517</v>
      </c>
      <c r="C2757" t="s">
        <v>174</v>
      </c>
      <c r="D2757" s="1" t="s">
        <v>841</v>
      </c>
      <c r="E2757" t="s">
        <v>214</v>
      </c>
      <c r="F2757" s="5" t="str">
        <f>HYPERLINK("http://www.otzar.org/book.asp?625637","קובץ בוניך")</f>
        <v>קובץ בוניך</v>
      </c>
    </row>
    <row r="2758" spans="1:6" x14ac:dyDescent="0.2">
      <c r="A2758" t="s">
        <v>5518</v>
      </c>
      <c r="B2758" t="s">
        <v>5519</v>
      </c>
      <c r="C2758" t="s">
        <v>88</v>
      </c>
      <c r="D2758" s="1" t="s">
        <v>1367</v>
      </c>
      <c r="E2758" t="s">
        <v>214</v>
      </c>
      <c r="F2758" s="5" t="str">
        <f>HYPERLINK("http://www.otzar.org/book.asp?629486","קובץ בי מדרשא - בבא בתרא")</f>
        <v>קובץ בי מדרשא - בבא בתרא</v>
      </c>
    </row>
    <row r="2759" spans="1:6" x14ac:dyDescent="0.2">
      <c r="A2759" t="s">
        <v>5520</v>
      </c>
      <c r="B2759" t="s">
        <v>5521</v>
      </c>
      <c r="C2759" t="s">
        <v>13</v>
      </c>
      <c r="D2759" s="1" t="s">
        <v>9</v>
      </c>
      <c r="E2759" t="s">
        <v>5522</v>
      </c>
      <c r="F2759" s="5" t="str">
        <f>HYPERLINK("http://www.otzar.org/book.asp?625531","קובץ ביאורים - קידושין")</f>
        <v>קובץ ביאורים - קידושין</v>
      </c>
    </row>
    <row r="2760" spans="1:6" x14ac:dyDescent="0.2">
      <c r="A2760" t="s">
        <v>5523</v>
      </c>
      <c r="B2760" t="s">
        <v>5524</v>
      </c>
      <c r="C2760" t="s">
        <v>190</v>
      </c>
      <c r="D2760" s="1" t="s">
        <v>29</v>
      </c>
      <c r="E2760" t="s">
        <v>214</v>
      </c>
      <c r="F2760" s="5" t="str">
        <f>HYPERLINK("http://www.otzar.org/book.asp?626564","קובץ בית ועד לחכמים - יא")</f>
        <v>קובץ בית ועד לחכמים - יא</v>
      </c>
    </row>
    <row r="2761" spans="1:6" x14ac:dyDescent="0.2">
      <c r="A2761" t="s">
        <v>5525</v>
      </c>
      <c r="B2761" t="s">
        <v>5526</v>
      </c>
      <c r="C2761" t="s">
        <v>2227</v>
      </c>
      <c r="D2761" s="1" t="s">
        <v>5527</v>
      </c>
      <c r="E2761" t="s">
        <v>214</v>
      </c>
      <c r="F2761" s="5" t="str">
        <f>HYPERLINK("http://www.otzar.org/book.asp?626818","קובץ בית ישראל - א")</f>
        <v>קובץ בית ישראל - א</v>
      </c>
    </row>
    <row r="2762" spans="1:6" x14ac:dyDescent="0.2">
      <c r="A2762" t="s">
        <v>5528</v>
      </c>
      <c r="B2762" t="s">
        <v>5529</v>
      </c>
      <c r="C2762" t="s">
        <v>5530</v>
      </c>
      <c r="D2762" s="1" t="s">
        <v>5527</v>
      </c>
      <c r="E2762" t="s">
        <v>214</v>
      </c>
      <c r="F2762" s="5" t="str">
        <f>HYPERLINK("http://www.otzar.org/book.asp?626808","קובץ בית ישראל - 4 כר'")</f>
        <v>קובץ בית ישראל - 4 כר'</v>
      </c>
    </row>
    <row r="2763" spans="1:6" x14ac:dyDescent="0.2">
      <c r="A2763" t="s">
        <v>5531</v>
      </c>
      <c r="B2763" t="s">
        <v>5529</v>
      </c>
      <c r="C2763" t="s">
        <v>5237</v>
      </c>
      <c r="D2763" s="1" t="s">
        <v>5527</v>
      </c>
      <c r="E2763" t="s">
        <v>214</v>
      </c>
      <c r="F2763" s="5" t="str">
        <f>HYPERLINK("http://www.otzar.org/book.asp?626817","קובץ בית שמואל &lt;שנה ג&gt; - א-ב (ח)")</f>
        <v>קובץ בית שמואל &lt;שנה ג&gt; - א-ב (ח)</v>
      </c>
    </row>
    <row r="2764" spans="1:6" x14ac:dyDescent="0.2">
      <c r="A2764" t="s">
        <v>5532</v>
      </c>
      <c r="B2764" t="s">
        <v>5529</v>
      </c>
      <c r="C2764" t="s">
        <v>4183</v>
      </c>
      <c r="D2764" s="1" t="s">
        <v>5527</v>
      </c>
      <c r="E2764" t="s">
        <v>214</v>
      </c>
      <c r="F2764" s="5" t="str">
        <f>HYPERLINK("http://www.otzar.org/book.asp?626811","קובץ בית שמואל - 2 כר'")</f>
        <v>קובץ בית שמואל - 2 כר'</v>
      </c>
    </row>
    <row r="2765" spans="1:6" x14ac:dyDescent="0.2">
      <c r="A2765" t="s">
        <v>5533</v>
      </c>
      <c r="B2765" t="s">
        <v>364</v>
      </c>
      <c r="C2765" t="s">
        <v>73</v>
      </c>
      <c r="D2765" s="1" t="s">
        <v>9</v>
      </c>
      <c r="E2765" t="s">
        <v>214</v>
      </c>
      <c r="F2765" s="5" t="str">
        <f>HYPERLINK("http://www.otzar.org/book.asp?629745","קובץ בנין אב - 3 כר'")</f>
        <v>קובץ בנין אב - 3 כר'</v>
      </c>
    </row>
    <row r="2766" spans="1:6" x14ac:dyDescent="0.2">
      <c r="A2766" t="s">
        <v>5534</v>
      </c>
      <c r="B2766" t="s">
        <v>482</v>
      </c>
      <c r="C2766" t="s">
        <v>73</v>
      </c>
      <c r="D2766" s="1" t="s">
        <v>9</v>
      </c>
      <c r="E2766" t="s">
        <v>49</v>
      </c>
      <c r="F2766" s="5" t="str">
        <f>HYPERLINK("http://www.otzar.org/book.asp?625787","קובץ בענייני צניעות")</f>
        <v>קובץ בענייני צניעות</v>
      </c>
    </row>
    <row r="2767" spans="1:6" x14ac:dyDescent="0.2">
      <c r="A2767" t="s">
        <v>5535</v>
      </c>
      <c r="B2767" t="s">
        <v>482</v>
      </c>
      <c r="C2767" t="s">
        <v>73</v>
      </c>
      <c r="D2767" s="1" t="s">
        <v>9</v>
      </c>
      <c r="E2767" t="s">
        <v>34</v>
      </c>
      <c r="F2767" s="5" t="str">
        <f>HYPERLINK("http://www.otzar.org/book.asp?625789","קובץ בענייני תפקיד היהדות במיוחד בימינו")</f>
        <v>קובץ בענייני תפקיד היהדות במיוחד בימינו</v>
      </c>
    </row>
    <row r="2768" spans="1:6" x14ac:dyDescent="0.2">
      <c r="A2768" t="s">
        <v>5536</v>
      </c>
      <c r="B2768" t="s">
        <v>5537</v>
      </c>
      <c r="C2768" t="s">
        <v>2198</v>
      </c>
      <c r="D2768" s="1" t="s">
        <v>9</v>
      </c>
      <c r="E2768" t="s">
        <v>214</v>
      </c>
      <c r="F2768" s="5" t="str">
        <f>HYPERLINK("http://www.otzar.org/book.asp?624688","קובץ ברית אברהם - ז")</f>
        <v>קובץ ברית אברהם - ז</v>
      </c>
    </row>
    <row r="2769" spans="1:6" x14ac:dyDescent="0.2">
      <c r="A2769" t="s">
        <v>5538</v>
      </c>
      <c r="B2769" t="s">
        <v>5539</v>
      </c>
      <c r="C2769" t="s">
        <v>136</v>
      </c>
      <c r="D2769" s="1" t="s">
        <v>557</v>
      </c>
      <c r="E2769" t="s">
        <v>214</v>
      </c>
      <c r="F2769" s="5" t="str">
        <f>HYPERLINK("http://www.otzar.org/book.asp?626021","קובץ ברכת השבת")</f>
        <v>קובץ ברכת השבת</v>
      </c>
    </row>
    <row r="2770" spans="1:6" x14ac:dyDescent="0.2">
      <c r="A2770" t="s">
        <v>5540</v>
      </c>
      <c r="B2770" t="s">
        <v>5541</v>
      </c>
      <c r="C2770" t="s">
        <v>386</v>
      </c>
      <c r="D2770" s="1" t="s">
        <v>9</v>
      </c>
      <c r="F2770" s="5" t="str">
        <f>HYPERLINK("http://www.otzar.org/book.asp?629392","קובץ גליונות מטה אהרן - 2 כר'")</f>
        <v>קובץ גליונות מטה אהרן - 2 כר'</v>
      </c>
    </row>
    <row r="2771" spans="1:6" x14ac:dyDescent="0.2">
      <c r="A2771" t="s">
        <v>5542</v>
      </c>
      <c r="B2771" t="s">
        <v>2238</v>
      </c>
      <c r="F2771" s="5" t="str">
        <f>HYPERLINK("http://www.otzar.org/book.asp?630739","קובץ גליונות ממעינות הלוי - תשס""ו")</f>
        <v>קובץ גליונות ממעינות הלוי - תשס"ו</v>
      </c>
    </row>
    <row r="2772" spans="1:6" x14ac:dyDescent="0.2">
      <c r="A2772" t="s">
        <v>5543</v>
      </c>
      <c r="B2772" t="s">
        <v>94</v>
      </c>
      <c r="C2772" t="s">
        <v>13</v>
      </c>
      <c r="D2772" s="1" t="s">
        <v>14</v>
      </c>
      <c r="E2772" t="s">
        <v>214</v>
      </c>
      <c r="F2772" s="5" t="str">
        <f>HYPERLINK("http://www.otzar.org/book.asp?629519","קובץ גליונות תשועה ברב יועץ")</f>
        <v>קובץ גליונות תשועה ברב יועץ</v>
      </c>
    </row>
    <row r="2773" spans="1:6" x14ac:dyDescent="0.2">
      <c r="A2773" t="s">
        <v>5544</v>
      </c>
      <c r="B2773" t="s">
        <v>2238</v>
      </c>
      <c r="C2773" t="s">
        <v>25</v>
      </c>
      <c r="D2773" s="1" t="s">
        <v>52</v>
      </c>
      <c r="E2773" t="s">
        <v>2143</v>
      </c>
      <c r="F2773" s="5" t="str">
        <f>HYPERLINK("http://www.otzar.org/book.asp?630622","קובץ גליונות - 44 כר'")</f>
        <v>קובץ גליונות - 44 כר'</v>
      </c>
    </row>
    <row r="2774" spans="1:6" x14ac:dyDescent="0.2">
      <c r="A2774" t="s">
        <v>5545</v>
      </c>
      <c r="B2774" t="s">
        <v>5546</v>
      </c>
      <c r="E2774" t="s">
        <v>17</v>
      </c>
      <c r="F2774" s="5" t="str">
        <f>HYPERLINK("http://www.otzar.org/book.asp?627918","קובץ דברות קודש")</f>
        <v>קובץ דברות קודש</v>
      </c>
    </row>
    <row r="2775" spans="1:6" x14ac:dyDescent="0.2">
      <c r="A2775" t="s">
        <v>5547</v>
      </c>
      <c r="B2775" t="s">
        <v>5548</v>
      </c>
      <c r="C2775" t="s">
        <v>13</v>
      </c>
      <c r="D2775" s="1" t="s">
        <v>911</v>
      </c>
      <c r="E2775" t="s">
        <v>61</v>
      </c>
      <c r="F2775" s="5" t="str">
        <f>HYPERLINK("http://www.otzar.org/book.asp?628056","קובץ דיני החיים")</f>
        <v>קובץ דיני החיים</v>
      </c>
    </row>
    <row r="2776" spans="1:6" x14ac:dyDescent="0.2">
      <c r="A2776" t="s">
        <v>5549</v>
      </c>
      <c r="B2776" t="s">
        <v>5550</v>
      </c>
      <c r="C2776" t="s">
        <v>133</v>
      </c>
      <c r="D2776" s="1" t="s">
        <v>9</v>
      </c>
      <c r="E2776" t="s">
        <v>214</v>
      </c>
      <c r="F2776" s="5" t="str">
        <f>HYPERLINK("http://www.otzar.org/book.asp?626005","קובץ דרכי מבשר - 10 כר'")</f>
        <v>קובץ דרכי מבשר - 10 כר'</v>
      </c>
    </row>
    <row r="2777" spans="1:6" x14ac:dyDescent="0.2">
      <c r="A2777" t="s">
        <v>5551</v>
      </c>
      <c r="B2777" t="s">
        <v>5552</v>
      </c>
      <c r="C2777" t="s">
        <v>20</v>
      </c>
      <c r="D2777" s="1" t="s">
        <v>1295</v>
      </c>
      <c r="E2777" t="s">
        <v>214</v>
      </c>
      <c r="F2777" s="5" t="str">
        <f>HYPERLINK("http://www.otzar.org/book.asp?623371","קובץ היושבת בגנים - 3 כר'")</f>
        <v>קובץ היושבת בגנים - 3 כר'</v>
      </c>
    </row>
    <row r="2778" spans="1:6" x14ac:dyDescent="0.2">
      <c r="A2778" t="s">
        <v>5553</v>
      </c>
      <c r="B2778" t="s">
        <v>2165</v>
      </c>
      <c r="C2778" t="s">
        <v>8</v>
      </c>
      <c r="D2778" s="1" t="s">
        <v>52</v>
      </c>
      <c r="E2778" t="s">
        <v>214</v>
      </c>
      <c r="F2778" s="5" t="str">
        <f>HYPERLINK("http://www.otzar.org/book.asp?627541","קובץ הענינים")</f>
        <v>קובץ הענינים</v>
      </c>
    </row>
    <row r="2779" spans="1:6" x14ac:dyDescent="0.2">
      <c r="A2779" t="s">
        <v>5554</v>
      </c>
      <c r="B2779" t="s">
        <v>5555</v>
      </c>
      <c r="C2779" t="s">
        <v>13</v>
      </c>
      <c r="D2779" s="1" t="s">
        <v>5556</v>
      </c>
      <c r="E2779" t="s">
        <v>30</v>
      </c>
      <c r="F2779" s="5" t="str">
        <f>HYPERLINK("http://www.otzar.org/book.asp?630122","קובץ הערות וביאורים - (מנשסתר) נז")</f>
        <v>קובץ הערות וביאורים - (מנשסתר) נז</v>
      </c>
    </row>
    <row r="2780" spans="1:6" x14ac:dyDescent="0.2">
      <c r="A2780" t="s">
        <v>5557</v>
      </c>
      <c r="B2780" t="s">
        <v>5558</v>
      </c>
      <c r="C2780" t="s">
        <v>20</v>
      </c>
      <c r="D2780" s="1" t="s">
        <v>29</v>
      </c>
      <c r="E2780" t="s">
        <v>30</v>
      </c>
      <c r="F2780" s="5" t="str">
        <f>HYPERLINK("http://www.otzar.org/book.asp?620714","קובץ הערות וביאורים - 6 כר'")</f>
        <v>קובץ הערות וביאורים - 6 כר'</v>
      </c>
    </row>
    <row r="2781" spans="1:6" x14ac:dyDescent="0.2">
      <c r="A2781" t="s">
        <v>5559</v>
      </c>
      <c r="B2781" t="s">
        <v>364</v>
      </c>
      <c r="C2781" t="s">
        <v>136</v>
      </c>
      <c r="D2781" s="1" t="s">
        <v>1841</v>
      </c>
      <c r="E2781" t="s">
        <v>30</v>
      </c>
      <c r="F2781" s="5" t="str">
        <f>HYPERLINK("http://www.otzar.org/book.asp?623763","קובץ הערות וביאורים - (צפת) -")</f>
        <v>קובץ הערות וביאורים - (צפת) -</v>
      </c>
    </row>
    <row r="2782" spans="1:6" x14ac:dyDescent="0.2">
      <c r="A2782" t="s">
        <v>5560</v>
      </c>
      <c r="B2782" t="s">
        <v>5561</v>
      </c>
      <c r="C2782" t="s">
        <v>25</v>
      </c>
      <c r="D2782" s="1" t="s">
        <v>29</v>
      </c>
      <c r="E2782" t="s">
        <v>30</v>
      </c>
      <c r="F2782" s="5" t="str">
        <f>HYPERLINK("http://www.otzar.org/book.asp?630476","קובץ הערות וביאורים - 3 כר'")</f>
        <v>קובץ הערות וביאורים - 3 כר'</v>
      </c>
    </row>
    <row r="2783" spans="1:6" x14ac:dyDescent="0.2">
      <c r="A2783" t="s">
        <v>5562</v>
      </c>
      <c r="B2783" t="s">
        <v>5563</v>
      </c>
      <c r="C2783" t="s">
        <v>13</v>
      </c>
      <c r="D2783" s="1" t="s">
        <v>14</v>
      </c>
      <c r="E2783" t="s">
        <v>22</v>
      </c>
      <c r="F2783" s="5" t="str">
        <f>HYPERLINK("http://www.otzar.org/book.asp?623728","קובץ הערות ומראי מקומות - 2 כר'")</f>
        <v>קובץ הערות ומראי מקומות - 2 כר'</v>
      </c>
    </row>
    <row r="2784" spans="1:6" x14ac:dyDescent="0.2">
      <c r="A2784" t="s">
        <v>5564</v>
      </c>
      <c r="B2784" t="s">
        <v>5565</v>
      </c>
      <c r="C2784" t="s">
        <v>334</v>
      </c>
      <c r="D2784" s="1" t="s">
        <v>14</v>
      </c>
      <c r="E2784" t="s">
        <v>22</v>
      </c>
      <c r="F2784" s="5" t="str">
        <f>HYPERLINK("http://www.otzar.org/book.asp?625029","קובץ השיעורים החדשים למרן הגר""ש רוזובסקי בעניני נדרים ושבועות")</f>
        <v>קובץ השיעורים החדשים למרן הגר"ש רוזובסקי בעניני נדרים ושבועות</v>
      </c>
    </row>
    <row r="2785" spans="1:6" x14ac:dyDescent="0.2">
      <c r="A2785" t="s">
        <v>5566</v>
      </c>
      <c r="B2785" t="s">
        <v>5567</v>
      </c>
      <c r="C2785" t="s">
        <v>13</v>
      </c>
      <c r="D2785" s="1" t="s">
        <v>52</v>
      </c>
      <c r="F2785" s="5" t="str">
        <f>HYPERLINK("http://www.otzar.org/book.asp?632010","קובץ השליחות - מבצע עבודת השליחות")</f>
        <v>קובץ השליחות - מבצע עבודת השליחות</v>
      </c>
    </row>
    <row r="2786" spans="1:6" x14ac:dyDescent="0.2">
      <c r="A2786" t="s">
        <v>5568</v>
      </c>
      <c r="B2786" t="s">
        <v>1940</v>
      </c>
      <c r="C2786" t="s">
        <v>1105</v>
      </c>
      <c r="D2786" s="1" t="s">
        <v>14</v>
      </c>
      <c r="E2786" t="s">
        <v>214</v>
      </c>
      <c r="F2786" s="5" t="str">
        <f>HYPERLINK("http://www.otzar.org/book.asp?624707","קובץ זכרון אברהם")</f>
        <v>קובץ זכרון אברהם</v>
      </c>
    </row>
    <row r="2787" spans="1:6" x14ac:dyDescent="0.2">
      <c r="A2787" t="s">
        <v>5569</v>
      </c>
      <c r="B2787" t="s">
        <v>5570</v>
      </c>
      <c r="C2787" t="s">
        <v>694</v>
      </c>
      <c r="D2787" s="1" t="s">
        <v>5571</v>
      </c>
      <c r="F2787" s="5" t="str">
        <f>HYPERLINK("http://www.otzar.org/book.asp?629924","קובץ זכרון אהל לאה")</f>
        <v>קובץ זכרון אהל לאה</v>
      </c>
    </row>
    <row r="2788" spans="1:6" x14ac:dyDescent="0.2">
      <c r="A2788" t="s">
        <v>5572</v>
      </c>
      <c r="B2788" t="s">
        <v>5573</v>
      </c>
      <c r="C2788" t="s">
        <v>8</v>
      </c>
      <c r="D2788" s="1" t="s">
        <v>29</v>
      </c>
      <c r="E2788" t="s">
        <v>214</v>
      </c>
      <c r="F2788" s="5" t="str">
        <f>HYPERLINK("http://www.otzar.org/book.asp?624551","קובץ זכרון אהרן")</f>
        <v>קובץ זכרון אהרן</v>
      </c>
    </row>
    <row r="2789" spans="1:6" x14ac:dyDescent="0.2">
      <c r="A2789" t="s">
        <v>5574</v>
      </c>
      <c r="B2789" t="s">
        <v>5575</v>
      </c>
      <c r="E2789" t="s">
        <v>337</v>
      </c>
      <c r="F2789" s="5" t="str">
        <f>HYPERLINK("http://www.otzar.org/book.asp?625565","קובץ זכרון אמת ליעקב")</f>
        <v>קובץ זכרון אמת ליעקב</v>
      </c>
    </row>
    <row r="2790" spans="1:6" x14ac:dyDescent="0.2">
      <c r="A2790" t="s">
        <v>5576</v>
      </c>
      <c r="B2790" t="s">
        <v>5577</v>
      </c>
      <c r="C2790" t="s">
        <v>584</v>
      </c>
      <c r="D2790" s="1" t="s">
        <v>9</v>
      </c>
      <c r="E2790" t="s">
        <v>214</v>
      </c>
      <c r="F2790" s="5" t="str">
        <f>HYPERLINK("http://www.otzar.org/book.asp?624949","קובץ זכרון אש תמיד - א")</f>
        <v>קובץ זכרון אש תמיד - א</v>
      </c>
    </row>
    <row r="2791" spans="1:6" x14ac:dyDescent="0.2">
      <c r="A2791" t="s">
        <v>5578</v>
      </c>
      <c r="B2791" t="s">
        <v>5579</v>
      </c>
      <c r="E2791" t="s">
        <v>187</v>
      </c>
      <c r="F2791" s="5" t="str">
        <f>HYPERLINK("http://www.otzar.org/book.asp?628020","קובץ זכרון זכר אהרן")</f>
        <v>קובץ זכרון זכר אהרן</v>
      </c>
    </row>
    <row r="2792" spans="1:6" x14ac:dyDescent="0.2">
      <c r="A2792" t="s">
        <v>5580</v>
      </c>
      <c r="B2792" t="s">
        <v>5581</v>
      </c>
      <c r="E2792" t="s">
        <v>214</v>
      </c>
      <c r="F2792" s="5" t="str">
        <f>HYPERLINK("http://www.otzar.org/book.asp?626444","קובץ זכרון מבקש השם")</f>
        <v>קובץ זכרון מבקש השם</v>
      </c>
    </row>
    <row r="2793" spans="1:6" x14ac:dyDescent="0.2">
      <c r="A2793" t="s">
        <v>5582</v>
      </c>
      <c r="B2793" t="s">
        <v>5583</v>
      </c>
      <c r="C2793" t="s">
        <v>1385</v>
      </c>
      <c r="D2793" s="1" t="s">
        <v>14</v>
      </c>
      <c r="F2793" s="5" t="str">
        <f>HYPERLINK("http://www.otzar.org/book.asp?630372","קובץ זכרון נחלת יעקב")</f>
        <v>קובץ זכרון נחלת יעקב</v>
      </c>
    </row>
    <row r="2794" spans="1:6" x14ac:dyDescent="0.2">
      <c r="A2794" t="s">
        <v>5584</v>
      </c>
      <c r="B2794" t="s">
        <v>5585</v>
      </c>
      <c r="C2794" t="s">
        <v>157</v>
      </c>
      <c r="D2794" s="1" t="s">
        <v>14</v>
      </c>
      <c r="E2794" t="s">
        <v>214</v>
      </c>
      <c r="F2794" s="5" t="str">
        <f>HYPERLINK("http://www.otzar.org/book.asp?629248","קובץ זכרון עטרת משה")</f>
        <v>קובץ זכרון עטרת משה</v>
      </c>
    </row>
    <row r="2795" spans="1:6" x14ac:dyDescent="0.2">
      <c r="A2795" t="s">
        <v>5586</v>
      </c>
      <c r="B2795" t="s">
        <v>5587</v>
      </c>
      <c r="C2795" t="s">
        <v>397</v>
      </c>
      <c r="D2795" s="1" t="s">
        <v>9</v>
      </c>
      <c r="F2795" s="5" t="str">
        <f>HYPERLINK("http://www.otzar.org/book.asp?630383","קובץ זמרת חיים - א")</f>
        <v>קובץ זמרת חיים - א</v>
      </c>
    </row>
    <row r="2796" spans="1:6" x14ac:dyDescent="0.2">
      <c r="A2796" t="s">
        <v>5588</v>
      </c>
      <c r="B2796" t="s">
        <v>5589</v>
      </c>
      <c r="E2796" t="s">
        <v>214</v>
      </c>
      <c r="F2796" s="5" t="str">
        <f>HYPERLINK("http://www.otzar.org/book.asp?628679","קובץ חבורות מן הבאר")</f>
        <v>קובץ חבורות מן הבאר</v>
      </c>
    </row>
    <row r="2797" spans="1:6" x14ac:dyDescent="0.2">
      <c r="A2797" t="s">
        <v>5590</v>
      </c>
      <c r="B2797" t="s">
        <v>5591</v>
      </c>
      <c r="C2797" t="s">
        <v>463</v>
      </c>
      <c r="D2797" s="1" t="s">
        <v>1364</v>
      </c>
      <c r="E2797" t="s">
        <v>214</v>
      </c>
      <c r="F2797" s="5" t="str">
        <f>HYPERLINK("http://www.otzar.org/book.asp?624931","קובץ חידו""ת תפארת משה")</f>
        <v>קובץ חידו"ת תפארת משה</v>
      </c>
    </row>
    <row r="2798" spans="1:6" x14ac:dyDescent="0.2">
      <c r="A2798" t="s">
        <v>5592</v>
      </c>
      <c r="B2798" t="s">
        <v>5593</v>
      </c>
      <c r="C2798" t="s">
        <v>369</v>
      </c>
      <c r="D2798" s="1" t="s">
        <v>9</v>
      </c>
      <c r="E2798" t="s">
        <v>22</v>
      </c>
      <c r="F2798" s="5" t="str">
        <f>HYPERLINK("http://www.otzar.org/book.asp?629116","קובץ חידושי תורה האור")</f>
        <v>קובץ חידושי תורה האור</v>
      </c>
    </row>
    <row r="2799" spans="1:6" x14ac:dyDescent="0.2">
      <c r="A2799" t="s">
        <v>5594</v>
      </c>
      <c r="B2799" t="s">
        <v>5595</v>
      </c>
      <c r="C2799" t="s">
        <v>2023</v>
      </c>
      <c r="D2799" s="1" t="s">
        <v>9</v>
      </c>
      <c r="E2799" t="s">
        <v>214</v>
      </c>
      <c r="F2799" s="5" t="str">
        <f>HYPERLINK("http://www.otzar.org/book.asp?626356","קובץ חידושי תורה ופרפראות לחכמה - א")</f>
        <v>קובץ חידושי תורה ופרפראות לחכמה - א</v>
      </c>
    </row>
    <row r="2800" spans="1:6" x14ac:dyDescent="0.2">
      <c r="A2800" t="s">
        <v>5596</v>
      </c>
      <c r="B2800" t="s">
        <v>5597</v>
      </c>
      <c r="C2800" t="s">
        <v>383</v>
      </c>
      <c r="D2800" s="1" t="s">
        <v>21</v>
      </c>
      <c r="F2800" s="5" t="str">
        <f>HYPERLINK("http://www.otzar.org/book.asp?630756","קובץ חידושי תורה משיבת נפש")</f>
        <v>קובץ חידושי תורה משיבת נפש</v>
      </c>
    </row>
    <row r="2801" spans="1:6" x14ac:dyDescent="0.2">
      <c r="A2801" t="s">
        <v>5598</v>
      </c>
      <c r="B2801" t="s">
        <v>5599</v>
      </c>
      <c r="C2801" t="s">
        <v>307</v>
      </c>
      <c r="D2801" s="1" t="s">
        <v>14</v>
      </c>
      <c r="E2801" t="s">
        <v>214</v>
      </c>
      <c r="F2801" s="5" t="str">
        <f>HYPERLINK("http://www.otzar.org/book.asp?628677","קובץ חידושי תורה משכן שלמה - ו ב הלכות מצרנות")</f>
        <v>קובץ חידושי תורה משכן שלמה - ו ב הלכות מצרנות</v>
      </c>
    </row>
    <row r="2802" spans="1:6" x14ac:dyDescent="0.2">
      <c r="A2802" t="s">
        <v>5600</v>
      </c>
      <c r="B2802" t="s">
        <v>5601</v>
      </c>
      <c r="C2802" t="s">
        <v>694</v>
      </c>
      <c r="D2802" s="1" t="s">
        <v>5602</v>
      </c>
      <c r="E2802" t="s">
        <v>214</v>
      </c>
      <c r="F2802" s="5" t="str">
        <f>HYPERLINK("http://www.otzar.org/book.asp?625403","קובץ חידושי תורה נחלי דעת")</f>
        <v>קובץ חידושי תורה נחלי דעת</v>
      </c>
    </row>
    <row r="2803" spans="1:6" x14ac:dyDescent="0.2">
      <c r="A2803" t="s">
        <v>5603</v>
      </c>
      <c r="B2803" t="s">
        <v>5604</v>
      </c>
      <c r="C2803" t="s">
        <v>13</v>
      </c>
      <c r="D2803" s="1" t="s">
        <v>52</v>
      </c>
      <c r="E2803" t="s">
        <v>214</v>
      </c>
      <c r="F2803" s="5" t="str">
        <f>HYPERLINK("http://www.otzar.org/book.asp?629518","קובץ חידושי תורה תורת נצח - ג")</f>
        <v>קובץ חידושי תורה תורת נצח - ג</v>
      </c>
    </row>
    <row r="2804" spans="1:6" x14ac:dyDescent="0.2">
      <c r="A2804" t="s">
        <v>3284</v>
      </c>
      <c r="B2804" t="s">
        <v>5605</v>
      </c>
      <c r="C2804" t="s">
        <v>255</v>
      </c>
      <c r="D2804" s="1" t="s">
        <v>5606</v>
      </c>
      <c r="E2804" t="s">
        <v>5607</v>
      </c>
      <c r="F2804" s="5" t="str">
        <f>HYPERLINK("http://www.otzar.org/book.asp?626394","קובץ חידושי תורה")</f>
        <v>קובץ חידושי תורה</v>
      </c>
    </row>
    <row r="2805" spans="1:6" x14ac:dyDescent="0.2">
      <c r="A2805" t="s">
        <v>3284</v>
      </c>
      <c r="B2805" t="s">
        <v>5608</v>
      </c>
      <c r="C2805" t="s">
        <v>133</v>
      </c>
      <c r="D2805" s="1" t="s">
        <v>14</v>
      </c>
      <c r="E2805" t="s">
        <v>214</v>
      </c>
      <c r="F2805" s="5" t="str">
        <f>HYPERLINK("http://www.otzar.org/book.asp?625377","קובץ חידושי תורה")</f>
        <v>קובץ חידושי תורה</v>
      </c>
    </row>
    <row r="2806" spans="1:6" x14ac:dyDescent="0.2">
      <c r="A2806" t="s">
        <v>5609</v>
      </c>
      <c r="B2806" t="s">
        <v>1043</v>
      </c>
      <c r="C2806" t="s">
        <v>13</v>
      </c>
      <c r="D2806" s="1" t="s">
        <v>1044</v>
      </c>
      <c r="E2806" t="s">
        <v>214</v>
      </c>
      <c r="F2806" s="5" t="str">
        <f>HYPERLINK("http://www.otzar.org/book.asp?630342","קובץ חכמה ודעת - 2 כר'")</f>
        <v>קובץ חכמה ודעת - 2 כר'</v>
      </c>
    </row>
    <row r="2807" spans="1:6" x14ac:dyDescent="0.2">
      <c r="A2807" t="s">
        <v>5610</v>
      </c>
      <c r="B2807" t="s">
        <v>897</v>
      </c>
      <c r="C2807" t="s">
        <v>13</v>
      </c>
      <c r="D2807" s="1" t="s">
        <v>52</v>
      </c>
      <c r="E2807" t="s">
        <v>214</v>
      </c>
      <c r="F2807" s="5" t="str">
        <f>HYPERLINK("http://www.otzar.org/book.asp?624930","קובץ חנוכת הבית -ב")</f>
        <v>קובץ חנוכת הבית -ב</v>
      </c>
    </row>
    <row r="2808" spans="1:6" x14ac:dyDescent="0.2">
      <c r="A2808" t="s">
        <v>5611</v>
      </c>
      <c r="B2808" t="s">
        <v>5612</v>
      </c>
      <c r="C2808" t="s">
        <v>13</v>
      </c>
      <c r="D2808" s="1" t="s">
        <v>29</v>
      </c>
      <c r="E2808" t="s">
        <v>30</v>
      </c>
      <c r="F2808" s="5" t="str">
        <f>HYPERLINK("http://www.otzar.org/book.asp?627132","קובץ י""א ניסן - שנת הקי""ח")</f>
        <v>קובץ י"א ניסן - שנת הקי"ח</v>
      </c>
    </row>
    <row r="2809" spans="1:6" x14ac:dyDescent="0.2">
      <c r="A2809" t="s">
        <v>5613</v>
      </c>
      <c r="B2809" t="s">
        <v>5614</v>
      </c>
      <c r="C2809" t="s">
        <v>13</v>
      </c>
      <c r="D2809" s="1" t="s">
        <v>29</v>
      </c>
      <c r="E2809" t="s">
        <v>22</v>
      </c>
      <c r="F2809" s="5" t="str">
        <f>HYPERLINK("http://www.otzar.org/book.asp?628778","קובץ יד - עירובין")</f>
        <v>קובץ יד - עירובין</v>
      </c>
    </row>
    <row r="2810" spans="1:6" x14ac:dyDescent="0.2">
      <c r="A2810" t="s">
        <v>5615</v>
      </c>
      <c r="B2810" t="s">
        <v>5552</v>
      </c>
      <c r="C2810" t="s">
        <v>136</v>
      </c>
      <c r="D2810" s="1" t="s">
        <v>1295</v>
      </c>
      <c r="E2810" t="s">
        <v>214</v>
      </c>
      <c r="F2810" s="5" t="str">
        <f>HYPERLINK("http://www.otzar.org/book.asp?623378","קובץ יהודה יעלה")</f>
        <v>קובץ יהודה יעלה</v>
      </c>
    </row>
    <row r="2811" spans="1:6" x14ac:dyDescent="0.2">
      <c r="A2811" t="s">
        <v>5616</v>
      </c>
      <c r="B2811" t="s">
        <v>5617</v>
      </c>
      <c r="C2811" t="s">
        <v>13</v>
      </c>
      <c r="D2811" s="1" t="s">
        <v>9</v>
      </c>
      <c r="E2811" t="s">
        <v>26</v>
      </c>
      <c r="F2811" s="5" t="str">
        <f>HYPERLINK("http://www.otzar.org/book.asp?630273","קובץ כולל גבוה להוראה - עירובין")</f>
        <v>קובץ כולל גבוה להוראה - עירובין</v>
      </c>
    </row>
    <row r="2812" spans="1:6" x14ac:dyDescent="0.2">
      <c r="A2812" t="s">
        <v>5618</v>
      </c>
      <c r="B2812" t="s">
        <v>5619</v>
      </c>
      <c r="E2812" t="s">
        <v>565</v>
      </c>
      <c r="F2812" s="5" t="str">
        <f>HYPERLINK("http://www.otzar.org/book.asp?625415","קובץ כיבוד הורים")</f>
        <v>קובץ כיבוד הורים</v>
      </c>
    </row>
    <row r="2813" spans="1:6" x14ac:dyDescent="0.2">
      <c r="A2813" t="s">
        <v>5620</v>
      </c>
      <c r="B2813" t="s">
        <v>4986</v>
      </c>
      <c r="C2813" t="s">
        <v>13</v>
      </c>
      <c r="D2813" s="1" t="s">
        <v>14</v>
      </c>
      <c r="E2813" t="s">
        <v>26</v>
      </c>
      <c r="F2813" s="5" t="str">
        <f>HYPERLINK("http://www.otzar.org/book.asp?628707","קובץ כתלי בית המדרש - ב""ק ג")</f>
        <v>קובץ כתלי בית המדרש - ב"ק ג</v>
      </c>
    </row>
    <row r="2814" spans="1:6" x14ac:dyDescent="0.2">
      <c r="A2814" t="s">
        <v>5621</v>
      </c>
      <c r="B2814" t="s">
        <v>364</v>
      </c>
      <c r="C2814" t="s">
        <v>88</v>
      </c>
      <c r="D2814" s="1" t="s">
        <v>29</v>
      </c>
      <c r="E2814" t="s">
        <v>30</v>
      </c>
      <c r="F2814" s="5" t="str">
        <f>HYPERLINK("http://www.otzar.org/book.asp?627134","קובץ לחיזוק ההתקשרות - פורים תש""ע")</f>
        <v>קובץ לחיזוק ההתקשרות - פורים תש"ע</v>
      </c>
    </row>
    <row r="2815" spans="1:6" x14ac:dyDescent="0.2">
      <c r="A2815" t="s">
        <v>5622</v>
      </c>
      <c r="B2815" t="s">
        <v>5623</v>
      </c>
      <c r="C2815" t="s">
        <v>13</v>
      </c>
      <c r="D2815" s="1" t="s">
        <v>52</v>
      </c>
      <c r="E2815" t="s">
        <v>30</v>
      </c>
      <c r="F2815" s="5" t="str">
        <f>HYPERLINK("http://www.otzar.org/book.asp?629549","קובץ לימוד")</f>
        <v>קובץ לימוד</v>
      </c>
    </row>
    <row r="2816" spans="1:6" x14ac:dyDescent="0.2">
      <c r="A2816" t="s">
        <v>5624</v>
      </c>
      <c r="B2816" t="s">
        <v>5625</v>
      </c>
      <c r="C2816" t="s">
        <v>136</v>
      </c>
      <c r="D2816" s="1" t="s">
        <v>14</v>
      </c>
      <c r="E2816" t="s">
        <v>214</v>
      </c>
      <c r="F2816" s="5" t="str">
        <f>HYPERLINK("http://www.otzar.org/book.asp?628731","קובץ מאור התורה - 2 כר'")</f>
        <v>קובץ מאור התורה - 2 כר'</v>
      </c>
    </row>
    <row r="2817" spans="1:6" x14ac:dyDescent="0.2">
      <c r="A2817" t="s">
        <v>5626</v>
      </c>
      <c r="B2817" t="s">
        <v>3562</v>
      </c>
      <c r="C2817" t="s">
        <v>812</v>
      </c>
      <c r="D2817" s="1" t="s">
        <v>1906</v>
      </c>
      <c r="E2817" t="s">
        <v>49</v>
      </c>
      <c r="F2817" s="5" t="str">
        <f>HYPERLINK("http://www.otzar.org/book.asp?624945","קובץ מאמרי אלול תש""ל ועשיה""ת תשל""א")</f>
        <v>קובץ מאמרי אלול תש"ל ועשיה"ת תשל"א</v>
      </c>
    </row>
    <row r="2818" spans="1:6" x14ac:dyDescent="0.2">
      <c r="A2818" t="s">
        <v>5627</v>
      </c>
      <c r="B2818" t="s">
        <v>5628</v>
      </c>
      <c r="E2818" t="s">
        <v>49</v>
      </c>
      <c r="F2818" s="5" t="str">
        <f>HYPERLINK("http://www.otzar.org/book.asp?626152","קובץ מאמרים לחניכות בית יעקב")</f>
        <v>קובץ מאמרים לחניכות בית יעקב</v>
      </c>
    </row>
    <row r="2819" spans="1:6" x14ac:dyDescent="0.2">
      <c r="A2819" t="s">
        <v>5629</v>
      </c>
      <c r="B2819" t="s">
        <v>5630</v>
      </c>
      <c r="C2819" t="s">
        <v>20</v>
      </c>
      <c r="D2819" s="1" t="s">
        <v>120</v>
      </c>
      <c r="E2819" t="s">
        <v>214</v>
      </c>
      <c r="F2819" s="5" t="str">
        <f>HYPERLINK("http://www.otzar.org/book.asp?627710","קובץ מבי מדרשא")</f>
        <v>קובץ מבי מדרשא</v>
      </c>
    </row>
    <row r="2820" spans="1:6" x14ac:dyDescent="0.2">
      <c r="A2820" t="s">
        <v>5631</v>
      </c>
      <c r="B2820" t="s">
        <v>364</v>
      </c>
      <c r="C2820" t="s">
        <v>13</v>
      </c>
      <c r="D2820" s="1" t="s">
        <v>52</v>
      </c>
      <c r="E2820" t="s">
        <v>214</v>
      </c>
      <c r="F2820" s="5" t="str">
        <f>HYPERLINK("http://www.otzar.org/book.asp?630015","קובץ מבית חזקיהו")</f>
        <v>קובץ מבית חזקיהו</v>
      </c>
    </row>
    <row r="2821" spans="1:6" x14ac:dyDescent="0.2">
      <c r="A2821" t="s">
        <v>5632</v>
      </c>
      <c r="B2821" t="s">
        <v>5633</v>
      </c>
      <c r="C2821" t="s">
        <v>307</v>
      </c>
      <c r="D2821" s="1" t="s">
        <v>29</v>
      </c>
      <c r="E2821" t="s">
        <v>30</v>
      </c>
      <c r="F2821" s="5" t="str">
        <f>HYPERLINK("http://www.otzar.org/book.asp?627062","קובץ מבצע תפילין")</f>
        <v>קובץ מבצע תפילין</v>
      </c>
    </row>
    <row r="2822" spans="1:6" x14ac:dyDescent="0.2">
      <c r="A2822" t="s">
        <v>5634</v>
      </c>
      <c r="B2822" t="s">
        <v>5635</v>
      </c>
      <c r="C2822" t="s">
        <v>76</v>
      </c>
      <c r="D2822" s="1" t="s">
        <v>29</v>
      </c>
      <c r="E2822" t="s">
        <v>214</v>
      </c>
      <c r="F2822" s="5" t="str">
        <f>HYPERLINK("http://www.otzar.org/book.asp?624542","קובץ מגדול ישועות - ב")</f>
        <v>קובץ מגדול ישועות - ב</v>
      </c>
    </row>
    <row r="2823" spans="1:6" x14ac:dyDescent="0.2">
      <c r="A2823" t="s">
        <v>5636</v>
      </c>
      <c r="B2823" t="s">
        <v>5637</v>
      </c>
      <c r="C2823" t="s">
        <v>133</v>
      </c>
      <c r="D2823" s="1" t="s">
        <v>471</v>
      </c>
      <c r="E2823" t="s">
        <v>1207</v>
      </c>
      <c r="F2823" s="5" t="str">
        <f>HYPERLINK("http://www.otzar.org/book.asp?625428","קובץ מדרש רשב""י - 2 כר'")</f>
        <v>קובץ מדרש רשב"י - 2 כר'</v>
      </c>
    </row>
    <row r="2824" spans="1:6" x14ac:dyDescent="0.2">
      <c r="A2824" t="s">
        <v>5638</v>
      </c>
      <c r="B2824" t="s">
        <v>3474</v>
      </c>
      <c r="C2824" t="s">
        <v>13</v>
      </c>
      <c r="D2824" s="1" t="s">
        <v>9</v>
      </c>
      <c r="E2824" t="s">
        <v>214</v>
      </c>
      <c r="F2824" s="5" t="str">
        <f>HYPERLINK("http://www.otzar.org/book.asp?627426","קובץ מה טובו אהליך יעקב - 6 כר'")</f>
        <v>קובץ מה טובו אהליך יעקב - 6 כר'</v>
      </c>
    </row>
    <row r="2825" spans="1:6" x14ac:dyDescent="0.2">
      <c r="A2825" t="s">
        <v>5639</v>
      </c>
      <c r="B2825" t="s">
        <v>5640</v>
      </c>
      <c r="C2825" t="s">
        <v>13</v>
      </c>
      <c r="D2825" s="1" t="s">
        <v>4943</v>
      </c>
      <c r="E2825" t="s">
        <v>17</v>
      </c>
      <c r="F2825" s="5" t="str">
        <f>HYPERLINK("http://www.otzar.org/book.asp?624892","קובץ מה שאני מבקש")</f>
        <v>קובץ מה שאני מבקש</v>
      </c>
    </row>
    <row r="2826" spans="1:6" x14ac:dyDescent="0.2">
      <c r="A2826" t="s">
        <v>5641</v>
      </c>
      <c r="B2826" t="s">
        <v>5642</v>
      </c>
      <c r="C2826" t="s">
        <v>226</v>
      </c>
      <c r="D2826" s="1" t="s">
        <v>14</v>
      </c>
      <c r="E2826" t="s">
        <v>34</v>
      </c>
      <c r="F2826" s="5" t="str">
        <f>HYPERLINK("http://www.otzar.org/book.asp?624693","קובץ מוסר אבות")</f>
        <v>קובץ מוסר אבות</v>
      </c>
    </row>
    <row r="2827" spans="1:6" x14ac:dyDescent="0.2">
      <c r="A2827" t="s">
        <v>5643</v>
      </c>
      <c r="B2827" t="s">
        <v>5644</v>
      </c>
      <c r="C2827" t="s">
        <v>13</v>
      </c>
      <c r="D2827" s="1" t="s">
        <v>4366</v>
      </c>
      <c r="E2827" t="s">
        <v>30</v>
      </c>
      <c r="F2827" s="5" t="str">
        <f>HYPERLINK("http://www.otzar.org/book.asp?630314","קובץ מחנה קיץ")</f>
        <v>קובץ מחנה קיץ</v>
      </c>
    </row>
    <row r="2828" spans="1:6" x14ac:dyDescent="0.2">
      <c r="A2828" t="s">
        <v>5645</v>
      </c>
      <c r="B2828" t="s">
        <v>5646</v>
      </c>
      <c r="C2828" t="s">
        <v>13</v>
      </c>
      <c r="D2828" s="1" t="s">
        <v>52</v>
      </c>
      <c r="F2828" s="5" t="str">
        <f>HYPERLINK("http://www.otzar.org/book.asp?632060","קובץ מילי דשמעתתא")</f>
        <v>קובץ מילי דשמעתתא</v>
      </c>
    </row>
    <row r="2829" spans="1:6" x14ac:dyDescent="0.2">
      <c r="A2829" t="s">
        <v>5647</v>
      </c>
      <c r="B2829" t="s">
        <v>94</v>
      </c>
      <c r="C2829" t="s">
        <v>8</v>
      </c>
      <c r="D2829" s="1" t="s">
        <v>52</v>
      </c>
      <c r="E2829" t="s">
        <v>49</v>
      </c>
      <c r="F2829" s="5" t="str">
        <f>HYPERLINK("http://www.otzar.org/book.asp?629882","קובץ מכתבי הרבנים בענין השיער הבא מהודו")</f>
        <v>קובץ מכתבי הרבנים בענין השיער הבא מהודו</v>
      </c>
    </row>
    <row r="2830" spans="1:6" x14ac:dyDescent="0.2">
      <c r="A2830" t="s">
        <v>5648</v>
      </c>
      <c r="B2830" t="s">
        <v>5649</v>
      </c>
      <c r="C2830" t="s">
        <v>13</v>
      </c>
      <c r="D2830" s="1" t="s">
        <v>52</v>
      </c>
      <c r="E2830" t="s">
        <v>26</v>
      </c>
      <c r="F2830" s="5" t="str">
        <f>HYPERLINK("http://www.otzar.org/book.asp?630819","קובץ מן הבאר - בבא מציעא")</f>
        <v>קובץ מן הבאר - בבא מציעא</v>
      </c>
    </row>
    <row r="2831" spans="1:6" x14ac:dyDescent="0.2">
      <c r="A2831" t="s">
        <v>5650</v>
      </c>
      <c r="B2831" t="s">
        <v>5651</v>
      </c>
      <c r="C2831" t="s">
        <v>13</v>
      </c>
      <c r="D2831" s="1" t="s">
        <v>2058</v>
      </c>
      <c r="E2831" t="s">
        <v>214</v>
      </c>
      <c r="F2831" s="5" t="str">
        <f>HYPERLINK("http://www.otzar.org/book.asp?627474","קובץ מנורה בדרום - 5 כר'")</f>
        <v>קובץ מנורה בדרום - 5 כר'</v>
      </c>
    </row>
    <row r="2832" spans="1:6" x14ac:dyDescent="0.2">
      <c r="A2832" t="s">
        <v>5652</v>
      </c>
      <c r="B2832" t="s">
        <v>5653</v>
      </c>
      <c r="C2832" t="s">
        <v>5176</v>
      </c>
      <c r="D2832" s="1" t="s">
        <v>5654</v>
      </c>
      <c r="E2832" t="s">
        <v>168</v>
      </c>
      <c r="F2832" s="5" t="str">
        <f>HYPERLINK("http://www.otzar.org/book.asp?624742","קובץ מפרשי התורה")</f>
        <v>קובץ מפרשי התורה</v>
      </c>
    </row>
    <row r="2833" spans="1:6" x14ac:dyDescent="0.2">
      <c r="A2833" t="s">
        <v>5655</v>
      </c>
      <c r="B2833" t="s">
        <v>364</v>
      </c>
      <c r="E2833" t="s">
        <v>22</v>
      </c>
      <c r="F2833" s="5" t="str">
        <f>HYPERLINK("http://www.otzar.org/book.asp?623504","קובץ מראה מקומות  אהל גדליה - המוכר את הספינה")</f>
        <v>קובץ מראה מקומות  אהל גדליה - המוכר את הספינה</v>
      </c>
    </row>
    <row r="2834" spans="1:6" x14ac:dyDescent="0.2">
      <c r="A2834" t="s">
        <v>5656</v>
      </c>
      <c r="B2834" t="s">
        <v>84</v>
      </c>
      <c r="C2834" t="s">
        <v>8</v>
      </c>
      <c r="D2834" s="1" t="s">
        <v>14</v>
      </c>
      <c r="E2834" t="s">
        <v>22</v>
      </c>
      <c r="F2834" s="5" t="str">
        <f>HYPERLINK("http://www.otzar.org/book.asp?626210","קובץ מראי מקומות ובירורי סוגיות - 3 כר'")</f>
        <v>קובץ מראי מקומות ובירורי סוגיות - 3 כר'</v>
      </c>
    </row>
    <row r="2835" spans="1:6" x14ac:dyDescent="0.2">
      <c r="A2835" t="s">
        <v>5657</v>
      </c>
      <c r="B2835" t="s">
        <v>4668</v>
      </c>
      <c r="C2835" t="s">
        <v>136</v>
      </c>
      <c r="D2835" s="1" t="s">
        <v>14</v>
      </c>
      <c r="E2835" t="s">
        <v>22</v>
      </c>
      <c r="F2835" s="5" t="str">
        <f>HYPERLINK("http://www.otzar.org/book.asp?628680","קובץ מראי מקומות - כיצד מברכין, שלשה שאכלו")</f>
        <v>קובץ מראי מקומות - כיצד מברכין, שלשה שאכלו</v>
      </c>
    </row>
    <row r="2836" spans="1:6" x14ac:dyDescent="0.2">
      <c r="A2836" t="s">
        <v>5658</v>
      </c>
      <c r="B2836" t="s">
        <v>5659</v>
      </c>
      <c r="C2836" t="s">
        <v>818</v>
      </c>
      <c r="D2836" s="1" t="s">
        <v>9</v>
      </c>
      <c r="E2836" t="s">
        <v>214</v>
      </c>
      <c r="F2836" s="5" t="str">
        <f>HYPERLINK("http://www.otzar.org/book.asp?624575","קובץ משכן דוד")</f>
        <v>קובץ משכן דוד</v>
      </c>
    </row>
    <row r="2837" spans="1:6" x14ac:dyDescent="0.2">
      <c r="A2837" t="s">
        <v>5660</v>
      </c>
      <c r="B2837" t="s">
        <v>5661</v>
      </c>
      <c r="C2837" t="s">
        <v>73</v>
      </c>
      <c r="D2837" s="1" t="s">
        <v>9</v>
      </c>
      <c r="E2837" t="s">
        <v>214</v>
      </c>
      <c r="F2837" s="5" t="str">
        <f>HYPERLINK("http://www.otzar.org/book.asp?630008","קובץ נר דוד - 4 כר'")</f>
        <v>קובץ נר דוד - 4 כר'</v>
      </c>
    </row>
    <row r="2838" spans="1:6" x14ac:dyDescent="0.2">
      <c r="A2838" t="s">
        <v>5662</v>
      </c>
      <c r="B2838" t="s">
        <v>5663</v>
      </c>
      <c r="C2838" t="s">
        <v>383</v>
      </c>
      <c r="E2838" t="s">
        <v>214</v>
      </c>
      <c r="F2838" s="5" t="str">
        <f>HYPERLINK("http://www.otzar.org/book.asp?626024","קובץ נר ישראל - סוכה")</f>
        <v>קובץ נר ישראל - סוכה</v>
      </c>
    </row>
    <row r="2839" spans="1:6" x14ac:dyDescent="0.2">
      <c r="A2839" t="s">
        <v>5664</v>
      </c>
      <c r="B2839" t="s">
        <v>5665</v>
      </c>
      <c r="E2839" t="s">
        <v>214</v>
      </c>
      <c r="F2839" s="5" t="str">
        <f>HYPERLINK("http://www.otzar.org/book.asp?626027","קובץ נר למאור")</f>
        <v>קובץ נר למאור</v>
      </c>
    </row>
    <row r="2840" spans="1:6" x14ac:dyDescent="0.2">
      <c r="A2840" t="s">
        <v>5666</v>
      </c>
      <c r="B2840" t="s">
        <v>5667</v>
      </c>
      <c r="C2840" t="s">
        <v>73</v>
      </c>
      <c r="D2840" s="1" t="s">
        <v>21</v>
      </c>
      <c r="E2840" t="s">
        <v>2143</v>
      </c>
      <c r="F2840" s="5" t="str">
        <f>HYPERLINK("http://www.otzar.org/book.asp?623531","קובץ נר מצוה ותורה אור")</f>
        <v>קובץ נר מצוה ותורה אור</v>
      </c>
    </row>
    <row r="2841" spans="1:6" x14ac:dyDescent="0.2">
      <c r="A2841" t="s">
        <v>5668</v>
      </c>
      <c r="B2841" t="s">
        <v>5511</v>
      </c>
      <c r="C2841" t="s">
        <v>20</v>
      </c>
      <c r="D2841" s="1" t="s">
        <v>1134</v>
      </c>
      <c r="E2841" t="s">
        <v>565</v>
      </c>
      <c r="F2841" s="5" t="str">
        <f>HYPERLINK("http://www.otzar.org/book.asp?630206","קובץ סופרי המלך - ב")</f>
        <v>קובץ סופרי המלך - ב</v>
      </c>
    </row>
    <row r="2842" spans="1:6" x14ac:dyDescent="0.2">
      <c r="A2842" t="s">
        <v>5669</v>
      </c>
      <c r="B2842" t="s">
        <v>5670</v>
      </c>
      <c r="C2842" t="s">
        <v>13</v>
      </c>
      <c r="D2842" s="1" t="s">
        <v>9</v>
      </c>
      <c r="E2842" t="s">
        <v>214</v>
      </c>
      <c r="F2842" s="5" t="str">
        <f>HYPERLINK("http://www.otzar.org/book.asp?630904","קובץ עיון הפרשה - 10 כר'")</f>
        <v>קובץ עיון הפרשה - 10 כר'</v>
      </c>
    </row>
    <row r="2843" spans="1:6" x14ac:dyDescent="0.2">
      <c r="A2843" t="s">
        <v>5671</v>
      </c>
      <c r="B2843" t="s">
        <v>364</v>
      </c>
      <c r="C2843" t="s">
        <v>136</v>
      </c>
      <c r="D2843" s="1" t="s">
        <v>5672</v>
      </c>
      <c r="F2843" s="5" t="str">
        <f>HYPERLINK("http://www.otzar.org/book.asp?632031","קובץ עיוני תורה - 2 כר'")</f>
        <v>קובץ עיוני תורה - 2 כר'</v>
      </c>
    </row>
    <row r="2844" spans="1:6" x14ac:dyDescent="0.2">
      <c r="A2844" t="s">
        <v>5673</v>
      </c>
      <c r="B2844" t="s">
        <v>5674</v>
      </c>
      <c r="C2844" t="s">
        <v>8</v>
      </c>
      <c r="D2844" s="1" t="s">
        <v>52</v>
      </c>
      <c r="E2844" t="s">
        <v>565</v>
      </c>
      <c r="F2844" s="5" t="str">
        <f>HYPERLINK("http://www.otzar.org/book.asp?627499","קובץ עיונים במלאכת הוצאה")</f>
        <v>קובץ עיונים במלאכת הוצאה</v>
      </c>
    </row>
    <row r="2845" spans="1:6" x14ac:dyDescent="0.2">
      <c r="A2845" t="s">
        <v>5675</v>
      </c>
      <c r="B2845" t="s">
        <v>364</v>
      </c>
      <c r="C2845" t="s">
        <v>13</v>
      </c>
      <c r="D2845" s="1" t="s">
        <v>29</v>
      </c>
      <c r="E2845" t="s">
        <v>214</v>
      </c>
      <c r="F2845" s="5" t="str">
        <f>HYPERLINK("http://www.otzar.org/book.asp?627402","קובץ עיונים תפארת שמשון - ד")</f>
        <v>קובץ עיונים תפארת שמשון - ד</v>
      </c>
    </row>
    <row r="2846" spans="1:6" x14ac:dyDescent="0.2">
      <c r="A2846" t="s">
        <v>5676</v>
      </c>
      <c r="B2846" t="s">
        <v>482</v>
      </c>
      <c r="C2846" t="s">
        <v>8</v>
      </c>
      <c r="D2846" s="1" t="s">
        <v>9</v>
      </c>
      <c r="E2846" t="s">
        <v>34</v>
      </c>
      <c r="F2846" s="5" t="str">
        <f>HYPERLINK("http://www.otzar.org/book.asp?623496","קובץ עניני אמונה")</f>
        <v>קובץ עניני אמונה</v>
      </c>
    </row>
    <row r="2847" spans="1:6" x14ac:dyDescent="0.2">
      <c r="A2847" t="s">
        <v>5677</v>
      </c>
      <c r="B2847" t="s">
        <v>5678</v>
      </c>
      <c r="C2847" t="s">
        <v>133</v>
      </c>
      <c r="D2847" s="1" t="s">
        <v>14</v>
      </c>
      <c r="E2847" t="s">
        <v>22</v>
      </c>
      <c r="F2847" s="5" t="str">
        <f>HYPERLINK("http://www.otzar.org/book.asp?623133","קובץ ענינים - שבת, מוקצה, מו""ק, תפילין")</f>
        <v>קובץ ענינים - שבת, מוקצה, מו"ק, תפילין</v>
      </c>
    </row>
    <row r="2848" spans="1:6" x14ac:dyDescent="0.2">
      <c r="A2848" t="s">
        <v>5679</v>
      </c>
      <c r="B2848" t="s">
        <v>94</v>
      </c>
      <c r="C2848" t="s">
        <v>8</v>
      </c>
      <c r="D2848" s="1" t="s">
        <v>52</v>
      </c>
      <c r="E2848" t="s">
        <v>34</v>
      </c>
      <c r="F2848" s="5" t="str">
        <f>HYPERLINK("http://www.otzar.org/book.asp?630233","קובץ עצות בעניין ערכו של הזמן")</f>
        <v>קובץ עצות בעניין ערכו של הזמן</v>
      </c>
    </row>
    <row r="2849" spans="1:6" x14ac:dyDescent="0.2">
      <c r="A2849" t="s">
        <v>5680</v>
      </c>
      <c r="B2849" t="s">
        <v>5681</v>
      </c>
      <c r="C2849" t="s">
        <v>73</v>
      </c>
      <c r="D2849" s="1" t="s">
        <v>803</v>
      </c>
      <c r="E2849" t="s">
        <v>214</v>
      </c>
      <c r="F2849" s="5" t="str">
        <f>HYPERLINK("http://www.otzar.org/book.asp?624901","קובץ צדקת אפרים - יא")</f>
        <v>קובץ צדקת אפרים - יא</v>
      </c>
    </row>
    <row r="2850" spans="1:6" x14ac:dyDescent="0.2">
      <c r="A2850" t="s">
        <v>5682</v>
      </c>
      <c r="B2850" t="s">
        <v>5683</v>
      </c>
      <c r="C2850" t="s">
        <v>148</v>
      </c>
      <c r="D2850" s="1" t="s">
        <v>9</v>
      </c>
      <c r="F2850" s="5" t="str">
        <f>HYPERLINK("http://www.otzar.org/book.asp?630398","קובץ קהלות ישורון - ג")</f>
        <v>קובץ קהלות ישורון - ג</v>
      </c>
    </row>
    <row r="2851" spans="1:6" x14ac:dyDescent="0.2">
      <c r="A2851" t="s">
        <v>5684</v>
      </c>
      <c r="B2851" t="s">
        <v>897</v>
      </c>
      <c r="F2851" s="5" t="str">
        <f>HYPERLINK("http://www.otzar.org/book.asp?630748","קובץ קו ההלכה עיון ההלכה")</f>
        <v>קובץ קו ההלכה עיון ההלכה</v>
      </c>
    </row>
    <row r="2852" spans="1:6" x14ac:dyDescent="0.2">
      <c r="A2852" t="s">
        <v>5685</v>
      </c>
      <c r="B2852" t="s">
        <v>364</v>
      </c>
      <c r="C2852" t="s">
        <v>13</v>
      </c>
      <c r="D2852" s="1" t="s">
        <v>14</v>
      </c>
      <c r="E2852" t="s">
        <v>214</v>
      </c>
      <c r="F2852" s="5" t="str">
        <f>HYPERLINK("http://www.otzar.org/book.asp?630013","קובץ קו ההלכה - 2 כר'")</f>
        <v>קובץ קו ההלכה - 2 כר'</v>
      </c>
    </row>
    <row r="2853" spans="1:6" x14ac:dyDescent="0.2">
      <c r="A2853" t="s">
        <v>5686</v>
      </c>
      <c r="B2853" t="s">
        <v>364</v>
      </c>
      <c r="C2853" t="s">
        <v>8</v>
      </c>
      <c r="D2853" s="1" t="s">
        <v>52</v>
      </c>
      <c r="E2853" t="s">
        <v>22</v>
      </c>
      <c r="F2853" s="5" t="str">
        <f>HYPERLINK("http://www.otzar.org/book.asp?630235","קובץ ראשונים - 2 כר'")</f>
        <v>קובץ ראשונים - 2 כר'</v>
      </c>
    </row>
    <row r="2854" spans="1:6" x14ac:dyDescent="0.2">
      <c r="A2854" t="s">
        <v>5687</v>
      </c>
      <c r="B2854" t="s">
        <v>5688</v>
      </c>
      <c r="C2854" t="s">
        <v>20</v>
      </c>
      <c r="D2854" s="1" t="s">
        <v>9</v>
      </c>
      <c r="E2854" t="s">
        <v>214</v>
      </c>
      <c r="F2854" s="5" t="str">
        <f>HYPERLINK("http://www.otzar.org/book.asp?629684","קובץ רב ברכות - 2 כר'")</f>
        <v>קובץ רב ברכות - 2 כר'</v>
      </c>
    </row>
    <row r="2855" spans="1:6" x14ac:dyDescent="0.2">
      <c r="A2855" t="s">
        <v>5689</v>
      </c>
      <c r="B2855" t="s">
        <v>5690</v>
      </c>
      <c r="C2855" t="s">
        <v>88</v>
      </c>
      <c r="D2855" s="1" t="s">
        <v>14</v>
      </c>
      <c r="F2855" s="5" t="str">
        <f>HYPERLINK("http://www.otzar.org/book.asp?630764","קובץ שאלות בהלכות מליחה")</f>
        <v>קובץ שאלות בהלכות מליחה</v>
      </c>
    </row>
    <row r="2856" spans="1:6" x14ac:dyDescent="0.2">
      <c r="A2856" t="s">
        <v>5691</v>
      </c>
      <c r="B2856" t="s">
        <v>5692</v>
      </c>
      <c r="C2856" t="s">
        <v>8</v>
      </c>
      <c r="D2856" s="1" t="s">
        <v>9</v>
      </c>
      <c r="E2856" t="s">
        <v>1207</v>
      </c>
      <c r="F2856" s="5" t="str">
        <f>HYPERLINK("http://www.otzar.org/book.asp?624910","קובץ שו""ת מהגר""ח קנייבסקי בעניני תפילין ובר מצוה")</f>
        <v>קובץ שו"ת מהגר"ח קנייבסקי בעניני תפילין ובר מצוה</v>
      </c>
    </row>
    <row r="2857" spans="1:6" x14ac:dyDescent="0.2">
      <c r="A2857" t="s">
        <v>5693</v>
      </c>
      <c r="B2857" t="s">
        <v>5694</v>
      </c>
      <c r="C2857" t="s">
        <v>8</v>
      </c>
      <c r="D2857" s="1" t="s">
        <v>14</v>
      </c>
      <c r="E2857" t="s">
        <v>2275</v>
      </c>
      <c r="F2857" s="5" t="str">
        <f>HYPERLINK("http://www.otzar.org/book.asp?628788","קובץ שיחות ומאמרים - אלול וימים נוראים")</f>
        <v>קובץ שיחות ומאמרים - אלול וימים נוראים</v>
      </c>
    </row>
    <row r="2858" spans="1:6" x14ac:dyDescent="0.2">
      <c r="A2858" t="s">
        <v>5695</v>
      </c>
      <c r="B2858" t="s">
        <v>5696</v>
      </c>
      <c r="C2858" t="s">
        <v>123</v>
      </c>
      <c r="D2858" s="1" t="s">
        <v>9</v>
      </c>
      <c r="E2858" t="s">
        <v>49</v>
      </c>
      <c r="F2858" s="5" t="str">
        <f>HYPERLINK("http://www.otzar.org/book.asp?625404","קובץ שיחות מוסר")</f>
        <v>קובץ שיחות מוסר</v>
      </c>
    </row>
    <row r="2859" spans="1:6" x14ac:dyDescent="0.2">
      <c r="A2859" t="s">
        <v>5697</v>
      </c>
      <c r="C2859" t="s">
        <v>1906</v>
      </c>
      <c r="D2859" s="1" t="s">
        <v>5698</v>
      </c>
      <c r="E2859" t="s">
        <v>49</v>
      </c>
      <c r="F2859" s="5" t="str">
        <f>HYPERLINK("http://www.otzar.org/book.asp?626319","קובץ שיחות שנאמרו בישיבת באר יעקב ע""י מרן המשגיח שליט""א - ב")</f>
        <v>קובץ שיחות שנאמרו בישיבת באר יעקב ע"י מרן המשגיח שליט"א - ב</v>
      </c>
    </row>
    <row r="2860" spans="1:6" x14ac:dyDescent="0.2">
      <c r="A2860" t="s">
        <v>5699</v>
      </c>
      <c r="B2860" t="s">
        <v>5700</v>
      </c>
      <c r="C2860" t="s">
        <v>13</v>
      </c>
      <c r="D2860" s="1" t="s">
        <v>14</v>
      </c>
      <c r="E2860" t="s">
        <v>22</v>
      </c>
      <c r="F2860" s="5" t="str">
        <f>HYPERLINK("http://www.otzar.org/book.asp?630229","קובץ שיעורים כלליים - 2 כר'")</f>
        <v>קובץ שיעורים כלליים - 2 כר'</v>
      </c>
    </row>
    <row r="2861" spans="1:6" x14ac:dyDescent="0.2">
      <c r="A2861" t="s">
        <v>5701</v>
      </c>
      <c r="B2861" t="s">
        <v>5702</v>
      </c>
      <c r="C2861" t="s">
        <v>606</v>
      </c>
      <c r="D2861" s="1" t="s">
        <v>14</v>
      </c>
      <c r="F2861" s="5" t="str">
        <f>HYPERLINK("http://www.otzar.org/book.asp?630270","קובץ שלמי ציבור - 2 כר'")</f>
        <v>קובץ שלמי ציבור - 2 כר'</v>
      </c>
    </row>
    <row r="2862" spans="1:6" x14ac:dyDescent="0.2">
      <c r="A2862" t="s">
        <v>5703</v>
      </c>
      <c r="B2862" t="s">
        <v>5511</v>
      </c>
      <c r="C2862" t="s">
        <v>73</v>
      </c>
      <c r="D2862" s="1" t="s">
        <v>1134</v>
      </c>
      <c r="E2862" t="s">
        <v>49</v>
      </c>
      <c r="F2862" s="5" t="str">
        <f>HYPERLINK("http://www.otzar.org/book.asp?630203","קובץ שערי ציון - 2 כר'")</f>
        <v>קובץ שערי ציון - 2 כר'</v>
      </c>
    </row>
    <row r="2863" spans="1:6" x14ac:dyDescent="0.2">
      <c r="A2863" t="s">
        <v>5704</v>
      </c>
      <c r="B2863" t="s">
        <v>5511</v>
      </c>
      <c r="C2863" t="s">
        <v>20</v>
      </c>
      <c r="D2863" s="1" t="s">
        <v>1134</v>
      </c>
      <c r="E2863" t="s">
        <v>49</v>
      </c>
      <c r="F2863" s="5" t="str">
        <f>HYPERLINK("http://www.otzar.org/book.asp?630205","קובץ שערים המצויינים")</f>
        <v>קובץ שערים המצויינים</v>
      </c>
    </row>
    <row r="2864" spans="1:6" x14ac:dyDescent="0.2">
      <c r="A2864" t="s">
        <v>5705</v>
      </c>
      <c r="B2864" t="s">
        <v>5706</v>
      </c>
      <c r="C2864" t="s">
        <v>1755</v>
      </c>
      <c r="D2864" s="1" t="s">
        <v>14</v>
      </c>
      <c r="E2864" t="s">
        <v>214</v>
      </c>
      <c r="F2864" s="5" t="str">
        <f>HYPERLINK("http://www.otzar.org/book.asp?626447","קובץ שפתי מהרש""ג")</f>
        <v>קובץ שפתי מהרש"ג</v>
      </c>
    </row>
    <row r="2865" spans="1:6" x14ac:dyDescent="0.2">
      <c r="A2865" t="s">
        <v>5707</v>
      </c>
      <c r="B2865" t="s">
        <v>5708</v>
      </c>
      <c r="C2865" t="s">
        <v>13</v>
      </c>
      <c r="D2865" s="1" t="s">
        <v>29</v>
      </c>
      <c r="E2865" t="s">
        <v>214</v>
      </c>
      <c r="F2865" s="5" t="str">
        <f>HYPERLINK("http://www.otzar.org/book.asp?629970","קובץ שתילים")</f>
        <v>קובץ שתילים</v>
      </c>
    </row>
    <row r="2866" spans="1:6" x14ac:dyDescent="0.2">
      <c r="A2866" t="s">
        <v>5709</v>
      </c>
      <c r="B2866" t="s">
        <v>5710</v>
      </c>
      <c r="E2866" t="s">
        <v>30</v>
      </c>
      <c r="F2866" s="5" t="str">
        <f>HYPERLINK("http://www.otzar.org/book.asp?627065","קובץ תוכן השיחות היומיות")</f>
        <v>קובץ תוכן השיחות היומיות</v>
      </c>
    </row>
    <row r="2867" spans="1:6" x14ac:dyDescent="0.2">
      <c r="A2867" t="s">
        <v>5711</v>
      </c>
      <c r="B2867" t="s">
        <v>482</v>
      </c>
      <c r="C2867" t="s">
        <v>73</v>
      </c>
      <c r="D2867" s="1" t="s">
        <v>9</v>
      </c>
      <c r="E2867" t="s">
        <v>108</v>
      </c>
      <c r="F2867" s="5" t="str">
        <f>HYPERLINK("http://www.otzar.org/book.asp?625798","קובץ תורה מצילה ומגינה")</f>
        <v>קובץ תורה מצילה ומגינה</v>
      </c>
    </row>
    <row r="2868" spans="1:6" x14ac:dyDescent="0.2">
      <c r="A2868" t="s">
        <v>5712</v>
      </c>
      <c r="B2868" t="s">
        <v>5713</v>
      </c>
      <c r="C2868" t="s">
        <v>397</v>
      </c>
      <c r="D2868" s="1" t="s">
        <v>29</v>
      </c>
      <c r="E2868" t="s">
        <v>214</v>
      </c>
      <c r="F2868" s="5" t="str">
        <f>HYPERLINK("http://www.otzar.org/book.asp?625503","קובץ תורני אורייתא")</f>
        <v>קובץ תורני אורייתא</v>
      </c>
    </row>
    <row r="2869" spans="1:6" x14ac:dyDescent="0.2">
      <c r="A2869" t="s">
        <v>5714</v>
      </c>
      <c r="B2869" t="s">
        <v>5715</v>
      </c>
      <c r="C2869" t="s">
        <v>40</v>
      </c>
      <c r="D2869" s="1" t="s">
        <v>9</v>
      </c>
      <c r="E2869" t="s">
        <v>5716</v>
      </c>
      <c r="F2869" s="5" t="str">
        <f>HYPERLINK("http://www.otzar.org/book.asp?622642","קובץ תורני ארזי הלבנון")</f>
        <v>קובץ תורני ארזי הלבנון</v>
      </c>
    </row>
    <row r="2870" spans="1:6" x14ac:dyDescent="0.2">
      <c r="A2870" t="s">
        <v>5717</v>
      </c>
      <c r="B2870" t="s">
        <v>5718</v>
      </c>
      <c r="C2870" t="s">
        <v>8</v>
      </c>
      <c r="D2870" s="1" t="s">
        <v>9</v>
      </c>
      <c r="E2870" t="s">
        <v>371</v>
      </c>
      <c r="F2870" s="5" t="str">
        <f>HYPERLINK("http://www.otzar.org/book.asp?625450","קובץ תורני בית הלל")</f>
        <v>קובץ תורני בית הלל</v>
      </c>
    </row>
    <row r="2871" spans="1:6" x14ac:dyDescent="0.2">
      <c r="A2871" t="s">
        <v>5719</v>
      </c>
      <c r="B2871" t="s">
        <v>5720</v>
      </c>
      <c r="C2871" t="s">
        <v>397</v>
      </c>
      <c r="D2871" s="1" t="s">
        <v>9</v>
      </c>
      <c r="E2871" t="s">
        <v>214</v>
      </c>
      <c r="F2871" s="5" t="str">
        <f>HYPERLINK("http://www.otzar.org/book.asp?623684","קובץ תורני דמשק אליעזר")</f>
        <v>קובץ תורני דמשק אליעזר</v>
      </c>
    </row>
    <row r="2872" spans="1:6" x14ac:dyDescent="0.2">
      <c r="A2872" t="s">
        <v>5721</v>
      </c>
      <c r="B2872" t="s">
        <v>5722</v>
      </c>
      <c r="C2872" t="s">
        <v>73</v>
      </c>
      <c r="D2872" s="1" t="s">
        <v>476</v>
      </c>
      <c r="E2872" t="s">
        <v>214</v>
      </c>
      <c r="F2872" s="5" t="str">
        <f>HYPERLINK("http://www.otzar.org/book.asp?623374","קובץ תורני המישור - 2 כר'")</f>
        <v>קובץ תורני המישור - 2 כר'</v>
      </c>
    </row>
    <row r="2873" spans="1:6" x14ac:dyDescent="0.2">
      <c r="A2873" t="s">
        <v>5723</v>
      </c>
      <c r="B2873" t="s">
        <v>5724</v>
      </c>
      <c r="C2873" t="s">
        <v>73</v>
      </c>
      <c r="D2873" s="1" t="s">
        <v>9</v>
      </c>
      <c r="E2873" t="s">
        <v>214</v>
      </c>
      <c r="F2873" s="5" t="str">
        <f>HYPERLINK("http://www.otzar.org/book.asp?627172","קובץ תורני חסדי דוד")</f>
        <v>קובץ תורני חסדי דוד</v>
      </c>
    </row>
    <row r="2874" spans="1:6" x14ac:dyDescent="0.2">
      <c r="A2874" t="s">
        <v>5725</v>
      </c>
      <c r="B2874" t="s">
        <v>5726</v>
      </c>
      <c r="E2874" t="s">
        <v>214</v>
      </c>
      <c r="F2874" s="5" t="str">
        <f>HYPERLINK("http://www.otzar.org/book.asp?628035","קובץ תורני כבודה של תורה")</f>
        <v>קובץ תורני כבודה של תורה</v>
      </c>
    </row>
    <row r="2875" spans="1:6" x14ac:dyDescent="0.2">
      <c r="A2875" t="s">
        <v>5727</v>
      </c>
      <c r="B2875" t="s">
        <v>5728</v>
      </c>
      <c r="D2875" s="1" t="s">
        <v>14</v>
      </c>
      <c r="E2875" t="s">
        <v>214</v>
      </c>
      <c r="F2875" s="5" t="str">
        <f>HYPERLINK("http://www.otzar.org/book.asp?625672","קובץ תורני משה ואלעזר - 10 כר'")</f>
        <v>קובץ תורני משה ואלעזר - 10 כר'</v>
      </c>
    </row>
    <row r="2876" spans="1:6" x14ac:dyDescent="0.2">
      <c r="A2876" t="s">
        <v>5729</v>
      </c>
      <c r="B2876" t="s">
        <v>5730</v>
      </c>
      <c r="C2876" t="s">
        <v>999</v>
      </c>
      <c r="D2876" s="1" t="s">
        <v>9</v>
      </c>
      <c r="E2876" t="s">
        <v>214</v>
      </c>
      <c r="F2876" s="5" t="str">
        <f>HYPERLINK("http://www.otzar.org/book.asp?625955","קובץ תורני משנת אהרן - שבת")</f>
        <v>קובץ תורני משנת אהרן - שבת</v>
      </c>
    </row>
    <row r="2877" spans="1:6" x14ac:dyDescent="0.2">
      <c r="A2877" t="s">
        <v>5731</v>
      </c>
      <c r="B2877" t="s">
        <v>5732</v>
      </c>
      <c r="C2877" t="s">
        <v>157</v>
      </c>
      <c r="D2877" s="1" t="s">
        <v>14</v>
      </c>
      <c r="E2877" t="s">
        <v>214</v>
      </c>
      <c r="F2877" s="5" t="str">
        <f>HYPERLINK("http://www.otzar.org/book.asp?626504","קובץ תורני עטרת אברהם - א")</f>
        <v>קובץ תורני עטרת אברהם - א</v>
      </c>
    </row>
    <row r="2878" spans="1:6" x14ac:dyDescent="0.2">
      <c r="A2878" t="s">
        <v>5733</v>
      </c>
      <c r="B2878" t="s">
        <v>897</v>
      </c>
      <c r="C2878" t="s">
        <v>606</v>
      </c>
      <c r="D2878" s="1" t="s">
        <v>52</v>
      </c>
      <c r="E2878" t="s">
        <v>214</v>
      </c>
      <c r="F2878" s="5" t="str">
        <f>HYPERLINK("http://www.otzar.org/book.asp?625028","קובץ תורני עטרת זהב")</f>
        <v>קובץ תורני עטרת זהב</v>
      </c>
    </row>
    <row r="2879" spans="1:6" x14ac:dyDescent="0.2">
      <c r="A2879" t="s">
        <v>5734</v>
      </c>
      <c r="B2879" t="s">
        <v>5735</v>
      </c>
      <c r="C2879" t="s">
        <v>1127</v>
      </c>
      <c r="D2879" s="1" t="s">
        <v>14</v>
      </c>
      <c r="E2879" t="s">
        <v>214</v>
      </c>
      <c r="F2879" s="5" t="str">
        <f>HYPERLINK("http://www.otzar.org/book.asp?626601","קובץ תורני שבילי הדעת - א")</f>
        <v>קובץ תורני שבילי הדעת - א</v>
      </c>
    </row>
    <row r="2880" spans="1:6" x14ac:dyDescent="0.2">
      <c r="A2880" t="s">
        <v>5736</v>
      </c>
      <c r="B2880" t="s">
        <v>5737</v>
      </c>
      <c r="C2880" t="s">
        <v>126</v>
      </c>
      <c r="D2880" s="1" t="s">
        <v>14</v>
      </c>
      <c r="E2880" t="s">
        <v>214</v>
      </c>
      <c r="F2880" s="5" t="str">
        <f>HYPERLINK("http://www.otzar.org/book.asp?626360","קובץ תורני שערי אברהם")</f>
        <v>קובץ תורני שערי אברהם</v>
      </c>
    </row>
    <row r="2881" spans="1:6" x14ac:dyDescent="0.2">
      <c r="A2881" t="s">
        <v>5738</v>
      </c>
      <c r="B2881" t="s">
        <v>5739</v>
      </c>
      <c r="C2881" t="s">
        <v>1385</v>
      </c>
      <c r="D2881" s="1" t="s">
        <v>9</v>
      </c>
      <c r="E2881" t="s">
        <v>214</v>
      </c>
      <c r="F2881" s="5" t="str">
        <f>HYPERLINK("http://www.otzar.org/book.asp?627816","קובץ תורני שערי ציון - תשס""ה")</f>
        <v>קובץ תורני שערי ציון - תשס"ה</v>
      </c>
    </row>
    <row r="2882" spans="1:6" x14ac:dyDescent="0.2">
      <c r="A2882" t="s">
        <v>5740</v>
      </c>
      <c r="B2882" t="s">
        <v>5741</v>
      </c>
      <c r="C2882" t="s">
        <v>133</v>
      </c>
      <c r="D2882" s="1" t="s">
        <v>471</v>
      </c>
      <c r="E2882" t="s">
        <v>214</v>
      </c>
      <c r="F2882" s="5" t="str">
        <f>HYPERLINK("http://www.otzar.org/book.asp?624722","קובץ תורני תורה אור - א")</f>
        <v>קובץ תורני תורה אור - א</v>
      </c>
    </row>
    <row r="2883" spans="1:6" x14ac:dyDescent="0.2">
      <c r="A2883" t="s">
        <v>5742</v>
      </c>
      <c r="B2883" t="s">
        <v>4422</v>
      </c>
      <c r="C2883" t="s">
        <v>20</v>
      </c>
      <c r="D2883" s="1" t="s">
        <v>21</v>
      </c>
      <c r="E2883" t="s">
        <v>154</v>
      </c>
      <c r="F2883" s="5" t="str">
        <f>HYPERLINK("http://www.otzar.org/book.asp?629220","קובץ תורת ההזכרות - ב")</f>
        <v>קובץ תורת ההזכרות - ב</v>
      </c>
    </row>
    <row r="2884" spans="1:6" x14ac:dyDescent="0.2">
      <c r="A2884" t="s">
        <v>5743</v>
      </c>
      <c r="B2884" t="s">
        <v>272</v>
      </c>
      <c r="C2884" t="s">
        <v>20</v>
      </c>
      <c r="D2884" s="1" t="s">
        <v>14</v>
      </c>
      <c r="E2884" t="s">
        <v>3026</v>
      </c>
      <c r="F2884" s="5" t="str">
        <f>HYPERLINK("http://www.otzar.org/book.asp?628507","קובץ תורת הקורבנות - מסכת מנחות")</f>
        <v>קובץ תורת הקורבנות - מסכת מנחות</v>
      </c>
    </row>
    <row r="2885" spans="1:6" x14ac:dyDescent="0.2">
      <c r="A2885" t="s">
        <v>5744</v>
      </c>
      <c r="B2885" t="s">
        <v>5745</v>
      </c>
      <c r="C2885" t="s">
        <v>40</v>
      </c>
      <c r="D2885" s="1" t="s">
        <v>9</v>
      </c>
      <c r="E2885" t="s">
        <v>214</v>
      </c>
      <c r="F2885" s="5" t="str">
        <f>HYPERLINK("http://www.otzar.org/book.asp?623715","קובץ תורת חיים")</f>
        <v>קובץ תורת חיים</v>
      </c>
    </row>
    <row r="2886" spans="1:6" x14ac:dyDescent="0.2">
      <c r="A2886" t="s">
        <v>5746</v>
      </c>
      <c r="B2886" t="s">
        <v>5747</v>
      </c>
      <c r="C2886" t="s">
        <v>13</v>
      </c>
      <c r="D2886" s="1" t="s">
        <v>52</v>
      </c>
      <c r="E2886" t="s">
        <v>214</v>
      </c>
      <c r="F2886" s="5" t="str">
        <f>HYPERLINK("http://www.otzar.org/book.asp?629687","קובץ תורת ציון - א")</f>
        <v>קובץ תורת ציון - א</v>
      </c>
    </row>
    <row r="2887" spans="1:6" x14ac:dyDescent="0.2">
      <c r="A2887" t="s">
        <v>5748</v>
      </c>
      <c r="B2887" t="s">
        <v>5749</v>
      </c>
      <c r="C2887" t="s">
        <v>190</v>
      </c>
      <c r="D2887" s="1" t="s">
        <v>9</v>
      </c>
      <c r="E2887" t="s">
        <v>22</v>
      </c>
      <c r="F2887" s="5" t="str">
        <f>HYPERLINK("http://www.otzar.org/book.asp?631110","קובץ תמצית הדף - עירובין")</f>
        <v>קובץ תמצית הדף - עירובין</v>
      </c>
    </row>
    <row r="2888" spans="1:6" x14ac:dyDescent="0.2">
      <c r="A2888" t="s">
        <v>5750</v>
      </c>
      <c r="B2888" t="s">
        <v>5751</v>
      </c>
      <c r="C2888" t="s">
        <v>1127</v>
      </c>
      <c r="D2888" s="1" t="s">
        <v>9</v>
      </c>
      <c r="E2888" t="s">
        <v>214</v>
      </c>
      <c r="F2888" s="5" t="str">
        <f>HYPERLINK("http://www.otzar.org/book.asp?627834","קובץ תפארת התלמוד")</f>
        <v>קובץ תפארת התלמוד</v>
      </c>
    </row>
    <row r="2889" spans="1:6" x14ac:dyDescent="0.2">
      <c r="A2889" t="s">
        <v>5752</v>
      </c>
      <c r="B2889" t="s">
        <v>5552</v>
      </c>
      <c r="C2889" t="s">
        <v>20</v>
      </c>
      <c r="D2889" s="1" t="s">
        <v>1295</v>
      </c>
      <c r="E2889" t="s">
        <v>214</v>
      </c>
      <c r="F2889" s="5" t="str">
        <f>HYPERLINK("http://www.otzar.org/book.asp?623379","קובץ תפארת מרדכי")</f>
        <v>קובץ תפארת מרדכי</v>
      </c>
    </row>
    <row r="2890" spans="1:6" x14ac:dyDescent="0.2">
      <c r="A2890" t="s">
        <v>5753</v>
      </c>
      <c r="B2890" t="s">
        <v>3448</v>
      </c>
      <c r="C2890" t="s">
        <v>8</v>
      </c>
      <c r="D2890" s="1" t="s">
        <v>890</v>
      </c>
      <c r="E2890" t="s">
        <v>30</v>
      </c>
      <c r="F2890" s="5" t="str">
        <f>HYPERLINK("http://www.otzar.org/book.asp?627248","קובץ תשובות ומענות בקשר ללימוד בכולל")</f>
        <v>קובץ תשובות ומענות בקשר ללימוד בכולל</v>
      </c>
    </row>
    <row r="2891" spans="1:6" x14ac:dyDescent="0.2">
      <c r="A2891" t="s">
        <v>5754</v>
      </c>
      <c r="B2891" t="s">
        <v>5755</v>
      </c>
      <c r="C2891" t="s">
        <v>226</v>
      </c>
      <c r="D2891" s="1" t="s">
        <v>471</v>
      </c>
      <c r="E2891" t="s">
        <v>121</v>
      </c>
      <c r="F2891" s="5" t="str">
        <f>HYPERLINK("http://www.otzar.org/book.asp?626099","קווים לחקר כניסת היהודים לחיים האזרחים בגרמניה")</f>
        <v>קווים לחקר כניסת היהודים לחיים האזרחים בגרמניה</v>
      </c>
    </row>
    <row r="2892" spans="1:6" x14ac:dyDescent="0.2">
      <c r="A2892" t="s">
        <v>5756</v>
      </c>
      <c r="B2892" t="s">
        <v>5757</v>
      </c>
      <c r="C2892" t="s">
        <v>1023</v>
      </c>
      <c r="D2892" s="1" t="s">
        <v>9</v>
      </c>
      <c r="E2892" t="s">
        <v>89</v>
      </c>
      <c r="F2892" s="5" t="str">
        <f>HYPERLINK("http://www.otzar.org/book.asp?624597","קוטנרס שביבי אור - שבועות")</f>
        <v>קוטנרס שביבי אור - שבועות</v>
      </c>
    </row>
    <row r="2893" spans="1:6" x14ac:dyDescent="0.2">
      <c r="A2893" t="s">
        <v>5758</v>
      </c>
      <c r="B2893" t="s">
        <v>5759</v>
      </c>
      <c r="C2893" t="s">
        <v>76</v>
      </c>
      <c r="D2893" s="1" t="s">
        <v>29</v>
      </c>
      <c r="E2893" t="s">
        <v>10</v>
      </c>
      <c r="F2893" s="5" t="str">
        <f>HYPERLINK("http://www.otzar.org/book.asp?623431","קול אריה - פרקי אבות")</f>
        <v>קול אריה - פרקי אבות</v>
      </c>
    </row>
    <row r="2894" spans="1:6" x14ac:dyDescent="0.2">
      <c r="A2894" t="s">
        <v>5760</v>
      </c>
      <c r="B2894" t="s">
        <v>420</v>
      </c>
      <c r="C2894" t="s">
        <v>25</v>
      </c>
      <c r="D2894" s="1" t="s">
        <v>14</v>
      </c>
      <c r="E2894" t="s">
        <v>17</v>
      </c>
      <c r="F2894" s="5" t="str">
        <f>HYPERLINK("http://www.otzar.org/book.asp?629612","קול החצר - 3 כר'")</f>
        <v>קול החצר - 3 כר'</v>
      </c>
    </row>
    <row r="2895" spans="1:6" x14ac:dyDescent="0.2">
      <c r="A2895" t="s">
        <v>5761</v>
      </c>
      <c r="B2895" t="s">
        <v>5762</v>
      </c>
      <c r="C2895" t="s">
        <v>255</v>
      </c>
      <c r="D2895" s="1" t="s">
        <v>5167</v>
      </c>
      <c r="E2895" t="s">
        <v>214</v>
      </c>
      <c r="F2895" s="5" t="str">
        <f>HYPERLINK("http://www.otzar.org/book.asp?626392","קול הישיבה - בבא בתרא חלק ג")</f>
        <v>קול הישיבה - בבא בתרא חלק ג</v>
      </c>
    </row>
    <row r="2896" spans="1:6" x14ac:dyDescent="0.2">
      <c r="A2896" t="s">
        <v>5763</v>
      </c>
      <c r="B2896" t="s">
        <v>5764</v>
      </c>
      <c r="C2896" t="s">
        <v>226</v>
      </c>
      <c r="D2896" s="1" t="s">
        <v>64</v>
      </c>
      <c r="F2896" s="5" t="str">
        <f>HYPERLINK("http://www.otzar.org/book.asp?626519","קול השבת - 36 כר'")</f>
        <v>קול השבת - 36 כר'</v>
      </c>
    </row>
    <row r="2897" spans="1:6" x14ac:dyDescent="0.2">
      <c r="A2897" t="s">
        <v>5765</v>
      </c>
      <c r="B2897" t="s">
        <v>5766</v>
      </c>
      <c r="C2897" t="s">
        <v>8</v>
      </c>
      <c r="D2897" s="1" t="s">
        <v>52</v>
      </c>
      <c r="E2897" t="s">
        <v>44</v>
      </c>
      <c r="F2897" s="5" t="str">
        <f>HYPERLINK("http://www.otzar.org/book.asp?623708","קול התור")</f>
        <v>קול התור</v>
      </c>
    </row>
    <row r="2898" spans="1:6" x14ac:dyDescent="0.2">
      <c r="A2898" t="s">
        <v>5767</v>
      </c>
      <c r="B2898" t="s">
        <v>5768</v>
      </c>
      <c r="C2898" t="s">
        <v>818</v>
      </c>
      <c r="D2898" s="1" t="s">
        <v>9</v>
      </c>
      <c r="E2898" t="s">
        <v>214</v>
      </c>
      <c r="F2898" s="5" t="str">
        <f>HYPERLINK("http://www.otzar.org/book.asp?629148","קול התורה")</f>
        <v>קול התורה</v>
      </c>
    </row>
    <row r="2899" spans="1:6" x14ac:dyDescent="0.2">
      <c r="A2899" t="s">
        <v>5769</v>
      </c>
      <c r="B2899" t="s">
        <v>364</v>
      </c>
      <c r="C2899" t="s">
        <v>88</v>
      </c>
      <c r="D2899" s="1" t="s">
        <v>1134</v>
      </c>
      <c r="E2899" t="s">
        <v>214</v>
      </c>
      <c r="F2899" s="5" t="str">
        <f>HYPERLINK("http://www.otzar.org/book.asp?626701","קול התורה - 4 כר'")</f>
        <v>קול התורה - 4 כר'</v>
      </c>
    </row>
    <row r="2900" spans="1:6" x14ac:dyDescent="0.2">
      <c r="A2900" t="s">
        <v>5770</v>
      </c>
      <c r="B2900" t="s">
        <v>201</v>
      </c>
      <c r="C2900" t="s">
        <v>5771</v>
      </c>
      <c r="D2900" s="1" t="s">
        <v>48</v>
      </c>
      <c r="E2900" t="s">
        <v>168</v>
      </c>
      <c r="F2900" s="5" t="str">
        <f>HYPERLINK("http://www.otzar.org/book.asp?624680","קול יעקב")</f>
        <v>קול יעקב</v>
      </c>
    </row>
    <row r="2901" spans="1:6" x14ac:dyDescent="0.2">
      <c r="A2901" t="s">
        <v>5770</v>
      </c>
      <c r="B2901" t="s">
        <v>5772</v>
      </c>
      <c r="F2901" s="5" t="str">
        <f>HYPERLINK("http://www.otzar.org/book.asp?627974","קול יעקב")</f>
        <v>קול יעקב</v>
      </c>
    </row>
    <row r="2902" spans="1:6" x14ac:dyDescent="0.2">
      <c r="A2902" t="s">
        <v>5773</v>
      </c>
      <c r="B2902" t="s">
        <v>5774</v>
      </c>
      <c r="C2902" t="s">
        <v>427</v>
      </c>
      <c r="D2902" s="1" t="s">
        <v>29</v>
      </c>
      <c r="E2902" t="s">
        <v>214</v>
      </c>
      <c r="F2902" s="5" t="str">
        <f>HYPERLINK("http://www.otzar.org/book.asp?624544","קול יעקב - 3 כר'")</f>
        <v>קול יעקב - 3 כר'</v>
      </c>
    </row>
    <row r="2903" spans="1:6" x14ac:dyDescent="0.2">
      <c r="A2903" t="s">
        <v>5775</v>
      </c>
      <c r="B2903" t="s">
        <v>364</v>
      </c>
      <c r="C2903" t="s">
        <v>258</v>
      </c>
      <c r="D2903" s="1" t="s">
        <v>29</v>
      </c>
      <c r="E2903" t="s">
        <v>214</v>
      </c>
      <c r="F2903" s="5" t="str">
        <f>HYPERLINK("http://www.otzar.org/book.asp?626530","קול ירושלים - 4 כר'")</f>
        <v>קול ירושלים - 4 כר'</v>
      </c>
    </row>
    <row r="2904" spans="1:6" x14ac:dyDescent="0.2">
      <c r="A2904" t="s">
        <v>5776</v>
      </c>
      <c r="B2904" t="s">
        <v>5777</v>
      </c>
      <c r="C2904" t="s">
        <v>8</v>
      </c>
      <c r="D2904" s="1" t="s">
        <v>9</v>
      </c>
      <c r="F2904" s="5" t="str">
        <f>HYPERLINK("http://www.otzar.org/book.asp?625540","קול מביאים תודה")</f>
        <v>קול מביאים תודה</v>
      </c>
    </row>
    <row r="2905" spans="1:6" x14ac:dyDescent="0.2">
      <c r="A2905" t="s">
        <v>5778</v>
      </c>
      <c r="B2905" t="s">
        <v>364</v>
      </c>
      <c r="C2905" t="s">
        <v>639</v>
      </c>
      <c r="D2905" s="1" t="s">
        <v>9</v>
      </c>
      <c r="E2905" t="s">
        <v>214</v>
      </c>
      <c r="F2905" s="5" t="str">
        <f>HYPERLINK("http://www.otzar.org/book.asp?624543","קול מהיכל &lt;ואלקין&gt; - ה (ירח האיתנים)")</f>
        <v>קול מהיכל &lt;ואלקין&gt; - ה (ירח האיתנים)</v>
      </c>
    </row>
    <row r="2906" spans="1:6" x14ac:dyDescent="0.2">
      <c r="A2906" t="s">
        <v>5779</v>
      </c>
      <c r="B2906" t="s">
        <v>897</v>
      </c>
      <c r="C2906" t="s">
        <v>1127</v>
      </c>
      <c r="D2906" s="1" t="s">
        <v>9</v>
      </c>
      <c r="E2906" t="s">
        <v>214</v>
      </c>
      <c r="F2906" s="5" t="str">
        <f>HYPERLINK("http://www.otzar.org/book.asp?626362","קול מהיכל - 3 כר'")</f>
        <v>קול מהיכל - 3 כר'</v>
      </c>
    </row>
    <row r="2907" spans="1:6" x14ac:dyDescent="0.2">
      <c r="A2907" t="s">
        <v>5780</v>
      </c>
      <c r="B2907" t="s">
        <v>5781</v>
      </c>
      <c r="C2907" t="s">
        <v>73</v>
      </c>
      <c r="D2907" s="1" t="s">
        <v>14</v>
      </c>
      <c r="E2907" t="s">
        <v>234</v>
      </c>
      <c r="F2907" s="5" t="str">
        <f>HYPERLINK("http://www.otzar.org/book.asp?625659","קול מנחם &lt;קאליב&gt; - שבת ב")</f>
        <v>קול מנחם &lt;קאליב&gt; - שבת ב</v>
      </c>
    </row>
    <row r="2908" spans="1:6" x14ac:dyDescent="0.2">
      <c r="A2908" t="s">
        <v>5782</v>
      </c>
      <c r="B2908" t="s">
        <v>5783</v>
      </c>
      <c r="C2908" t="s">
        <v>76</v>
      </c>
      <c r="D2908" s="1" t="s">
        <v>114</v>
      </c>
      <c r="E2908" t="s">
        <v>187</v>
      </c>
      <c r="F2908" s="5" t="str">
        <f>HYPERLINK("http://www.otzar.org/book.asp?623631","קול מציון - אמרי ציון")</f>
        <v>קול מציון - אמרי ציון</v>
      </c>
    </row>
    <row r="2909" spans="1:6" x14ac:dyDescent="0.2">
      <c r="A2909" t="s">
        <v>5784</v>
      </c>
      <c r="B2909" t="s">
        <v>247</v>
      </c>
      <c r="C2909" t="s">
        <v>606</v>
      </c>
      <c r="D2909" s="1" t="s">
        <v>29</v>
      </c>
      <c r="E2909" t="s">
        <v>3660</v>
      </c>
      <c r="F2909" s="5" t="str">
        <f>HYPERLINK("http://www.otzar.org/book.asp?627260","קול צופיך")</f>
        <v>קול צופיך</v>
      </c>
    </row>
    <row r="2910" spans="1:6" x14ac:dyDescent="0.2">
      <c r="A2910" t="s">
        <v>5785</v>
      </c>
      <c r="B2910" t="s">
        <v>5786</v>
      </c>
      <c r="C2910" t="s">
        <v>572</v>
      </c>
      <c r="D2910" s="1" t="s">
        <v>9</v>
      </c>
      <c r="E2910" t="s">
        <v>108</v>
      </c>
      <c r="F2910" s="5" t="str">
        <f>HYPERLINK("http://www.otzar.org/book.asp?626273","קול קורא")</f>
        <v>קול קורא</v>
      </c>
    </row>
    <row r="2911" spans="1:6" x14ac:dyDescent="0.2">
      <c r="A2911" t="s">
        <v>5787</v>
      </c>
      <c r="B2911" t="s">
        <v>5788</v>
      </c>
      <c r="E2911" t="s">
        <v>17</v>
      </c>
      <c r="F2911" s="5" t="str">
        <f>HYPERLINK("http://www.otzar.org/book.asp?626280","קול רינה וישועה באהלי צדיקים")</f>
        <v>קול רינה וישועה באהלי צדיקים</v>
      </c>
    </row>
    <row r="2912" spans="1:6" x14ac:dyDescent="0.2">
      <c r="A2912" t="s">
        <v>5789</v>
      </c>
      <c r="B2912" t="s">
        <v>5790</v>
      </c>
      <c r="C2912" t="s">
        <v>307</v>
      </c>
      <c r="D2912" s="1" t="s">
        <v>607</v>
      </c>
      <c r="E2912" t="s">
        <v>168</v>
      </c>
      <c r="F2912" s="5" t="str">
        <f>HYPERLINK("http://www.otzar.org/book.asp?629820","קול רנה - 2 כר'")</f>
        <v>קול רנה - 2 כר'</v>
      </c>
    </row>
    <row r="2913" spans="1:6" x14ac:dyDescent="0.2">
      <c r="A2913" t="s">
        <v>5791</v>
      </c>
      <c r="B2913" t="s">
        <v>351</v>
      </c>
      <c r="C2913" t="s">
        <v>190</v>
      </c>
      <c r="D2913" s="1" t="s">
        <v>52</v>
      </c>
      <c r="E2913" t="s">
        <v>5397</v>
      </c>
      <c r="F2913" s="5" t="str">
        <f>HYPERLINK("http://www.otzar.org/book.asp?628085","קול שופר חזק מאד")</f>
        <v>קול שופר חזק מאד</v>
      </c>
    </row>
    <row r="2914" spans="1:6" x14ac:dyDescent="0.2">
      <c r="A2914" t="s">
        <v>5792</v>
      </c>
      <c r="B2914" t="s">
        <v>3902</v>
      </c>
      <c r="C2914" t="s">
        <v>73</v>
      </c>
      <c r="D2914" s="1" t="s">
        <v>774</v>
      </c>
      <c r="E2914" t="s">
        <v>49</v>
      </c>
      <c r="F2914" s="5" t="str">
        <f>HYPERLINK("http://www.otzar.org/book.asp?630922","קול שמחה לחתן ולכלה")</f>
        <v>קול שמחה לחתן ולכלה</v>
      </c>
    </row>
    <row r="2915" spans="1:6" x14ac:dyDescent="0.2">
      <c r="A2915" t="s">
        <v>5793</v>
      </c>
      <c r="B2915" t="s">
        <v>5794</v>
      </c>
      <c r="C2915" t="s">
        <v>5795</v>
      </c>
      <c r="D2915" s="1" t="s">
        <v>1526</v>
      </c>
      <c r="E2915" t="s">
        <v>5796</v>
      </c>
      <c r="F2915" s="5" t="str">
        <f>HYPERLINK("http://www.otzar.org/book.asp?626451","קול שמחה")</f>
        <v>קול שמחה</v>
      </c>
    </row>
    <row r="2916" spans="1:6" x14ac:dyDescent="0.2">
      <c r="A2916" t="s">
        <v>5797</v>
      </c>
      <c r="E2916" t="s">
        <v>5798</v>
      </c>
      <c r="F2916" s="5" t="str">
        <f>HYPERLINK("http://www.otzar.org/book.asp?626807","קול ששון וקול שמחה")</f>
        <v>קול ששון וקול שמחה</v>
      </c>
    </row>
    <row r="2917" spans="1:6" x14ac:dyDescent="0.2">
      <c r="A2917" t="s">
        <v>5799</v>
      </c>
      <c r="B2917" t="s">
        <v>5800</v>
      </c>
      <c r="C2917" t="s">
        <v>3947</v>
      </c>
      <c r="D2917" s="1" t="s">
        <v>5801</v>
      </c>
      <c r="F2917" s="5" t="str">
        <f>HYPERLINK("http://www.otzar.org/book.asp?626950","קול ששון - &lt;מגילת אסתר עם פירוש הראב""ע ופירוש פתוחי חותם&gt;")</f>
        <v>קול ששון - &lt;מגילת אסתר עם פירוש הראב"ע ופירוש פתוחי חותם&gt;</v>
      </c>
    </row>
    <row r="2918" spans="1:6" x14ac:dyDescent="0.2">
      <c r="A2918" t="s">
        <v>5802</v>
      </c>
      <c r="B2918" t="s">
        <v>5803</v>
      </c>
      <c r="C2918" t="s">
        <v>190</v>
      </c>
      <c r="D2918" s="1" t="s">
        <v>52</v>
      </c>
      <c r="E2918" t="s">
        <v>108</v>
      </c>
      <c r="F2918" s="5" t="str">
        <f>HYPERLINK("http://www.otzar.org/book.asp?627805","קול תודה - 5 כר'")</f>
        <v>קול תודה - 5 כר'</v>
      </c>
    </row>
    <row r="2919" spans="1:6" x14ac:dyDescent="0.2">
      <c r="A2919" t="s">
        <v>5804</v>
      </c>
      <c r="B2919" t="s">
        <v>5805</v>
      </c>
      <c r="C2919" t="s">
        <v>255</v>
      </c>
      <c r="D2919" s="1" t="s">
        <v>2373</v>
      </c>
      <c r="E2919" t="s">
        <v>214</v>
      </c>
      <c r="F2919" s="5" t="str">
        <f>HYPERLINK("http://www.otzar.org/book.asp?624541","קול תורה - 2 כר'")</f>
        <v>קול תורה - 2 כר'</v>
      </c>
    </row>
    <row r="2920" spans="1:6" x14ac:dyDescent="0.2">
      <c r="A2920" t="s">
        <v>5806</v>
      </c>
      <c r="B2920" t="s">
        <v>5807</v>
      </c>
      <c r="C2920" t="s">
        <v>2153</v>
      </c>
      <c r="D2920" s="1" t="s">
        <v>5672</v>
      </c>
      <c r="F2920" s="5" t="str">
        <f>HYPERLINK("http://www.otzar.org/book.asp?623476","קולטור פילאסאפישע שטודיען")</f>
        <v>קולטור פילאסאפישע שטודיען</v>
      </c>
    </row>
    <row r="2921" spans="1:6" x14ac:dyDescent="0.2">
      <c r="A2921" t="s">
        <v>5808</v>
      </c>
      <c r="B2921" t="s">
        <v>156</v>
      </c>
      <c r="C2921" t="s">
        <v>174</v>
      </c>
      <c r="D2921" s="1" t="s">
        <v>158</v>
      </c>
      <c r="E2921" t="s">
        <v>683</v>
      </c>
      <c r="F2921" s="5" t="str">
        <f>HYPERLINK("http://www.otzar.org/book.asp?628571","קומי אורי")</f>
        <v>קומי אורי</v>
      </c>
    </row>
    <row r="2922" spans="1:6" x14ac:dyDescent="0.2">
      <c r="A2922" t="s">
        <v>5809</v>
      </c>
      <c r="B2922" t="s">
        <v>3562</v>
      </c>
      <c r="C2922" t="s">
        <v>787</v>
      </c>
      <c r="D2922" s="1" t="s">
        <v>1906</v>
      </c>
      <c r="E2922" t="s">
        <v>1334</v>
      </c>
      <c r="F2922" s="5" t="str">
        <f>HYPERLINK("http://www.otzar.org/book.asp?626042","קונטרס  מאמרי ימי הרצון")</f>
        <v>קונטרס  מאמרי ימי הרצון</v>
      </c>
    </row>
    <row r="2923" spans="1:6" x14ac:dyDescent="0.2">
      <c r="A2923" t="s">
        <v>5810</v>
      </c>
      <c r="B2923" t="s">
        <v>94</v>
      </c>
      <c r="C2923" t="s">
        <v>8</v>
      </c>
      <c r="D2923" s="1" t="s">
        <v>52</v>
      </c>
      <c r="E2923" t="s">
        <v>34</v>
      </c>
      <c r="F2923" s="5" t="str">
        <f>HYPERLINK("http://www.otzar.org/book.asp?629869","קונטרס אאזרך")</f>
        <v>קונטרס אאזרך</v>
      </c>
    </row>
    <row r="2924" spans="1:6" x14ac:dyDescent="0.2">
      <c r="A2924" t="s">
        <v>5811</v>
      </c>
      <c r="B2924" t="s">
        <v>5812</v>
      </c>
      <c r="C2924" t="s">
        <v>1127</v>
      </c>
      <c r="D2924" s="1" t="s">
        <v>14</v>
      </c>
      <c r="E2924" t="s">
        <v>214</v>
      </c>
      <c r="F2924" s="5" t="str">
        <f>HYPERLINK("http://www.otzar.org/book.asp?623814","קונטרס אבן הראשה")</f>
        <v>קונטרס אבן הראשה</v>
      </c>
    </row>
    <row r="2925" spans="1:6" x14ac:dyDescent="0.2">
      <c r="A2925" t="s">
        <v>5813</v>
      </c>
      <c r="B2925" t="s">
        <v>5814</v>
      </c>
      <c r="C2925" t="s">
        <v>1127</v>
      </c>
      <c r="D2925" s="1" t="s">
        <v>1295</v>
      </c>
      <c r="E2925" t="s">
        <v>49</v>
      </c>
      <c r="F2925" s="5" t="str">
        <f>HYPERLINK("http://www.otzar.org/book.asp?625572","קונטרס אגרות מאמר מרדכי")</f>
        <v>קונטרס אגרות מאמר מרדכי</v>
      </c>
    </row>
    <row r="2926" spans="1:6" x14ac:dyDescent="0.2">
      <c r="A2926" t="s">
        <v>5815</v>
      </c>
      <c r="B2926" t="s">
        <v>5816</v>
      </c>
      <c r="C2926" t="s">
        <v>999</v>
      </c>
      <c r="D2926" s="1" t="s">
        <v>52</v>
      </c>
      <c r="E2926" t="s">
        <v>2232</v>
      </c>
      <c r="F2926" s="5" t="str">
        <f>HYPERLINK("http://www.otzar.org/book.asp?626097","קונטרס אדמת קודש")</f>
        <v>קונטרס אדמת קודש</v>
      </c>
    </row>
    <row r="2927" spans="1:6" x14ac:dyDescent="0.2">
      <c r="A2927" t="s">
        <v>5817</v>
      </c>
      <c r="B2927" t="s">
        <v>5818</v>
      </c>
      <c r="C2927" t="s">
        <v>73</v>
      </c>
      <c r="D2927" s="1" t="s">
        <v>1134</v>
      </c>
      <c r="E2927" t="s">
        <v>17</v>
      </c>
      <c r="F2927" s="5" t="str">
        <f>HYPERLINK("http://www.otzar.org/book.asp?628779","קונטרס אהבת איתן")</f>
        <v>קונטרס אהבת איתן</v>
      </c>
    </row>
    <row r="2928" spans="1:6" x14ac:dyDescent="0.2">
      <c r="A2928" t="s">
        <v>5819</v>
      </c>
      <c r="B2928" t="s">
        <v>5820</v>
      </c>
      <c r="C2928" t="s">
        <v>20</v>
      </c>
      <c r="F2928" s="5" t="str">
        <f>HYPERLINK("http://www.otzar.org/book.asp?629945","קונטרס אובנתא דליבא - מזוזה")</f>
        <v>קונטרס אובנתא דליבא - מזוזה</v>
      </c>
    </row>
    <row r="2929" spans="1:6" x14ac:dyDescent="0.2">
      <c r="A2929" t="s">
        <v>5821</v>
      </c>
      <c r="B2929" t="s">
        <v>5822</v>
      </c>
      <c r="C2929" t="s">
        <v>25</v>
      </c>
      <c r="D2929" s="1" t="s">
        <v>9</v>
      </c>
      <c r="E2929" t="s">
        <v>1207</v>
      </c>
      <c r="F2929" s="5" t="str">
        <f>HYPERLINK("http://www.otzar.org/book.asp?630018","קונטרס אונאת דברים")</f>
        <v>קונטרס אונאת דברים</v>
      </c>
    </row>
    <row r="2930" spans="1:6" x14ac:dyDescent="0.2">
      <c r="A2930" t="s">
        <v>5823</v>
      </c>
      <c r="B2930" t="s">
        <v>5824</v>
      </c>
      <c r="C2930" t="s">
        <v>8</v>
      </c>
      <c r="D2930" s="1" t="s">
        <v>52</v>
      </c>
      <c r="E2930" t="s">
        <v>37</v>
      </c>
      <c r="F2930" s="5" t="str">
        <f>HYPERLINK("http://www.otzar.org/book.asp?628070","קונטרס אופני ריבית מצויים")</f>
        <v>קונטרס אופני ריבית מצויים</v>
      </c>
    </row>
    <row r="2931" spans="1:6" x14ac:dyDescent="0.2">
      <c r="A2931" t="s">
        <v>5825</v>
      </c>
      <c r="B2931" t="s">
        <v>5826</v>
      </c>
      <c r="C2931" t="s">
        <v>411</v>
      </c>
      <c r="E2931" t="s">
        <v>214</v>
      </c>
      <c r="F2931" s="5" t="str">
        <f>HYPERLINK("http://www.otzar.org/book.asp?625401","קונטרס אור הכולל - ב")</f>
        <v>קונטרס אור הכולל - ב</v>
      </c>
    </row>
    <row r="2932" spans="1:6" x14ac:dyDescent="0.2">
      <c r="A2932" t="s">
        <v>5827</v>
      </c>
      <c r="B2932" t="s">
        <v>5828</v>
      </c>
      <c r="C2932" t="s">
        <v>8</v>
      </c>
      <c r="D2932" s="1" t="s">
        <v>9</v>
      </c>
      <c r="E2932" t="s">
        <v>89</v>
      </c>
      <c r="F2932" s="5" t="str">
        <f>HYPERLINK("http://www.otzar.org/book.asp?625538","קונטרס אור המאיר - על עניני חנוכה")</f>
        <v>קונטרס אור המאיר - על עניני חנוכה</v>
      </c>
    </row>
    <row r="2933" spans="1:6" x14ac:dyDescent="0.2">
      <c r="A2933" t="s">
        <v>5829</v>
      </c>
      <c r="B2933" t="s">
        <v>5830</v>
      </c>
      <c r="C2933" t="s">
        <v>13</v>
      </c>
      <c r="D2933" s="1" t="s">
        <v>1134</v>
      </c>
      <c r="E2933" t="s">
        <v>89</v>
      </c>
      <c r="F2933" s="5" t="str">
        <f>HYPERLINK("http://www.otzar.org/book.asp?630343","קונטרס אור הפורים")</f>
        <v>קונטרס אור הפורים</v>
      </c>
    </row>
    <row r="2934" spans="1:6" x14ac:dyDescent="0.2">
      <c r="A2934" t="s">
        <v>5829</v>
      </c>
      <c r="B2934" t="s">
        <v>5831</v>
      </c>
      <c r="E2934" t="s">
        <v>89</v>
      </c>
      <c r="F2934" s="5" t="str">
        <f>HYPERLINK("http://www.otzar.org/book.asp?627277","קונטרס אור הפורים")</f>
        <v>קונטרס אור הפורים</v>
      </c>
    </row>
    <row r="2935" spans="1:6" x14ac:dyDescent="0.2">
      <c r="A2935" t="s">
        <v>5832</v>
      </c>
      <c r="B2935" t="s">
        <v>739</v>
      </c>
      <c r="C2935" t="s">
        <v>190</v>
      </c>
      <c r="D2935" s="1" t="s">
        <v>9</v>
      </c>
      <c r="E2935" t="s">
        <v>34</v>
      </c>
      <c r="F2935" s="5" t="str">
        <f>HYPERLINK("http://www.otzar.org/book.asp?630791","קונטרס אור ועבודת שמירת העיניים")</f>
        <v>קונטרס אור ועבודת שמירת העיניים</v>
      </c>
    </row>
    <row r="2936" spans="1:6" x14ac:dyDescent="0.2">
      <c r="A2936" t="s">
        <v>5833</v>
      </c>
      <c r="B2936" t="s">
        <v>5818</v>
      </c>
      <c r="C2936" t="s">
        <v>73</v>
      </c>
      <c r="D2936" s="1" t="s">
        <v>1134</v>
      </c>
      <c r="E2936" t="s">
        <v>17</v>
      </c>
      <c r="F2936" s="5" t="str">
        <f>HYPERLINK("http://www.otzar.org/book.asp?628781","קונטרס אור עולם")</f>
        <v>קונטרס אור עולם</v>
      </c>
    </row>
    <row r="2937" spans="1:6" x14ac:dyDescent="0.2">
      <c r="A2937" t="s">
        <v>5834</v>
      </c>
      <c r="B2937" t="s">
        <v>5835</v>
      </c>
      <c r="C2937" t="s">
        <v>190</v>
      </c>
      <c r="D2937" s="1" t="s">
        <v>21</v>
      </c>
      <c r="E2937" t="s">
        <v>154</v>
      </c>
      <c r="F2937" s="5" t="str">
        <f>HYPERLINK("http://www.otzar.org/book.asp?629468","קונטרס אורח אהרן")</f>
        <v>קונטרס אורח אהרן</v>
      </c>
    </row>
    <row r="2938" spans="1:6" x14ac:dyDescent="0.2">
      <c r="A2938" t="s">
        <v>5836</v>
      </c>
      <c r="B2938" t="s">
        <v>5837</v>
      </c>
      <c r="C2938" t="s">
        <v>307</v>
      </c>
      <c r="D2938" s="1" t="s">
        <v>14</v>
      </c>
      <c r="E2938" t="s">
        <v>89</v>
      </c>
      <c r="F2938" s="5" t="str">
        <f>HYPERLINK("http://www.otzar.org/book.asp?623981","קונטרס אורח חיים - אדר")</f>
        <v>קונטרס אורח חיים - אדר</v>
      </c>
    </row>
    <row r="2939" spans="1:6" x14ac:dyDescent="0.2">
      <c r="A2939" t="s">
        <v>5838</v>
      </c>
      <c r="E2939" t="s">
        <v>17</v>
      </c>
      <c r="F2939" s="5" t="str">
        <f>HYPERLINK("http://www.otzar.org/book.asp?624665","קונטרס אורח לצדיק")</f>
        <v>קונטרס אורח לצדיק</v>
      </c>
    </row>
    <row r="2940" spans="1:6" x14ac:dyDescent="0.2">
      <c r="A2940" t="s">
        <v>5839</v>
      </c>
      <c r="B2940" t="s">
        <v>457</v>
      </c>
      <c r="E2940" t="s">
        <v>17</v>
      </c>
      <c r="F2940" s="5" t="str">
        <f>HYPERLINK("http://www.otzar.org/book.asp?628010","קונטרס אז נדברו - 4 כר'")</f>
        <v>קונטרס אז נדברו - 4 כר'</v>
      </c>
    </row>
    <row r="2941" spans="1:6" x14ac:dyDescent="0.2">
      <c r="A2941" t="s">
        <v>5840</v>
      </c>
      <c r="B2941" t="s">
        <v>5841</v>
      </c>
      <c r="C2941" t="s">
        <v>8</v>
      </c>
      <c r="D2941" s="1" t="s">
        <v>476</v>
      </c>
      <c r="E2941" t="s">
        <v>49</v>
      </c>
      <c r="F2941" s="5" t="str">
        <f>HYPERLINK("http://www.otzar.org/book.asp?623386","קונטרס איי הים")</f>
        <v>קונטרס איי הים</v>
      </c>
    </row>
    <row r="2942" spans="1:6" x14ac:dyDescent="0.2">
      <c r="A2942" t="s">
        <v>5842</v>
      </c>
      <c r="B2942" t="s">
        <v>3604</v>
      </c>
      <c r="C2942" t="s">
        <v>290</v>
      </c>
      <c r="D2942" s="1" t="s">
        <v>14</v>
      </c>
      <c r="F2942" s="5" t="str">
        <f>HYPERLINK("http://www.otzar.org/book.asp?630258","קונטרס איסור פתיחת כלים")</f>
        <v>קונטרס איסור פתיחת כלים</v>
      </c>
    </row>
    <row r="2943" spans="1:6" x14ac:dyDescent="0.2">
      <c r="A2943" t="s">
        <v>5843</v>
      </c>
      <c r="B2943" t="s">
        <v>5844</v>
      </c>
      <c r="C2943" t="s">
        <v>460</v>
      </c>
      <c r="D2943" s="1" t="s">
        <v>1134</v>
      </c>
      <c r="E2943" t="s">
        <v>37</v>
      </c>
      <c r="F2943" s="5" t="str">
        <f>HYPERLINK("http://www.otzar.org/book.asp?624475","קונטרס איש איטר")</f>
        <v>קונטרס איש איטר</v>
      </c>
    </row>
    <row r="2944" spans="1:6" x14ac:dyDescent="0.2">
      <c r="A2944" t="s">
        <v>5845</v>
      </c>
      <c r="B2944" t="s">
        <v>5846</v>
      </c>
      <c r="C2944" t="s">
        <v>383</v>
      </c>
      <c r="D2944" s="1" t="s">
        <v>5847</v>
      </c>
      <c r="E2944" t="s">
        <v>17</v>
      </c>
      <c r="F2944" s="5" t="str">
        <f>HYPERLINK("http://www.otzar.org/book.asp?624664","קונטרס אכסניא של תורה")</f>
        <v>קונטרס אכסניא של תורה</v>
      </c>
    </row>
    <row r="2945" spans="1:6" x14ac:dyDescent="0.2">
      <c r="A2945" t="s">
        <v>5848</v>
      </c>
      <c r="B2945" t="s">
        <v>674</v>
      </c>
      <c r="C2945" t="s">
        <v>20</v>
      </c>
      <c r="D2945" s="1" t="s">
        <v>268</v>
      </c>
      <c r="E2945" t="s">
        <v>89</v>
      </c>
      <c r="F2945" s="5" t="str">
        <f>HYPERLINK("http://www.otzar.org/book.asp?623578","קונטרס אל מול פני המנורה - 2 כר'")</f>
        <v>קונטרס אל מול פני המנורה - 2 כר'</v>
      </c>
    </row>
    <row r="2946" spans="1:6" x14ac:dyDescent="0.2">
      <c r="A2946" t="s">
        <v>5849</v>
      </c>
      <c r="B2946" t="s">
        <v>5850</v>
      </c>
      <c r="C2946" t="s">
        <v>8</v>
      </c>
      <c r="D2946" s="1" t="s">
        <v>52</v>
      </c>
      <c r="E2946" t="s">
        <v>22</v>
      </c>
      <c r="F2946" s="5" t="str">
        <f>HYPERLINK("http://www.otzar.org/book.asp?629870","קונטרס אם כסף תלוה")</f>
        <v>קונטרס אם כסף תלוה</v>
      </c>
    </row>
    <row r="2947" spans="1:6" x14ac:dyDescent="0.2">
      <c r="A2947" t="s">
        <v>5851</v>
      </c>
      <c r="B2947" t="s">
        <v>5852</v>
      </c>
      <c r="C2947" t="s">
        <v>13</v>
      </c>
      <c r="D2947" s="1" t="s">
        <v>52</v>
      </c>
      <c r="E2947" t="s">
        <v>34</v>
      </c>
      <c r="F2947" s="5" t="str">
        <f>HYPERLINK("http://www.otzar.org/book.asp?623673","קונטרס אמונת אהרן")</f>
        <v>קונטרס אמונת אהרן</v>
      </c>
    </row>
    <row r="2948" spans="1:6" x14ac:dyDescent="0.2">
      <c r="A2948" t="s">
        <v>5853</v>
      </c>
      <c r="B2948" t="s">
        <v>5854</v>
      </c>
      <c r="C2948" t="s">
        <v>136</v>
      </c>
      <c r="D2948" s="1" t="s">
        <v>557</v>
      </c>
      <c r="E2948" t="s">
        <v>108</v>
      </c>
      <c r="F2948" s="5" t="str">
        <f>HYPERLINK("http://www.otzar.org/book.asp?630309","קונטרס אמונת חיים - 2 כר'")</f>
        <v>קונטרס אמונת חיים - 2 כר'</v>
      </c>
    </row>
    <row r="2949" spans="1:6" x14ac:dyDescent="0.2">
      <c r="A2949" t="s">
        <v>5855</v>
      </c>
      <c r="B2949" t="s">
        <v>5856</v>
      </c>
      <c r="C2949" t="s">
        <v>157</v>
      </c>
      <c r="D2949" s="1" t="s">
        <v>5857</v>
      </c>
      <c r="E2949" t="s">
        <v>214</v>
      </c>
      <c r="F2949" s="5" t="str">
        <f>HYPERLINK("http://www.otzar.org/book.asp?624897","קונטרס אמונת עתיך - תשנ""ט")</f>
        <v>קונטרס אמונת עתיך - תשנ"ט</v>
      </c>
    </row>
    <row r="2950" spans="1:6" x14ac:dyDescent="0.2">
      <c r="A2950" t="s">
        <v>5858</v>
      </c>
      <c r="B2950" t="s">
        <v>5859</v>
      </c>
      <c r="C2950" t="s">
        <v>13</v>
      </c>
      <c r="D2950" s="1" t="s">
        <v>14</v>
      </c>
      <c r="E2950" t="s">
        <v>295</v>
      </c>
      <c r="F2950" s="5" t="str">
        <f>HYPERLINK("http://www.otzar.org/book.asp?625388","קונטרס אמרי דבש - נשמת")</f>
        <v>קונטרס אמרי דבש - נשמת</v>
      </c>
    </row>
    <row r="2951" spans="1:6" x14ac:dyDescent="0.2">
      <c r="A2951" t="s">
        <v>5860</v>
      </c>
      <c r="B2951" t="s">
        <v>5861</v>
      </c>
      <c r="C2951" t="s">
        <v>73</v>
      </c>
      <c r="D2951" s="1" t="s">
        <v>4053</v>
      </c>
      <c r="E2951" t="s">
        <v>2275</v>
      </c>
      <c r="F2951" s="5" t="str">
        <f>HYPERLINK("http://www.otzar.org/book.asp?626617","קונטרס אמת ליעקב")</f>
        <v>קונטרס אמת ליעקב</v>
      </c>
    </row>
    <row r="2952" spans="1:6" x14ac:dyDescent="0.2">
      <c r="A2952" t="s">
        <v>5862</v>
      </c>
      <c r="B2952" t="s">
        <v>5728</v>
      </c>
      <c r="C2952" t="s">
        <v>133</v>
      </c>
      <c r="D2952" s="1" t="s">
        <v>14</v>
      </c>
      <c r="E2952" t="s">
        <v>214</v>
      </c>
      <c r="F2952" s="5" t="str">
        <f>HYPERLINK("http://www.otzar.org/book.asp?624719","קונטרס אמת מארץ")</f>
        <v>קונטרס אמת מארץ</v>
      </c>
    </row>
    <row r="2953" spans="1:6" x14ac:dyDescent="0.2">
      <c r="A2953" t="s">
        <v>5863</v>
      </c>
      <c r="B2953" t="s">
        <v>5864</v>
      </c>
      <c r="C2953" t="s">
        <v>13</v>
      </c>
      <c r="D2953" s="1" t="s">
        <v>14</v>
      </c>
      <c r="F2953" s="5" t="str">
        <f>HYPERLINK("http://www.otzar.org/book.asp?632051","קונטרס אפיקי מים")</f>
        <v>קונטרס אפיקי מים</v>
      </c>
    </row>
    <row r="2954" spans="1:6" x14ac:dyDescent="0.2">
      <c r="A2954" t="s">
        <v>5865</v>
      </c>
      <c r="B2954" t="s">
        <v>2257</v>
      </c>
      <c r="C2954" t="s">
        <v>73</v>
      </c>
      <c r="D2954" s="1" t="s">
        <v>9</v>
      </c>
      <c r="F2954" s="5" t="str">
        <f>HYPERLINK("http://www.otzar.org/book.asp?629953","קונטרס אריה ישאג - 7 כר'")</f>
        <v>קונטרס אריה ישאג - 7 כר'</v>
      </c>
    </row>
    <row r="2955" spans="1:6" x14ac:dyDescent="0.2">
      <c r="A2955" t="s">
        <v>5866</v>
      </c>
      <c r="B2955" t="s">
        <v>94</v>
      </c>
      <c r="C2955" t="s">
        <v>8</v>
      </c>
      <c r="D2955" s="1" t="s">
        <v>14</v>
      </c>
      <c r="E2955" t="s">
        <v>22</v>
      </c>
      <c r="F2955" s="5" t="str">
        <f>HYPERLINK("http://www.otzar.org/book.asp?623721","קונטרס ארץ חמדה")</f>
        <v>קונטרס ארץ חמדה</v>
      </c>
    </row>
    <row r="2956" spans="1:6" x14ac:dyDescent="0.2">
      <c r="A2956" t="s">
        <v>5867</v>
      </c>
      <c r="B2956" t="s">
        <v>5868</v>
      </c>
      <c r="C2956" t="s">
        <v>136</v>
      </c>
      <c r="D2956" s="1" t="s">
        <v>9</v>
      </c>
      <c r="E2956" t="s">
        <v>214</v>
      </c>
      <c r="F2956" s="5" t="str">
        <f>HYPERLINK("http://www.otzar.org/book.asp?631135","קונטרס ארשת שפתים")</f>
        <v>קונטרס ארשת שפתים</v>
      </c>
    </row>
    <row r="2957" spans="1:6" x14ac:dyDescent="0.2">
      <c r="A2957" t="s">
        <v>5869</v>
      </c>
      <c r="B2957" t="s">
        <v>5835</v>
      </c>
      <c r="C2957" t="s">
        <v>383</v>
      </c>
      <c r="D2957" s="1" t="s">
        <v>21</v>
      </c>
      <c r="F2957" s="5" t="str">
        <f>HYPERLINK("http://www.otzar.org/book.asp?629922","קונטרס אשי אהרן - חנוכה")</f>
        <v>קונטרס אשי אהרן - חנוכה</v>
      </c>
    </row>
    <row r="2958" spans="1:6" x14ac:dyDescent="0.2">
      <c r="A2958" t="s">
        <v>5870</v>
      </c>
      <c r="B2958" t="s">
        <v>2426</v>
      </c>
      <c r="C2958" t="s">
        <v>73</v>
      </c>
      <c r="D2958" s="1" t="s">
        <v>1096</v>
      </c>
      <c r="F2958" s="5" t="str">
        <f>HYPERLINK("http://www.otzar.org/book.asp?624729","קונטרס אשר התרת אסרתי")</f>
        <v>קונטרס אשר התרת אסרתי</v>
      </c>
    </row>
    <row r="2959" spans="1:6" x14ac:dyDescent="0.2">
      <c r="A2959" t="s">
        <v>5871</v>
      </c>
      <c r="B2959" t="s">
        <v>4567</v>
      </c>
      <c r="C2959" t="s">
        <v>73</v>
      </c>
      <c r="D2959" s="1" t="s">
        <v>14</v>
      </c>
      <c r="E2959" t="s">
        <v>1197</v>
      </c>
      <c r="F2959" s="5" t="str">
        <f>HYPERLINK("http://www.otzar.org/book.asp?623841","קונטרס אשרי המלך")</f>
        <v>קונטרס אשרי המלך</v>
      </c>
    </row>
    <row r="2960" spans="1:6" x14ac:dyDescent="0.2">
      <c r="A2960" t="s">
        <v>5872</v>
      </c>
      <c r="B2960" t="s">
        <v>94</v>
      </c>
      <c r="F2960" s="5" t="str">
        <f>HYPERLINK("http://www.otzar.org/book.asp?630375","קונטרס אשריך - יבמות, כתובות")</f>
        <v>קונטרס אשריך - יבמות, כתובות</v>
      </c>
    </row>
    <row r="2961" spans="1:6" x14ac:dyDescent="0.2">
      <c r="A2961" t="s">
        <v>5873</v>
      </c>
      <c r="B2961" t="s">
        <v>837</v>
      </c>
      <c r="C2961" t="s">
        <v>133</v>
      </c>
      <c r="D2961" s="1" t="s">
        <v>838</v>
      </c>
      <c r="E2961" t="s">
        <v>1197</v>
      </c>
      <c r="F2961" s="5" t="str">
        <f>HYPERLINK("http://www.otzar.org/book.asp?623301","קונטרס באר יצחק - תפילה")</f>
        <v>קונטרס באר יצחק - תפילה</v>
      </c>
    </row>
    <row r="2962" spans="1:6" x14ac:dyDescent="0.2">
      <c r="A2962" t="s">
        <v>5874</v>
      </c>
      <c r="B2962" t="s">
        <v>5875</v>
      </c>
      <c r="C2962" t="s">
        <v>73</v>
      </c>
      <c r="D2962" s="1" t="s">
        <v>14</v>
      </c>
      <c r="E2962" t="s">
        <v>214</v>
      </c>
      <c r="F2962" s="5" t="str">
        <f>HYPERLINK("http://www.otzar.org/book.asp?625032","קונטרס באר שלמה - גיטין")</f>
        <v>קונטרס באר שלמה - גיטין</v>
      </c>
    </row>
    <row r="2963" spans="1:6" x14ac:dyDescent="0.2">
      <c r="A2963" t="s">
        <v>5876</v>
      </c>
      <c r="B2963" t="s">
        <v>94</v>
      </c>
      <c r="E2963" t="s">
        <v>5877</v>
      </c>
      <c r="F2963" s="5" t="str">
        <f>HYPERLINK("http://www.otzar.org/book.asp?626487","קונטרס בגדי לבן")</f>
        <v>קונטרס בגדי לבן</v>
      </c>
    </row>
    <row r="2964" spans="1:6" x14ac:dyDescent="0.2">
      <c r="A2964" t="s">
        <v>5878</v>
      </c>
      <c r="B2964" t="s">
        <v>5879</v>
      </c>
      <c r="C2964" t="s">
        <v>307</v>
      </c>
      <c r="D2964" s="1" t="s">
        <v>14</v>
      </c>
      <c r="E2964" t="s">
        <v>154</v>
      </c>
      <c r="F2964" s="5" t="str">
        <f>HYPERLINK("http://www.otzar.org/book.asp?627126","קונטרס בגדי שבת")</f>
        <v>קונטרס בגדי שבת</v>
      </c>
    </row>
    <row r="2965" spans="1:6" x14ac:dyDescent="0.2">
      <c r="A2965" t="s">
        <v>5880</v>
      </c>
      <c r="B2965" t="s">
        <v>5818</v>
      </c>
      <c r="C2965" t="s">
        <v>13</v>
      </c>
      <c r="D2965" s="1" t="s">
        <v>1134</v>
      </c>
      <c r="E2965" t="s">
        <v>37</v>
      </c>
      <c r="F2965" s="5" t="str">
        <f>HYPERLINK("http://www.otzar.org/book.asp?627143","קונטרס בדמייך חיי")</f>
        <v>קונטרס בדמייך חיי</v>
      </c>
    </row>
    <row r="2966" spans="1:6" x14ac:dyDescent="0.2">
      <c r="A2966" t="s">
        <v>5881</v>
      </c>
      <c r="B2966" t="s">
        <v>1055</v>
      </c>
      <c r="C2966" t="s">
        <v>20</v>
      </c>
      <c r="D2966" s="1" t="s">
        <v>1257</v>
      </c>
      <c r="E2966" t="s">
        <v>154</v>
      </c>
      <c r="F2966" s="5" t="str">
        <f>HYPERLINK("http://www.otzar.org/book.asp?625551","קונטרס בדרך המלך")</f>
        <v>קונטרס בדרך המלך</v>
      </c>
    </row>
    <row r="2967" spans="1:6" x14ac:dyDescent="0.2">
      <c r="A2967" t="s">
        <v>5882</v>
      </c>
      <c r="B2967" t="s">
        <v>5883</v>
      </c>
      <c r="C2967" t="s">
        <v>13</v>
      </c>
      <c r="D2967" s="1" t="s">
        <v>9</v>
      </c>
      <c r="E2967" t="s">
        <v>214</v>
      </c>
      <c r="F2967" s="5" t="str">
        <f>HYPERLINK("http://www.otzar.org/book.asp?626714","קונטרס בזקנינו נלך")</f>
        <v>קונטרס בזקנינו נלך</v>
      </c>
    </row>
    <row r="2968" spans="1:6" x14ac:dyDescent="0.2">
      <c r="A2968" t="s">
        <v>5884</v>
      </c>
      <c r="B2968" t="s">
        <v>1366</v>
      </c>
      <c r="C2968" t="s">
        <v>383</v>
      </c>
      <c r="D2968" s="1" t="s">
        <v>1367</v>
      </c>
      <c r="E2968" t="s">
        <v>214</v>
      </c>
      <c r="F2968" s="5" t="str">
        <f>HYPERLINK("http://www.otzar.org/book.asp?626191","קונטרס בי מדרשא - 2 כר'")</f>
        <v>קונטרס בי מדרשא - 2 כר'</v>
      </c>
    </row>
    <row r="2969" spans="1:6" x14ac:dyDescent="0.2">
      <c r="A2969" t="s">
        <v>5885</v>
      </c>
      <c r="B2969" t="s">
        <v>5886</v>
      </c>
      <c r="C2969" t="s">
        <v>639</v>
      </c>
      <c r="D2969" s="1" t="s">
        <v>14</v>
      </c>
      <c r="F2969" s="5" t="str">
        <f>HYPERLINK("http://www.otzar.org/book.asp?629940","קונטרס ביאורי ענינים - 3 כר'")</f>
        <v>קונטרס ביאורי ענינים - 3 כר'</v>
      </c>
    </row>
    <row r="2970" spans="1:6" x14ac:dyDescent="0.2">
      <c r="A2970" t="s">
        <v>5887</v>
      </c>
      <c r="B2970" t="s">
        <v>5888</v>
      </c>
      <c r="C2970" t="s">
        <v>999</v>
      </c>
      <c r="D2970" s="1" t="s">
        <v>14</v>
      </c>
      <c r="E2970" t="s">
        <v>22</v>
      </c>
      <c r="F2970" s="5" t="str">
        <f>HYPERLINK("http://www.otzar.org/book.asp?629796","קונטרס ביאורים - קובץ מר""מ - סנהדרין")</f>
        <v>קונטרס ביאורים - קובץ מר"מ - סנהדרין</v>
      </c>
    </row>
    <row r="2971" spans="1:6" x14ac:dyDescent="0.2">
      <c r="A2971" t="s">
        <v>5889</v>
      </c>
      <c r="B2971" t="s">
        <v>5886</v>
      </c>
      <c r="C2971" t="s">
        <v>818</v>
      </c>
      <c r="D2971" s="1" t="s">
        <v>14</v>
      </c>
      <c r="F2971" s="5" t="str">
        <f>HYPERLINK("http://www.otzar.org/book.asp?629926","קונטרס ביאורים - 3 כר'")</f>
        <v>קונטרס ביאורים - 3 כר'</v>
      </c>
    </row>
    <row r="2972" spans="1:6" x14ac:dyDescent="0.2">
      <c r="A2972" t="s">
        <v>5890</v>
      </c>
      <c r="B2972" t="s">
        <v>5891</v>
      </c>
      <c r="C2972" t="s">
        <v>8</v>
      </c>
      <c r="D2972" s="1" t="s">
        <v>476</v>
      </c>
      <c r="E2972" t="s">
        <v>22</v>
      </c>
      <c r="F2972" s="5" t="str">
        <f>HYPERLINK("http://www.otzar.org/book.asp?623390","קונטרס ביאורים")</f>
        <v>קונטרס ביאורים</v>
      </c>
    </row>
    <row r="2973" spans="1:6" x14ac:dyDescent="0.2">
      <c r="A2973" t="s">
        <v>5892</v>
      </c>
      <c r="B2973" t="s">
        <v>5893</v>
      </c>
      <c r="C2973" t="s">
        <v>8</v>
      </c>
      <c r="D2973" s="1" t="s">
        <v>476</v>
      </c>
      <c r="E2973" t="s">
        <v>22</v>
      </c>
      <c r="F2973" s="5" t="str">
        <f>HYPERLINK("http://www.otzar.org/book.asp?623383","קונטרס ביכורי אברהם")</f>
        <v>קונטרס ביכורי אברהם</v>
      </c>
    </row>
    <row r="2974" spans="1:6" x14ac:dyDescent="0.2">
      <c r="A2974" t="s">
        <v>5894</v>
      </c>
      <c r="B2974" t="s">
        <v>1290</v>
      </c>
      <c r="C2974" t="s">
        <v>13</v>
      </c>
      <c r="D2974" s="1" t="s">
        <v>21</v>
      </c>
      <c r="E2974" t="s">
        <v>49</v>
      </c>
      <c r="F2974" s="5" t="str">
        <f>HYPERLINK("http://www.otzar.org/book.asp?629332","קונטרס בין תכלת ללבן")</f>
        <v>קונטרס בין תכלת ללבן</v>
      </c>
    </row>
    <row r="2975" spans="1:6" x14ac:dyDescent="0.2">
      <c r="A2975" t="s">
        <v>5895</v>
      </c>
      <c r="B2975" t="s">
        <v>5896</v>
      </c>
      <c r="C2975" t="s">
        <v>463</v>
      </c>
      <c r="D2975" s="1" t="s">
        <v>64</v>
      </c>
      <c r="F2975" s="5" t="str">
        <f>HYPERLINK("http://www.otzar.org/book.asp?630753","קונטרס ביעור מעשרות")</f>
        <v>קונטרס ביעור מעשרות</v>
      </c>
    </row>
    <row r="2976" spans="1:6" x14ac:dyDescent="0.2">
      <c r="A2976" t="s">
        <v>5897</v>
      </c>
      <c r="B2976" t="s">
        <v>974</v>
      </c>
      <c r="C2976" t="s">
        <v>8</v>
      </c>
      <c r="D2976" s="1" t="s">
        <v>9</v>
      </c>
      <c r="E2976" t="s">
        <v>37</v>
      </c>
      <c r="F2976" s="5" t="str">
        <f>HYPERLINK("http://www.otzar.org/book.asp?630019","קונטרס בירורי הלכה - הלכות שבת")</f>
        <v>קונטרס בירורי הלכה - הלכות שבת</v>
      </c>
    </row>
    <row r="2977" spans="1:6" x14ac:dyDescent="0.2">
      <c r="A2977" t="s">
        <v>5898</v>
      </c>
      <c r="B2977" t="s">
        <v>5899</v>
      </c>
      <c r="C2977" t="s">
        <v>9</v>
      </c>
      <c r="E2977" t="s">
        <v>37</v>
      </c>
      <c r="F2977" s="5" t="str">
        <f>HYPERLINK("http://www.otzar.org/book.asp?622543","קונטרס בירורים - 7 כר'")</f>
        <v>קונטרס בירורים - 7 כר'</v>
      </c>
    </row>
    <row r="2978" spans="1:6" x14ac:dyDescent="0.2">
      <c r="A2978" t="s">
        <v>5900</v>
      </c>
      <c r="B2978" t="s">
        <v>5901</v>
      </c>
      <c r="C2978" t="s">
        <v>52</v>
      </c>
      <c r="D2978" s="1" t="s">
        <v>14</v>
      </c>
      <c r="E2978" t="s">
        <v>168</v>
      </c>
      <c r="F2978" s="5" t="str">
        <f>HYPERLINK("http://www.otzar.org/book.asp?630146","קונטרס בית אליעזר - 2 כר'")</f>
        <v>קונטרס בית אליעזר - 2 כר'</v>
      </c>
    </row>
    <row r="2979" spans="1:6" x14ac:dyDescent="0.2">
      <c r="A2979" t="s">
        <v>5902</v>
      </c>
      <c r="E2979" t="s">
        <v>5903</v>
      </c>
      <c r="F2979" s="5" t="str">
        <f>HYPERLINK("http://www.otzar.org/book.asp?626791","קונטרס בית האר""י")</f>
        <v>קונטרס בית האר"י</v>
      </c>
    </row>
    <row r="2980" spans="1:6" x14ac:dyDescent="0.2">
      <c r="A2980" t="s">
        <v>5904</v>
      </c>
      <c r="B2980" t="s">
        <v>5905</v>
      </c>
      <c r="C2980" t="s">
        <v>383</v>
      </c>
      <c r="D2980" s="1" t="s">
        <v>223</v>
      </c>
      <c r="E2980" t="s">
        <v>37</v>
      </c>
      <c r="F2980" s="5" t="str">
        <f>HYPERLINK("http://www.otzar.org/book.asp?627245","קונטרס בית קטן")</f>
        <v>קונטרס בית קטן</v>
      </c>
    </row>
    <row r="2981" spans="1:6" x14ac:dyDescent="0.2">
      <c r="A2981" t="s">
        <v>5906</v>
      </c>
      <c r="B2981" t="s">
        <v>5907</v>
      </c>
      <c r="C2981" t="s">
        <v>8</v>
      </c>
      <c r="D2981" s="1" t="s">
        <v>14</v>
      </c>
      <c r="E2981" t="s">
        <v>22</v>
      </c>
      <c r="F2981" s="5" t="str">
        <f>HYPERLINK("http://www.otzar.org/book.asp?624958","קונטרס בכורי צבי - בכורות")</f>
        <v>קונטרס בכורי צבי - בכורות</v>
      </c>
    </row>
    <row r="2982" spans="1:6" x14ac:dyDescent="0.2">
      <c r="A2982" t="s">
        <v>5908</v>
      </c>
      <c r="B2982" t="s">
        <v>1131</v>
      </c>
      <c r="C2982" t="s">
        <v>190</v>
      </c>
      <c r="D2982" s="1" t="s">
        <v>21</v>
      </c>
      <c r="E2982" t="s">
        <v>22</v>
      </c>
      <c r="F2982" s="5" t="str">
        <f>HYPERLINK("http://www.otzar.org/book.asp?623463","קונטרס בנין חיים - בענין גזל")</f>
        <v>קונטרס בנין חיים - בענין גזל</v>
      </c>
    </row>
    <row r="2983" spans="1:6" x14ac:dyDescent="0.2">
      <c r="A2983" t="s">
        <v>5909</v>
      </c>
      <c r="B2983" t="s">
        <v>5910</v>
      </c>
      <c r="C2983" t="s">
        <v>8</v>
      </c>
      <c r="D2983" s="1" t="s">
        <v>52</v>
      </c>
      <c r="E2983" t="s">
        <v>836</v>
      </c>
      <c r="F2983" s="5" t="str">
        <f>HYPERLINK("http://www.otzar.org/book.asp?624887","קונטרס בספר חיי""ם")</f>
        <v>קונטרס בספר חיי"ם</v>
      </c>
    </row>
    <row r="2984" spans="1:6" x14ac:dyDescent="0.2">
      <c r="A2984" t="s">
        <v>5911</v>
      </c>
      <c r="B2984" t="s">
        <v>2165</v>
      </c>
      <c r="C2984" t="s">
        <v>8</v>
      </c>
      <c r="D2984" s="1" t="s">
        <v>52</v>
      </c>
      <c r="E2984" t="s">
        <v>108</v>
      </c>
      <c r="F2984" s="5" t="str">
        <f>HYPERLINK("http://www.otzar.org/book.asp?627545","קונטרס בעיות זמנינו - 2 כר'")</f>
        <v>קונטרס בעיות זמנינו - 2 כר'</v>
      </c>
    </row>
    <row r="2985" spans="1:6" x14ac:dyDescent="0.2">
      <c r="A2985" t="s">
        <v>5912</v>
      </c>
      <c r="B2985" t="s">
        <v>3415</v>
      </c>
      <c r="C2985" t="s">
        <v>13</v>
      </c>
      <c r="D2985" s="1" t="s">
        <v>9</v>
      </c>
      <c r="E2985" t="s">
        <v>89</v>
      </c>
      <c r="F2985" s="5" t="str">
        <f>HYPERLINK("http://www.otzar.org/book.asp?631197","קונטרס בענייני אכילת מצה ולחם משנה")</f>
        <v>קונטרס בענייני אכילת מצה ולחם משנה</v>
      </c>
    </row>
    <row r="2986" spans="1:6" x14ac:dyDescent="0.2">
      <c r="A2986" t="s">
        <v>5913</v>
      </c>
      <c r="B2986" t="s">
        <v>5914</v>
      </c>
      <c r="C2986" t="s">
        <v>13</v>
      </c>
      <c r="D2986" s="1" t="s">
        <v>52</v>
      </c>
      <c r="E2986" t="s">
        <v>37</v>
      </c>
      <c r="F2986" s="5" t="str">
        <f>HYPERLINK("http://www.otzar.org/book.asp?629840","קונטרס בענייני יחוד")</f>
        <v>קונטרס בענייני יחוד</v>
      </c>
    </row>
    <row r="2987" spans="1:6" x14ac:dyDescent="0.2">
      <c r="A2987" t="s">
        <v>5915</v>
      </c>
      <c r="B2987" t="s">
        <v>5916</v>
      </c>
      <c r="C2987" t="s">
        <v>386</v>
      </c>
      <c r="D2987" s="1" t="s">
        <v>120</v>
      </c>
      <c r="E2987" t="s">
        <v>89</v>
      </c>
      <c r="F2987" s="5" t="str">
        <f>HYPERLINK("http://www.otzar.org/book.asp?628054","קונטרס בענייני פורים")</f>
        <v>קונטרס בענייני פורים</v>
      </c>
    </row>
    <row r="2988" spans="1:6" x14ac:dyDescent="0.2">
      <c r="A2988" t="s">
        <v>5917</v>
      </c>
      <c r="B2988" t="s">
        <v>5918</v>
      </c>
      <c r="C2988" t="s">
        <v>397</v>
      </c>
      <c r="D2988" s="1" t="s">
        <v>52</v>
      </c>
      <c r="E2988" t="s">
        <v>37</v>
      </c>
      <c r="F2988" s="5" t="str">
        <f>HYPERLINK("http://www.otzar.org/book.asp?630062","קונטרס בענין אחד מל והשני פורע")</f>
        <v>קונטרס בענין אחד מל והשני פורע</v>
      </c>
    </row>
    <row r="2989" spans="1:6" x14ac:dyDescent="0.2">
      <c r="A2989" t="s">
        <v>5919</v>
      </c>
      <c r="B2989" t="s">
        <v>5920</v>
      </c>
      <c r="C2989" t="s">
        <v>13</v>
      </c>
      <c r="D2989" s="1" t="s">
        <v>29</v>
      </c>
      <c r="E2989" t="s">
        <v>37</v>
      </c>
      <c r="F2989" s="5" t="str">
        <f>HYPERLINK("http://www.otzar.org/book.asp?627267","קונטרס בענין הנחת תפילין דר""ת")</f>
        <v>קונטרס בענין הנחת תפילין דר"ת</v>
      </c>
    </row>
    <row r="2990" spans="1:6" x14ac:dyDescent="0.2">
      <c r="A2990" t="s">
        <v>5921</v>
      </c>
      <c r="B2990" t="s">
        <v>5922</v>
      </c>
      <c r="C2990" t="s">
        <v>1074</v>
      </c>
      <c r="D2990" s="1" t="s">
        <v>9</v>
      </c>
      <c r="E2990" t="s">
        <v>37</v>
      </c>
      <c r="F2990" s="5" t="str">
        <f>HYPERLINK("http://www.otzar.org/book.asp?84953","קונטרס בענין הפרשת תרו""מ")</f>
        <v>קונטרס בענין הפרשת תרו"מ</v>
      </c>
    </row>
    <row r="2991" spans="1:6" x14ac:dyDescent="0.2">
      <c r="A2991" t="s">
        <v>5923</v>
      </c>
      <c r="B2991" t="s">
        <v>2741</v>
      </c>
      <c r="E2991" t="s">
        <v>22</v>
      </c>
      <c r="F2991" s="5" t="str">
        <f>HYPERLINK("http://www.otzar.org/book.asp?623711","קונטרס בענין זיקה")</f>
        <v>קונטרס בענין זיקה</v>
      </c>
    </row>
    <row r="2992" spans="1:6" x14ac:dyDescent="0.2">
      <c r="A2992" t="s">
        <v>5924</v>
      </c>
      <c r="B2992" t="s">
        <v>5925</v>
      </c>
      <c r="C2992" t="s">
        <v>190</v>
      </c>
      <c r="D2992" s="1" t="s">
        <v>14</v>
      </c>
      <c r="E2992" t="s">
        <v>49</v>
      </c>
      <c r="F2992" s="5" t="str">
        <f>HYPERLINK("http://www.otzar.org/book.asp?625501","קונטרס בענין ישמע אל נאקת העם ויענם")</f>
        <v>קונטרס בענין ישמע אל נאקת העם ויענם</v>
      </c>
    </row>
    <row r="2993" spans="1:6" x14ac:dyDescent="0.2">
      <c r="A2993" t="s">
        <v>5926</v>
      </c>
      <c r="B2993" t="s">
        <v>5927</v>
      </c>
      <c r="C2993" t="s">
        <v>25</v>
      </c>
      <c r="D2993" s="1" t="s">
        <v>803</v>
      </c>
      <c r="E2993" t="s">
        <v>37</v>
      </c>
      <c r="F2993" s="5" t="str">
        <f>HYPERLINK("http://www.otzar.org/book.asp?631622","קונטרס בענין עישון סיגריות ביו""ט")</f>
        <v>קונטרס בענין עישון סיגריות ביו"ט</v>
      </c>
    </row>
    <row r="2994" spans="1:6" x14ac:dyDescent="0.2">
      <c r="A2994" t="s">
        <v>5928</v>
      </c>
      <c r="B2994" t="s">
        <v>5929</v>
      </c>
      <c r="C2994" t="s">
        <v>13</v>
      </c>
      <c r="D2994" s="1" t="s">
        <v>52</v>
      </c>
      <c r="E2994" t="s">
        <v>37</v>
      </c>
      <c r="F2994" s="5" t="str">
        <f>HYPERLINK("http://www.otzar.org/book.asp?630323","קונטרס בענין קידוש מבעוד יום")</f>
        <v>קונטרס בענין קידוש מבעוד יום</v>
      </c>
    </row>
    <row r="2995" spans="1:6" x14ac:dyDescent="0.2">
      <c r="A2995" t="s">
        <v>5930</v>
      </c>
      <c r="B2995" t="s">
        <v>252</v>
      </c>
      <c r="C2995" t="s">
        <v>383</v>
      </c>
      <c r="D2995" s="1" t="s">
        <v>9</v>
      </c>
      <c r="E2995" t="s">
        <v>37</v>
      </c>
      <c r="F2995" s="5" t="str">
        <f>HYPERLINK("http://www.otzar.org/book.asp?630320","קונטרס בענין קריאת שם לועזי")</f>
        <v>קונטרס בענין קריאת שם לועזי</v>
      </c>
    </row>
    <row r="2996" spans="1:6" x14ac:dyDescent="0.2">
      <c r="A2996" t="s">
        <v>5931</v>
      </c>
      <c r="B2996" t="s">
        <v>5932</v>
      </c>
      <c r="C2996" t="s">
        <v>136</v>
      </c>
      <c r="D2996" s="1" t="s">
        <v>14</v>
      </c>
      <c r="E2996" t="s">
        <v>242</v>
      </c>
      <c r="F2996" s="5" t="str">
        <f>HYPERLINK("http://www.otzar.org/book.asp?624888","קונטרס בעניני דיני ציבור ודבר שבקדושה")</f>
        <v>קונטרס בעניני דיני ציבור ודבר שבקדושה</v>
      </c>
    </row>
    <row r="2997" spans="1:6" x14ac:dyDescent="0.2">
      <c r="A2997" t="s">
        <v>5933</v>
      </c>
      <c r="B2997" t="s">
        <v>5934</v>
      </c>
      <c r="F2997" s="5" t="str">
        <f>HYPERLINK("http://www.otzar.org/book.asp?630405","קונטרס בעניני המועדים")</f>
        <v>קונטרס בעניני המועדים</v>
      </c>
    </row>
    <row r="2998" spans="1:6" x14ac:dyDescent="0.2">
      <c r="A2998" t="s">
        <v>5935</v>
      </c>
      <c r="B2998" t="s">
        <v>84</v>
      </c>
      <c r="C2998" t="s">
        <v>307</v>
      </c>
      <c r="D2998" s="1" t="s">
        <v>14</v>
      </c>
      <c r="E2998" t="s">
        <v>61</v>
      </c>
      <c r="F2998" s="5" t="str">
        <f>HYPERLINK("http://www.otzar.org/book.asp?626208","קונטרס בעניני יור""ד סי' קצ""ה")</f>
        <v>קונטרס בעניני יור"ד סי' קצ"ה</v>
      </c>
    </row>
    <row r="2999" spans="1:6" x14ac:dyDescent="0.2">
      <c r="A2999" t="s">
        <v>5936</v>
      </c>
      <c r="B2999" t="s">
        <v>923</v>
      </c>
      <c r="C2999" t="s">
        <v>8</v>
      </c>
      <c r="D2999" s="1" t="s">
        <v>14</v>
      </c>
      <c r="E2999" t="s">
        <v>22</v>
      </c>
      <c r="F2999" s="5" t="str">
        <f>HYPERLINK("http://www.otzar.org/book.asp?623230","קונטרס בעניני שליחות")</f>
        <v>קונטרס בעניני שליחות</v>
      </c>
    </row>
    <row r="3000" spans="1:6" x14ac:dyDescent="0.2">
      <c r="A3000" t="s">
        <v>5937</v>
      </c>
      <c r="B3000" t="s">
        <v>923</v>
      </c>
      <c r="C3000" t="s">
        <v>8</v>
      </c>
      <c r="D3000" s="1" t="s">
        <v>14</v>
      </c>
      <c r="E3000" t="s">
        <v>22</v>
      </c>
      <c r="F3000" s="5" t="str">
        <f>HYPERLINK("http://www.otzar.org/book.asp?623218","קונטרס בענינים שונים")</f>
        <v>קונטרס בענינים שונים</v>
      </c>
    </row>
    <row r="3001" spans="1:6" x14ac:dyDescent="0.2">
      <c r="A3001" t="s">
        <v>5938</v>
      </c>
      <c r="B3001" t="s">
        <v>94</v>
      </c>
      <c r="C3001" t="s">
        <v>73</v>
      </c>
      <c r="D3001" s="1" t="s">
        <v>21</v>
      </c>
      <c r="E3001" t="s">
        <v>49</v>
      </c>
      <c r="F3001" s="5" t="str">
        <f>HYPERLINK("http://www.otzar.org/book.asp?627643","קונטרס בעקבי הצאן")</f>
        <v>קונטרס בעקבי הצאן</v>
      </c>
    </row>
    <row r="3002" spans="1:6" x14ac:dyDescent="0.2">
      <c r="A3002" t="s">
        <v>5939</v>
      </c>
      <c r="B3002" t="s">
        <v>5940</v>
      </c>
      <c r="C3002" t="s">
        <v>411</v>
      </c>
      <c r="D3002" s="1" t="s">
        <v>1895</v>
      </c>
      <c r="E3002" t="s">
        <v>49</v>
      </c>
      <c r="F3002" s="5" t="str">
        <f>HYPERLINK("http://www.otzar.org/book.asp?623910","קונטרס בפי רבים אהללה")</f>
        <v>קונטרס בפי רבים אהללה</v>
      </c>
    </row>
    <row r="3003" spans="1:6" x14ac:dyDescent="0.2">
      <c r="A3003" t="s">
        <v>5941</v>
      </c>
      <c r="B3003" t="s">
        <v>5907</v>
      </c>
      <c r="C3003" t="s">
        <v>5942</v>
      </c>
      <c r="D3003" s="1" t="s">
        <v>14</v>
      </c>
      <c r="E3003" t="s">
        <v>89</v>
      </c>
      <c r="F3003" s="5" t="str">
        <f>HYPERLINK("http://www.otzar.org/book.asp?624959","קונטרס ברית שבת")</f>
        <v>קונטרס ברית שבת</v>
      </c>
    </row>
    <row r="3004" spans="1:6" x14ac:dyDescent="0.2">
      <c r="A3004" t="s">
        <v>5943</v>
      </c>
      <c r="B3004" t="s">
        <v>3464</v>
      </c>
      <c r="C3004" t="s">
        <v>999</v>
      </c>
      <c r="D3004" s="1" t="s">
        <v>14</v>
      </c>
      <c r="E3004" t="s">
        <v>1616</v>
      </c>
      <c r="F3004" s="5" t="str">
        <f>HYPERLINK("http://www.otzar.org/book.asp?625597","קונטרס ברך חילו")</f>
        <v>קונטרס ברך חילו</v>
      </c>
    </row>
    <row r="3005" spans="1:6" x14ac:dyDescent="0.2">
      <c r="A3005" t="s">
        <v>5944</v>
      </c>
      <c r="B3005" t="s">
        <v>1232</v>
      </c>
      <c r="C3005" t="s">
        <v>8</v>
      </c>
      <c r="D3005" s="1" t="s">
        <v>52</v>
      </c>
      <c r="E3005" t="s">
        <v>22</v>
      </c>
      <c r="F3005" s="5" t="str">
        <f>HYPERLINK("http://www.otzar.org/book.asp?630136","קונטרס ברכה לישראל - פרק לא יחפור")</f>
        <v>קונטרס ברכה לישראל - פרק לא יחפור</v>
      </c>
    </row>
    <row r="3006" spans="1:6" x14ac:dyDescent="0.2">
      <c r="A3006" t="s">
        <v>5945</v>
      </c>
      <c r="B3006" t="s">
        <v>3468</v>
      </c>
      <c r="C3006" t="s">
        <v>13</v>
      </c>
      <c r="D3006" s="1" t="s">
        <v>14</v>
      </c>
      <c r="E3006" t="s">
        <v>17</v>
      </c>
      <c r="F3006" s="5" t="str">
        <f>HYPERLINK("http://www.otzar.org/book.asp?631141","קונטרס ברכת הנהנין")</f>
        <v>קונטרס ברכת הנהנין</v>
      </c>
    </row>
    <row r="3007" spans="1:6" x14ac:dyDescent="0.2">
      <c r="A3007" t="s">
        <v>5946</v>
      </c>
      <c r="B3007" t="s">
        <v>4432</v>
      </c>
      <c r="C3007" t="s">
        <v>40</v>
      </c>
      <c r="D3007" s="1" t="s">
        <v>52</v>
      </c>
      <c r="E3007" t="s">
        <v>22</v>
      </c>
      <c r="F3007" s="5" t="str">
        <f>HYPERLINK("http://www.otzar.org/book.asp?630240","קונטרס ברכת יעקב - 2 כר'")</f>
        <v>קונטרס ברכת יעקב - 2 כר'</v>
      </c>
    </row>
    <row r="3008" spans="1:6" x14ac:dyDescent="0.2">
      <c r="A3008" t="s">
        <v>5947</v>
      </c>
      <c r="B3008" t="s">
        <v>5421</v>
      </c>
      <c r="C3008" t="s">
        <v>13</v>
      </c>
      <c r="D3008" s="1" t="s">
        <v>9</v>
      </c>
      <c r="E3008" t="s">
        <v>37</v>
      </c>
      <c r="F3008" s="5" t="str">
        <f>HYPERLINK("http://www.otzar.org/book.asp?629693","קונטרס ברכת ישע")</f>
        <v>קונטרס ברכת ישע</v>
      </c>
    </row>
    <row r="3009" spans="1:6" x14ac:dyDescent="0.2">
      <c r="A3009" t="s">
        <v>5948</v>
      </c>
      <c r="B3009" t="s">
        <v>5949</v>
      </c>
      <c r="E3009" t="s">
        <v>37</v>
      </c>
      <c r="F3009" s="5" t="str">
        <f>HYPERLINK("http://www.otzar.org/book.asp?625857","קונטרס ברכת שלמה")</f>
        <v>קונטרס ברכת שלמה</v>
      </c>
    </row>
    <row r="3010" spans="1:6" x14ac:dyDescent="0.2">
      <c r="A3010" t="s">
        <v>5950</v>
      </c>
      <c r="B3010" t="s">
        <v>5951</v>
      </c>
      <c r="C3010" t="s">
        <v>13</v>
      </c>
      <c r="D3010" s="1" t="s">
        <v>9</v>
      </c>
      <c r="E3010" t="s">
        <v>49</v>
      </c>
      <c r="F3010" s="5" t="str">
        <f>HYPERLINK("http://www.otzar.org/book.asp?625662","קונטרס בשולי השולחן")</f>
        <v>קונטרס בשולי השולחן</v>
      </c>
    </row>
    <row r="3011" spans="1:6" x14ac:dyDescent="0.2">
      <c r="A3011" t="s">
        <v>5952</v>
      </c>
      <c r="B3011" t="s">
        <v>94</v>
      </c>
      <c r="F3011" s="5" t="str">
        <f>HYPERLINK("http://www.otzar.org/book.asp?629915","קונטרס גחלים על ראשו")</f>
        <v>קונטרס גחלים על ראשו</v>
      </c>
    </row>
    <row r="3012" spans="1:6" x14ac:dyDescent="0.2">
      <c r="A3012" t="s">
        <v>5953</v>
      </c>
      <c r="B3012" t="s">
        <v>5920</v>
      </c>
      <c r="C3012" t="s">
        <v>13</v>
      </c>
      <c r="D3012" s="1" t="s">
        <v>29</v>
      </c>
      <c r="E3012" t="s">
        <v>37</v>
      </c>
      <c r="F3012" s="5" t="str">
        <f>HYPERLINK("http://www.otzar.org/book.asp?627266","קונטרס גידול הזקן - 2 כר'")</f>
        <v>קונטרס גידול הזקן - 2 כר'</v>
      </c>
    </row>
    <row r="3013" spans="1:6" x14ac:dyDescent="0.2">
      <c r="A3013" t="s">
        <v>5954</v>
      </c>
      <c r="B3013" t="s">
        <v>890</v>
      </c>
      <c r="C3013" t="s">
        <v>13</v>
      </c>
      <c r="D3013" s="1" t="s">
        <v>9</v>
      </c>
      <c r="E3013" t="s">
        <v>89</v>
      </c>
      <c r="F3013" s="5" t="str">
        <f>HYPERLINK("http://www.otzar.org/book.asp?627274","קונטרס גמולו בראשו")</f>
        <v>קונטרס גמולו בראשו</v>
      </c>
    </row>
    <row r="3014" spans="1:6" x14ac:dyDescent="0.2">
      <c r="A3014" t="s">
        <v>5955</v>
      </c>
      <c r="B3014" t="s">
        <v>674</v>
      </c>
      <c r="C3014" t="s">
        <v>383</v>
      </c>
      <c r="D3014" s="1" t="s">
        <v>9</v>
      </c>
      <c r="E3014" t="s">
        <v>671</v>
      </c>
      <c r="F3014" s="5" t="str">
        <f>HYPERLINK("http://www.otzar.org/book.asp?623581","קונטרס גער חית קנה")</f>
        <v>קונטרס גער חית קנה</v>
      </c>
    </row>
    <row r="3015" spans="1:6" x14ac:dyDescent="0.2">
      <c r="A3015" t="s">
        <v>5956</v>
      </c>
      <c r="B3015" t="s">
        <v>970</v>
      </c>
      <c r="C3015" t="s">
        <v>13</v>
      </c>
      <c r="D3015" s="1" t="s">
        <v>14</v>
      </c>
      <c r="E3015" t="s">
        <v>17</v>
      </c>
      <c r="F3015" s="5" t="str">
        <f>HYPERLINK("http://www.otzar.org/book.asp?627163","קונטרס דבר הגורם לממון")</f>
        <v>קונטרס דבר הגורם לממון</v>
      </c>
    </row>
    <row r="3016" spans="1:6" x14ac:dyDescent="0.2">
      <c r="A3016" t="s">
        <v>5957</v>
      </c>
      <c r="B3016" t="s">
        <v>5958</v>
      </c>
      <c r="C3016" t="s">
        <v>73</v>
      </c>
      <c r="D3016" s="1" t="s">
        <v>223</v>
      </c>
      <c r="E3016" t="s">
        <v>836</v>
      </c>
      <c r="F3016" s="5" t="str">
        <f>HYPERLINK("http://www.otzar.org/book.asp?630326","קונטרס דברי אותותיו - א")</f>
        <v>קונטרס דברי אותותיו - א</v>
      </c>
    </row>
    <row r="3017" spans="1:6" x14ac:dyDescent="0.2">
      <c r="A3017" t="s">
        <v>5959</v>
      </c>
      <c r="B3017" t="s">
        <v>94</v>
      </c>
      <c r="C3017" t="s">
        <v>40</v>
      </c>
      <c r="D3017" s="1" t="s">
        <v>9</v>
      </c>
      <c r="E3017" t="s">
        <v>214</v>
      </c>
      <c r="F3017" s="5" t="str">
        <f>HYPERLINK("http://www.otzar.org/book.asp?629748","קונטרס דברי פז")</f>
        <v>קונטרס דברי פז</v>
      </c>
    </row>
    <row r="3018" spans="1:6" x14ac:dyDescent="0.2">
      <c r="A3018" t="s">
        <v>5960</v>
      </c>
      <c r="B3018" t="s">
        <v>5961</v>
      </c>
      <c r="C3018" t="s">
        <v>123</v>
      </c>
      <c r="D3018" s="1" t="s">
        <v>9</v>
      </c>
      <c r="E3018" t="s">
        <v>37</v>
      </c>
      <c r="F3018" s="5" t="str">
        <f>HYPERLINK("http://www.otzar.org/book.asp?626317","קונטרס דברי קדושה")</f>
        <v>קונטרס דברי קדושה</v>
      </c>
    </row>
    <row r="3019" spans="1:6" x14ac:dyDescent="0.2">
      <c r="A3019" t="s">
        <v>5962</v>
      </c>
      <c r="B3019" t="s">
        <v>5963</v>
      </c>
      <c r="C3019" t="s">
        <v>73</v>
      </c>
      <c r="D3019" s="1" t="s">
        <v>9</v>
      </c>
      <c r="E3019" t="s">
        <v>5964</v>
      </c>
      <c r="F3019" s="5" t="str">
        <f>HYPERLINK("http://www.otzar.org/book.asp?628640","קונטרס דברי שמואל - דיני ברכת התורה")</f>
        <v>קונטרס דברי שמואל - דיני ברכת התורה</v>
      </c>
    </row>
    <row r="3020" spans="1:6" x14ac:dyDescent="0.2">
      <c r="A3020" t="s">
        <v>5965</v>
      </c>
      <c r="B3020" t="s">
        <v>5966</v>
      </c>
      <c r="C3020" t="s">
        <v>73</v>
      </c>
      <c r="D3020" s="1" t="s">
        <v>14</v>
      </c>
      <c r="E3020" t="s">
        <v>22</v>
      </c>
      <c r="F3020" s="5" t="str">
        <f>HYPERLINK("http://www.otzar.org/book.asp?629837","קונטרס דברי שרגא - 2 כר'")</f>
        <v>קונטרס דברי שרגא - 2 כר'</v>
      </c>
    </row>
    <row r="3021" spans="1:6" x14ac:dyDescent="0.2">
      <c r="A3021" t="s">
        <v>5967</v>
      </c>
      <c r="B3021" t="s">
        <v>5968</v>
      </c>
      <c r="C3021" t="s">
        <v>584</v>
      </c>
      <c r="D3021" s="1" t="s">
        <v>9</v>
      </c>
      <c r="F3021" s="5" t="str">
        <f>HYPERLINK("http://www.otzar.org/book.asp?630745","קונטרס דברי תורה")</f>
        <v>קונטרס דברי תורה</v>
      </c>
    </row>
    <row r="3022" spans="1:6" x14ac:dyDescent="0.2">
      <c r="A3022" t="s">
        <v>5969</v>
      </c>
      <c r="B3022" t="s">
        <v>5970</v>
      </c>
      <c r="C3022" t="s">
        <v>1788</v>
      </c>
      <c r="D3022" s="1" t="s">
        <v>14</v>
      </c>
      <c r="E3022" t="s">
        <v>37</v>
      </c>
      <c r="F3022" s="5" t="str">
        <f>HYPERLINK("http://www.otzar.org/book.asp?624952","קונטרס דיני שביעית")</f>
        <v>קונטרס דיני שביעית</v>
      </c>
    </row>
    <row r="3023" spans="1:6" x14ac:dyDescent="0.2">
      <c r="A3023" t="s">
        <v>5969</v>
      </c>
      <c r="B3023" t="s">
        <v>899</v>
      </c>
      <c r="C3023" t="s">
        <v>190</v>
      </c>
      <c r="D3023" s="1" t="s">
        <v>9</v>
      </c>
      <c r="E3023" t="s">
        <v>37</v>
      </c>
      <c r="F3023" s="5" t="str">
        <f>HYPERLINK("http://www.otzar.org/book.asp?630581","קונטרס דיני שביעית")</f>
        <v>קונטרס דיני שביעית</v>
      </c>
    </row>
    <row r="3024" spans="1:6" x14ac:dyDescent="0.2">
      <c r="A3024" t="s">
        <v>5971</v>
      </c>
      <c r="B3024" t="s">
        <v>252</v>
      </c>
      <c r="C3024" t="s">
        <v>133</v>
      </c>
      <c r="D3024" s="1" t="s">
        <v>52</v>
      </c>
      <c r="E3024" t="s">
        <v>37</v>
      </c>
      <c r="F3024" s="5" t="str">
        <f>HYPERLINK("http://www.otzar.org/book.asp?630324","קונטרס דינים דקדוקים וחומרות בתפילין")</f>
        <v>קונטרס דינים דקדוקים וחומרות בתפילין</v>
      </c>
    </row>
    <row r="3025" spans="1:6" x14ac:dyDescent="0.2">
      <c r="A3025" t="s">
        <v>5972</v>
      </c>
      <c r="B3025" t="s">
        <v>3205</v>
      </c>
      <c r="C3025" t="s">
        <v>13</v>
      </c>
      <c r="D3025" s="1" t="s">
        <v>14</v>
      </c>
      <c r="E3025" t="s">
        <v>34</v>
      </c>
      <c r="F3025" s="5" t="str">
        <f>HYPERLINK("http://www.otzar.org/book.asp?628134","קונטרס דעת תורה")</f>
        <v>קונטרס דעת תורה</v>
      </c>
    </row>
    <row r="3026" spans="1:6" x14ac:dyDescent="0.2">
      <c r="A3026" t="s">
        <v>5973</v>
      </c>
      <c r="B3026" t="s">
        <v>5209</v>
      </c>
      <c r="C3026" t="s">
        <v>13</v>
      </c>
      <c r="D3026" s="1" t="s">
        <v>52</v>
      </c>
      <c r="E3026" t="s">
        <v>89</v>
      </c>
      <c r="F3026" s="5" t="str">
        <f>HYPERLINK("http://www.otzar.org/book.asp?629358","קונטרס דצך עדש באחב")</f>
        <v>קונטרס דצך עדש באחב</v>
      </c>
    </row>
    <row r="3027" spans="1:6" x14ac:dyDescent="0.2">
      <c r="A3027" t="s">
        <v>5974</v>
      </c>
      <c r="B3027" t="s">
        <v>5975</v>
      </c>
      <c r="C3027" t="s">
        <v>245</v>
      </c>
      <c r="D3027" s="1" t="s">
        <v>29</v>
      </c>
      <c r="E3027" t="s">
        <v>187</v>
      </c>
      <c r="F3027" s="5" t="str">
        <f>HYPERLINK("http://www.otzar.org/book.asp?624662","קונטרס דרך חיים תוכחות מוסר")</f>
        <v>קונטרס דרך חיים תוכחות מוסר</v>
      </c>
    </row>
    <row r="3028" spans="1:6" x14ac:dyDescent="0.2">
      <c r="A3028" t="s">
        <v>5976</v>
      </c>
      <c r="B3028" t="s">
        <v>5977</v>
      </c>
      <c r="C3028" t="s">
        <v>13</v>
      </c>
      <c r="D3028" s="1" t="s">
        <v>14</v>
      </c>
      <c r="E3028" t="s">
        <v>37</v>
      </c>
      <c r="F3028" s="5" t="str">
        <f>HYPERLINK("http://www.otzar.org/book.asp?630129","קונטרס דרך ישועות")</f>
        <v>קונטרס דרך ישועות</v>
      </c>
    </row>
    <row r="3029" spans="1:6" x14ac:dyDescent="0.2">
      <c r="A3029" t="s">
        <v>5978</v>
      </c>
      <c r="B3029" t="s">
        <v>5979</v>
      </c>
      <c r="C3029" t="s">
        <v>8</v>
      </c>
      <c r="D3029" s="1" t="s">
        <v>29</v>
      </c>
      <c r="E3029" t="s">
        <v>37</v>
      </c>
      <c r="F3029" s="5" t="str">
        <f>HYPERLINK("http://www.otzar.org/book.asp?625541","קונטרס דרכי חיים - הערות על ספר חפץ חיים")</f>
        <v>קונטרס דרכי חיים - הערות על ספר חפץ חיים</v>
      </c>
    </row>
    <row r="3030" spans="1:6" x14ac:dyDescent="0.2">
      <c r="A3030" t="s">
        <v>5980</v>
      </c>
      <c r="B3030" t="s">
        <v>5981</v>
      </c>
      <c r="C3030" t="s">
        <v>133</v>
      </c>
      <c r="D3030" s="1" t="s">
        <v>9</v>
      </c>
      <c r="E3030" t="s">
        <v>49</v>
      </c>
      <c r="F3030" s="5" t="str">
        <f>HYPERLINK("http://www.otzar.org/book.asp?624917","קונטרס דרכי חיים - ב")</f>
        <v>קונטרס דרכי חיים - ב</v>
      </c>
    </row>
    <row r="3031" spans="1:6" x14ac:dyDescent="0.2">
      <c r="A3031" t="s">
        <v>5982</v>
      </c>
      <c r="B3031" t="s">
        <v>5983</v>
      </c>
      <c r="C3031" t="s">
        <v>8</v>
      </c>
      <c r="D3031" s="1" t="s">
        <v>14</v>
      </c>
      <c r="E3031" t="s">
        <v>49</v>
      </c>
      <c r="F3031" s="5" t="str">
        <f>HYPERLINK("http://www.otzar.org/book.asp?626539","קונטרס דרש באוכלוסא")</f>
        <v>קונטרס דרש באוכלוסא</v>
      </c>
    </row>
    <row r="3032" spans="1:6" x14ac:dyDescent="0.2">
      <c r="A3032" t="s">
        <v>5984</v>
      </c>
      <c r="B3032" t="s">
        <v>4567</v>
      </c>
      <c r="C3032" t="s">
        <v>40</v>
      </c>
      <c r="D3032" s="1" t="s">
        <v>14</v>
      </c>
      <c r="E3032" t="s">
        <v>49</v>
      </c>
      <c r="F3032" s="5" t="str">
        <f>HYPERLINK("http://www.otzar.org/book.asp?623845","קונטרס האור החיים הקדוש")</f>
        <v>קונטרס האור החיים הקדוש</v>
      </c>
    </row>
    <row r="3033" spans="1:6" x14ac:dyDescent="0.2">
      <c r="A3033" t="s">
        <v>5985</v>
      </c>
      <c r="B3033" t="s">
        <v>5986</v>
      </c>
      <c r="C3033" t="s">
        <v>206</v>
      </c>
      <c r="D3033" s="1" t="s">
        <v>9</v>
      </c>
      <c r="E3033" t="s">
        <v>22</v>
      </c>
      <c r="F3033" s="5" t="str">
        <f>HYPERLINK("http://www.otzar.org/book.asp?623590","קונטרס האזינו רוזנים")</f>
        <v>קונטרס האזינו רוזנים</v>
      </c>
    </row>
    <row r="3034" spans="1:6" x14ac:dyDescent="0.2">
      <c r="A3034" t="s">
        <v>5987</v>
      </c>
      <c r="B3034" t="s">
        <v>5988</v>
      </c>
      <c r="C3034" t="s">
        <v>584</v>
      </c>
      <c r="D3034" s="1" t="s">
        <v>607</v>
      </c>
      <c r="E3034" t="s">
        <v>154</v>
      </c>
      <c r="F3034" s="5" t="str">
        <f>HYPERLINK("http://www.otzar.org/book.asp?630214","קונטרס האם ערבה זו כשרה")</f>
        <v>קונטרס האם ערבה זו כשרה</v>
      </c>
    </row>
    <row r="3035" spans="1:6" x14ac:dyDescent="0.2">
      <c r="A3035" t="s">
        <v>5989</v>
      </c>
      <c r="B3035" t="s">
        <v>5990</v>
      </c>
      <c r="C3035" t="s">
        <v>13</v>
      </c>
      <c r="D3035" s="1" t="s">
        <v>52</v>
      </c>
      <c r="E3035" t="s">
        <v>49</v>
      </c>
      <c r="F3035" s="5" t="str">
        <f>HYPERLINK("http://www.otzar.org/book.asp?629370","קונטרס הבוחר בתורה ובמשה עבדו")</f>
        <v>קונטרס הבוחר בתורה ובמשה עבדו</v>
      </c>
    </row>
    <row r="3036" spans="1:6" x14ac:dyDescent="0.2">
      <c r="A3036" t="s">
        <v>5991</v>
      </c>
      <c r="B3036" t="s">
        <v>5992</v>
      </c>
      <c r="C3036" t="s">
        <v>20</v>
      </c>
      <c r="D3036" s="1" t="s">
        <v>21</v>
      </c>
      <c r="E3036" t="s">
        <v>154</v>
      </c>
      <c r="F3036" s="5" t="str">
        <f>HYPERLINK("http://www.otzar.org/book.asp?628057","קונטרס הבורגנין של רמות")</f>
        <v>קונטרס הבורגנין של רמות</v>
      </c>
    </row>
    <row r="3037" spans="1:6" x14ac:dyDescent="0.2">
      <c r="A3037" t="s">
        <v>5993</v>
      </c>
      <c r="B3037" t="s">
        <v>276</v>
      </c>
      <c r="C3037" t="s">
        <v>8</v>
      </c>
      <c r="D3037" s="1" t="s">
        <v>52</v>
      </c>
      <c r="E3037" t="s">
        <v>34</v>
      </c>
      <c r="F3037" s="5" t="str">
        <f>HYPERLINK("http://www.otzar.org/book.asp?627647","קונטרס הברכה על המרור")</f>
        <v>קונטרס הברכה על המרור</v>
      </c>
    </row>
    <row r="3038" spans="1:6" x14ac:dyDescent="0.2">
      <c r="A3038" t="s">
        <v>5994</v>
      </c>
      <c r="B3038" t="s">
        <v>890</v>
      </c>
      <c r="C3038" t="s">
        <v>8</v>
      </c>
      <c r="D3038" s="1" t="s">
        <v>52</v>
      </c>
      <c r="E3038" t="s">
        <v>37</v>
      </c>
      <c r="F3038" s="5" t="str">
        <f>HYPERLINK("http://www.otzar.org/book.asp?630141","קונטרס הבת והלכותיה - סעודת בת מצוה")</f>
        <v>קונטרס הבת והלכותיה - סעודת בת מצוה</v>
      </c>
    </row>
    <row r="3039" spans="1:6" x14ac:dyDescent="0.2">
      <c r="A3039" t="s">
        <v>5995</v>
      </c>
      <c r="B3039" t="s">
        <v>5996</v>
      </c>
      <c r="E3039" t="s">
        <v>22</v>
      </c>
      <c r="F3039" s="5" t="str">
        <f>HYPERLINK("http://www.otzar.org/book.asp?623343","קונטרס הגדול - א")</f>
        <v>קונטרס הגדול - א</v>
      </c>
    </row>
    <row r="3040" spans="1:6" x14ac:dyDescent="0.2">
      <c r="A3040" t="s">
        <v>5997</v>
      </c>
      <c r="B3040" t="s">
        <v>4970</v>
      </c>
      <c r="C3040" t="s">
        <v>1074</v>
      </c>
      <c r="D3040" s="1" t="s">
        <v>9</v>
      </c>
      <c r="E3040" t="s">
        <v>17</v>
      </c>
      <c r="F3040" s="5" t="str">
        <f>HYPERLINK("http://www.otzar.org/book.asp?628723","קונטרס הגדת משה")</f>
        <v>קונטרס הגדת משה</v>
      </c>
    </row>
    <row r="3041" spans="1:6" x14ac:dyDescent="0.2">
      <c r="A3041" t="s">
        <v>5998</v>
      </c>
      <c r="B3041" t="s">
        <v>5999</v>
      </c>
      <c r="C3041" t="s">
        <v>88</v>
      </c>
      <c r="D3041" s="1" t="s">
        <v>14</v>
      </c>
      <c r="E3041" t="s">
        <v>37</v>
      </c>
      <c r="F3041" s="5" t="str">
        <f>HYPERLINK("http://www.otzar.org/book.asp?630087","קונטרס הגירות")</f>
        <v>קונטרס הגירות</v>
      </c>
    </row>
    <row r="3042" spans="1:6" x14ac:dyDescent="0.2">
      <c r="A3042" t="s">
        <v>6000</v>
      </c>
      <c r="B3042" t="s">
        <v>6001</v>
      </c>
      <c r="C3042" t="s">
        <v>73</v>
      </c>
      <c r="D3042" s="1" t="s">
        <v>52</v>
      </c>
      <c r="E3042" t="s">
        <v>37</v>
      </c>
      <c r="F3042" s="5" t="str">
        <f>HYPERLINK("http://www.otzar.org/book.asp?624827","קונטרס הואיל משה")</f>
        <v>קונטרס הואיל משה</v>
      </c>
    </row>
    <row r="3043" spans="1:6" x14ac:dyDescent="0.2">
      <c r="A3043" t="s">
        <v>6002</v>
      </c>
      <c r="B3043" t="s">
        <v>6003</v>
      </c>
      <c r="C3043" t="s">
        <v>20</v>
      </c>
      <c r="D3043" s="1" t="s">
        <v>4539</v>
      </c>
      <c r="E3043" t="s">
        <v>89</v>
      </c>
      <c r="F3043" s="5" t="str">
        <f>HYPERLINK("http://www.otzar.org/book.asp?625387","קונטרס הוד שבהוד")</f>
        <v>קונטרס הוד שבהוד</v>
      </c>
    </row>
    <row r="3044" spans="1:6" x14ac:dyDescent="0.2">
      <c r="A3044" t="s">
        <v>6004</v>
      </c>
      <c r="B3044" t="s">
        <v>5907</v>
      </c>
      <c r="C3044" t="s">
        <v>383</v>
      </c>
      <c r="D3044" s="1" t="s">
        <v>14</v>
      </c>
      <c r="E3044" t="s">
        <v>22</v>
      </c>
      <c r="F3044" s="5" t="str">
        <f>HYPERLINK("http://www.otzar.org/book.asp?624957","קונטרס הוצאה")</f>
        <v>קונטרס הוצאה</v>
      </c>
    </row>
    <row r="3045" spans="1:6" x14ac:dyDescent="0.2">
      <c r="A3045" t="s">
        <v>6005</v>
      </c>
      <c r="B3045" t="s">
        <v>2810</v>
      </c>
      <c r="E3045" t="s">
        <v>214</v>
      </c>
      <c r="F3045" s="5" t="str">
        <f>HYPERLINK("http://www.otzar.org/book.asp?627745","קונטרס החבורות מילי דנזיקין")</f>
        <v>קונטרס החבורות מילי דנזיקין</v>
      </c>
    </row>
    <row r="3046" spans="1:6" x14ac:dyDescent="0.2">
      <c r="A3046" t="s">
        <v>6006</v>
      </c>
      <c r="B3046" t="s">
        <v>6007</v>
      </c>
      <c r="C3046" t="s">
        <v>8</v>
      </c>
      <c r="D3046" s="1" t="s">
        <v>14</v>
      </c>
      <c r="E3046" t="s">
        <v>49</v>
      </c>
      <c r="F3046" s="5" t="str">
        <f>HYPERLINK("http://www.otzar.org/book.asp?625738","קונטרס הטהרות - כללי קרבנות")</f>
        <v>קונטרס הטהרות - כללי קרבנות</v>
      </c>
    </row>
    <row r="3047" spans="1:6" x14ac:dyDescent="0.2">
      <c r="A3047" t="s">
        <v>6008</v>
      </c>
      <c r="B3047" t="s">
        <v>94</v>
      </c>
      <c r="C3047" t="s">
        <v>386</v>
      </c>
      <c r="D3047" s="1" t="s">
        <v>14</v>
      </c>
      <c r="E3047" t="s">
        <v>34</v>
      </c>
      <c r="F3047" s="5" t="str">
        <f>HYPERLINK("http://www.otzar.org/book.asp?623502","קונטרס היא אוצרו")</f>
        <v>קונטרס היא אוצרו</v>
      </c>
    </row>
    <row r="3048" spans="1:6" x14ac:dyDescent="0.2">
      <c r="A3048" t="s">
        <v>6009</v>
      </c>
      <c r="B3048" t="s">
        <v>6010</v>
      </c>
      <c r="C3048" t="s">
        <v>13</v>
      </c>
      <c r="D3048" s="1" t="s">
        <v>1295</v>
      </c>
      <c r="E3048" t="s">
        <v>61</v>
      </c>
      <c r="F3048" s="5" t="str">
        <f>HYPERLINK("http://www.otzar.org/book.asp?623303","קונטרס הלכות טריפות הריאה")</f>
        <v>קונטרס הלכות טריפות הריאה</v>
      </c>
    </row>
    <row r="3049" spans="1:6" x14ac:dyDescent="0.2">
      <c r="A3049" t="s">
        <v>6011</v>
      </c>
      <c r="B3049" t="s">
        <v>6012</v>
      </c>
      <c r="C3049" t="s">
        <v>13</v>
      </c>
      <c r="D3049" s="1" t="s">
        <v>14</v>
      </c>
      <c r="E3049" t="s">
        <v>37</v>
      </c>
      <c r="F3049" s="5" t="str">
        <f>HYPERLINK("http://www.otzar.org/book.asp?630126","קונטרס הלכות מצויות - 2 כר'")</f>
        <v>קונטרס הלכות מצויות - 2 כר'</v>
      </c>
    </row>
    <row r="3050" spans="1:6" x14ac:dyDescent="0.2">
      <c r="A3050" t="s">
        <v>6013</v>
      </c>
      <c r="B3050" t="s">
        <v>272</v>
      </c>
      <c r="C3050" t="s">
        <v>13</v>
      </c>
      <c r="D3050" s="1" t="s">
        <v>52</v>
      </c>
      <c r="E3050" t="s">
        <v>1616</v>
      </c>
      <c r="F3050" s="5" t="str">
        <f>HYPERLINK("http://www.otzar.org/book.asp?628492","קונטרס הלכות שתי הלחם")</f>
        <v>קונטרס הלכות שתי הלחם</v>
      </c>
    </row>
    <row r="3051" spans="1:6" x14ac:dyDescent="0.2">
      <c r="A3051" t="s">
        <v>6014</v>
      </c>
      <c r="B3051" t="s">
        <v>6015</v>
      </c>
      <c r="C3051" t="s">
        <v>20</v>
      </c>
      <c r="D3051" s="1" t="s">
        <v>14</v>
      </c>
      <c r="E3051" t="s">
        <v>37</v>
      </c>
      <c r="F3051" s="5" t="str">
        <f>HYPERLINK("http://www.otzar.org/book.asp?628800","קונטרס הלכות תקיעת שופר - 2 כר'")</f>
        <v>קונטרס הלכות תקיעת שופר - 2 כר'</v>
      </c>
    </row>
    <row r="3052" spans="1:6" x14ac:dyDescent="0.2">
      <c r="A3052" t="s">
        <v>6016</v>
      </c>
      <c r="B3052" t="s">
        <v>6017</v>
      </c>
      <c r="C3052" t="s">
        <v>40</v>
      </c>
      <c r="D3052" s="1" t="s">
        <v>64</v>
      </c>
      <c r="E3052" t="s">
        <v>37</v>
      </c>
      <c r="F3052" s="5" t="str">
        <f>HYPERLINK("http://www.otzar.org/book.asp?624724","קונטרס המאיר לארץ")</f>
        <v>קונטרס המאיר לארץ</v>
      </c>
    </row>
    <row r="3053" spans="1:6" x14ac:dyDescent="0.2">
      <c r="A3053" t="s">
        <v>6018</v>
      </c>
      <c r="B3053" t="s">
        <v>6019</v>
      </c>
      <c r="C3053" t="s">
        <v>20</v>
      </c>
      <c r="D3053" s="1" t="s">
        <v>52</v>
      </c>
      <c r="E3053" t="s">
        <v>375</v>
      </c>
      <c r="F3053" s="5" t="str">
        <f>HYPERLINK("http://www.otzar.org/book.asp?630368","קונטרס הנהגת התורה בספיקות")</f>
        <v>קונטרס הנהגת התורה בספיקות</v>
      </c>
    </row>
    <row r="3054" spans="1:6" x14ac:dyDescent="0.2">
      <c r="A3054" t="s">
        <v>6020</v>
      </c>
      <c r="B3054" t="s">
        <v>6021</v>
      </c>
      <c r="C3054" t="s">
        <v>73</v>
      </c>
      <c r="D3054" s="1" t="s">
        <v>29</v>
      </c>
      <c r="E3054" t="s">
        <v>22</v>
      </c>
      <c r="F3054" s="5" t="str">
        <f>HYPERLINK("http://www.otzar.org/book.asp?623363","קונטרס העיונים - 6 כר'")</f>
        <v>קונטרס העיונים - 6 כר'</v>
      </c>
    </row>
    <row r="3055" spans="1:6" x14ac:dyDescent="0.2">
      <c r="A3055" t="s">
        <v>6022</v>
      </c>
      <c r="B3055" t="s">
        <v>6023</v>
      </c>
      <c r="C3055" t="s">
        <v>307</v>
      </c>
      <c r="D3055" s="1" t="s">
        <v>52</v>
      </c>
      <c r="E3055" t="s">
        <v>4165</v>
      </c>
      <c r="F3055" s="5" t="str">
        <f>HYPERLINK("http://www.otzar.org/book.asp?630303","קונטרס העצות לתפילה בכוונה")</f>
        <v>קונטרס העצות לתפילה בכוונה</v>
      </c>
    </row>
    <row r="3056" spans="1:6" x14ac:dyDescent="0.2">
      <c r="A3056" t="s">
        <v>6024</v>
      </c>
      <c r="B3056" t="s">
        <v>6025</v>
      </c>
      <c r="C3056" t="s">
        <v>8</v>
      </c>
      <c r="D3056" s="1" t="s">
        <v>52</v>
      </c>
      <c r="E3056" t="s">
        <v>22</v>
      </c>
      <c r="F3056" s="5" t="str">
        <f>HYPERLINK("http://www.otzar.org/book.asp?625480","קונטרס הערות וביאורים - 3 כר'")</f>
        <v>קונטרס הערות וביאורים - 3 כר'</v>
      </c>
    </row>
    <row r="3057" spans="1:6" x14ac:dyDescent="0.2">
      <c r="A3057" t="s">
        <v>6026</v>
      </c>
      <c r="B3057" t="s">
        <v>6027</v>
      </c>
      <c r="C3057" t="s">
        <v>106</v>
      </c>
      <c r="D3057" s="1" t="s">
        <v>14</v>
      </c>
      <c r="E3057" t="s">
        <v>89</v>
      </c>
      <c r="F3057" s="5" t="str">
        <f>HYPERLINK("http://www.otzar.org/book.asp?626609","קונטרס הערות ועיונים")</f>
        <v>קונטרס הערות ועיונים</v>
      </c>
    </row>
    <row r="3058" spans="1:6" x14ac:dyDescent="0.2">
      <c r="A3058" t="s">
        <v>6028</v>
      </c>
      <c r="B3058" t="s">
        <v>899</v>
      </c>
      <c r="C3058" t="s">
        <v>40</v>
      </c>
      <c r="D3058" s="1" t="s">
        <v>9</v>
      </c>
      <c r="E3058" t="s">
        <v>154</v>
      </c>
      <c r="F3058" s="5" t="str">
        <f>HYPERLINK("http://www.otzar.org/book.asp?630577","קונטרס הפיטם")</f>
        <v>קונטרס הפיטם</v>
      </c>
    </row>
    <row r="3059" spans="1:6" x14ac:dyDescent="0.2">
      <c r="A3059" t="s">
        <v>6029</v>
      </c>
      <c r="B3059" t="s">
        <v>3472</v>
      </c>
      <c r="C3059" t="s">
        <v>8</v>
      </c>
      <c r="D3059" s="1" t="s">
        <v>557</v>
      </c>
      <c r="E3059" t="s">
        <v>34</v>
      </c>
      <c r="F3059" s="5" t="str">
        <f>HYPERLINK("http://www.otzar.org/book.asp?622529","קונטרס הרועה בשושנים")</f>
        <v>קונטרס הרועה בשושנים</v>
      </c>
    </row>
    <row r="3060" spans="1:6" x14ac:dyDescent="0.2">
      <c r="A3060" t="s">
        <v>6030</v>
      </c>
      <c r="B3060" t="s">
        <v>6031</v>
      </c>
      <c r="C3060" t="s">
        <v>25</v>
      </c>
      <c r="D3060" s="1" t="s">
        <v>268</v>
      </c>
      <c r="E3060" t="s">
        <v>242</v>
      </c>
      <c r="F3060" s="5" t="str">
        <f>HYPERLINK("http://www.otzar.org/book.asp?628793","קונטרס הררים התלויים בשערה")</f>
        <v>קונטרס הררים התלויים בשערה</v>
      </c>
    </row>
    <row r="3061" spans="1:6" x14ac:dyDescent="0.2">
      <c r="A3061" t="s">
        <v>6032</v>
      </c>
      <c r="B3061" t="s">
        <v>94</v>
      </c>
      <c r="C3061" t="s">
        <v>397</v>
      </c>
      <c r="D3061" s="1" t="s">
        <v>1906</v>
      </c>
      <c r="E3061" t="s">
        <v>34</v>
      </c>
      <c r="F3061" s="5" t="str">
        <f>HYPERLINK("http://www.otzar.org/book.asp?623503","קונטרס השיבני שבת")</f>
        <v>קונטרס השיבני שבת</v>
      </c>
    </row>
    <row r="3062" spans="1:6" x14ac:dyDescent="0.2">
      <c r="A3062" t="s">
        <v>6033</v>
      </c>
      <c r="B3062" t="s">
        <v>890</v>
      </c>
      <c r="C3062" t="s">
        <v>13</v>
      </c>
      <c r="D3062" s="1" t="s">
        <v>557</v>
      </c>
      <c r="E3062" t="s">
        <v>295</v>
      </c>
      <c r="F3062" s="5" t="str">
        <f>HYPERLINK("http://www.otzar.org/book.asp?630312","קונטרס התבוננות בברכת אשר יצר")</f>
        <v>קונטרס התבוננות בברכת אשר יצר</v>
      </c>
    </row>
    <row r="3063" spans="1:6" x14ac:dyDescent="0.2">
      <c r="A3063" t="s">
        <v>6034</v>
      </c>
      <c r="B3063" t="s">
        <v>1272</v>
      </c>
      <c r="C3063" t="s">
        <v>411</v>
      </c>
      <c r="D3063" s="1" t="s">
        <v>9</v>
      </c>
      <c r="E3063" t="s">
        <v>22</v>
      </c>
      <c r="F3063" s="5" t="str">
        <f>HYPERLINK("http://www.otzar.org/book.asp?625566","קונטרס התערובות")</f>
        <v>קונטרס התערובות</v>
      </c>
    </row>
    <row r="3064" spans="1:6" x14ac:dyDescent="0.2">
      <c r="A3064" t="s">
        <v>6035</v>
      </c>
      <c r="B3064" t="s">
        <v>110</v>
      </c>
      <c r="C3064" t="s">
        <v>8</v>
      </c>
      <c r="D3064" s="1" t="s">
        <v>52</v>
      </c>
      <c r="E3064" t="s">
        <v>22</v>
      </c>
      <c r="F3064" s="5" t="str">
        <f>HYPERLINK("http://www.otzar.org/book.asp?631573","קונטרס ובו קצת הערות בריש סנהדרין")</f>
        <v>קונטרס ובו קצת הערות בריש סנהדרין</v>
      </c>
    </row>
    <row r="3065" spans="1:6" x14ac:dyDescent="0.2">
      <c r="A3065" t="s">
        <v>6036</v>
      </c>
      <c r="B3065" t="s">
        <v>94</v>
      </c>
      <c r="F3065" s="5" t="str">
        <f>HYPERLINK("http://www.otzar.org/book.asp?630409","קונטרס ובחרת בחיים")</f>
        <v>קונטרס ובחרת בחיים</v>
      </c>
    </row>
    <row r="3066" spans="1:6" x14ac:dyDescent="0.2">
      <c r="A3066" t="s">
        <v>6037</v>
      </c>
      <c r="B3066" t="s">
        <v>4510</v>
      </c>
      <c r="C3066" t="s">
        <v>13</v>
      </c>
      <c r="D3066" s="1" t="s">
        <v>14</v>
      </c>
      <c r="E3066" t="s">
        <v>22</v>
      </c>
      <c r="F3066" s="5" t="str">
        <f>HYPERLINK("http://www.otzar.org/book.asp?629330","קונטרס ודברת בם")</f>
        <v>קונטרס ודברת בם</v>
      </c>
    </row>
    <row r="3067" spans="1:6" x14ac:dyDescent="0.2">
      <c r="A3067" t="s">
        <v>6038</v>
      </c>
      <c r="B3067" t="s">
        <v>6039</v>
      </c>
      <c r="C3067" t="s">
        <v>8</v>
      </c>
      <c r="D3067" s="1" t="s">
        <v>52</v>
      </c>
      <c r="E3067" t="s">
        <v>108</v>
      </c>
      <c r="F3067" s="5" t="str">
        <f>HYPERLINK("http://www.otzar.org/book.asp?626389","קונטרס והבית בהבנותו")</f>
        <v>קונטרס והבית בהבנותו</v>
      </c>
    </row>
    <row r="3068" spans="1:6" x14ac:dyDescent="0.2">
      <c r="A3068" t="s">
        <v>6040</v>
      </c>
      <c r="B3068" t="s">
        <v>6041</v>
      </c>
      <c r="C3068" t="s">
        <v>248</v>
      </c>
      <c r="D3068" s="1" t="s">
        <v>1325</v>
      </c>
      <c r="F3068" s="5" t="str">
        <f>HYPERLINK("http://www.otzar.org/book.asp?623911","קונטרס והיה ברכה")</f>
        <v>קונטרס והיה ברכה</v>
      </c>
    </row>
    <row r="3069" spans="1:6" x14ac:dyDescent="0.2">
      <c r="A3069" t="s">
        <v>6042</v>
      </c>
      <c r="B3069" t="s">
        <v>6043</v>
      </c>
      <c r="C3069" t="s">
        <v>88</v>
      </c>
      <c r="D3069" s="1" t="s">
        <v>52</v>
      </c>
      <c r="E3069" t="s">
        <v>37</v>
      </c>
      <c r="F3069" s="5" t="str">
        <f>HYPERLINK("http://www.otzar.org/book.asp?630485","קונטרס והיה מחניך קדוש")</f>
        <v>קונטרס והיה מחניך קדוש</v>
      </c>
    </row>
    <row r="3070" spans="1:6" x14ac:dyDescent="0.2">
      <c r="A3070" t="s">
        <v>6044</v>
      </c>
      <c r="B3070" t="s">
        <v>6045</v>
      </c>
      <c r="C3070" t="s">
        <v>88</v>
      </c>
      <c r="D3070" s="1" t="s">
        <v>268</v>
      </c>
      <c r="E3070" t="s">
        <v>37</v>
      </c>
      <c r="F3070" s="5" t="str">
        <f>HYPERLINK("http://www.otzar.org/book.asp?179066","קונטרס והיו עיניך רואות")</f>
        <v>קונטרס והיו עיניך רואות</v>
      </c>
    </row>
    <row r="3071" spans="1:6" x14ac:dyDescent="0.2">
      <c r="A3071" t="s">
        <v>6046</v>
      </c>
      <c r="B3071" t="s">
        <v>2790</v>
      </c>
      <c r="C3071" t="s">
        <v>20</v>
      </c>
      <c r="D3071" s="1" t="s">
        <v>52</v>
      </c>
      <c r="E3071" t="s">
        <v>34</v>
      </c>
      <c r="F3071" s="5" t="str">
        <f>HYPERLINK("http://www.otzar.org/book.asp?626792","קונטרס והלכת בדרכיו")</f>
        <v>קונטרס והלכת בדרכיו</v>
      </c>
    </row>
    <row r="3072" spans="1:6" x14ac:dyDescent="0.2">
      <c r="A3072" t="s">
        <v>6047</v>
      </c>
      <c r="B3072" t="s">
        <v>1627</v>
      </c>
      <c r="C3072" t="s">
        <v>73</v>
      </c>
      <c r="D3072" s="1" t="s">
        <v>21</v>
      </c>
      <c r="E3072" t="s">
        <v>22</v>
      </c>
      <c r="F3072" s="5" t="str">
        <f>HYPERLINK("http://www.otzar.org/book.asp?626762","קונטרס והערב נא")</f>
        <v>קונטרס והערב נא</v>
      </c>
    </row>
    <row r="3073" spans="1:6" x14ac:dyDescent="0.2">
      <c r="A3073" t="s">
        <v>6047</v>
      </c>
      <c r="B3073" t="s">
        <v>4020</v>
      </c>
      <c r="C3073" t="s">
        <v>13</v>
      </c>
      <c r="D3073" s="1" t="s">
        <v>9</v>
      </c>
      <c r="E3073" t="s">
        <v>22</v>
      </c>
      <c r="F3073" s="5" t="str">
        <f>HYPERLINK("http://www.otzar.org/book.asp?624798","קונטרס והערב נא")</f>
        <v>קונטרס והערב נא</v>
      </c>
    </row>
    <row r="3074" spans="1:6" x14ac:dyDescent="0.2">
      <c r="A3074" t="s">
        <v>6048</v>
      </c>
      <c r="B3074" t="s">
        <v>1157</v>
      </c>
      <c r="C3074" t="s">
        <v>8</v>
      </c>
      <c r="D3074" s="1" t="s">
        <v>52</v>
      </c>
      <c r="E3074" t="s">
        <v>34</v>
      </c>
      <c r="F3074" s="5" t="str">
        <f>HYPERLINK("http://www.otzar.org/book.asp?626719","קונטרס וידעת היום")</f>
        <v>קונטרס וידעת היום</v>
      </c>
    </row>
    <row r="3075" spans="1:6" x14ac:dyDescent="0.2">
      <c r="A3075" t="s">
        <v>6049</v>
      </c>
      <c r="B3075" t="s">
        <v>420</v>
      </c>
      <c r="C3075" t="s">
        <v>13</v>
      </c>
      <c r="D3075" s="1" t="s">
        <v>400</v>
      </c>
      <c r="F3075" s="5" t="str">
        <f>HYPERLINK("http://www.otzar.org/book.asp?627399","קונטרס וימצא יוסף חן")</f>
        <v>קונטרס וימצא יוסף חן</v>
      </c>
    </row>
    <row r="3076" spans="1:6" x14ac:dyDescent="0.2">
      <c r="A3076" t="s">
        <v>6050</v>
      </c>
      <c r="B3076" t="s">
        <v>923</v>
      </c>
      <c r="C3076" t="s">
        <v>383</v>
      </c>
      <c r="D3076" s="1" t="s">
        <v>14</v>
      </c>
      <c r="F3076" s="5" t="str">
        <f>HYPERLINK("http://www.otzar.org/book.asp?623239","קונטרס ומשפע מצות תפילין")</f>
        <v>קונטרס ומשפע מצות תפילין</v>
      </c>
    </row>
    <row r="3077" spans="1:6" x14ac:dyDescent="0.2">
      <c r="A3077" t="s">
        <v>6051</v>
      </c>
      <c r="B3077" t="s">
        <v>6052</v>
      </c>
      <c r="C3077" t="s">
        <v>818</v>
      </c>
      <c r="D3077" s="1" t="s">
        <v>64</v>
      </c>
      <c r="E3077" t="s">
        <v>22</v>
      </c>
      <c r="F3077" s="5" t="str">
        <f>HYPERLINK("http://www.otzar.org/book.asp?626095","קונטרס ומתורתך תלמדני")</f>
        <v>קונטרס ומתורתך תלמדני</v>
      </c>
    </row>
    <row r="3078" spans="1:6" x14ac:dyDescent="0.2">
      <c r="A3078" t="s">
        <v>6053</v>
      </c>
      <c r="B3078" t="s">
        <v>1236</v>
      </c>
      <c r="C3078" t="s">
        <v>8</v>
      </c>
      <c r="D3078" s="1" t="s">
        <v>21</v>
      </c>
      <c r="F3078" s="5" t="str">
        <f>HYPERLINK("http://www.otzar.org/book.asp?629949","קונטרס ונשמח במצותיך")</f>
        <v>קונטרס ונשמח במצותיך</v>
      </c>
    </row>
    <row r="3079" spans="1:6" x14ac:dyDescent="0.2">
      <c r="A3079" t="s">
        <v>6054</v>
      </c>
      <c r="B3079" t="s">
        <v>6043</v>
      </c>
      <c r="C3079" t="s">
        <v>206</v>
      </c>
      <c r="D3079" s="1" t="s">
        <v>52</v>
      </c>
      <c r="E3079" t="s">
        <v>37</v>
      </c>
      <c r="F3079" s="5" t="str">
        <f>HYPERLINK("http://www.otzar.org/book.asp?630487","קונטרס ונשמרת מכל דבר רע")</f>
        <v>קונטרס ונשמרת מכל דבר רע</v>
      </c>
    </row>
    <row r="3080" spans="1:6" x14ac:dyDescent="0.2">
      <c r="A3080" t="s">
        <v>6055</v>
      </c>
      <c r="B3080" t="s">
        <v>6056</v>
      </c>
      <c r="C3080" t="s">
        <v>13</v>
      </c>
      <c r="D3080" s="1" t="s">
        <v>782</v>
      </c>
      <c r="E3080" t="s">
        <v>37</v>
      </c>
      <c r="F3080" s="5" t="str">
        <f>HYPERLINK("http://www.otzar.org/book.asp?630491","קונטרס וקולי בא בדממה")</f>
        <v>קונטרס וקולי בא בדממה</v>
      </c>
    </row>
    <row r="3081" spans="1:6" x14ac:dyDescent="0.2">
      <c r="A3081" t="s">
        <v>6057</v>
      </c>
      <c r="B3081" t="s">
        <v>6043</v>
      </c>
      <c r="C3081" t="s">
        <v>206</v>
      </c>
      <c r="D3081" s="1" t="s">
        <v>52</v>
      </c>
      <c r="E3081" t="s">
        <v>154</v>
      </c>
      <c r="F3081" s="5" t="str">
        <f>HYPERLINK("http://www.otzar.org/book.asp?630492","קונטרס וקראת לשבת עונג")</f>
        <v>קונטרס וקראת לשבת עונג</v>
      </c>
    </row>
    <row r="3082" spans="1:6" x14ac:dyDescent="0.2">
      <c r="A3082" t="s">
        <v>6058</v>
      </c>
      <c r="B3082" t="s">
        <v>6059</v>
      </c>
      <c r="C3082" t="s">
        <v>818</v>
      </c>
      <c r="D3082" s="1" t="s">
        <v>14</v>
      </c>
      <c r="F3082" s="5" t="str">
        <f>HYPERLINK("http://www.otzar.org/book.asp?630370","קונטרס ורפא ירפא")</f>
        <v>קונטרס ורפא ירפא</v>
      </c>
    </row>
    <row r="3083" spans="1:6" x14ac:dyDescent="0.2">
      <c r="A3083" t="s">
        <v>6060</v>
      </c>
      <c r="B3083" t="s">
        <v>5209</v>
      </c>
      <c r="C3083" t="s">
        <v>25</v>
      </c>
      <c r="D3083" s="1" t="s">
        <v>52</v>
      </c>
      <c r="E3083" t="s">
        <v>89</v>
      </c>
      <c r="F3083" s="5" t="str">
        <f>HYPERLINK("http://www.otzar.org/book.asp?629373","קונטרס ושמחתם לפני ה'")</f>
        <v>קונטרס ושמחתם לפני ה'</v>
      </c>
    </row>
    <row r="3084" spans="1:6" x14ac:dyDescent="0.2">
      <c r="A3084" t="s">
        <v>6061</v>
      </c>
      <c r="B3084" t="s">
        <v>6062</v>
      </c>
      <c r="C3084" t="s">
        <v>13</v>
      </c>
      <c r="D3084" s="1" t="s">
        <v>14</v>
      </c>
      <c r="E3084" t="s">
        <v>49</v>
      </c>
      <c r="F3084" s="5" t="str">
        <f>HYPERLINK("http://www.otzar.org/book.asp?630494","קונטרס ושפני טמוני חול")</f>
        <v>קונטרס ושפני טמוני חול</v>
      </c>
    </row>
    <row r="3085" spans="1:6" x14ac:dyDescent="0.2">
      <c r="A3085" t="s">
        <v>6063</v>
      </c>
      <c r="B3085" t="s">
        <v>94</v>
      </c>
      <c r="C3085" t="s">
        <v>20</v>
      </c>
      <c r="D3085" s="1" t="s">
        <v>52</v>
      </c>
      <c r="E3085" t="s">
        <v>34</v>
      </c>
      <c r="F3085" s="5" t="str">
        <f>HYPERLINK("http://www.otzar.org/book.asp?630884","קונטרס זה כל האדם")</f>
        <v>קונטרס זה כל האדם</v>
      </c>
    </row>
    <row r="3086" spans="1:6" x14ac:dyDescent="0.2">
      <c r="A3086" t="s">
        <v>6064</v>
      </c>
      <c r="B3086" t="s">
        <v>6065</v>
      </c>
      <c r="C3086" t="s">
        <v>694</v>
      </c>
      <c r="D3086" s="1" t="s">
        <v>14</v>
      </c>
      <c r="F3086" s="5" t="str">
        <f>HYPERLINK("http://www.otzar.org/book.asp?603211","קונטרס זהב המלאכה")</f>
        <v>קונטרס זהב המלאכה</v>
      </c>
    </row>
    <row r="3087" spans="1:6" x14ac:dyDescent="0.2">
      <c r="A3087" t="s">
        <v>6066</v>
      </c>
      <c r="B3087" t="s">
        <v>890</v>
      </c>
      <c r="C3087" t="s">
        <v>40</v>
      </c>
      <c r="D3087" s="1" t="s">
        <v>9</v>
      </c>
      <c r="E3087" t="s">
        <v>154</v>
      </c>
      <c r="F3087" s="5" t="str">
        <f>HYPERLINK("http://www.otzar.org/book.asp?630496","קונטרס זהב ולבונה")</f>
        <v>קונטרס זהב ולבונה</v>
      </c>
    </row>
    <row r="3088" spans="1:6" x14ac:dyDescent="0.2">
      <c r="A3088" t="s">
        <v>6067</v>
      </c>
      <c r="B3088" t="s">
        <v>6068</v>
      </c>
      <c r="E3088" t="s">
        <v>30</v>
      </c>
      <c r="F3088" s="5" t="str">
        <f>HYPERLINK("http://www.otzar.org/book.asp?627078","קונטרס זהיר טפי")</f>
        <v>קונטרס זהיר טפי</v>
      </c>
    </row>
    <row r="3089" spans="1:6" x14ac:dyDescent="0.2">
      <c r="A3089" t="s">
        <v>6069</v>
      </c>
      <c r="B3089" t="s">
        <v>3472</v>
      </c>
      <c r="C3089" t="s">
        <v>8</v>
      </c>
      <c r="D3089" s="1" t="s">
        <v>557</v>
      </c>
      <c r="E3089" t="s">
        <v>17</v>
      </c>
      <c r="F3089" s="5" t="str">
        <f>HYPERLINK("http://www.otzar.org/book.asp?622532","קונטרס זיו שושנים")</f>
        <v>קונטרס זיו שושנים</v>
      </c>
    </row>
    <row r="3090" spans="1:6" x14ac:dyDescent="0.2">
      <c r="A3090" t="s">
        <v>6070</v>
      </c>
      <c r="B3090" t="s">
        <v>6071</v>
      </c>
      <c r="C3090" t="s">
        <v>73</v>
      </c>
      <c r="D3090" s="1" t="s">
        <v>557</v>
      </c>
      <c r="E3090" t="s">
        <v>37</v>
      </c>
      <c r="F3090" s="5" t="str">
        <f>HYPERLINK("http://www.otzar.org/book.asp?629695","קונטרס זכור זאת ליעקב")</f>
        <v>קונטרס זכור זאת ליעקב</v>
      </c>
    </row>
    <row r="3091" spans="1:6" x14ac:dyDescent="0.2">
      <c r="A3091" t="s">
        <v>6072</v>
      </c>
      <c r="B3091" t="s">
        <v>6073</v>
      </c>
      <c r="C3091" t="s">
        <v>25</v>
      </c>
      <c r="D3091" s="1" t="s">
        <v>21</v>
      </c>
      <c r="E3091" t="s">
        <v>37</v>
      </c>
      <c r="F3091" s="5" t="str">
        <f>HYPERLINK("http://www.otzar.org/book.asp?630499","קונטרס זכר דבר")</f>
        <v>קונטרס זכר דבר</v>
      </c>
    </row>
    <row r="3092" spans="1:6" x14ac:dyDescent="0.2">
      <c r="A3092" t="s">
        <v>6074</v>
      </c>
      <c r="B3092" t="s">
        <v>6075</v>
      </c>
      <c r="C3092" t="s">
        <v>290</v>
      </c>
      <c r="D3092" s="1" t="s">
        <v>14</v>
      </c>
      <c r="E3092" t="s">
        <v>214</v>
      </c>
      <c r="F3092" s="5" t="str">
        <f>HYPERLINK("http://www.otzar.org/book.asp?624747","קונטרס זכר משה")</f>
        <v>קונטרס זכר משה</v>
      </c>
    </row>
    <row r="3093" spans="1:6" x14ac:dyDescent="0.2">
      <c r="A3093" t="s">
        <v>6076</v>
      </c>
      <c r="B3093" t="s">
        <v>6077</v>
      </c>
      <c r="C3093" t="s">
        <v>13</v>
      </c>
      <c r="D3093" s="1" t="s">
        <v>1841</v>
      </c>
      <c r="E3093" t="s">
        <v>30</v>
      </c>
      <c r="F3093" s="5" t="str">
        <f>HYPERLINK("http://www.otzar.org/book.asp?627246","קונטרס זכרון הרב משה מרדכי")</f>
        <v>קונטרס זכרון הרב משה מרדכי</v>
      </c>
    </row>
    <row r="3094" spans="1:6" x14ac:dyDescent="0.2">
      <c r="A3094" t="s">
        <v>6078</v>
      </c>
      <c r="B3094" t="s">
        <v>6079</v>
      </c>
      <c r="C3094" t="s">
        <v>1127</v>
      </c>
      <c r="D3094" s="1" t="s">
        <v>9</v>
      </c>
      <c r="E3094" t="s">
        <v>214</v>
      </c>
      <c r="F3094" s="5" t="str">
        <f>HYPERLINK("http://www.otzar.org/book.asp?626643","קונטרס זכרון להרבנית הצדקנית מרת שינא חיה אלישיב")</f>
        <v>קונטרס זכרון להרבנית הצדקנית מרת שינא חיה אלישיב</v>
      </c>
    </row>
    <row r="3095" spans="1:6" x14ac:dyDescent="0.2">
      <c r="A3095" t="s">
        <v>6080</v>
      </c>
      <c r="C3095" t="s">
        <v>148</v>
      </c>
      <c r="D3095" s="1" t="s">
        <v>471</v>
      </c>
      <c r="E3095" t="s">
        <v>214</v>
      </c>
      <c r="F3095" s="5" t="str">
        <f>HYPERLINK("http://www.otzar.org/book.asp?624950","קונטרס זכרון ליום השנה העשרים לפטירת הרב מאיר שצרנסקי ז""ל")</f>
        <v>קונטרס זכרון ליום השנה העשרים לפטירת הרב מאיר שצרנסקי ז"ל</v>
      </c>
    </row>
    <row r="3096" spans="1:6" x14ac:dyDescent="0.2">
      <c r="A3096" t="s">
        <v>6081</v>
      </c>
      <c r="B3096" t="s">
        <v>6082</v>
      </c>
      <c r="C3096" t="s">
        <v>2129</v>
      </c>
      <c r="D3096" s="1" t="s">
        <v>9</v>
      </c>
      <c r="E3096" t="s">
        <v>214</v>
      </c>
      <c r="F3096" s="5" t="str">
        <f>HYPERLINK("http://www.otzar.org/book.asp?624675","קונטרס זכרון למורנו ורבנו הגה""צ רבי יחזקאל פרצוביץ")</f>
        <v>קונטרס זכרון למורנו ורבנו הגה"צ רבי יחזקאל פרצוביץ</v>
      </c>
    </row>
    <row r="3097" spans="1:6" x14ac:dyDescent="0.2">
      <c r="A3097" t="s">
        <v>6083</v>
      </c>
      <c r="B3097" t="s">
        <v>94</v>
      </c>
      <c r="C3097" t="s">
        <v>20</v>
      </c>
      <c r="D3097" s="1" t="s">
        <v>52</v>
      </c>
      <c r="E3097" t="s">
        <v>214</v>
      </c>
      <c r="F3097" s="5" t="str">
        <f>HYPERLINK("http://www.otzar.org/book.asp?629696","קונטרס זרע יעקב")</f>
        <v>קונטרס זרע יעקב</v>
      </c>
    </row>
    <row r="3098" spans="1:6" x14ac:dyDescent="0.2">
      <c r="A3098" t="s">
        <v>6084</v>
      </c>
      <c r="B3098" t="s">
        <v>6085</v>
      </c>
      <c r="C3098" t="s">
        <v>190</v>
      </c>
      <c r="D3098" s="1" t="s">
        <v>64</v>
      </c>
      <c r="E3098" t="s">
        <v>214</v>
      </c>
      <c r="F3098" s="5" t="str">
        <f>HYPERLINK("http://www.otzar.org/book.asp?623719","קונטרס חבורות והערות - זבחים")</f>
        <v>קונטרס חבורות והערות - זבחים</v>
      </c>
    </row>
    <row r="3099" spans="1:6" x14ac:dyDescent="0.2">
      <c r="A3099" t="s">
        <v>6086</v>
      </c>
      <c r="B3099" t="s">
        <v>6087</v>
      </c>
      <c r="C3099" t="s">
        <v>13</v>
      </c>
      <c r="D3099" s="1" t="s">
        <v>9</v>
      </c>
      <c r="E3099" t="s">
        <v>565</v>
      </c>
      <c r="F3099" s="5" t="str">
        <f>HYPERLINK("http://www.otzar.org/book.asp?629375","קונטרס חדש בקרבי - תפילה")</f>
        <v>קונטרס חדש בקרבי - תפילה</v>
      </c>
    </row>
    <row r="3100" spans="1:6" x14ac:dyDescent="0.2">
      <c r="A3100" t="s">
        <v>6088</v>
      </c>
      <c r="B3100" t="s">
        <v>2651</v>
      </c>
      <c r="C3100" t="s">
        <v>20</v>
      </c>
      <c r="D3100" s="1" t="s">
        <v>557</v>
      </c>
      <c r="E3100" t="s">
        <v>154</v>
      </c>
      <c r="F3100" s="5" t="str">
        <f>HYPERLINK("http://www.otzar.org/book.asp?629699","קונטרס חודש ושבת")</f>
        <v>קונטרס חודש ושבת</v>
      </c>
    </row>
    <row r="3101" spans="1:6" x14ac:dyDescent="0.2">
      <c r="A3101" t="s">
        <v>6089</v>
      </c>
      <c r="B3101" t="s">
        <v>972</v>
      </c>
      <c r="E3101" t="s">
        <v>154</v>
      </c>
      <c r="F3101" s="5" t="str">
        <f>HYPERLINK("http://www.otzar.org/book.asp?622723","קונטרס חוט המשולש")</f>
        <v>קונטרס חוט המשולש</v>
      </c>
    </row>
    <row r="3102" spans="1:6" x14ac:dyDescent="0.2">
      <c r="A3102" t="s">
        <v>6090</v>
      </c>
      <c r="B3102" t="s">
        <v>6091</v>
      </c>
      <c r="C3102" t="s">
        <v>13</v>
      </c>
      <c r="D3102" s="1" t="s">
        <v>14</v>
      </c>
      <c r="E3102" t="s">
        <v>538</v>
      </c>
      <c r="F3102" s="5" t="str">
        <f>HYPERLINK("http://www.otzar.org/book.asp?628506","קונטרס חוט השני")</f>
        <v>קונטרס חוט השני</v>
      </c>
    </row>
    <row r="3103" spans="1:6" x14ac:dyDescent="0.2">
      <c r="A3103" t="s">
        <v>6092</v>
      </c>
      <c r="B3103" t="s">
        <v>972</v>
      </c>
      <c r="C3103" t="s">
        <v>20</v>
      </c>
      <c r="D3103" s="1" t="s">
        <v>14</v>
      </c>
      <c r="E3103" t="s">
        <v>154</v>
      </c>
      <c r="F3103" s="5" t="str">
        <f>HYPERLINK("http://www.otzar.org/book.asp?622727","קונטרס חוקת הפסח")</f>
        <v>קונטרס חוקת הפסח</v>
      </c>
    </row>
    <row r="3104" spans="1:6" x14ac:dyDescent="0.2">
      <c r="A3104" t="s">
        <v>6093</v>
      </c>
      <c r="B3104" t="s">
        <v>5835</v>
      </c>
      <c r="C3104" t="s">
        <v>190</v>
      </c>
      <c r="D3104" s="1" t="s">
        <v>21</v>
      </c>
      <c r="F3104" s="5" t="str">
        <f>HYPERLINK("http://www.otzar.org/book.asp?629469","קונטרס חושן אהרן - 2 כר'")</f>
        <v>קונטרס חושן אהרן - 2 כר'</v>
      </c>
    </row>
    <row r="3105" spans="1:6" x14ac:dyDescent="0.2">
      <c r="A3105" t="s">
        <v>6094</v>
      </c>
      <c r="B3105" t="s">
        <v>6095</v>
      </c>
      <c r="C3105" t="s">
        <v>157</v>
      </c>
      <c r="D3105" s="1" t="s">
        <v>9</v>
      </c>
      <c r="E3105" t="s">
        <v>49</v>
      </c>
      <c r="F3105" s="5" t="str">
        <f>HYPERLINK("http://www.otzar.org/book.asp?624911","קונטרס חזון ברוך")</f>
        <v>קונטרס חזון ברוך</v>
      </c>
    </row>
    <row r="3106" spans="1:6" x14ac:dyDescent="0.2">
      <c r="A3106" t="s">
        <v>6096</v>
      </c>
      <c r="B3106" t="s">
        <v>6097</v>
      </c>
      <c r="F3106" s="5" t="str">
        <f>HYPERLINK("http://www.otzar.org/book.asp?629948","קונטרס חיבור בגדר קנין הקידושין")</f>
        <v>קונטרס חיבור בגדר קנין הקידושין</v>
      </c>
    </row>
    <row r="3107" spans="1:6" x14ac:dyDescent="0.2">
      <c r="A3107" t="s">
        <v>6098</v>
      </c>
      <c r="B3107" t="s">
        <v>6097</v>
      </c>
      <c r="F3107" s="5" t="str">
        <f>HYPERLINK("http://www.otzar.org/book.asp?629947","קונטרס חיבור בענין קניני היבום")</f>
        <v>קונטרס חיבור בענין קניני היבום</v>
      </c>
    </row>
    <row r="3108" spans="1:6" x14ac:dyDescent="0.2">
      <c r="A3108" t="s">
        <v>6099</v>
      </c>
      <c r="B3108" t="s">
        <v>6100</v>
      </c>
      <c r="E3108" t="s">
        <v>49</v>
      </c>
      <c r="F3108" s="5" t="str">
        <f>HYPERLINK("http://www.otzar.org/book.asp?622619","קונטרס חמדת אברהם - 2 כר'")</f>
        <v>קונטרס חמדת אברהם - 2 כר'</v>
      </c>
    </row>
    <row r="3109" spans="1:6" x14ac:dyDescent="0.2">
      <c r="A3109" t="s">
        <v>6101</v>
      </c>
      <c r="B3109" t="s">
        <v>4706</v>
      </c>
      <c r="C3109" t="s">
        <v>818</v>
      </c>
      <c r="D3109" s="1" t="s">
        <v>14</v>
      </c>
      <c r="E3109" t="s">
        <v>49</v>
      </c>
      <c r="F3109" s="5" t="str">
        <f>HYPERLINK("http://www.otzar.org/book.asp?625545","קונטרס חנוך לנער")</f>
        <v>קונטרס חנוך לנער</v>
      </c>
    </row>
    <row r="3110" spans="1:6" x14ac:dyDescent="0.2">
      <c r="A3110" t="s">
        <v>6102</v>
      </c>
      <c r="B3110" t="s">
        <v>473</v>
      </c>
      <c r="C3110" t="s">
        <v>383</v>
      </c>
      <c r="D3110" s="1" t="s">
        <v>229</v>
      </c>
      <c r="E3110" t="s">
        <v>242</v>
      </c>
      <c r="F3110" s="5" t="str">
        <f>HYPERLINK("http://www.otzar.org/book.asp?625519","קונטרס חנוניך חלץ ממסגרים")</f>
        <v>קונטרס חנוניך חלץ ממסגרים</v>
      </c>
    </row>
    <row r="3111" spans="1:6" x14ac:dyDescent="0.2">
      <c r="A3111" t="s">
        <v>6103</v>
      </c>
      <c r="B3111" t="s">
        <v>6104</v>
      </c>
      <c r="C3111" t="s">
        <v>40</v>
      </c>
      <c r="D3111" s="1" t="s">
        <v>52</v>
      </c>
      <c r="E3111" t="s">
        <v>37</v>
      </c>
      <c r="F3111" s="5" t="str">
        <f>HYPERLINK("http://www.otzar.org/book.asp?626220","קונטרס חרב פיפיות")</f>
        <v>קונטרס חרב פיפיות</v>
      </c>
    </row>
    <row r="3112" spans="1:6" x14ac:dyDescent="0.2">
      <c r="A3112" t="s">
        <v>6105</v>
      </c>
      <c r="B3112" t="s">
        <v>6106</v>
      </c>
      <c r="F3112" s="5" t="str">
        <f>HYPERLINK("http://www.otzar.org/book.asp?630411","קונטרס טהרת המקוה")</f>
        <v>קונטרס טהרת המקוה</v>
      </c>
    </row>
    <row r="3113" spans="1:6" x14ac:dyDescent="0.2">
      <c r="A3113" t="s">
        <v>6107</v>
      </c>
      <c r="B3113" t="s">
        <v>6108</v>
      </c>
      <c r="E3113" t="s">
        <v>108</v>
      </c>
      <c r="F3113" s="5" t="str">
        <f>HYPERLINK("http://www.otzar.org/book.asp?627838","קונטרס טיול בפרד""ס")</f>
        <v>קונטרס טיול בפרד"ס</v>
      </c>
    </row>
    <row r="3114" spans="1:6" x14ac:dyDescent="0.2">
      <c r="A3114" t="s">
        <v>6109</v>
      </c>
      <c r="B3114" t="s">
        <v>6110</v>
      </c>
      <c r="C3114" t="s">
        <v>13</v>
      </c>
      <c r="D3114" s="1" t="s">
        <v>14</v>
      </c>
      <c r="E3114" t="s">
        <v>37</v>
      </c>
      <c r="F3114" s="5" t="str">
        <f>HYPERLINK("http://www.otzar.org/book.asp?627639","קונטרס טעמי משה - הלכות קידוש")</f>
        <v>קונטרס טעמי משה - הלכות קידוש</v>
      </c>
    </row>
    <row r="3115" spans="1:6" x14ac:dyDescent="0.2">
      <c r="A3115" t="s">
        <v>6111</v>
      </c>
      <c r="B3115" t="s">
        <v>6112</v>
      </c>
      <c r="C3115" t="s">
        <v>8</v>
      </c>
      <c r="D3115" s="1" t="s">
        <v>52</v>
      </c>
      <c r="E3115" t="s">
        <v>49</v>
      </c>
      <c r="F3115" s="5" t="str">
        <f>HYPERLINK("http://www.otzar.org/book.asp?629222","קונטרס י""ח שעות")</f>
        <v>קונטרס י"ח שעות</v>
      </c>
    </row>
    <row r="3116" spans="1:6" x14ac:dyDescent="0.2">
      <c r="A3116" t="s">
        <v>6113</v>
      </c>
      <c r="B3116" t="s">
        <v>6114</v>
      </c>
      <c r="C3116" t="s">
        <v>13</v>
      </c>
      <c r="D3116" s="1" t="s">
        <v>52</v>
      </c>
      <c r="E3116" t="s">
        <v>214</v>
      </c>
      <c r="F3116" s="5" t="str">
        <f>HYPERLINK("http://www.otzar.org/book.asp?630511","קונטרס יאיר נרו")</f>
        <v>קונטרס יאיר נרו</v>
      </c>
    </row>
    <row r="3117" spans="1:6" x14ac:dyDescent="0.2">
      <c r="A3117" t="s">
        <v>6115</v>
      </c>
      <c r="B3117" t="s">
        <v>5907</v>
      </c>
      <c r="C3117" t="s">
        <v>307</v>
      </c>
      <c r="D3117" s="1" t="s">
        <v>14</v>
      </c>
      <c r="E3117" t="s">
        <v>214</v>
      </c>
      <c r="F3117" s="5" t="str">
        <f>HYPERLINK("http://www.otzar.org/book.asp?624956","קונטרס יבמות")</f>
        <v>קונטרס יבמות</v>
      </c>
    </row>
    <row r="3118" spans="1:6" x14ac:dyDescent="0.2">
      <c r="A3118" t="s">
        <v>6116</v>
      </c>
      <c r="B3118" t="s">
        <v>6117</v>
      </c>
      <c r="C3118" t="s">
        <v>13</v>
      </c>
      <c r="D3118" s="1" t="s">
        <v>9</v>
      </c>
      <c r="E3118" t="s">
        <v>22</v>
      </c>
      <c r="F3118" s="5" t="str">
        <f>HYPERLINK("http://www.otzar.org/book.asp?630514","קונטרס יד גד - בכורות")</f>
        <v>קונטרס יד גד - בכורות</v>
      </c>
    </row>
    <row r="3119" spans="1:6" x14ac:dyDescent="0.2">
      <c r="A3119" t="s">
        <v>6118</v>
      </c>
      <c r="B3119" t="s">
        <v>6045</v>
      </c>
      <c r="C3119" t="s">
        <v>397</v>
      </c>
      <c r="D3119" s="1" t="s">
        <v>268</v>
      </c>
      <c r="E3119" t="s">
        <v>37</v>
      </c>
      <c r="F3119" s="5" t="str">
        <f>HYPERLINK("http://www.otzar.org/book.asp?179067","קונטרס יד דוד")</f>
        <v>קונטרס יד דוד</v>
      </c>
    </row>
    <row r="3120" spans="1:6" x14ac:dyDescent="0.2">
      <c r="A3120" t="s">
        <v>6119</v>
      </c>
      <c r="B3120" t="s">
        <v>6120</v>
      </c>
      <c r="C3120" t="s">
        <v>133</v>
      </c>
      <c r="D3120" s="1" t="s">
        <v>9</v>
      </c>
      <c r="E3120" t="s">
        <v>168</v>
      </c>
      <c r="F3120" s="5" t="str">
        <f>HYPERLINK("http://www.otzar.org/book.asp?625360","קונטרס יד יוסף - בראשית")</f>
        <v>קונטרס יד יוסף - בראשית</v>
      </c>
    </row>
    <row r="3121" spans="1:6" x14ac:dyDescent="0.2">
      <c r="A3121" t="s">
        <v>6121</v>
      </c>
      <c r="B3121" t="s">
        <v>6122</v>
      </c>
      <c r="C3121" t="s">
        <v>639</v>
      </c>
      <c r="D3121" s="1" t="s">
        <v>14</v>
      </c>
      <c r="E3121" t="s">
        <v>37</v>
      </c>
      <c r="F3121" s="5" t="str">
        <f>HYPERLINK("http://www.otzar.org/book.asp?624935","קונטרס יום חתונתו")</f>
        <v>קונטרס יום חתונתו</v>
      </c>
    </row>
    <row r="3122" spans="1:6" x14ac:dyDescent="0.2">
      <c r="A3122" t="s">
        <v>6123</v>
      </c>
      <c r="B3122" t="s">
        <v>6124</v>
      </c>
      <c r="C3122" t="s">
        <v>13</v>
      </c>
      <c r="D3122" s="1" t="s">
        <v>14</v>
      </c>
      <c r="F3122" s="5" t="str">
        <f>HYPERLINK("http://www.otzar.org/book.asp?632053","קונטרס יוסף לקח")</f>
        <v>קונטרס יוסף לקח</v>
      </c>
    </row>
    <row r="3123" spans="1:6" x14ac:dyDescent="0.2">
      <c r="A3123" t="s">
        <v>6125</v>
      </c>
      <c r="B3123" t="s">
        <v>6126</v>
      </c>
      <c r="C3123" t="s">
        <v>123</v>
      </c>
      <c r="D3123" s="1" t="s">
        <v>29</v>
      </c>
      <c r="E3123" t="s">
        <v>34</v>
      </c>
      <c r="F3123" s="5" t="str">
        <f>HYPERLINK("http://www.otzar.org/book.asp?624746","קונטרס יושב תהלות ישראל")</f>
        <v>קונטרס יושב תהלות ישראל</v>
      </c>
    </row>
    <row r="3124" spans="1:6" x14ac:dyDescent="0.2">
      <c r="A3124" t="s">
        <v>6127</v>
      </c>
      <c r="B3124" t="s">
        <v>6128</v>
      </c>
      <c r="C3124" t="s">
        <v>8</v>
      </c>
      <c r="D3124" s="1" t="s">
        <v>476</v>
      </c>
      <c r="E3124" t="s">
        <v>22</v>
      </c>
      <c r="F3124" s="5" t="str">
        <f>HYPERLINK("http://www.otzar.org/book.asp?623384","קונטרס יחלק שלל")</f>
        <v>קונטרס יחלק שלל</v>
      </c>
    </row>
    <row r="3125" spans="1:6" x14ac:dyDescent="0.2">
      <c r="A3125" t="s">
        <v>6129</v>
      </c>
      <c r="B3125" t="s">
        <v>6130</v>
      </c>
      <c r="C3125" t="s">
        <v>13</v>
      </c>
      <c r="D3125" s="1" t="s">
        <v>52</v>
      </c>
      <c r="E3125" t="s">
        <v>22</v>
      </c>
      <c r="F3125" s="5" t="str">
        <f>HYPERLINK("http://www.otzar.org/book.asp?629812","קונטרס יין הרקח - ב""ק")</f>
        <v>קונטרס יין הרקח - ב"ק</v>
      </c>
    </row>
    <row r="3126" spans="1:6" x14ac:dyDescent="0.2">
      <c r="A3126" t="s">
        <v>6131</v>
      </c>
      <c r="B3126" t="s">
        <v>3562</v>
      </c>
      <c r="C3126" t="s">
        <v>1568</v>
      </c>
      <c r="D3126" s="1" t="s">
        <v>1906</v>
      </c>
      <c r="E3126" t="s">
        <v>34</v>
      </c>
      <c r="F3126" s="5" t="str">
        <f>HYPERLINK("http://www.otzar.org/book.asp?624947","קונטרס ימי הרצון")</f>
        <v>קונטרס ימי הרצון</v>
      </c>
    </row>
    <row r="3127" spans="1:6" x14ac:dyDescent="0.2">
      <c r="A3127" t="s">
        <v>6132</v>
      </c>
      <c r="B3127" t="s">
        <v>5835</v>
      </c>
      <c r="C3127" t="s">
        <v>136</v>
      </c>
      <c r="D3127" s="1" t="s">
        <v>21</v>
      </c>
      <c r="E3127" t="s">
        <v>154</v>
      </c>
      <c r="F3127" s="5" t="str">
        <f>HYPERLINK("http://www.otzar.org/book.asp?629466","קונטרס ירח האיתנים")</f>
        <v>קונטרס ירח האיתנים</v>
      </c>
    </row>
    <row r="3128" spans="1:6" x14ac:dyDescent="0.2">
      <c r="A3128" t="s">
        <v>6133</v>
      </c>
      <c r="B3128" t="s">
        <v>1043</v>
      </c>
      <c r="C3128" t="s">
        <v>73</v>
      </c>
      <c r="D3128" s="1" t="s">
        <v>1044</v>
      </c>
      <c r="E3128" t="s">
        <v>49</v>
      </c>
      <c r="F3128" s="5" t="str">
        <f>HYPERLINK("http://www.otzar.org/book.asp?631091","קונטרס ישיבה על קברו - הערות בדברי התשב""ץ")</f>
        <v>קונטרס ישיבה על קברו - הערות בדברי התשב"ץ</v>
      </c>
    </row>
    <row r="3129" spans="1:6" x14ac:dyDescent="0.2">
      <c r="A3129" t="s">
        <v>6134</v>
      </c>
      <c r="B3129" t="s">
        <v>6135</v>
      </c>
      <c r="C3129" t="s">
        <v>13</v>
      </c>
      <c r="D3129" s="1" t="s">
        <v>9</v>
      </c>
      <c r="E3129" t="s">
        <v>61</v>
      </c>
      <c r="F3129" s="5" t="str">
        <f>HYPERLINK("http://www.otzar.org/book.asp?630524","קונטרס ישיר ישראל")</f>
        <v>קונטרס ישיר ישראל</v>
      </c>
    </row>
    <row r="3130" spans="1:6" x14ac:dyDescent="0.2">
      <c r="A3130" t="s">
        <v>6136</v>
      </c>
      <c r="B3130" t="s">
        <v>4337</v>
      </c>
      <c r="C3130" t="s">
        <v>307</v>
      </c>
      <c r="D3130" s="1" t="s">
        <v>14</v>
      </c>
      <c r="E3130" t="s">
        <v>89</v>
      </c>
      <c r="F3130" s="5" t="str">
        <f>HYPERLINK("http://www.otzar.org/book.asp?629966","קונטרס ישמחו במלכותך")</f>
        <v>קונטרס ישמחו במלכותך</v>
      </c>
    </row>
    <row r="3131" spans="1:6" x14ac:dyDescent="0.2">
      <c r="A3131" t="s">
        <v>6137</v>
      </c>
      <c r="B3131" t="s">
        <v>2169</v>
      </c>
      <c r="C3131" t="s">
        <v>73</v>
      </c>
      <c r="D3131" s="1" t="s">
        <v>52</v>
      </c>
      <c r="E3131" t="s">
        <v>199</v>
      </c>
      <c r="F3131" s="5" t="str">
        <f>HYPERLINK("http://www.otzar.org/book.asp?623323","קונטרס כי הם חיינו")</f>
        <v>קונטרס כי הם חיינו</v>
      </c>
    </row>
    <row r="3132" spans="1:6" x14ac:dyDescent="0.2">
      <c r="A3132" t="s">
        <v>6138</v>
      </c>
      <c r="B3132" t="s">
        <v>6139</v>
      </c>
      <c r="F3132" s="5" t="str">
        <f>HYPERLINK("http://www.otzar.org/book.asp?630416","קונטרס כי שם ה' אקרא הבו גודל לאלוקינו")</f>
        <v>קונטרס כי שם ה' אקרא הבו גודל לאלוקינו</v>
      </c>
    </row>
    <row r="3133" spans="1:6" x14ac:dyDescent="0.2">
      <c r="A3133" t="s">
        <v>6140</v>
      </c>
      <c r="E3133" t="s">
        <v>49</v>
      </c>
      <c r="F3133" s="5" t="str">
        <f>HYPERLINK("http://www.otzar.org/book.asp?626314","קונטרס כיכר לאדן - אדני השדה")</f>
        <v>קונטרס כיכר לאדן - אדני השדה</v>
      </c>
    </row>
    <row r="3134" spans="1:6" x14ac:dyDescent="0.2">
      <c r="A3134" t="s">
        <v>6141</v>
      </c>
      <c r="B3134" t="s">
        <v>3464</v>
      </c>
      <c r="C3134" t="s">
        <v>245</v>
      </c>
      <c r="D3134" s="1" t="s">
        <v>14</v>
      </c>
      <c r="E3134" t="s">
        <v>22</v>
      </c>
      <c r="F3134" s="5" t="str">
        <f>HYPERLINK("http://www.otzar.org/book.asp?625598","קונטרס כצבי וכאיל")</f>
        <v>קונטרס כצבי וכאיל</v>
      </c>
    </row>
    <row r="3135" spans="1:6" x14ac:dyDescent="0.2">
      <c r="A3135" t="s">
        <v>6142</v>
      </c>
      <c r="B3135" t="s">
        <v>4265</v>
      </c>
      <c r="C3135" t="s">
        <v>73</v>
      </c>
      <c r="D3135" s="1" t="s">
        <v>476</v>
      </c>
      <c r="E3135" t="s">
        <v>168</v>
      </c>
      <c r="F3135" s="5" t="str">
        <f>HYPERLINK("http://www.otzar.org/book.asp?623212","קונטרס כשבת המלך")</f>
        <v>קונטרס כשבת המלך</v>
      </c>
    </row>
    <row r="3136" spans="1:6" x14ac:dyDescent="0.2">
      <c r="A3136" t="s">
        <v>6143</v>
      </c>
      <c r="B3136" t="s">
        <v>789</v>
      </c>
      <c r="C3136" t="s">
        <v>20</v>
      </c>
      <c r="D3136" s="1" t="s">
        <v>21</v>
      </c>
      <c r="E3136" t="s">
        <v>49</v>
      </c>
      <c r="F3136" s="5" t="str">
        <f>HYPERLINK("http://www.otzar.org/book.asp?630537","קונטרס כתימרות אש")</f>
        <v>קונטרס כתימרות אש</v>
      </c>
    </row>
    <row r="3137" spans="1:6" x14ac:dyDescent="0.2">
      <c r="A3137" t="s">
        <v>6144</v>
      </c>
      <c r="E3137" t="s">
        <v>37</v>
      </c>
      <c r="F3137" s="5" t="str">
        <f>HYPERLINK("http://www.otzar.org/book.asp?627967","קונטרס לא תעשה לך תמונה")</f>
        <v>קונטרס לא תעשה לך תמונה</v>
      </c>
    </row>
    <row r="3138" spans="1:6" x14ac:dyDescent="0.2">
      <c r="A3138" t="s">
        <v>6145</v>
      </c>
      <c r="B3138" t="s">
        <v>6146</v>
      </c>
      <c r="C3138" t="s">
        <v>13</v>
      </c>
      <c r="D3138" s="1" t="s">
        <v>9</v>
      </c>
      <c r="E3138" t="s">
        <v>49</v>
      </c>
      <c r="F3138" s="5" t="str">
        <f>HYPERLINK("http://www.otzar.org/book.asp?624951","קונטרס לאוהבי יש")</f>
        <v>קונטרס לאוהבי יש</v>
      </c>
    </row>
    <row r="3139" spans="1:6" x14ac:dyDescent="0.2">
      <c r="A3139" t="s">
        <v>6147</v>
      </c>
      <c r="B3139" t="s">
        <v>3066</v>
      </c>
      <c r="C3139" t="s">
        <v>133</v>
      </c>
      <c r="D3139" s="1" t="s">
        <v>9</v>
      </c>
      <c r="E3139" t="s">
        <v>37</v>
      </c>
      <c r="F3139" s="5" t="str">
        <f>HYPERLINK("http://www.otzar.org/book.asp?629501","קונטרס לב ים - מלאכת מלבן")</f>
        <v>קונטרס לב ים - מלאכת מלבן</v>
      </c>
    </row>
    <row r="3140" spans="1:6" x14ac:dyDescent="0.2">
      <c r="A3140" t="s">
        <v>6148</v>
      </c>
      <c r="B3140" t="s">
        <v>94</v>
      </c>
      <c r="C3140" t="s">
        <v>13</v>
      </c>
      <c r="D3140" s="1" t="s">
        <v>52</v>
      </c>
      <c r="E3140" t="s">
        <v>22</v>
      </c>
      <c r="F3140" s="5" t="str">
        <f>HYPERLINK("http://www.otzar.org/book.asp?629814","קונטרס לבי בתורתך - ב""ק")</f>
        <v>קונטרס לבי בתורתך - ב"ק</v>
      </c>
    </row>
    <row r="3141" spans="1:6" x14ac:dyDescent="0.2">
      <c r="A3141" t="s">
        <v>6149</v>
      </c>
      <c r="B3141" t="s">
        <v>890</v>
      </c>
      <c r="C3141" t="s">
        <v>73</v>
      </c>
      <c r="D3141" s="1" t="s">
        <v>52</v>
      </c>
      <c r="E3141" t="s">
        <v>34</v>
      </c>
      <c r="F3141" s="5" t="str">
        <f>HYPERLINK("http://www.otzar.org/book.asp?630483","קונטרס לדופקי בתשובה")</f>
        <v>קונטרס לדופקי בתשובה</v>
      </c>
    </row>
    <row r="3142" spans="1:6" x14ac:dyDescent="0.2">
      <c r="A3142" t="s">
        <v>6150</v>
      </c>
      <c r="B3142" t="s">
        <v>4337</v>
      </c>
      <c r="C3142" t="s">
        <v>8</v>
      </c>
      <c r="D3142" s="1" t="s">
        <v>14</v>
      </c>
      <c r="E3142" t="s">
        <v>37</v>
      </c>
      <c r="F3142" s="5" t="str">
        <f>HYPERLINK("http://www.otzar.org/book.asp?630813","קונטרס לה' הארץ ומלואה")</f>
        <v>קונטרס לה' הארץ ומלואה</v>
      </c>
    </row>
    <row r="3143" spans="1:6" x14ac:dyDescent="0.2">
      <c r="A3143" t="s">
        <v>6151</v>
      </c>
      <c r="B3143" t="s">
        <v>84</v>
      </c>
      <c r="C3143" t="s">
        <v>639</v>
      </c>
      <c r="E3143" t="s">
        <v>37</v>
      </c>
      <c r="F3143" s="5" t="str">
        <f>HYPERLINK("http://www.otzar.org/book.asp?626200","קונטרס לחם ויין - 5 כר'")</f>
        <v>קונטרס לחם ויין - 5 כר'</v>
      </c>
    </row>
    <row r="3144" spans="1:6" x14ac:dyDescent="0.2">
      <c r="A3144" t="s">
        <v>6152</v>
      </c>
      <c r="B3144" t="s">
        <v>789</v>
      </c>
      <c r="C3144" t="s">
        <v>20</v>
      </c>
      <c r="D3144" s="1" t="s">
        <v>21</v>
      </c>
      <c r="E3144" t="s">
        <v>49</v>
      </c>
      <c r="F3144" s="5" t="str">
        <f>HYPERLINK("http://www.otzar.org/book.asp?630549","קונטרס לחם פנים")</f>
        <v>קונטרס לחם פנים</v>
      </c>
    </row>
    <row r="3145" spans="1:6" x14ac:dyDescent="0.2">
      <c r="A3145" t="s">
        <v>6153</v>
      </c>
      <c r="B3145" t="s">
        <v>4171</v>
      </c>
      <c r="C3145" t="s">
        <v>73</v>
      </c>
      <c r="D3145" s="1" t="s">
        <v>21</v>
      </c>
      <c r="E3145" t="s">
        <v>295</v>
      </c>
      <c r="F3145" s="5" t="str">
        <f>HYPERLINK("http://www.otzar.org/book.asp?623392","קונטרס למעלה למשכיל &lt;ביאור תפילת שחרית - עדות מזרח&gt;")</f>
        <v>קונטרס למעלה למשכיל &lt;ביאור תפילת שחרית - עדות מזרח&gt;</v>
      </c>
    </row>
    <row r="3146" spans="1:6" x14ac:dyDescent="0.2">
      <c r="A3146" t="s">
        <v>6154</v>
      </c>
      <c r="B3146" t="s">
        <v>4171</v>
      </c>
      <c r="C3146" t="s">
        <v>8</v>
      </c>
      <c r="D3146" s="1" t="s">
        <v>21</v>
      </c>
      <c r="E3146" t="s">
        <v>168</v>
      </c>
      <c r="F3146" s="5" t="str">
        <f>HYPERLINK("http://www.otzar.org/book.asp?623393","קונטרס למעלה למשכיל &lt;על התורה&gt;")</f>
        <v>קונטרס למעלה למשכיל &lt;על התורה&gt;</v>
      </c>
    </row>
    <row r="3147" spans="1:6" x14ac:dyDescent="0.2">
      <c r="A3147" t="s">
        <v>6155</v>
      </c>
      <c r="B3147" t="s">
        <v>4171</v>
      </c>
      <c r="C3147" t="s">
        <v>8</v>
      </c>
      <c r="D3147" s="1" t="s">
        <v>21</v>
      </c>
      <c r="E3147" t="s">
        <v>168</v>
      </c>
      <c r="F3147" s="5" t="str">
        <f>HYPERLINK("http://www.otzar.org/book.asp?623394","קונטרס למעלה למשכיל &lt;שיר השירים&gt;")</f>
        <v>קונטרס למעלה למשכיל &lt;שיר השירים&gt;</v>
      </c>
    </row>
    <row r="3148" spans="1:6" x14ac:dyDescent="0.2">
      <c r="A3148" t="s">
        <v>6156</v>
      </c>
      <c r="B3148" t="s">
        <v>2790</v>
      </c>
      <c r="C3148" t="s">
        <v>20</v>
      </c>
      <c r="D3148" s="1" t="s">
        <v>52</v>
      </c>
      <c r="E3148" t="s">
        <v>49</v>
      </c>
      <c r="F3148" s="5" t="str">
        <f>HYPERLINK("http://www.otzar.org/book.asp?626790","קונטרס לעולם לא אשכח פקודיך")</f>
        <v>קונטרס לעולם לא אשכח פקודיך</v>
      </c>
    </row>
    <row r="3149" spans="1:6" x14ac:dyDescent="0.2">
      <c r="A3149" t="s">
        <v>6157</v>
      </c>
      <c r="B3149" t="s">
        <v>5850</v>
      </c>
      <c r="C3149" t="s">
        <v>8</v>
      </c>
      <c r="D3149" s="1" t="s">
        <v>52</v>
      </c>
      <c r="E3149" t="s">
        <v>154</v>
      </c>
      <c r="F3149" s="5" t="str">
        <f>HYPERLINK("http://www.otzar.org/book.asp?629879","קונטרס לעטר פתורא")</f>
        <v>קונטרס לעטר פתורא</v>
      </c>
    </row>
    <row r="3150" spans="1:6" x14ac:dyDescent="0.2">
      <c r="A3150" t="s">
        <v>6158</v>
      </c>
      <c r="B3150" t="s">
        <v>6159</v>
      </c>
      <c r="C3150" t="s">
        <v>123</v>
      </c>
      <c r="D3150" s="1" t="s">
        <v>14</v>
      </c>
      <c r="E3150" t="s">
        <v>168</v>
      </c>
      <c r="F3150" s="5" t="str">
        <f>HYPERLINK("http://www.otzar.org/book.asp?623970","קונטרס מאור התרגום")</f>
        <v>קונטרס מאור התרגום</v>
      </c>
    </row>
    <row r="3151" spans="1:6" x14ac:dyDescent="0.2">
      <c r="A3151" t="s">
        <v>6160</v>
      </c>
      <c r="B3151" t="s">
        <v>6161</v>
      </c>
      <c r="C3151" t="s">
        <v>13</v>
      </c>
      <c r="D3151" s="1" t="s">
        <v>52</v>
      </c>
      <c r="E3151" t="s">
        <v>22</v>
      </c>
      <c r="F3151" s="5" t="str">
        <f>HYPERLINK("http://www.otzar.org/book.asp?629815","קונטרס מאורי אור")</f>
        <v>קונטרס מאורי אור</v>
      </c>
    </row>
    <row r="3152" spans="1:6" x14ac:dyDescent="0.2">
      <c r="A3152" t="s">
        <v>6162</v>
      </c>
      <c r="B3152" t="s">
        <v>3562</v>
      </c>
      <c r="C3152" t="s">
        <v>226</v>
      </c>
      <c r="D3152" s="1" t="s">
        <v>1906</v>
      </c>
      <c r="E3152" t="s">
        <v>34</v>
      </c>
      <c r="F3152" s="5" t="str">
        <f>HYPERLINK("http://www.otzar.org/book.asp?624946","קונטרס מאמרי עולם ברור")</f>
        <v>קונטרס מאמרי עולם ברור</v>
      </c>
    </row>
    <row r="3153" spans="1:6" x14ac:dyDescent="0.2">
      <c r="A3153" t="s">
        <v>6163</v>
      </c>
      <c r="B3153" t="s">
        <v>3562</v>
      </c>
      <c r="C3153" t="s">
        <v>2129</v>
      </c>
      <c r="D3153" s="1" t="s">
        <v>1906</v>
      </c>
      <c r="E3153" t="s">
        <v>34</v>
      </c>
      <c r="F3153" s="5" t="str">
        <f>HYPERLINK("http://www.otzar.org/book.asp?624943","קונטרס מאמרי עולם הזה")</f>
        <v>קונטרס מאמרי עולם הזה</v>
      </c>
    </row>
    <row r="3154" spans="1:6" x14ac:dyDescent="0.2">
      <c r="A3154" t="s">
        <v>6164</v>
      </c>
      <c r="B3154" t="s">
        <v>6165</v>
      </c>
      <c r="C3154" t="s">
        <v>88</v>
      </c>
      <c r="D3154" s="1" t="s">
        <v>14</v>
      </c>
      <c r="E3154" t="s">
        <v>17</v>
      </c>
      <c r="F3154" s="5" t="str">
        <f>HYPERLINK("http://www.otzar.org/book.asp?623815","קונטרס מאתיים לנוטרים")</f>
        <v>קונטרס מאתיים לנוטרים</v>
      </c>
    </row>
    <row r="3155" spans="1:6" x14ac:dyDescent="0.2">
      <c r="A3155" t="s">
        <v>6166</v>
      </c>
      <c r="B3155" t="s">
        <v>890</v>
      </c>
      <c r="C3155" t="s">
        <v>8</v>
      </c>
      <c r="D3155" s="1" t="s">
        <v>52</v>
      </c>
      <c r="E3155" t="s">
        <v>168</v>
      </c>
      <c r="F3155" s="5" t="str">
        <f>HYPERLINK("http://www.otzar.org/book.asp?630531","קונטרס מגילת רות עם ביאור כעץ שתול")</f>
        <v>קונטרס מגילת רות עם ביאור כעץ שתול</v>
      </c>
    </row>
    <row r="3156" spans="1:6" x14ac:dyDescent="0.2">
      <c r="A3156" t="s">
        <v>6167</v>
      </c>
      <c r="B3156" t="s">
        <v>5818</v>
      </c>
      <c r="C3156" t="s">
        <v>73</v>
      </c>
      <c r="D3156" s="1" t="s">
        <v>1134</v>
      </c>
      <c r="E3156" t="s">
        <v>168</v>
      </c>
      <c r="F3156" s="5" t="str">
        <f>HYPERLINK("http://www.otzar.org/book.asp?628780","קונטרס מדרכי שמשון")</f>
        <v>קונטרס מדרכי שמשון</v>
      </c>
    </row>
    <row r="3157" spans="1:6" x14ac:dyDescent="0.2">
      <c r="A3157" t="s">
        <v>6168</v>
      </c>
      <c r="B3157" t="s">
        <v>892</v>
      </c>
      <c r="C3157" t="s">
        <v>13</v>
      </c>
      <c r="D3157" s="1" t="s">
        <v>9</v>
      </c>
      <c r="E3157" t="s">
        <v>89</v>
      </c>
      <c r="F3157" s="5" t="str">
        <f>HYPERLINK("http://www.otzar.org/book.asp?625669","קונטרס מה נשתנה שן")</f>
        <v>קונטרס מה נשתנה שן</v>
      </c>
    </row>
    <row r="3158" spans="1:6" x14ac:dyDescent="0.2">
      <c r="A3158" t="s">
        <v>6169</v>
      </c>
      <c r="B3158" t="s">
        <v>6170</v>
      </c>
      <c r="C3158" t="s">
        <v>13</v>
      </c>
      <c r="D3158" s="1" t="s">
        <v>9</v>
      </c>
      <c r="F3158" s="5" t="str">
        <f>HYPERLINK("http://www.otzar.org/book.asp?629326","קונטרס מודה כהלכה")</f>
        <v>קונטרס מודה כהלכה</v>
      </c>
    </row>
    <row r="3159" spans="1:6" x14ac:dyDescent="0.2">
      <c r="A3159" t="s">
        <v>6171</v>
      </c>
      <c r="B3159" t="s">
        <v>5421</v>
      </c>
      <c r="C3159" t="s">
        <v>73</v>
      </c>
      <c r="D3159" s="1" t="s">
        <v>9</v>
      </c>
      <c r="E3159" t="s">
        <v>37</v>
      </c>
      <c r="F3159" s="5" t="str">
        <f>HYPERLINK("http://www.otzar.org/book.asp?629700","קונטרס מזוזת ישע")</f>
        <v>קונטרס מזוזת ישע</v>
      </c>
    </row>
    <row r="3160" spans="1:6" x14ac:dyDescent="0.2">
      <c r="A3160" t="s">
        <v>6172</v>
      </c>
      <c r="B3160" t="s">
        <v>6173</v>
      </c>
      <c r="C3160" t="s">
        <v>206</v>
      </c>
      <c r="D3160" s="1" t="s">
        <v>6174</v>
      </c>
      <c r="E3160" t="s">
        <v>49</v>
      </c>
      <c r="F3160" s="5" t="str">
        <f>HYPERLINK("http://www.otzar.org/book.asp?623897","קונטרס מזקנים אתבונן")</f>
        <v>קונטרס מזקנים אתבונן</v>
      </c>
    </row>
    <row r="3161" spans="1:6" x14ac:dyDescent="0.2">
      <c r="A3161" t="s">
        <v>6175</v>
      </c>
      <c r="B3161" t="s">
        <v>6176</v>
      </c>
      <c r="C3161" t="s">
        <v>6177</v>
      </c>
      <c r="D3161" s="1" t="s">
        <v>3308</v>
      </c>
      <c r="E3161" t="s">
        <v>214</v>
      </c>
      <c r="F3161" s="5" t="str">
        <f>HYPERLINK("http://www.otzar.org/book.asp?625989","קונטרס מיוחד")</f>
        <v>קונטרס מיוחד</v>
      </c>
    </row>
    <row r="3162" spans="1:6" x14ac:dyDescent="0.2">
      <c r="A3162" t="s">
        <v>6178</v>
      </c>
      <c r="B3162" t="s">
        <v>6179</v>
      </c>
      <c r="C3162" t="s">
        <v>8</v>
      </c>
      <c r="D3162" s="1" t="s">
        <v>52</v>
      </c>
      <c r="F3162" s="5" t="str">
        <f>HYPERLINK("http://www.otzar.org/book.asp?629923","קונטרס מילה בסלע - מעילה")</f>
        <v>קונטרס מילה בסלע - מעילה</v>
      </c>
    </row>
    <row r="3163" spans="1:6" x14ac:dyDescent="0.2">
      <c r="A3163" t="s">
        <v>6180</v>
      </c>
      <c r="B3163" t="s">
        <v>6181</v>
      </c>
      <c r="D3163" s="1" t="s">
        <v>229</v>
      </c>
      <c r="E3163" t="s">
        <v>37</v>
      </c>
      <c r="F3163" s="5" t="str">
        <f>HYPERLINK("http://www.otzar.org/book.asp?624725","קונטרס מילי דנר")</f>
        <v>קונטרס מילי דנר</v>
      </c>
    </row>
    <row r="3164" spans="1:6" x14ac:dyDescent="0.2">
      <c r="A3164" t="s">
        <v>6182</v>
      </c>
      <c r="B3164" t="s">
        <v>3703</v>
      </c>
      <c r="C3164" t="s">
        <v>40</v>
      </c>
      <c r="D3164" s="1" t="s">
        <v>9</v>
      </c>
      <c r="E3164" t="s">
        <v>37</v>
      </c>
      <c r="F3164" s="5" t="str">
        <f>HYPERLINK("http://www.otzar.org/book.asp?625389","קונטרס מים חיים")</f>
        <v>קונטרס מים חיים</v>
      </c>
    </row>
    <row r="3165" spans="1:6" x14ac:dyDescent="0.2">
      <c r="A3165" t="s">
        <v>6183</v>
      </c>
      <c r="B3165" t="s">
        <v>5209</v>
      </c>
      <c r="C3165" t="s">
        <v>13</v>
      </c>
      <c r="D3165" s="1" t="s">
        <v>52</v>
      </c>
      <c r="E3165" t="s">
        <v>37</v>
      </c>
      <c r="F3165" s="5" t="str">
        <f>HYPERLINK("http://www.otzar.org/book.asp?629417","קונטרס מימים ימימה")</f>
        <v>קונטרס מימים ימימה</v>
      </c>
    </row>
    <row r="3166" spans="1:6" x14ac:dyDescent="0.2">
      <c r="A3166" t="s">
        <v>6184</v>
      </c>
      <c r="B3166" t="s">
        <v>970</v>
      </c>
      <c r="C3166" t="s">
        <v>13</v>
      </c>
      <c r="D3166" s="1" t="s">
        <v>14</v>
      </c>
      <c r="E3166" t="s">
        <v>22</v>
      </c>
      <c r="F3166" s="5" t="str">
        <f>HYPERLINK("http://www.otzar.org/book.asp?627164","קונטרס מימרא דרחמנא")</f>
        <v>קונטרס מימרא דרחמנא</v>
      </c>
    </row>
    <row r="3167" spans="1:6" x14ac:dyDescent="0.2">
      <c r="A3167" t="s">
        <v>6185</v>
      </c>
      <c r="B3167" t="s">
        <v>6186</v>
      </c>
      <c r="C3167" t="s">
        <v>13</v>
      </c>
      <c r="E3167" t="s">
        <v>22</v>
      </c>
      <c r="F3167" s="5" t="str">
        <f>HYPERLINK("http://www.otzar.org/book.asp?629791","קונטרס מלאכת עבודה")</f>
        <v>קונטרס מלאכת עבודה</v>
      </c>
    </row>
    <row r="3168" spans="1:6" x14ac:dyDescent="0.2">
      <c r="A3168" t="s">
        <v>6187</v>
      </c>
      <c r="B3168" t="s">
        <v>6188</v>
      </c>
      <c r="C3168" t="s">
        <v>25</v>
      </c>
      <c r="D3168" s="1" t="s">
        <v>52</v>
      </c>
      <c r="E3168" t="s">
        <v>1745</v>
      </c>
      <c r="F3168" s="5" t="str">
        <f>HYPERLINK("http://www.otzar.org/book.asp?628073","קונטרס מלכי ארץ")</f>
        <v>קונטרס מלכי ארץ</v>
      </c>
    </row>
    <row r="3169" spans="1:6" x14ac:dyDescent="0.2">
      <c r="A3169" t="s">
        <v>6189</v>
      </c>
      <c r="B3169" t="s">
        <v>6190</v>
      </c>
      <c r="C3169" t="s">
        <v>73</v>
      </c>
      <c r="D3169" s="1" t="s">
        <v>14</v>
      </c>
      <c r="E3169" t="s">
        <v>1616</v>
      </c>
      <c r="F3169" s="5" t="str">
        <f>HYPERLINK("http://www.otzar.org/book.asp?624923","קונטרס מן הבאר - ד")</f>
        <v>קונטרס מן הבאר - ד</v>
      </c>
    </row>
    <row r="3170" spans="1:6" x14ac:dyDescent="0.2">
      <c r="A3170" t="s">
        <v>6191</v>
      </c>
      <c r="B3170" t="s">
        <v>6192</v>
      </c>
      <c r="C3170" t="s">
        <v>1127</v>
      </c>
      <c r="D3170" s="1" t="s">
        <v>9</v>
      </c>
      <c r="F3170" s="5" t="str">
        <f>HYPERLINK("http://www.otzar.org/book.asp?630749","קונטרס מנוחה שלימה")</f>
        <v>קונטרס מנוחה שלימה</v>
      </c>
    </row>
    <row r="3171" spans="1:6" x14ac:dyDescent="0.2">
      <c r="A3171" t="s">
        <v>6193</v>
      </c>
      <c r="B3171" t="s">
        <v>5820</v>
      </c>
      <c r="F3171" s="5" t="str">
        <f>HYPERLINK("http://www.otzar.org/book.asp?629916","קונטרס מנוחת אהבה - 2 כר'")</f>
        <v>קונטרס מנוחת אהבה - 2 כר'</v>
      </c>
    </row>
    <row r="3172" spans="1:6" x14ac:dyDescent="0.2">
      <c r="A3172" t="s">
        <v>6194</v>
      </c>
      <c r="B3172" t="s">
        <v>6195</v>
      </c>
      <c r="C3172" t="s">
        <v>13</v>
      </c>
      <c r="D3172" s="1" t="s">
        <v>52</v>
      </c>
      <c r="F3172" s="5" t="str">
        <f>HYPERLINK("http://www.otzar.org/book.asp?632048","קונטרס מנחה בלולה")</f>
        <v>קונטרס מנחה בלולה</v>
      </c>
    </row>
    <row r="3173" spans="1:6" x14ac:dyDescent="0.2">
      <c r="A3173" t="s">
        <v>6196</v>
      </c>
      <c r="B3173" t="s">
        <v>6179</v>
      </c>
      <c r="C3173" t="s">
        <v>73</v>
      </c>
      <c r="D3173" s="1" t="s">
        <v>52</v>
      </c>
      <c r="F3173" s="5" t="str">
        <f>HYPERLINK("http://www.otzar.org/book.asp?629919","קונטרס מנחת ביכורים - מנחות")</f>
        <v>קונטרס מנחת ביכורים - מנחות</v>
      </c>
    </row>
    <row r="3174" spans="1:6" x14ac:dyDescent="0.2">
      <c r="A3174" t="s">
        <v>6197</v>
      </c>
      <c r="B3174" t="s">
        <v>923</v>
      </c>
      <c r="C3174" t="s">
        <v>8</v>
      </c>
      <c r="D3174" s="1" t="s">
        <v>14</v>
      </c>
      <c r="F3174" s="5" t="str">
        <f>HYPERLINK("http://www.otzar.org/book.asp?623221","קונטרס מנחת פנחס - 3 כר'")</f>
        <v>קונטרס מנחת פנחס - 3 כר'</v>
      </c>
    </row>
    <row r="3175" spans="1:6" x14ac:dyDescent="0.2">
      <c r="A3175" t="s">
        <v>6198</v>
      </c>
      <c r="B3175" t="s">
        <v>6199</v>
      </c>
      <c r="C3175" t="s">
        <v>13</v>
      </c>
      <c r="D3175" s="1" t="s">
        <v>9</v>
      </c>
      <c r="E3175" t="s">
        <v>22</v>
      </c>
      <c r="F3175" s="5" t="str">
        <f>HYPERLINK("http://www.otzar.org/book.asp?630810","קונטרס מנחת שמעון - בעניין הואיל דאישתרי אישתרי")</f>
        <v>קונטרס מנחת שמעון - בעניין הואיל דאישתרי אישתרי</v>
      </c>
    </row>
    <row r="3176" spans="1:6" x14ac:dyDescent="0.2">
      <c r="A3176" t="s">
        <v>6200</v>
      </c>
      <c r="B3176" t="s">
        <v>6201</v>
      </c>
      <c r="C3176" t="s">
        <v>13</v>
      </c>
      <c r="D3176" s="1" t="s">
        <v>14</v>
      </c>
      <c r="F3176" s="5" t="str">
        <f>HYPERLINK("http://www.otzar.org/book.asp?623254","קונטרס מנחת תודה - ערלה, ביכורים")</f>
        <v>קונטרס מנחת תודה - ערלה, ביכורים</v>
      </c>
    </row>
    <row r="3177" spans="1:6" x14ac:dyDescent="0.2">
      <c r="A3177" t="s">
        <v>6202</v>
      </c>
      <c r="B3177" t="s">
        <v>923</v>
      </c>
      <c r="C3177" t="s">
        <v>133</v>
      </c>
      <c r="D3177" s="1" t="s">
        <v>14</v>
      </c>
      <c r="E3177" t="s">
        <v>4242</v>
      </c>
      <c r="F3177" s="5" t="str">
        <f>HYPERLINK("http://www.otzar.org/book.asp?623226","קונטרס מנחת תודה")</f>
        <v>קונטרס מנחת תודה</v>
      </c>
    </row>
    <row r="3178" spans="1:6" x14ac:dyDescent="0.2">
      <c r="A3178" t="s">
        <v>6203</v>
      </c>
      <c r="B3178" t="s">
        <v>94</v>
      </c>
      <c r="C3178" t="s">
        <v>20</v>
      </c>
      <c r="D3178" s="1" t="s">
        <v>52</v>
      </c>
      <c r="F3178" s="5" t="str">
        <f>HYPERLINK("http://www.otzar.org/book.asp?632272","קונטרס מסילות")</f>
        <v>קונטרס מסילות</v>
      </c>
    </row>
    <row r="3179" spans="1:6" x14ac:dyDescent="0.2">
      <c r="A3179" t="s">
        <v>6204</v>
      </c>
      <c r="B3179" t="s">
        <v>6205</v>
      </c>
      <c r="C3179" t="s">
        <v>190</v>
      </c>
      <c r="D3179" s="1" t="s">
        <v>14</v>
      </c>
      <c r="E3179" t="s">
        <v>214</v>
      </c>
      <c r="F3179" s="5" t="str">
        <f>HYPERLINK("http://www.otzar.org/book.asp?623298","קונטרס מסכת שביעית")</f>
        <v>קונטרס מסכת שביעית</v>
      </c>
    </row>
    <row r="3180" spans="1:6" x14ac:dyDescent="0.2">
      <c r="A3180" t="s">
        <v>6206</v>
      </c>
      <c r="B3180" t="s">
        <v>2607</v>
      </c>
      <c r="C3180" t="s">
        <v>40</v>
      </c>
      <c r="D3180" s="1" t="s">
        <v>14</v>
      </c>
      <c r="E3180" t="s">
        <v>89</v>
      </c>
      <c r="F3180" s="5" t="str">
        <f>HYPERLINK("http://www.otzar.org/book.asp?623299","קונטרס מספד חדש")</f>
        <v>קונטרס מספד חדש</v>
      </c>
    </row>
    <row r="3181" spans="1:6" x14ac:dyDescent="0.2">
      <c r="A3181" t="s">
        <v>6207</v>
      </c>
      <c r="B3181" t="s">
        <v>6208</v>
      </c>
      <c r="C3181" t="s">
        <v>1105</v>
      </c>
      <c r="D3181" s="1" t="s">
        <v>841</v>
      </c>
      <c r="E3181" t="s">
        <v>41</v>
      </c>
      <c r="F3181" s="5" t="str">
        <f>HYPERLINK("http://www.otzar.org/book.asp?626461","קונטרס מספר ארץ החדשה - שו""ת מהרא""ל - לקוטי שו""ת מהרא""ל - תפארת אריה")</f>
        <v>קונטרס מספר ארץ החדשה - שו"ת מהרא"ל - לקוטי שו"ת מהרא"ל - תפארת אריה</v>
      </c>
    </row>
    <row r="3182" spans="1:6" x14ac:dyDescent="0.2">
      <c r="A3182" t="s">
        <v>6209</v>
      </c>
      <c r="E3182" t="s">
        <v>548</v>
      </c>
      <c r="F3182" s="5" t="str">
        <f>HYPERLINK("http://www.otzar.org/book.asp?630252","קונטרס מעיין היוחסין")</f>
        <v>קונטרס מעיין היוחסין</v>
      </c>
    </row>
    <row r="3183" spans="1:6" x14ac:dyDescent="0.2">
      <c r="A3183" t="s">
        <v>6210</v>
      </c>
      <c r="B3183" t="s">
        <v>6211</v>
      </c>
      <c r="C3183" t="s">
        <v>13</v>
      </c>
      <c r="D3183" s="1" t="s">
        <v>14</v>
      </c>
      <c r="E3183" t="s">
        <v>168</v>
      </c>
      <c r="F3183" s="5" t="str">
        <f>HYPERLINK("http://www.otzar.org/book.asp?630480","קונטרס מעין גנים - ג (בראשית ד)")</f>
        <v>קונטרס מעין גנים - ג (בראשית ד)</v>
      </c>
    </row>
    <row r="3184" spans="1:6" x14ac:dyDescent="0.2">
      <c r="A3184" t="s">
        <v>6212</v>
      </c>
      <c r="B3184" t="s">
        <v>1703</v>
      </c>
      <c r="C3184" t="s">
        <v>25</v>
      </c>
      <c r="D3184" s="1" t="s">
        <v>9</v>
      </c>
      <c r="E3184" t="s">
        <v>17</v>
      </c>
      <c r="F3184" s="5" t="str">
        <f>HYPERLINK("http://www.otzar.org/book.asp?630276","קונטרס מעמד קבלת פנים")</f>
        <v>קונטרס מעמד קבלת פנים</v>
      </c>
    </row>
    <row r="3185" spans="1:6" x14ac:dyDescent="0.2">
      <c r="A3185" t="s">
        <v>6213</v>
      </c>
      <c r="B3185" t="s">
        <v>194</v>
      </c>
      <c r="C3185" t="s">
        <v>136</v>
      </c>
      <c r="D3185" s="1" t="s">
        <v>29</v>
      </c>
      <c r="E3185" t="s">
        <v>168</v>
      </c>
      <c r="F3185" s="5" t="str">
        <f>HYPERLINK("http://www.otzar.org/book.asp?627261","קונטרס מפורש בקרא")</f>
        <v>קונטרס מפורש בקרא</v>
      </c>
    </row>
    <row r="3186" spans="1:6" x14ac:dyDescent="0.2">
      <c r="A3186" t="s">
        <v>6214</v>
      </c>
      <c r="B3186" t="s">
        <v>892</v>
      </c>
      <c r="C3186" t="s">
        <v>136</v>
      </c>
      <c r="D3186" s="1" t="s">
        <v>9</v>
      </c>
      <c r="E3186" t="s">
        <v>49</v>
      </c>
      <c r="F3186" s="5" t="str">
        <f>HYPERLINK("http://www.otzar.org/book.asp?625483","קונטרס מפתחות הפרנסה")</f>
        <v>קונטרס מפתחות הפרנסה</v>
      </c>
    </row>
    <row r="3187" spans="1:6" x14ac:dyDescent="0.2">
      <c r="A3187" t="s">
        <v>6215</v>
      </c>
      <c r="B3187" t="s">
        <v>6216</v>
      </c>
      <c r="D3187" s="1" t="s">
        <v>9</v>
      </c>
      <c r="E3187" t="s">
        <v>242</v>
      </c>
      <c r="F3187" s="5" t="str">
        <f>HYPERLINK("http://www.otzar.org/book.asp?625114","קונטרס מצבת משה")</f>
        <v>קונטרס מצבת משה</v>
      </c>
    </row>
    <row r="3188" spans="1:6" x14ac:dyDescent="0.2">
      <c r="A3188" t="s">
        <v>6217</v>
      </c>
      <c r="B3188" t="s">
        <v>923</v>
      </c>
      <c r="C3188" t="s">
        <v>8</v>
      </c>
      <c r="D3188" s="1" t="s">
        <v>14</v>
      </c>
      <c r="F3188" s="5" t="str">
        <f>HYPERLINK("http://www.otzar.org/book.asp?623228","קונטרס מצוה להקדיש בכור")</f>
        <v>קונטרס מצוה להקדיש בכור</v>
      </c>
    </row>
    <row r="3189" spans="1:6" x14ac:dyDescent="0.2">
      <c r="A3189" t="s">
        <v>6218</v>
      </c>
      <c r="B3189" t="s">
        <v>6219</v>
      </c>
      <c r="C3189" t="s">
        <v>13</v>
      </c>
      <c r="D3189" s="1" t="s">
        <v>52</v>
      </c>
      <c r="E3189" t="s">
        <v>37</v>
      </c>
      <c r="F3189" s="5" t="str">
        <f>HYPERLINK("http://www.otzar.org/book.asp?630824","קונטרס מקור הברכה")</f>
        <v>קונטרס מקור הברכה</v>
      </c>
    </row>
    <row r="3190" spans="1:6" x14ac:dyDescent="0.2">
      <c r="A3190" t="s">
        <v>6220</v>
      </c>
      <c r="B3190" t="s">
        <v>6221</v>
      </c>
      <c r="C3190" t="s">
        <v>73</v>
      </c>
      <c r="D3190" s="1" t="s">
        <v>9</v>
      </c>
      <c r="E3190" t="s">
        <v>37</v>
      </c>
      <c r="F3190" s="5" t="str">
        <f>HYPERLINK("http://www.otzar.org/book.asp?625399","קונטרס מראות צובאות")</f>
        <v>קונטרס מראות צובאות</v>
      </c>
    </row>
    <row r="3191" spans="1:6" x14ac:dyDescent="0.2">
      <c r="A3191" t="s">
        <v>6222</v>
      </c>
      <c r="B3191" t="s">
        <v>4337</v>
      </c>
      <c r="C3191" t="s">
        <v>13</v>
      </c>
      <c r="D3191" s="1" t="s">
        <v>14</v>
      </c>
      <c r="E3191" t="s">
        <v>10</v>
      </c>
      <c r="F3191" s="5" t="str">
        <f>HYPERLINK("http://www.otzar.org/book.asp?629965","קונטרס משביר זרע - פאה פרקים ה, ט")</f>
        <v>קונטרס משביר זרע - פאה פרקים ה, ט</v>
      </c>
    </row>
    <row r="3192" spans="1:6" x14ac:dyDescent="0.2">
      <c r="A3192" t="s">
        <v>6223</v>
      </c>
      <c r="B3192" t="s">
        <v>4337</v>
      </c>
      <c r="C3192" t="s">
        <v>13</v>
      </c>
      <c r="D3192" s="1" t="s">
        <v>14</v>
      </c>
      <c r="E3192" t="s">
        <v>37</v>
      </c>
      <c r="F3192" s="5" t="str">
        <f>HYPERLINK("http://www.otzar.org/book.asp?630516","קונטרס משביר ליוסף - 10 כר'")</f>
        <v>קונטרס משביר ליוסף - 10 כר'</v>
      </c>
    </row>
    <row r="3193" spans="1:6" x14ac:dyDescent="0.2">
      <c r="A3193" t="s">
        <v>6224</v>
      </c>
      <c r="B3193" t="s">
        <v>6225</v>
      </c>
      <c r="C3193" t="s">
        <v>13</v>
      </c>
      <c r="D3193" s="1" t="s">
        <v>52</v>
      </c>
      <c r="E3193" t="s">
        <v>371</v>
      </c>
      <c r="F3193" s="5" t="str">
        <f>HYPERLINK("http://www.otzar.org/book.asp?628048","קונטרס משה עבד נאמן")</f>
        <v>קונטרס משה עבד נאמן</v>
      </c>
    </row>
    <row r="3194" spans="1:6" x14ac:dyDescent="0.2">
      <c r="A3194" t="s">
        <v>6226</v>
      </c>
      <c r="B3194" t="s">
        <v>6227</v>
      </c>
      <c r="C3194" t="s">
        <v>383</v>
      </c>
      <c r="D3194" s="1" t="s">
        <v>52</v>
      </c>
      <c r="E3194" t="s">
        <v>22</v>
      </c>
      <c r="F3194" s="5" t="str">
        <f>HYPERLINK("http://www.otzar.org/book.asp?629476","קונטרס משכן גבריאל - 3 כר'")</f>
        <v>קונטרס משכן גבריאל - 3 כר'</v>
      </c>
    </row>
    <row r="3195" spans="1:6" x14ac:dyDescent="0.2">
      <c r="A3195" t="s">
        <v>6228</v>
      </c>
      <c r="B3195" t="s">
        <v>1236</v>
      </c>
      <c r="C3195" t="s">
        <v>40</v>
      </c>
      <c r="D3195" s="1" t="s">
        <v>21</v>
      </c>
      <c r="F3195" s="5" t="str">
        <f>HYPERLINK("http://www.otzar.org/book.asp?629943","קונטרס משמח ציון בבניה")</f>
        <v>קונטרס משמח ציון בבניה</v>
      </c>
    </row>
    <row r="3196" spans="1:6" x14ac:dyDescent="0.2">
      <c r="A3196" t="s">
        <v>6229</v>
      </c>
      <c r="B3196" t="s">
        <v>2651</v>
      </c>
      <c r="C3196" t="s">
        <v>13</v>
      </c>
      <c r="D3196" s="1" t="s">
        <v>557</v>
      </c>
      <c r="E3196" t="s">
        <v>89</v>
      </c>
      <c r="F3196" s="5" t="str">
        <f>HYPERLINK("http://www.otzar.org/book.asp?629701","קונטרס משנכנס אדר")</f>
        <v>קונטרס משנכנס אדר</v>
      </c>
    </row>
    <row r="3197" spans="1:6" x14ac:dyDescent="0.2">
      <c r="A3197" t="s">
        <v>6230</v>
      </c>
      <c r="B3197" t="s">
        <v>4435</v>
      </c>
      <c r="C3197" t="s">
        <v>20</v>
      </c>
      <c r="D3197" s="1" t="s">
        <v>52</v>
      </c>
      <c r="E3197" t="s">
        <v>22</v>
      </c>
      <c r="F3197" s="5" t="str">
        <f>HYPERLINK("http://www.otzar.org/book.asp?629834","קונטרס משנת הגט")</f>
        <v>קונטרס משנת הגט</v>
      </c>
    </row>
    <row r="3198" spans="1:6" x14ac:dyDescent="0.2">
      <c r="A3198" t="s">
        <v>6231</v>
      </c>
      <c r="B3198" t="s">
        <v>4435</v>
      </c>
      <c r="C3198" t="s">
        <v>20</v>
      </c>
      <c r="D3198" s="1" t="s">
        <v>52</v>
      </c>
      <c r="E3198" t="s">
        <v>22</v>
      </c>
      <c r="F3198" s="5" t="str">
        <f>HYPERLINK("http://www.otzar.org/book.asp?629835","קונטרס משנת הדיינים")</f>
        <v>קונטרס משנת הדיינים</v>
      </c>
    </row>
    <row r="3199" spans="1:6" x14ac:dyDescent="0.2">
      <c r="A3199" t="s">
        <v>6232</v>
      </c>
      <c r="B3199" t="s">
        <v>4435</v>
      </c>
      <c r="C3199" t="s">
        <v>73</v>
      </c>
      <c r="D3199" s="1" t="s">
        <v>52</v>
      </c>
      <c r="E3199" t="s">
        <v>22</v>
      </c>
      <c r="F3199" s="5" t="str">
        <f>HYPERLINK("http://www.otzar.org/book.asp?629836","קונטרס משנת היבום")</f>
        <v>קונטרס משנת היבום</v>
      </c>
    </row>
    <row r="3200" spans="1:6" x14ac:dyDescent="0.2">
      <c r="A3200" t="s">
        <v>6233</v>
      </c>
      <c r="B3200" t="s">
        <v>4435</v>
      </c>
      <c r="C3200" t="s">
        <v>8</v>
      </c>
      <c r="D3200" s="1" t="s">
        <v>52</v>
      </c>
      <c r="E3200" t="s">
        <v>22</v>
      </c>
      <c r="F3200" s="5" t="str">
        <f>HYPERLINK("http://www.otzar.org/book.asp?626943","קונטרס משנת מיטב")</f>
        <v>קונטרס משנת מיטב</v>
      </c>
    </row>
    <row r="3201" spans="1:6" x14ac:dyDescent="0.2">
      <c r="A3201" t="s">
        <v>6234</v>
      </c>
      <c r="B3201" t="s">
        <v>6235</v>
      </c>
      <c r="C3201" t="s">
        <v>8</v>
      </c>
      <c r="D3201" s="1" t="s">
        <v>9</v>
      </c>
      <c r="E3201" t="s">
        <v>37</v>
      </c>
      <c r="F3201" s="5" t="str">
        <f>HYPERLINK("http://www.otzar.org/book.asp?625363","קונטרס משנת סופרים חסדי דוד")</f>
        <v>קונטרס משנת סופרים חסדי דוד</v>
      </c>
    </row>
    <row r="3202" spans="1:6" x14ac:dyDescent="0.2">
      <c r="A3202" t="s">
        <v>6236</v>
      </c>
      <c r="B3202" t="s">
        <v>6237</v>
      </c>
      <c r="E3202" t="s">
        <v>49</v>
      </c>
      <c r="F3202" s="5" t="str">
        <f>HYPERLINK("http://www.otzar.org/book.asp?625862","קונטרס משרשי החינוך")</f>
        <v>קונטרס משרשי החינוך</v>
      </c>
    </row>
    <row r="3203" spans="1:6" x14ac:dyDescent="0.2">
      <c r="A3203" t="s">
        <v>6238</v>
      </c>
      <c r="B3203" t="s">
        <v>6239</v>
      </c>
      <c r="C3203" t="s">
        <v>13</v>
      </c>
      <c r="D3203" s="1" t="s">
        <v>52</v>
      </c>
      <c r="E3203" t="s">
        <v>22</v>
      </c>
      <c r="F3203" s="5" t="str">
        <f>HYPERLINK("http://www.otzar.org/book.asp?630000","קונטרס מתורת חורב")</f>
        <v>קונטרס מתורת חורב</v>
      </c>
    </row>
    <row r="3204" spans="1:6" x14ac:dyDescent="0.2">
      <c r="A3204" t="s">
        <v>6240</v>
      </c>
      <c r="B3204" t="s">
        <v>6241</v>
      </c>
      <c r="E3204" t="s">
        <v>89</v>
      </c>
      <c r="F3204" s="5" t="str">
        <f>HYPERLINK("http://www.otzar.org/book.asp?625859","קונטרס מתיקות ימי הפסח")</f>
        <v>קונטרס מתיקות ימי הפסח</v>
      </c>
    </row>
    <row r="3205" spans="1:6" x14ac:dyDescent="0.2">
      <c r="A3205" t="s">
        <v>6242</v>
      </c>
      <c r="B3205" t="s">
        <v>6243</v>
      </c>
      <c r="E3205" t="s">
        <v>34</v>
      </c>
      <c r="F3205" s="5" t="str">
        <f>HYPERLINK("http://www.otzar.org/book.asp?625574","קונטרס מתנת חלקו")</f>
        <v>קונטרס מתנת חלקו</v>
      </c>
    </row>
    <row r="3206" spans="1:6" x14ac:dyDescent="0.2">
      <c r="A3206" t="s">
        <v>6244</v>
      </c>
      <c r="B3206" t="s">
        <v>6245</v>
      </c>
      <c r="C3206" t="s">
        <v>13</v>
      </c>
      <c r="D3206" s="1" t="s">
        <v>52</v>
      </c>
      <c r="E3206" t="s">
        <v>22</v>
      </c>
      <c r="F3206" s="5" t="str">
        <f>HYPERLINK("http://www.otzar.org/book.asp?629818","קונטרס מתנת יהודה - ב""ק")</f>
        <v>קונטרס מתנת יהודה - ב"ק</v>
      </c>
    </row>
    <row r="3207" spans="1:6" x14ac:dyDescent="0.2">
      <c r="A3207" t="s">
        <v>6246</v>
      </c>
      <c r="B3207" t="s">
        <v>6247</v>
      </c>
      <c r="C3207" t="s">
        <v>13</v>
      </c>
      <c r="D3207" s="1" t="s">
        <v>1341</v>
      </c>
      <c r="E3207" t="s">
        <v>22</v>
      </c>
      <c r="F3207" s="5" t="str">
        <f>HYPERLINK("http://www.otzar.org/book.asp?628141","קונטרס מתנת נתנאל")</f>
        <v>קונטרס מתנת נתנאל</v>
      </c>
    </row>
    <row r="3208" spans="1:6" x14ac:dyDescent="0.2">
      <c r="A3208" t="s">
        <v>6248</v>
      </c>
      <c r="B3208" t="s">
        <v>6249</v>
      </c>
      <c r="C3208" t="s">
        <v>6250</v>
      </c>
      <c r="D3208" s="1" t="s">
        <v>29</v>
      </c>
      <c r="E3208" t="s">
        <v>34</v>
      </c>
      <c r="F3208" s="5" t="str">
        <f>HYPERLINK("http://www.otzar.org/book.asp?624663","קונטרס נאר אמונה")</f>
        <v>קונטרס נאר אמונה</v>
      </c>
    </row>
    <row r="3209" spans="1:6" x14ac:dyDescent="0.2">
      <c r="A3209" t="s">
        <v>6251</v>
      </c>
      <c r="B3209" t="s">
        <v>6252</v>
      </c>
      <c r="D3209" s="1" t="s">
        <v>9</v>
      </c>
      <c r="E3209" t="s">
        <v>108</v>
      </c>
      <c r="F3209" s="5" t="str">
        <f>HYPERLINK("http://www.otzar.org/book.asp?627917","קונטרס נוהג כצאן יוסף")</f>
        <v>קונטרס נוהג כצאן יוסף</v>
      </c>
    </row>
    <row r="3210" spans="1:6" x14ac:dyDescent="0.2">
      <c r="A3210" t="s">
        <v>6253</v>
      </c>
      <c r="B3210" t="s">
        <v>6254</v>
      </c>
      <c r="C3210" t="s">
        <v>190</v>
      </c>
      <c r="D3210" s="1" t="s">
        <v>14</v>
      </c>
      <c r="E3210" t="s">
        <v>242</v>
      </c>
      <c r="F3210" s="5" t="str">
        <f>HYPERLINK("http://www.otzar.org/book.asp?629430","קונטרס נחלת ה'")</f>
        <v>קונטרס נחלת ה'</v>
      </c>
    </row>
    <row r="3211" spans="1:6" x14ac:dyDescent="0.2">
      <c r="A3211" t="s">
        <v>6255</v>
      </c>
      <c r="B3211" t="s">
        <v>6256</v>
      </c>
      <c r="C3211" t="s">
        <v>13</v>
      </c>
      <c r="D3211" s="1" t="s">
        <v>21</v>
      </c>
      <c r="E3211" t="s">
        <v>22</v>
      </c>
      <c r="F3211" s="5" t="str">
        <f>HYPERLINK("http://www.otzar.org/book.asp?629816","קונטרס נחלת שי - ב""ק")</f>
        <v>קונטרס נחלת שי - ב"ק</v>
      </c>
    </row>
    <row r="3212" spans="1:6" x14ac:dyDescent="0.2">
      <c r="A3212" t="s">
        <v>6257</v>
      </c>
      <c r="B3212" t="s">
        <v>923</v>
      </c>
      <c r="C3212" t="s">
        <v>8</v>
      </c>
      <c r="D3212" s="1" t="s">
        <v>14</v>
      </c>
      <c r="F3212" s="5" t="str">
        <f>HYPERLINK("http://www.otzar.org/book.asp?623214","קונטרס נר ישראל")</f>
        <v>קונטרס נר ישראל</v>
      </c>
    </row>
    <row r="3213" spans="1:6" x14ac:dyDescent="0.2">
      <c r="A3213" t="s">
        <v>6258</v>
      </c>
      <c r="B3213" t="s">
        <v>6259</v>
      </c>
      <c r="C3213" t="s">
        <v>13</v>
      </c>
      <c r="D3213" s="1" t="s">
        <v>14</v>
      </c>
      <c r="F3213" s="5" t="str">
        <f>HYPERLINK("http://www.otzar.org/book.asp?632014","קונטרס נתיבות דעת - קידושין")</f>
        <v>קונטרס נתיבות דעת - קידושין</v>
      </c>
    </row>
    <row r="3214" spans="1:6" x14ac:dyDescent="0.2">
      <c r="A3214" t="s">
        <v>6260</v>
      </c>
      <c r="B3214" t="s">
        <v>6261</v>
      </c>
      <c r="C3214" t="s">
        <v>73</v>
      </c>
      <c r="D3214" s="1" t="s">
        <v>9</v>
      </c>
      <c r="E3214" t="s">
        <v>49</v>
      </c>
      <c r="F3214" s="5" t="str">
        <f>HYPERLINK("http://www.otzar.org/book.asp?624728","קונטרס סגולות אמרתך")</f>
        <v>קונטרס סגולות אמרתך</v>
      </c>
    </row>
    <row r="3215" spans="1:6" x14ac:dyDescent="0.2">
      <c r="A3215" t="s">
        <v>6262</v>
      </c>
      <c r="B3215" t="s">
        <v>3468</v>
      </c>
      <c r="C3215" t="s">
        <v>13</v>
      </c>
      <c r="D3215" s="1" t="s">
        <v>14</v>
      </c>
      <c r="E3215" t="s">
        <v>17</v>
      </c>
      <c r="F3215" s="5" t="str">
        <f>HYPERLINK("http://www.otzar.org/book.asp?631139","קונטרס סדר היום")</f>
        <v>קונטרס סדר היום</v>
      </c>
    </row>
    <row r="3216" spans="1:6" x14ac:dyDescent="0.2">
      <c r="A3216" t="s">
        <v>6263</v>
      </c>
      <c r="B3216" t="s">
        <v>4700</v>
      </c>
      <c r="C3216" t="s">
        <v>2081</v>
      </c>
      <c r="D3216" s="1" t="s">
        <v>151</v>
      </c>
      <c r="E3216" t="s">
        <v>37</v>
      </c>
      <c r="F3216" s="5" t="str">
        <f>HYPERLINK("http://www.otzar.org/book.asp?623501","קונטרס סדר הפרשת תרו""מ - סדר השביעית - תשכ""ב")</f>
        <v>קונטרס סדר הפרשת תרו"מ - סדר השביעית - תשכ"ב</v>
      </c>
    </row>
    <row r="3217" spans="1:6" x14ac:dyDescent="0.2">
      <c r="A3217" t="s">
        <v>6264</v>
      </c>
      <c r="B3217" t="s">
        <v>6265</v>
      </c>
      <c r="C3217" t="s">
        <v>13</v>
      </c>
      <c r="D3217" s="1" t="s">
        <v>9</v>
      </c>
      <c r="E3217" t="s">
        <v>22</v>
      </c>
      <c r="F3217" s="5" t="str">
        <f>HYPERLINK("http://www.otzar.org/book.asp?626770","קונטרס סוגיא דשתי הלחם")</f>
        <v>קונטרס סוגיא דשתי הלחם</v>
      </c>
    </row>
    <row r="3218" spans="1:6" x14ac:dyDescent="0.2">
      <c r="A3218" t="s">
        <v>6266</v>
      </c>
      <c r="B3218" t="s">
        <v>972</v>
      </c>
      <c r="C3218" t="s">
        <v>20</v>
      </c>
      <c r="D3218" s="1" t="s">
        <v>14</v>
      </c>
      <c r="E3218" t="s">
        <v>154</v>
      </c>
      <c r="F3218" s="5" t="str">
        <f>HYPERLINK("http://www.otzar.org/book.asp?622726","קונטרס סוכת חיים")</f>
        <v>קונטרס סוכת חיים</v>
      </c>
    </row>
    <row r="3219" spans="1:6" x14ac:dyDescent="0.2">
      <c r="A3219" t="s">
        <v>6267</v>
      </c>
      <c r="B3219" t="s">
        <v>6268</v>
      </c>
      <c r="D3219" s="1" t="s">
        <v>29</v>
      </c>
      <c r="E3219" t="s">
        <v>6269</v>
      </c>
      <c r="F3219" s="5" t="str">
        <f>HYPERLINK("http://www.otzar.org/book.asp?622518","קונטרס סופר וספר")</f>
        <v>קונטרס סופר וספר</v>
      </c>
    </row>
    <row r="3220" spans="1:6" x14ac:dyDescent="0.2">
      <c r="A3220" t="s">
        <v>6270</v>
      </c>
      <c r="B3220" t="s">
        <v>6271</v>
      </c>
      <c r="E3220" t="s">
        <v>37</v>
      </c>
      <c r="F3220" s="5" t="str">
        <f>HYPERLINK("http://www.otzar.org/book.asp?626079","קונטרס סימן מאליהו - דגי הים - כנפי חגבים")</f>
        <v>קונטרס סימן מאליהו - דגי הים - כנפי חגבים</v>
      </c>
    </row>
    <row r="3221" spans="1:6" x14ac:dyDescent="0.2">
      <c r="A3221" t="s">
        <v>6272</v>
      </c>
      <c r="B3221" t="s">
        <v>923</v>
      </c>
      <c r="C3221" t="s">
        <v>206</v>
      </c>
      <c r="D3221" s="1" t="s">
        <v>14</v>
      </c>
      <c r="E3221" t="s">
        <v>22</v>
      </c>
      <c r="F3221" s="5" t="str">
        <f>HYPERLINK("http://www.otzar.org/book.asp?623223","קונטרס עד שיאמר רוצה אני")</f>
        <v>קונטרס עד שיאמר רוצה אני</v>
      </c>
    </row>
    <row r="3222" spans="1:6" x14ac:dyDescent="0.2">
      <c r="A3222" t="s">
        <v>6273</v>
      </c>
      <c r="B3222" t="s">
        <v>6274</v>
      </c>
      <c r="C3222" t="s">
        <v>20</v>
      </c>
      <c r="D3222" s="1" t="s">
        <v>21</v>
      </c>
      <c r="E3222" t="s">
        <v>22</v>
      </c>
      <c r="F3222" s="5" t="str">
        <f>HYPERLINK("http://www.otzar.org/book.asp?625643","קונטרס עדות נאמנה")</f>
        <v>קונטרס עדות נאמנה</v>
      </c>
    </row>
    <row r="3223" spans="1:6" x14ac:dyDescent="0.2">
      <c r="A3223" t="s">
        <v>6275</v>
      </c>
      <c r="B3223" t="s">
        <v>6276</v>
      </c>
      <c r="E3223" t="s">
        <v>214</v>
      </c>
      <c r="F3223" s="5" t="str">
        <f>HYPERLINK("http://www.otzar.org/book.asp?627922","קונטרס עונג יום טוב - 2 כר'")</f>
        <v>קונטרס עונג יום טוב - 2 כר'</v>
      </c>
    </row>
    <row r="3224" spans="1:6" x14ac:dyDescent="0.2">
      <c r="A3224" t="s">
        <v>6277</v>
      </c>
      <c r="B3224" t="s">
        <v>5901</v>
      </c>
      <c r="C3224" t="s">
        <v>13</v>
      </c>
      <c r="D3224" s="1" t="s">
        <v>14</v>
      </c>
      <c r="E3224" t="s">
        <v>168</v>
      </c>
      <c r="F3224" s="5" t="str">
        <f>HYPERLINK("http://www.otzar.org/book.asp?630150","קונטרס עזרת אליעזר - 15 כר'")</f>
        <v>קונטרס עזרת אליעזר - 15 כר'</v>
      </c>
    </row>
    <row r="3225" spans="1:6" x14ac:dyDescent="0.2">
      <c r="A3225" t="s">
        <v>6278</v>
      </c>
      <c r="B3225" t="s">
        <v>6279</v>
      </c>
      <c r="F3225" s="5" t="str">
        <f>HYPERLINK("http://www.otzar.org/book.asp?630736","קונטרס עטרת חכמים - בבא בתרא")</f>
        <v>קונטרס עטרת חכמים - בבא בתרא</v>
      </c>
    </row>
    <row r="3226" spans="1:6" x14ac:dyDescent="0.2">
      <c r="A3226" t="s">
        <v>6280</v>
      </c>
      <c r="B3226" t="s">
        <v>5341</v>
      </c>
      <c r="C3226" t="s">
        <v>8</v>
      </c>
      <c r="D3226" s="1" t="s">
        <v>1341</v>
      </c>
      <c r="E3226" t="s">
        <v>37</v>
      </c>
      <c r="F3226" s="5" t="str">
        <f>HYPERLINK("http://www.otzar.org/book.asp?626761","קונטרס עטרת יצחק")</f>
        <v>קונטרס עטרת יצחק</v>
      </c>
    </row>
    <row r="3227" spans="1:6" x14ac:dyDescent="0.2">
      <c r="A3227" t="s">
        <v>6281</v>
      </c>
      <c r="B3227" t="s">
        <v>6282</v>
      </c>
      <c r="C3227" t="s">
        <v>20</v>
      </c>
      <c r="D3227" s="1" t="s">
        <v>2170</v>
      </c>
      <c r="E3227" t="s">
        <v>37</v>
      </c>
      <c r="F3227" s="5" t="str">
        <f>HYPERLINK("http://www.otzar.org/book.asp?623753","קונטרס עטרת מלוכה")</f>
        <v>קונטרס עטרת מלוכה</v>
      </c>
    </row>
    <row r="3228" spans="1:6" x14ac:dyDescent="0.2">
      <c r="A3228" t="s">
        <v>6283</v>
      </c>
      <c r="B3228" t="s">
        <v>3023</v>
      </c>
      <c r="C3228" t="s">
        <v>1023</v>
      </c>
      <c r="D3228" s="1" t="s">
        <v>14</v>
      </c>
      <c r="E3228" t="s">
        <v>22</v>
      </c>
      <c r="F3228" s="5" t="str">
        <f>HYPERLINK("http://www.otzar.org/book.asp?624726","קונטרס עיוני דעת")</f>
        <v>קונטרס עיוני דעת</v>
      </c>
    </row>
    <row r="3229" spans="1:6" x14ac:dyDescent="0.2">
      <c r="A3229" t="s">
        <v>6284</v>
      </c>
      <c r="B3229" t="s">
        <v>3023</v>
      </c>
      <c r="C3229" t="s">
        <v>190</v>
      </c>
      <c r="E3229" t="s">
        <v>168</v>
      </c>
      <c r="F3229" s="5" t="str">
        <f>HYPERLINK("http://www.otzar.org/book.asp?624718","קונטרס על המלך טוב")</f>
        <v>קונטרס על המלך טוב</v>
      </c>
    </row>
    <row r="3230" spans="1:6" x14ac:dyDescent="0.2">
      <c r="A3230" t="s">
        <v>6285</v>
      </c>
      <c r="B3230" t="s">
        <v>1043</v>
      </c>
      <c r="C3230" t="s">
        <v>13</v>
      </c>
      <c r="D3230" s="1" t="s">
        <v>1044</v>
      </c>
      <c r="E3230" t="s">
        <v>242</v>
      </c>
      <c r="F3230" s="5" t="str">
        <f>HYPERLINK("http://www.otzar.org/book.asp?630359","קונטרס על כנפי נשרים")</f>
        <v>קונטרס על כנפי נשרים</v>
      </c>
    </row>
    <row r="3231" spans="1:6" x14ac:dyDescent="0.2">
      <c r="A3231" t="s">
        <v>6286</v>
      </c>
      <c r="B3231" t="s">
        <v>6287</v>
      </c>
      <c r="E3231" t="s">
        <v>34</v>
      </c>
      <c r="F3231" s="5" t="str">
        <f>HYPERLINK("http://www.otzar.org/book.asp?630550","קונטרס על שלשה דברים האדם עומד")</f>
        <v>קונטרס על שלשה דברים האדם עומד</v>
      </c>
    </row>
    <row r="3232" spans="1:6" x14ac:dyDescent="0.2">
      <c r="A3232" t="s">
        <v>6288</v>
      </c>
      <c r="B3232" t="s">
        <v>923</v>
      </c>
      <c r="C3232" t="s">
        <v>8</v>
      </c>
      <c r="D3232" s="1" t="s">
        <v>14</v>
      </c>
      <c r="E3232" t="s">
        <v>22</v>
      </c>
      <c r="F3232" s="5" t="str">
        <f>HYPERLINK("http://www.otzar.org/book.asp?623216","קונטרס עניני בל תאחר")</f>
        <v>קונטרס עניני בל תאחר</v>
      </c>
    </row>
    <row r="3233" spans="1:6" x14ac:dyDescent="0.2">
      <c r="A3233" t="s">
        <v>6289</v>
      </c>
      <c r="B3233" t="s">
        <v>94</v>
      </c>
      <c r="C3233" t="s">
        <v>25</v>
      </c>
      <c r="D3233" s="1" t="s">
        <v>52</v>
      </c>
      <c r="E3233" t="s">
        <v>22</v>
      </c>
      <c r="F3233" s="5" t="str">
        <f>HYPERLINK("http://www.otzar.org/book.asp?629432","קונטרס עניני מלאכת מחשבת")</f>
        <v>קונטרס עניני מלאכת מחשבת</v>
      </c>
    </row>
    <row r="3234" spans="1:6" x14ac:dyDescent="0.2">
      <c r="A3234" t="s">
        <v>6290</v>
      </c>
      <c r="E3234" t="s">
        <v>22</v>
      </c>
      <c r="F3234" s="5" t="str">
        <f>HYPERLINK("http://www.otzar.org/book.asp?629461","קונטרס ענינים בפרק הדר")</f>
        <v>קונטרס ענינים בפרק הדר</v>
      </c>
    </row>
    <row r="3235" spans="1:6" x14ac:dyDescent="0.2">
      <c r="A3235" t="s">
        <v>6291</v>
      </c>
      <c r="B3235" t="s">
        <v>6292</v>
      </c>
      <c r="C3235" t="s">
        <v>13</v>
      </c>
      <c r="D3235" s="1" t="s">
        <v>229</v>
      </c>
      <c r="E3235" t="s">
        <v>37</v>
      </c>
      <c r="F3235" s="5" t="str">
        <f>HYPERLINK("http://www.otzar.org/book.asp?623258","קונטרס עסק עמהן")</f>
        <v>קונטרס עסק עמהן</v>
      </c>
    </row>
    <row r="3236" spans="1:6" x14ac:dyDescent="0.2">
      <c r="A3236" t="s">
        <v>6293</v>
      </c>
      <c r="B3236" t="s">
        <v>3030</v>
      </c>
      <c r="C3236" t="s">
        <v>383</v>
      </c>
      <c r="D3236" s="1" t="s">
        <v>268</v>
      </c>
      <c r="E3236" t="s">
        <v>34</v>
      </c>
      <c r="F3236" s="5" t="str">
        <f>HYPERLINK("http://www.otzar.org/book.asp?623951","קונטרס עצה ותבונה")</f>
        <v>קונטרס עצה ותבונה</v>
      </c>
    </row>
    <row r="3237" spans="1:6" x14ac:dyDescent="0.2">
      <c r="A3237" t="s">
        <v>6294</v>
      </c>
      <c r="B3237" t="s">
        <v>1276</v>
      </c>
      <c r="C3237" t="s">
        <v>20</v>
      </c>
      <c r="D3237" s="1" t="s">
        <v>9</v>
      </c>
      <c r="E3237" t="s">
        <v>242</v>
      </c>
      <c r="F3237" s="5" t="str">
        <f>HYPERLINK("http://www.otzar.org/book.asp?626715","קונטרס עשירית")</f>
        <v>קונטרס עשירית</v>
      </c>
    </row>
    <row r="3238" spans="1:6" x14ac:dyDescent="0.2">
      <c r="A3238" t="s">
        <v>6295</v>
      </c>
      <c r="B3238" t="s">
        <v>6296</v>
      </c>
      <c r="C3238" t="s">
        <v>73</v>
      </c>
      <c r="D3238" s="1" t="s">
        <v>9</v>
      </c>
      <c r="E3238" t="s">
        <v>17</v>
      </c>
      <c r="F3238" s="5" t="str">
        <f>HYPERLINK("http://www.otzar.org/book.asp?629843","קונטרס עת רקוד")</f>
        <v>קונטרס עת רקוד</v>
      </c>
    </row>
    <row r="3239" spans="1:6" x14ac:dyDescent="0.2">
      <c r="A3239" t="s">
        <v>6297</v>
      </c>
      <c r="B3239" t="s">
        <v>1236</v>
      </c>
      <c r="C3239" t="s">
        <v>40</v>
      </c>
      <c r="D3239" s="1" t="s">
        <v>21</v>
      </c>
      <c r="F3239" s="5" t="str">
        <f>HYPERLINK("http://www.otzar.org/book.asp?629942","קונטרס פאר מזוזה")</f>
        <v>קונטרס פאר מזוזה</v>
      </c>
    </row>
    <row r="3240" spans="1:6" x14ac:dyDescent="0.2">
      <c r="A3240" t="s">
        <v>6298</v>
      </c>
      <c r="B3240" t="s">
        <v>5341</v>
      </c>
      <c r="C3240" t="s">
        <v>8</v>
      </c>
      <c r="D3240" s="1" t="s">
        <v>1341</v>
      </c>
      <c r="E3240" t="s">
        <v>154</v>
      </c>
      <c r="F3240" s="5" t="str">
        <f>HYPERLINK("http://www.otzar.org/book.asp?626731","קונטרס פניני הלל")</f>
        <v>קונטרס פניני הלל</v>
      </c>
    </row>
    <row r="3241" spans="1:6" x14ac:dyDescent="0.2">
      <c r="A3241" t="s">
        <v>6299</v>
      </c>
      <c r="B3241" t="s">
        <v>6300</v>
      </c>
      <c r="C3241" t="s">
        <v>13</v>
      </c>
      <c r="D3241" s="1" t="s">
        <v>14</v>
      </c>
      <c r="F3241" s="5" t="str">
        <f>HYPERLINK("http://www.otzar.org/book.asp?632057","קונטרס פניני יוסף")</f>
        <v>קונטרס פניני יוסף</v>
      </c>
    </row>
    <row r="3242" spans="1:6" x14ac:dyDescent="0.2">
      <c r="A3242" t="s">
        <v>6301</v>
      </c>
      <c r="B3242" t="s">
        <v>6302</v>
      </c>
      <c r="C3242" t="s">
        <v>999</v>
      </c>
      <c r="D3242" s="1" t="s">
        <v>9</v>
      </c>
      <c r="E3242" t="s">
        <v>89</v>
      </c>
      <c r="F3242" s="5" t="str">
        <f>HYPERLINK("http://www.otzar.org/book.asp?628728","קונטרס פסקי הלכות")</f>
        <v>קונטרס פסקי הלכות</v>
      </c>
    </row>
    <row r="3243" spans="1:6" x14ac:dyDescent="0.2">
      <c r="A3243" t="s">
        <v>6303</v>
      </c>
      <c r="B3243" t="s">
        <v>6304</v>
      </c>
      <c r="C3243" t="s">
        <v>8</v>
      </c>
      <c r="D3243" s="1" t="s">
        <v>21</v>
      </c>
      <c r="E3243" t="s">
        <v>22</v>
      </c>
      <c r="F3243" s="5" t="str">
        <f>HYPERLINK("http://www.otzar.org/book.asp?629799","קונטרס פרזות מרדכי")</f>
        <v>קונטרס פרזות מרדכי</v>
      </c>
    </row>
    <row r="3244" spans="1:6" x14ac:dyDescent="0.2">
      <c r="A3244" t="s">
        <v>6305</v>
      </c>
      <c r="B3244" t="s">
        <v>6306</v>
      </c>
      <c r="C3244" t="s">
        <v>13</v>
      </c>
      <c r="D3244" s="1" t="s">
        <v>9</v>
      </c>
      <c r="E3244" t="s">
        <v>37</v>
      </c>
      <c r="F3244" s="5" t="str">
        <f>HYPERLINK("http://www.otzar.org/book.asp?630888","קונטרס פריסת שלומים")</f>
        <v>קונטרס פריסת שלומים</v>
      </c>
    </row>
    <row r="3245" spans="1:6" x14ac:dyDescent="0.2">
      <c r="A3245" t="s">
        <v>6307</v>
      </c>
      <c r="B3245" t="s">
        <v>5850</v>
      </c>
      <c r="C3245" t="s">
        <v>8</v>
      </c>
      <c r="D3245" s="1" t="s">
        <v>52</v>
      </c>
      <c r="E3245" t="s">
        <v>154</v>
      </c>
      <c r="F3245" s="5" t="str">
        <f>HYPERLINK("http://www.otzar.org/book.asp?629880","קונטרס פתורא חדתא")</f>
        <v>קונטרס פתורא חדתא</v>
      </c>
    </row>
    <row r="3246" spans="1:6" x14ac:dyDescent="0.2">
      <c r="A3246" t="s">
        <v>6308</v>
      </c>
      <c r="B3246" t="s">
        <v>6309</v>
      </c>
      <c r="C3246" t="s">
        <v>13</v>
      </c>
      <c r="D3246" s="1" t="s">
        <v>9</v>
      </c>
      <c r="F3246" s="5" t="str">
        <f>HYPERLINK("http://www.otzar.org/book.asp?630755","קונטרס פתח הבית - שגגות")</f>
        <v>קונטרס פתח הבית - שגגות</v>
      </c>
    </row>
    <row r="3247" spans="1:6" x14ac:dyDescent="0.2">
      <c r="A3247" t="s">
        <v>6310</v>
      </c>
      <c r="B3247" t="s">
        <v>6311</v>
      </c>
      <c r="C3247" t="s">
        <v>13</v>
      </c>
      <c r="D3247" s="1" t="s">
        <v>21</v>
      </c>
      <c r="E3247" t="s">
        <v>199</v>
      </c>
      <c r="F3247" s="5" t="str">
        <f>HYPERLINK("http://www.otzar.org/book.asp?625384","קונטרס פתחי מזוזה - ב")</f>
        <v>קונטרס פתחי מזוזה - ב</v>
      </c>
    </row>
    <row r="3248" spans="1:6" x14ac:dyDescent="0.2">
      <c r="A3248" t="s">
        <v>6312</v>
      </c>
      <c r="B3248" t="s">
        <v>2165</v>
      </c>
      <c r="C3248" t="s">
        <v>8</v>
      </c>
      <c r="D3248" s="1" t="s">
        <v>52</v>
      </c>
      <c r="E3248" t="s">
        <v>337</v>
      </c>
      <c r="F3248" s="5" t="str">
        <f>HYPERLINK("http://www.otzar.org/book.asp?627542","קונטרס צעקת ישראל - 2 כר'")</f>
        <v>קונטרס צעקת ישראל - 2 כר'</v>
      </c>
    </row>
    <row r="3249" spans="1:6" x14ac:dyDescent="0.2">
      <c r="A3249" t="s">
        <v>6313</v>
      </c>
      <c r="B3249" t="s">
        <v>6314</v>
      </c>
      <c r="C3249" t="s">
        <v>1755</v>
      </c>
      <c r="D3249" s="1" t="s">
        <v>2373</v>
      </c>
      <c r="E3249" t="s">
        <v>49</v>
      </c>
      <c r="F3249" s="5" t="str">
        <f>HYPERLINK("http://www.otzar.org/book.asp?625378","קונטרס קבלות ומאמרים")</f>
        <v>קונטרס קבלות ומאמרים</v>
      </c>
    </row>
    <row r="3250" spans="1:6" x14ac:dyDescent="0.2">
      <c r="A3250" t="s">
        <v>6315</v>
      </c>
      <c r="B3250" t="s">
        <v>6316</v>
      </c>
      <c r="C3250" t="s">
        <v>1127</v>
      </c>
      <c r="D3250" s="1" t="s">
        <v>3186</v>
      </c>
      <c r="E3250" t="s">
        <v>214</v>
      </c>
      <c r="F3250" s="5" t="str">
        <f>HYPERLINK("http://www.otzar.org/book.asp?626365","קונטרס קול אליהו")</f>
        <v>קונטרס קול אליהו</v>
      </c>
    </row>
    <row r="3251" spans="1:6" x14ac:dyDescent="0.2">
      <c r="A3251" t="s">
        <v>6317</v>
      </c>
      <c r="B3251" t="s">
        <v>3902</v>
      </c>
      <c r="C3251" t="s">
        <v>20</v>
      </c>
      <c r="D3251" s="1" t="s">
        <v>774</v>
      </c>
      <c r="E3251" t="s">
        <v>37</v>
      </c>
      <c r="F3251" s="5" t="str">
        <f>HYPERLINK("http://www.otzar.org/book.asp?630921","קונטרס קול חתן")</f>
        <v>קונטרס קול חתן</v>
      </c>
    </row>
    <row r="3252" spans="1:6" x14ac:dyDescent="0.2">
      <c r="A3252" t="s">
        <v>6318</v>
      </c>
      <c r="B3252" t="s">
        <v>958</v>
      </c>
      <c r="C3252" t="s">
        <v>13</v>
      </c>
      <c r="D3252" s="1" t="s">
        <v>21</v>
      </c>
      <c r="E3252" t="s">
        <v>22</v>
      </c>
      <c r="F3252" s="5" t="str">
        <f>HYPERLINK("http://www.otzar.org/book.asp?626763","קונטרס קול מחצצים")</f>
        <v>קונטרס קול מחצצים</v>
      </c>
    </row>
    <row r="3253" spans="1:6" x14ac:dyDescent="0.2">
      <c r="A3253" t="s">
        <v>6319</v>
      </c>
      <c r="B3253" t="s">
        <v>6320</v>
      </c>
      <c r="C3253" t="s">
        <v>13</v>
      </c>
      <c r="D3253" s="1" t="s">
        <v>52</v>
      </c>
      <c r="E3253" t="s">
        <v>214</v>
      </c>
      <c r="F3253" s="5" t="str">
        <f>HYPERLINK("http://www.otzar.org/book.asp?629808","קונטרס קיבלו וקיימו - 4 כר'")</f>
        <v>קונטרס קיבלו וקיימו - 4 כר'</v>
      </c>
    </row>
    <row r="3254" spans="1:6" x14ac:dyDescent="0.2">
      <c r="A3254" t="s">
        <v>6321</v>
      </c>
      <c r="B3254" t="s">
        <v>972</v>
      </c>
      <c r="E3254" t="s">
        <v>37</v>
      </c>
      <c r="F3254" s="5" t="str">
        <f>HYPERLINK("http://www.otzar.org/book.asp?622725","קונטרס קידושא רבא")</f>
        <v>קונטרס קידושא רבא</v>
      </c>
    </row>
    <row r="3255" spans="1:6" x14ac:dyDescent="0.2">
      <c r="A3255" t="s">
        <v>6322</v>
      </c>
      <c r="B3255" t="s">
        <v>5907</v>
      </c>
      <c r="C3255" t="s">
        <v>136</v>
      </c>
      <c r="D3255" s="1" t="s">
        <v>14</v>
      </c>
      <c r="E3255" t="s">
        <v>22</v>
      </c>
      <c r="F3255" s="5" t="str">
        <f>HYPERLINK("http://www.otzar.org/book.asp?624955","קונטרס קנין סודר")</f>
        <v>קונטרס קנין סודר</v>
      </c>
    </row>
    <row r="3256" spans="1:6" x14ac:dyDescent="0.2">
      <c r="A3256" t="s">
        <v>6323</v>
      </c>
      <c r="B3256" t="s">
        <v>700</v>
      </c>
      <c r="C3256" t="s">
        <v>40</v>
      </c>
      <c r="D3256" s="1" t="s">
        <v>21</v>
      </c>
      <c r="E3256" t="s">
        <v>34</v>
      </c>
      <c r="F3256" s="5" t="str">
        <f>HYPERLINK("http://www.otzar.org/book.asp?622695","קונטרס קניני תורה - 2 כר'")</f>
        <v>קונטרס קניני תורה - 2 כר'</v>
      </c>
    </row>
    <row r="3257" spans="1:6" x14ac:dyDescent="0.2">
      <c r="A3257" t="s">
        <v>6324</v>
      </c>
      <c r="B3257" t="s">
        <v>6325</v>
      </c>
      <c r="C3257" t="s">
        <v>6326</v>
      </c>
      <c r="D3257" s="1" t="s">
        <v>14</v>
      </c>
      <c r="E3257" t="s">
        <v>37</v>
      </c>
      <c r="F3257" s="5" t="str">
        <f>HYPERLINK("http://www.otzar.org/book.asp?623595","קונטרס קשר של קיימא")</f>
        <v>קונטרס קשר של קיימא</v>
      </c>
    </row>
    <row r="3258" spans="1:6" x14ac:dyDescent="0.2">
      <c r="A3258" t="s">
        <v>6327</v>
      </c>
      <c r="B3258" t="s">
        <v>6328</v>
      </c>
      <c r="C3258" t="s">
        <v>174</v>
      </c>
      <c r="D3258" s="1" t="s">
        <v>29</v>
      </c>
      <c r="E3258" t="s">
        <v>214</v>
      </c>
      <c r="F3258" s="5" t="str">
        <f>HYPERLINK("http://www.otzar.org/book.asp?623816","קונטרס ראש פנה")</f>
        <v>קונטרס ראש פנה</v>
      </c>
    </row>
    <row r="3259" spans="1:6" x14ac:dyDescent="0.2">
      <c r="A3259" t="s">
        <v>6329</v>
      </c>
      <c r="B3259" t="s">
        <v>6330</v>
      </c>
      <c r="C3259" t="s">
        <v>73</v>
      </c>
      <c r="D3259" s="1" t="s">
        <v>52</v>
      </c>
      <c r="E3259" t="s">
        <v>37</v>
      </c>
      <c r="F3259" s="5" t="str">
        <f>HYPERLINK("http://www.otzar.org/book.asp?629682","קונטרס ראשי בשמים - 2 כר'")</f>
        <v>קונטרס ראשי בשמים - 2 כר'</v>
      </c>
    </row>
    <row r="3260" spans="1:6" x14ac:dyDescent="0.2">
      <c r="A3260" t="s">
        <v>6331</v>
      </c>
      <c r="B3260" t="s">
        <v>6332</v>
      </c>
      <c r="C3260" t="s">
        <v>20</v>
      </c>
      <c r="D3260" s="1" t="s">
        <v>14</v>
      </c>
      <c r="E3260" t="s">
        <v>22</v>
      </c>
      <c r="F3260" s="5" t="str">
        <f>HYPERLINK("http://www.otzar.org/book.asp?626988","קונטרס ריבוע העיר")</f>
        <v>קונטרס ריבוע העיר</v>
      </c>
    </row>
    <row r="3261" spans="1:6" x14ac:dyDescent="0.2">
      <c r="A3261" t="s">
        <v>6333</v>
      </c>
      <c r="B3261" t="s">
        <v>6334</v>
      </c>
      <c r="C3261" t="s">
        <v>460</v>
      </c>
      <c r="D3261" s="1" t="s">
        <v>29</v>
      </c>
      <c r="E3261" t="s">
        <v>214</v>
      </c>
      <c r="F3261" s="5" t="str">
        <f>HYPERLINK("http://www.otzar.org/book.asp?626410","קונטרס רנה וישועה")</f>
        <v>קונטרס רנה וישועה</v>
      </c>
    </row>
    <row r="3262" spans="1:6" x14ac:dyDescent="0.2">
      <c r="A3262" t="s">
        <v>6335</v>
      </c>
      <c r="B3262" t="s">
        <v>94</v>
      </c>
      <c r="E3262" t="s">
        <v>89</v>
      </c>
      <c r="F3262" s="5" t="str">
        <f>HYPERLINK("http://www.otzar.org/book.asp?627921","קונטרס רשב""י לשיטתו")</f>
        <v>קונטרס רשב"י לשיטתו</v>
      </c>
    </row>
    <row r="3263" spans="1:6" x14ac:dyDescent="0.2">
      <c r="A3263" t="s">
        <v>6336</v>
      </c>
      <c r="B3263" t="s">
        <v>272</v>
      </c>
      <c r="C3263" t="s">
        <v>13</v>
      </c>
      <c r="D3263" s="1" t="s">
        <v>14</v>
      </c>
      <c r="E3263" t="s">
        <v>49</v>
      </c>
      <c r="F3263" s="5" t="str">
        <f>HYPERLINK("http://www.otzar.org/book.asp?628505","קונטרס שאו מנחה")</f>
        <v>קונטרס שאו מנחה</v>
      </c>
    </row>
    <row r="3264" spans="1:6" x14ac:dyDescent="0.2">
      <c r="A3264" t="s">
        <v>6337</v>
      </c>
      <c r="B3264" t="s">
        <v>252</v>
      </c>
      <c r="C3264" t="s">
        <v>13</v>
      </c>
      <c r="D3264" s="1" t="s">
        <v>52</v>
      </c>
      <c r="E3264" t="s">
        <v>37</v>
      </c>
      <c r="F3264" s="5" t="str">
        <f>HYPERLINK("http://www.otzar.org/book.asp?630325","קונטרס שאלות מצויות ליולדת בשבת וביו""ט")</f>
        <v>קונטרס שאלות מצויות ליולדת בשבת וביו"ט</v>
      </c>
    </row>
    <row r="3265" spans="1:6" x14ac:dyDescent="0.2">
      <c r="A3265" t="s">
        <v>6338</v>
      </c>
      <c r="B3265" t="s">
        <v>6339</v>
      </c>
      <c r="C3265" t="s">
        <v>133</v>
      </c>
      <c r="D3265" s="1" t="s">
        <v>9</v>
      </c>
      <c r="F3265" s="5" t="str">
        <f>HYPERLINK("http://www.otzar.org/book.asp?630751","קונטרס שאלת חיים - מצוות השבת")</f>
        <v>קונטרס שאלת חיים - מצוות השבת</v>
      </c>
    </row>
    <row r="3266" spans="1:6" x14ac:dyDescent="0.2">
      <c r="A3266" t="s">
        <v>6340</v>
      </c>
      <c r="B3266" t="s">
        <v>6341</v>
      </c>
      <c r="C3266" t="s">
        <v>13</v>
      </c>
      <c r="D3266" s="1" t="s">
        <v>557</v>
      </c>
      <c r="E3266" t="s">
        <v>22</v>
      </c>
      <c r="F3266" s="5" t="str">
        <f>HYPERLINK("http://www.otzar.org/book.asp?627925","קונטרס שבט אשר")</f>
        <v>קונטרס שבט אשר</v>
      </c>
    </row>
    <row r="3267" spans="1:6" x14ac:dyDescent="0.2">
      <c r="A3267" t="s">
        <v>6342</v>
      </c>
      <c r="B3267" t="s">
        <v>970</v>
      </c>
      <c r="C3267" t="s">
        <v>13</v>
      </c>
      <c r="D3267" s="1" t="s">
        <v>14</v>
      </c>
      <c r="E3267" t="s">
        <v>22</v>
      </c>
      <c r="F3267" s="5" t="str">
        <f>HYPERLINK("http://www.otzar.org/book.asp?627166","קונטרס שבילי הקבוע")</f>
        <v>קונטרס שבילי הקבוע</v>
      </c>
    </row>
    <row r="3268" spans="1:6" x14ac:dyDescent="0.2">
      <c r="A3268" t="s">
        <v>6343</v>
      </c>
      <c r="B3268" t="s">
        <v>674</v>
      </c>
      <c r="C3268" t="s">
        <v>133</v>
      </c>
      <c r="D3268" s="1" t="s">
        <v>268</v>
      </c>
      <c r="E3268" t="s">
        <v>89</v>
      </c>
      <c r="F3268" s="5" t="str">
        <f>HYPERLINK("http://www.otzar.org/book.asp?623585","קונטרס שבת לה'")</f>
        <v>קונטרס שבת לה'</v>
      </c>
    </row>
    <row r="3269" spans="1:6" x14ac:dyDescent="0.2">
      <c r="A3269" t="s">
        <v>6344</v>
      </c>
      <c r="B3269" t="s">
        <v>4764</v>
      </c>
      <c r="C3269" t="s">
        <v>157</v>
      </c>
      <c r="D3269" s="1" t="s">
        <v>9</v>
      </c>
      <c r="E3269" t="s">
        <v>1197</v>
      </c>
      <c r="F3269" s="5" t="str">
        <f>HYPERLINK("http://www.otzar.org/book.asp?630192","קונטרס שבת לפני החתונה ועליה לתורה")</f>
        <v>קונטרס שבת לפני החתונה ועליה לתורה</v>
      </c>
    </row>
    <row r="3270" spans="1:6" x14ac:dyDescent="0.2">
      <c r="A3270" t="s">
        <v>6345</v>
      </c>
      <c r="B3270" t="s">
        <v>5901</v>
      </c>
      <c r="C3270" t="s">
        <v>73</v>
      </c>
      <c r="D3270" s="1" t="s">
        <v>14</v>
      </c>
      <c r="E3270" t="s">
        <v>168</v>
      </c>
      <c r="F3270" s="5" t="str">
        <f>HYPERLINK("http://www.otzar.org/book.asp?630155","קונטרס שו""ת עזרת אליעזר - 7 כר'")</f>
        <v>קונטרס שו"ת עזרת אליעזר - 7 כר'</v>
      </c>
    </row>
    <row r="3271" spans="1:6" x14ac:dyDescent="0.2">
      <c r="A3271" t="s">
        <v>6346</v>
      </c>
      <c r="B3271" t="s">
        <v>6347</v>
      </c>
      <c r="C3271" t="s">
        <v>427</v>
      </c>
      <c r="D3271" s="1" t="s">
        <v>14</v>
      </c>
      <c r="E3271" t="s">
        <v>1334</v>
      </c>
      <c r="F3271" s="5" t="str">
        <f>HYPERLINK("http://www.otzar.org/book.asp?626595","קונטרס שובה ישראל")</f>
        <v>קונטרס שובה ישראל</v>
      </c>
    </row>
    <row r="3272" spans="1:6" x14ac:dyDescent="0.2">
      <c r="A3272" t="s">
        <v>6348</v>
      </c>
      <c r="B3272" t="s">
        <v>6349</v>
      </c>
      <c r="C3272" t="s">
        <v>890</v>
      </c>
      <c r="D3272" s="1" t="s">
        <v>14</v>
      </c>
      <c r="E3272" t="s">
        <v>44</v>
      </c>
      <c r="F3272" s="5" t="str">
        <f>HYPERLINK("http://www.otzar.org/book.asp?631142","קונטרס שופר של משיח")</f>
        <v>קונטרס שופר של משיח</v>
      </c>
    </row>
    <row r="3273" spans="1:6" x14ac:dyDescent="0.2">
      <c r="A3273" t="s">
        <v>6350</v>
      </c>
      <c r="B3273" t="s">
        <v>6351</v>
      </c>
      <c r="C3273" t="s">
        <v>8</v>
      </c>
      <c r="D3273" s="1" t="s">
        <v>52</v>
      </c>
      <c r="E3273" t="s">
        <v>22</v>
      </c>
      <c r="F3273" s="5" t="str">
        <f>HYPERLINK("http://www.otzar.org/book.asp?623674","קונטרס שופרא דשטרא")</f>
        <v>קונטרס שופרא דשטרא</v>
      </c>
    </row>
    <row r="3274" spans="1:6" x14ac:dyDescent="0.2">
      <c r="A3274" t="s">
        <v>6352</v>
      </c>
      <c r="B3274" t="s">
        <v>6353</v>
      </c>
      <c r="C3274" t="s">
        <v>999</v>
      </c>
      <c r="D3274" s="1" t="s">
        <v>9</v>
      </c>
      <c r="E3274" t="s">
        <v>836</v>
      </c>
      <c r="F3274" s="5" t="str">
        <f>HYPERLINK("http://www.otzar.org/book.asp?623734","קונטרס שושנת יעקב - ב")</f>
        <v>קונטרס שושנת יעקב - ב</v>
      </c>
    </row>
    <row r="3275" spans="1:6" x14ac:dyDescent="0.2">
      <c r="A3275" t="s">
        <v>6354</v>
      </c>
      <c r="B3275" t="s">
        <v>6355</v>
      </c>
      <c r="C3275" t="s">
        <v>307</v>
      </c>
      <c r="D3275" s="1" t="s">
        <v>9</v>
      </c>
      <c r="F3275" s="5" t="str">
        <f>HYPERLINK("http://www.otzar.org/book.asp?632058","קונטרס שי למועדים - פסח")</f>
        <v>קונטרס שי למועדים - פסח</v>
      </c>
    </row>
    <row r="3276" spans="1:6" x14ac:dyDescent="0.2">
      <c r="A3276" t="s">
        <v>6356</v>
      </c>
      <c r="B3276" t="s">
        <v>6357</v>
      </c>
      <c r="C3276" t="s">
        <v>13</v>
      </c>
      <c r="D3276" s="1" t="s">
        <v>52</v>
      </c>
      <c r="E3276" t="s">
        <v>37</v>
      </c>
      <c r="F3276" s="5" t="str">
        <f>HYPERLINK("http://www.otzar.org/book.asp?630823","קונטרס שיעורי טלית קטן")</f>
        <v>קונטרס שיעורי טלית קטן</v>
      </c>
    </row>
    <row r="3277" spans="1:6" x14ac:dyDescent="0.2">
      <c r="A3277" t="s">
        <v>6358</v>
      </c>
      <c r="B3277" t="s">
        <v>6359</v>
      </c>
      <c r="C3277" t="s">
        <v>25</v>
      </c>
      <c r="D3277" s="1" t="s">
        <v>9</v>
      </c>
      <c r="E3277" t="s">
        <v>22</v>
      </c>
      <c r="F3277" s="5" t="str">
        <f>HYPERLINK("http://www.otzar.org/book.asp?629137","קונטרס שיעורי רבנו ראש הישיבה - קידושין פ""ק")</f>
        <v>קונטרס שיעורי רבנו ראש הישיבה - קידושין פ"ק</v>
      </c>
    </row>
    <row r="3278" spans="1:6" x14ac:dyDescent="0.2">
      <c r="A3278" t="s">
        <v>6360</v>
      </c>
      <c r="B3278" t="s">
        <v>6361</v>
      </c>
      <c r="C3278" t="s">
        <v>13</v>
      </c>
      <c r="D3278" s="1" t="s">
        <v>14</v>
      </c>
      <c r="E3278" t="s">
        <v>22</v>
      </c>
      <c r="F3278" s="5" t="str">
        <f>HYPERLINK("http://www.otzar.org/book.asp?630038","קונטרס שיעורים במסכת קידושין")</f>
        <v>קונטרס שיעורים במסכת קידושין</v>
      </c>
    </row>
    <row r="3279" spans="1:6" x14ac:dyDescent="0.2">
      <c r="A3279" t="s">
        <v>6362</v>
      </c>
      <c r="B3279" t="s">
        <v>94</v>
      </c>
      <c r="C3279" t="s">
        <v>8</v>
      </c>
      <c r="D3279" s="1" t="s">
        <v>52</v>
      </c>
      <c r="E3279" t="s">
        <v>34</v>
      </c>
      <c r="F3279" s="5" t="str">
        <f>HYPERLINK("http://www.otzar.org/book.asp?629881","קונטרס שירת דודי")</f>
        <v>קונטרס שירת דודי</v>
      </c>
    </row>
    <row r="3280" spans="1:6" x14ac:dyDescent="0.2">
      <c r="A3280" t="s">
        <v>6363</v>
      </c>
      <c r="B3280" t="s">
        <v>6364</v>
      </c>
      <c r="C3280" t="s">
        <v>73</v>
      </c>
      <c r="D3280" s="1" t="s">
        <v>3638</v>
      </c>
      <c r="E3280" t="s">
        <v>199</v>
      </c>
      <c r="F3280" s="5" t="str">
        <f>HYPERLINK("http://www.otzar.org/book.asp?626481","קונטרס שירת הים - 7 כר'")</f>
        <v>קונטרס שירת הים - 7 כר'</v>
      </c>
    </row>
    <row r="3281" spans="1:6" x14ac:dyDescent="0.2">
      <c r="A3281" t="s">
        <v>6365</v>
      </c>
      <c r="B3281" t="s">
        <v>3131</v>
      </c>
      <c r="C3281" t="s">
        <v>20</v>
      </c>
      <c r="D3281" s="1" t="s">
        <v>52</v>
      </c>
      <c r="E3281" t="s">
        <v>22</v>
      </c>
      <c r="F3281" s="5" t="str">
        <f>HYPERLINK("http://www.otzar.org/book.asp?623260","קונטרס שכן טוב")</f>
        <v>קונטרס שכן טוב</v>
      </c>
    </row>
    <row r="3282" spans="1:6" x14ac:dyDescent="0.2">
      <c r="A3282" t="s">
        <v>6366</v>
      </c>
      <c r="B3282" t="s">
        <v>6367</v>
      </c>
      <c r="C3282" t="s">
        <v>174</v>
      </c>
      <c r="D3282" s="1" t="s">
        <v>9</v>
      </c>
      <c r="E3282" t="s">
        <v>214</v>
      </c>
      <c r="F3282" s="5" t="str">
        <f>HYPERLINK("http://www.otzar.org/book.asp?626080","קונטרס של ברכה")</f>
        <v>קונטרס של ברכה</v>
      </c>
    </row>
    <row r="3283" spans="1:6" x14ac:dyDescent="0.2">
      <c r="A3283" t="s">
        <v>6368</v>
      </c>
      <c r="B3283" t="s">
        <v>970</v>
      </c>
      <c r="C3283" t="s">
        <v>13</v>
      </c>
      <c r="D3283" s="1" t="s">
        <v>14</v>
      </c>
      <c r="E3283" t="s">
        <v>22</v>
      </c>
      <c r="F3283" s="5" t="str">
        <f>HYPERLINK("http://www.otzar.org/book.asp?627165","קונטרס שלמי הזמן")</f>
        <v>קונטרס שלמי הזמן</v>
      </c>
    </row>
    <row r="3284" spans="1:6" x14ac:dyDescent="0.2">
      <c r="A3284" t="s">
        <v>6369</v>
      </c>
      <c r="B3284" t="s">
        <v>6370</v>
      </c>
      <c r="C3284" t="s">
        <v>8</v>
      </c>
      <c r="D3284" s="1" t="s">
        <v>120</v>
      </c>
      <c r="E3284" t="s">
        <v>89</v>
      </c>
      <c r="F3284" s="5" t="str">
        <f>HYPERLINK("http://www.otzar.org/book.asp?626161","קונטרס שמחת משה וסדר זמירות לשבת קודש")</f>
        <v>קונטרס שמחת משה וסדר זמירות לשבת קודש</v>
      </c>
    </row>
    <row r="3285" spans="1:6" x14ac:dyDescent="0.2">
      <c r="A3285" t="s">
        <v>6371</v>
      </c>
      <c r="B3285" t="s">
        <v>6372</v>
      </c>
      <c r="C3285" t="s">
        <v>8</v>
      </c>
      <c r="D3285" s="1" t="s">
        <v>52</v>
      </c>
      <c r="E3285" t="s">
        <v>37</v>
      </c>
      <c r="F3285" s="5" t="str">
        <f>HYPERLINK("http://www.otzar.org/book.asp?628071","קונטרס שמירת דבורים")</f>
        <v>קונטרס שמירת דבורים</v>
      </c>
    </row>
    <row r="3286" spans="1:6" x14ac:dyDescent="0.2">
      <c r="A3286" t="s">
        <v>6373</v>
      </c>
      <c r="B3286" t="s">
        <v>6374</v>
      </c>
      <c r="C3286" t="s">
        <v>20</v>
      </c>
      <c r="D3286" s="1" t="s">
        <v>9</v>
      </c>
      <c r="E3286" t="s">
        <v>22</v>
      </c>
      <c r="F3286" s="5" t="str">
        <f>HYPERLINK("http://www.otzar.org/book.asp?625448","קונטרס שמעתתא דכתובות ומכות")</f>
        <v>קונטרס שמעתתא דכתובות ומכות</v>
      </c>
    </row>
    <row r="3287" spans="1:6" x14ac:dyDescent="0.2">
      <c r="A3287" t="s">
        <v>6375</v>
      </c>
      <c r="B3287" t="s">
        <v>6376</v>
      </c>
      <c r="C3287" t="s">
        <v>136</v>
      </c>
      <c r="D3287" s="1" t="s">
        <v>9</v>
      </c>
      <c r="E3287" t="s">
        <v>37</v>
      </c>
      <c r="F3287" s="5" t="str">
        <f>HYPERLINK("http://www.otzar.org/book.asp?623555","קונטרס שמש ינון - 2 כר'")</f>
        <v>קונטרס שמש ינון - 2 כר'</v>
      </c>
    </row>
    <row r="3288" spans="1:6" x14ac:dyDescent="0.2">
      <c r="A3288" t="s">
        <v>6377</v>
      </c>
      <c r="B3288" t="s">
        <v>6378</v>
      </c>
      <c r="C3288" t="s">
        <v>136</v>
      </c>
      <c r="D3288" s="1" t="s">
        <v>64</v>
      </c>
      <c r="E3288" t="s">
        <v>121</v>
      </c>
      <c r="F3288" s="5" t="str">
        <f>HYPERLINK("http://www.otzar.org/book.asp?626712","קונטרס שמש צדקה")</f>
        <v>קונטרס שמש צדקה</v>
      </c>
    </row>
    <row r="3289" spans="1:6" x14ac:dyDescent="0.2">
      <c r="A3289" t="s">
        <v>6379</v>
      </c>
      <c r="B3289" t="s">
        <v>6380</v>
      </c>
      <c r="C3289" t="s">
        <v>25</v>
      </c>
      <c r="D3289" s="1" t="s">
        <v>14</v>
      </c>
      <c r="E3289" t="s">
        <v>242</v>
      </c>
      <c r="F3289" s="5" t="str">
        <f>HYPERLINK("http://www.otzar.org/book.asp?627964","קונטרס שער יוסף")</f>
        <v>קונטרס שער יוסף</v>
      </c>
    </row>
    <row r="3290" spans="1:6" x14ac:dyDescent="0.2">
      <c r="A3290" t="s">
        <v>6381</v>
      </c>
      <c r="B3290" t="s">
        <v>4970</v>
      </c>
      <c r="C3290" t="s">
        <v>1074</v>
      </c>
      <c r="D3290" s="1" t="s">
        <v>213</v>
      </c>
      <c r="E3290" t="s">
        <v>675</v>
      </c>
      <c r="F3290" s="5" t="str">
        <f>HYPERLINK("http://www.otzar.org/book.asp?626538","קונטרס שערי נחמה אהל שרה")</f>
        <v>קונטרס שערי נחמה אהל שרה</v>
      </c>
    </row>
    <row r="3291" spans="1:6" x14ac:dyDescent="0.2">
      <c r="A3291" t="s">
        <v>6382</v>
      </c>
      <c r="B3291" t="s">
        <v>6383</v>
      </c>
      <c r="C3291" t="s">
        <v>397</v>
      </c>
      <c r="D3291" s="1" t="s">
        <v>9</v>
      </c>
      <c r="E3291" t="s">
        <v>214</v>
      </c>
      <c r="F3291" s="5" t="str">
        <f>HYPERLINK("http://www.otzar.org/book.asp?628686","קונטרס שערי ציון")</f>
        <v>קונטרס שערי ציון</v>
      </c>
    </row>
    <row r="3292" spans="1:6" x14ac:dyDescent="0.2">
      <c r="A3292" t="s">
        <v>6384</v>
      </c>
      <c r="B3292" t="s">
        <v>890</v>
      </c>
      <c r="C3292" t="s">
        <v>8</v>
      </c>
      <c r="D3292" s="1" t="s">
        <v>52</v>
      </c>
      <c r="E3292" t="s">
        <v>37</v>
      </c>
      <c r="F3292" s="5" t="str">
        <f>HYPERLINK("http://www.otzar.org/book.asp?631168","קונטרס שש מצוות תמידיות")</f>
        <v>קונטרס שש מצוות תמידיות</v>
      </c>
    </row>
    <row r="3293" spans="1:6" x14ac:dyDescent="0.2">
      <c r="A3293" t="s">
        <v>6385</v>
      </c>
      <c r="B3293" t="s">
        <v>6386</v>
      </c>
      <c r="C3293" t="s">
        <v>190</v>
      </c>
      <c r="F3293" s="5" t="str">
        <f>HYPERLINK("http://www.otzar.org/book.asp?629944","קונטרס תומת ישרים")</f>
        <v>קונטרס תומת ישרים</v>
      </c>
    </row>
    <row r="3294" spans="1:6" x14ac:dyDescent="0.2">
      <c r="A3294" t="s">
        <v>6387</v>
      </c>
      <c r="B3294" t="s">
        <v>958</v>
      </c>
      <c r="C3294" t="s">
        <v>8</v>
      </c>
      <c r="D3294" s="1" t="s">
        <v>21</v>
      </c>
      <c r="E3294" t="s">
        <v>538</v>
      </c>
      <c r="F3294" s="5" t="str">
        <f>HYPERLINK("http://www.otzar.org/book.asp?626764","קונטרס תורת המועדים")</f>
        <v>קונטרס תורת המועדים</v>
      </c>
    </row>
    <row r="3295" spans="1:6" x14ac:dyDescent="0.2">
      <c r="A3295" t="s">
        <v>6388</v>
      </c>
      <c r="B3295" t="s">
        <v>6389</v>
      </c>
      <c r="C3295" t="s">
        <v>818</v>
      </c>
      <c r="D3295" s="1" t="s">
        <v>14</v>
      </c>
      <c r="E3295" t="s">
        <v>22</v>
      </c>
      <c r="F3295" s="5" t="str">
        <f>HYPERLINK("http://www.otzar.org/book.asp?626184","קונטרס תורת המציאה")</f>
        <v>קונטרס תורת המציאה</v>
      </c>
    </row>
    <row r="3296" spans="1:6" x14ac:dyDescent="0.2">
      <c r="A3296" t="s">
        <v>6390</v>
      </c>
      <c r="B3296" t="s">
        <v>6391</v>
      </c>
      <c r="C3296" t="s">
        <v>2227</v>
      </c>
      <c r="D3296" s="1" t="s">
        <v>537</v>
      </c>
      <c r="E3296" t="s">
        <v>49</v>
      </c>
      <c r="F3296" s="5" t="str">
        <f>HYPERLINK("http://www.otzar.org/book.asp?628741","קונטרס תורת הנקוד")</f>
        <v>קונטרס תורת הנקוד</v>
      </c>
    </row>
    <row r="3297" spans="1:6" x14ac:dyDescent="0.2">
      <c r="A3297" t="s">
        <v>6392</v>
      </c>
      <c r="B3297" t="s">
        <v>923</v>
      </c>
      <c r="C3297" t="s">
        <v>8</v>
      </c>
      <c r="D3297" s="1" t="s">
        <v>14</v>
      </c>
      <c r="E3297" t="s">
        <v>49</v>
      </c>
      <c r="F3297" s="5" t="str">
        <f>HYPERLINK("http://www.otzar.org/book.asp?623231","קונטרס תורתך שעשועי")</f>
        <v>קונטרס תורתך שעשועי</v>
      </c>
    </row>
    <row r="3298" spans="1:6" x14ac:dyDescent="0.2">
      <c r="A3298" t="s">
        <v>6393</v>
      </c>
      <c r="B3298" t="s">
        <v>6394</v>
      </c>
      <c r="C3298" t="s">
        <v>8</v>
      </c>
      <c r="D3298" s="1" t="s">
        <v>52</v>
      </c>
      <c r="E3298" t="s">
        <v>37</v>
      </c>
      <c r="F3298" s="5" t="str">
        <f>HYPERLINK("http://www.otzar.org/book.asp?630054","קונטרס תיקוני שבת כהלכתו")</f>
        <v>קונטרס תיקוני שבת כהלכתו</v>
      </c>
    </row>
    <row r="3299" spans="1:6" x14ac:dyDescent="0.2">
      <c r="A3299" t="s">
        <v>6395</v>
      </c>
      <c r="B3299" t="s">
        <v>6396</v>
      </c>
      <c r="C3299" t="s">
        <v>13</v>
      </c>
      <c r="D3299" s="1" t="s">
        <v>9</v>
      </c>
      <c r="E3299" t="s">
        <v>10</v>
      </c>
      <c r="F3299" s="5" t="str">
        <f>HYPERLINK("http://www.otzar.org/book.asp?630334","קונטרס תמידים כסדרם - תמיד")</f>
        <v>קונטרס תמידים כסדרם - תמיד</v>
      </c>
    </row>
    <row r="3300" spans="1:6" x14ac:dyDescent="0.2">
      <c r="A3300" t="s">
        <v>6397</v>
      </c>
      <c r="B3300" t="s">
        <v>6398</v>
      </c>
      <c r="F3300" s="5" t="str">
        <f>HYPERLINK("http://www.otzar.org/book.asp?629941","קונטרס תפארת אברהם - כיבוד הורים")</f>
        <v>קונטרס תפארת אברהם - כיבוד הורים</v>
      </c>
    </row>
    <row r="3301" spans="1:6" x14ac:dyDescent="0.2">
      <c r="A3301" t="s">
        <v>6399</v>
      </c>
      <c r="B3301" t="s">
        <v>6400</v>
      </c>
      <c r="C3301" t="s">
        <v>190</v>
      </c>
      <c r="D3301" s="1" t="s">
        <v>476</v>
      </c>
      <c r="E3301" t="s">
        <v>37</v>
      </c>
      <c r="F3301" s="5" t="str">
        <f>HYPERLINK("http://www.otzar.org/book.asp?623369","קונטרס תפילת הדרך")</f>
        <v>קונטרס תפילת הדרך</v>
      </c>
    </row>
    <row r="3302" spans="1:6" x14ac:dyDescent="0.2">
      <c r="A3302" t="s">
        <v>6401</v>
      </c>
      <c r="B3302" t="s">
        <v>6402</v>
      </c>
      <c r="C3302" t="s">
        <v>8</v>
      </c>
      <c r="D3302" s="1" t="s">
        <v>9</v>
      </c>
      <c r="E3302" t="s">
        <v>477</v>
      </c>
      <c r="F3302" s="5" t="str">
        <f>HYPERLINK("http://www.otzar.org/book.asp?624880","קונטרס - המקדש וכליו")</f>
        <v>קונטרס - המקדש וכליו</v>
      </c>
    </row>
    <row r="3303" spans="1:6" x14ac:dyDescent="0.2">
      <c r="A3303" t="s">
        <v>6403</v>
      </c>
      <c r="B3303" t="s">
        <v>1227</v>
      </c>
      <c r="C3303" t="s">
        <v>190</v>
      </c>
      <c r="D3303" s="1" t="s">
        <v>436</v>
      </c>
      <c r="E3303" t="s">
        <v>242</v>
      </c>
      <c r="F3303" s="5" t="str">
        <f>HYPERLINK("http://www.otzar.org/book.asp?630354","קונטרס - לא תהא כהנת כפונדקית")</f>
        <v>קונטרס - לא תהא כהנת כפונדקית</v>
      </c>
    </row>
    <row r="3304" spans="1:6" x14ac:dyDescent="0.2">
      <c r="A3304" t="s">
        <v>6404</v>
      </c>
      <c r="B3304" t="s">
        <v>6405</v>
      </c>
      <c r="C3304" t="s">
        <v>13</v>
      </c>
      <c r="D3304" s="1" t="s">
        <v>557</v>
      </c>
      <c r="E3304" t="s">
        <v>37</v>
      </c>
      <c r="F3304" s="5" t="str">
        <f>HYPERLINK("http://www.otzar.org/book.asp?630022","קוצותיו תלתלים")</f>
        <v>קוצותיו תלתלים</v>
      </c>
    </row>
    <row r="3305" spans="1:6" x14ac:dyDescent="0.2">
      <c r="A3305" t="s">
        <v>6406</v>
      </c>
      <c r="B3305" t="s">
        <v>6407</v>
      </c>
      <c r="C3305" t="s">
        <v>6408</v>
      </c>
      <c r="D3305" s="1" t="s">
        <v>1526</v>
      </c>
      <c r="E3305" t="s">
        <v>49</v>
      </c>
      <c r="F3305" s="5" t="str">
        <f>HYPERLINK("http://www.otzar.org/book.asp?625563","קורות העתים - מורה דרך")</f>
        <v>קורות העתים - מורה דרך</v>
      </c>
    </row>
    <row r="3306" spans="1:6" x14ac:dyDescent="0.2">
      <c r="A3306" t="s">
        <v>6409</v>
      </c>
      <c r="B3306" t="s">
        <v>6410</v>
      </c>
      <c r="E3306" t="s">
        <v>214</v>
      </c>
      <c r="F3306" s="5" t="str">
        <f>HYPERLINK("http://www.otzar.org/book.asp?625735","קטורת שילה")</f>
        <v>קטורת שילה</v>
      </c>
    </row>
    <row r="3307" spans="1:6" x14ac:dyDescent="0.2">
      <c r="A3307" t="s">
        <v>6411</v>
      </c>
      <c r="B3307" t="s">
        <v>6412</v>
      </c>
      <c r="C3307" t="s">
        <v>13</v>
      </c>
      <c r="D3307" s="1" t="s">
        <v>9</v>
      </c>
      <c r="E3307" t="s">
        <v>49</v>
      </c>
      <c r="F3307" s="5" t="str">
        <f>HYPERLINK("http://www.otzar.org/book.asp?625935","קטלוג גנזים - ה")</f>
        <v>קטלוג גנזים - ה</v>
      </c>
    </row>
    <row r="3308" spans="1:6" x14ac:dyDescent="0.2">
      <c r="A3308" t="s">
        <v>6413</v>
      </c>
      <c r="B3308" t="s">
        <v>6414</v>
      </c>
      <c r="C3308">
        <v>1973</v>
      </c>
      <c r="D3308" s="1" t="s">
        <v>29</v>
      </c>
      <c r="E3308" t="s">
        <v>49</v>
      </c>
      <c r="F3308" s="5" t="str">
        <f>HYPERLINK("http://www.otzar.org/book.asp?627345","קטלוג כתבי היד העבריים ומקומם")</f>
        <v>קטלוג כתבי היד העבריים ומקומם</v>
      </c>
    </row>
    <row r="3309" spans="1:6" x14ac:dyDescent="0.2">
      <c r="A3309" t="s">
        <v>6415</v>
      </c>
      <c r="B3309" t="s">
        <v>6416</v>
      </c>
      <c r="C3309" t="s">
        <v>73</v>
      </c>
      <c r="D3309" s="1" t="s">
        <v>9</v>
      </c>
      <c r="E3309" t="s">
        <v>49</v>
      </c>
      <c r="F3309" s="5" t="str">
        <f>HYPERLINK("http://www.otzar.org/book.asp?628092","קטלוג מורשת - 13 כר'")</f>
        <v>קטלוג מורשת - 13 כר'</v>
      </c>
    </row>
    <row r="3310" spans="1:6" x14ac:dyDescent="0.2">
      <c r="A3310" t="s">
        <v>6417</v>
      </c>
      <c r="B3310" t="s">
        <v>6416</v>
      </c>
      <c r="C3310" t="s">
        <v>13</v>
      </c>
      <c r="D3310" s="1" t="s">
        <v>9</v>
      </c>
      <c r="E3310" t="s">
        <v>49</v>
      </c>
      <c r="F3310" s="5" t="str">
        <f>HYPERLINK("http://www.otzar.org/book.asp?623263","קטלוג צפונות - 2 כר'")</f>
        <v>קטלוג צפונות - 2 כר'</v>
      </c>
    </row>
    <row r="3311" spans="1:6" x14ac:dyDescent="0.2">
      <c r="A3311" t="s">
        <v>6418</v>
      </c>
      <c r="B3311" t="s">
        <v>6419</v>
      </c>
      <c r="C3311" t="s">
        <v>133</v>
      </c>
      <c r="D3311" s="1" t="s">
        <v>9</v>
      </c>
      <c r="E3311" t="s">
        <v>49</v>
      </c>
      <c r="F3311" s="5" t="str">
        <f>HYPERLINK("http://www.otzar.org/book.asp?627753","קטלוג קדם - 15 כר'")</f>
        <v>קטלוג קדם - 15 כר'</v>
      </c>
    </row>
    <row r="3312" spans="1:6" x14ac:dyDescent="0.2">
      <c r="A3312" t="s">
        <v>6420</v>
      </c>
      <c r="B3312" t="s">
        <v>6416</v>
      </c>
      <c r="C3312" t="s">
        <v>13</v>
      </c>
      <c r="D3312" s="1" t="s">
        <v>9</v>
      </c>
      <c r="E3312" t="s">
        <v>49</v>
      </c>
      <c r="F3312" s="5" t="str">
        <f>HYPERLINK("http://www.otzar.org/book.asp?627053","קטלוג רפאלי - 8 כר'")</f>
        <v>קטלוג רפאלי - 8 כר'</v>
      </c>
    </row>
    <row r="3313" spans="1:6" x14ac:dyDescent="0.2">
      <c r="A3313" t="s">
        <v>6421</v>
      </c>
      <c r="B3313" t="s">
        <v>677</v>
      </c>
      <c r="C3313" t="s">
        <v>133</v>
      </c>
      <c r="D3313" s="1" t="s">
        <v>9</v>
      </c>
      <c r="E3313" t="s">
        <v>295</v>
      </c>
      <c r="F3313" s="5" t="str">
        <f>HYPERLINK("http://www.otzar.org/book.asp?625504","קינות המבוארות")</f>
        <v>קינות המבוארות</v>
      </c>
    </row>
    <row r="3314" spans="1:6" x14ac:dyDescent="0.2">
      <c r="A3314" t="s">
        <v>6422</v>
      </c>
      <c r="B3314" t="s">
        <v>2773</v>
      </c>
      <c r="C3314" t="s">
        <v>460</v>
      </c>
      <c r="D3314" s="1" t="s">
        <v>9</v>
      </c>
      <c r="E3314" t="s">
        <v>242</v>
      </c>
      <c r="F3314" s="5" t="str">
        <f>HYPERLINK("http://www.otzar.org/book.asp?623940","קיצור דיני שמיטת קרקעות")</f>
        <v>קיצור דיני שמיטת קרקעות</v>
      </c>
    </row>
    <row r="3315" spans="1:6" x14ac:dyDescent="0.2">
      <c r="A3315" t="s">
        <v>6423</v>
      </c>
      <c r="B3315" t="s">
        <v>6424</v>
      </c>
      <c r="C3315" t="s">
        <v>73</v>
      </c>
      <c r="D3315" s="1" t="s">
        <v>6425</v>
      </c>
      <c r="E3315" t="s">
        <v>37</v>
      </c>
      <c r="F3315" s="5" t="str">
        <f>HYPERLINK("http://www.otzar.org/book.asp?630633","קיצור הלכות זימון")</f>
        <v>קיצור הלכות זימון</v>
      </c>
    </row>
    <row r="3316" spans="1:6" x14ac:dyDescent="0.2">
      <c r="A3316" t="s">
        <v>6426</v>
      </c>
      <c r="B3316" t="s">
        <v>6427</v>
      </c>
      <c r="C3316" t="s">
        <v>13</v>
      </c>
      <c r="D3316" s="1" t="s">
        <v>52</v>
      </c>
      <c r="E3316" t="s">
        <v>37</v>
      </c>
      <c r="F3316" s="5" t="str">
        <f>HYPERLINK("http://www.otzar.org/book.asp?630364","קיצור הלכות מזוזה")</f>
        <v>קיצור הלכות מזוזה</v>
      </c>
    </row>
    <row r="3317" spans="1:6" x14ac:dyDescent="0.2">
      <c r="A3317" t="s">
        <v>6428</v>
      </c>
      <c r="B3317" t="s">
        <v>6429</v>
      </c>
      <c r="C3317" t="s">
        <v>248</v>
      </c>
      <c r="D3317" s="1" t="s">
        <v>158</v>
      </c>
      <c r="F3317" s="5" t="str">
        <f>HYPERLINK("http://www.otzar.org/book.asp?627713","קיצור הלכות משו""ע אדמו""ר הזקן - מורחב")</f>
        <v>קיצור הלכות משו"ע אדמו"ר הזקן - מורחב</v>
      </c>
    </row>
    <row r="3318" spans="1:6" x14ac:dyDescent="0.2">
      <c r="A3318" t="s">
        <v>6430</v>
      </c>
      <c r="B3318" t="s">
        <v>6431</v>
      </c>
      <c r="C3318" t="s">
        <v>13</v>
      </c>
      <c r="D3318" s="1" t="s">
        <v>9</v>
      </c>
      <c r="E3318" t="s">
        <v>37</v>
      </c>
      <c r="F3318" s="5" t="str">
        <f>HYPERLINK("http://www.otzar.org/book.asp?629844","קיצור הלכות רבית - א")</f>
        <v>קיצור הלכות רבית - א</v>
      </c>
    </row>
    <row r="3319" spans="1:6" x14ac:dyDescent="0.2">
      <c r="A3319" t="s">
        <v>6432</v>
      </c>
      <c r="B3319" t="s">
        <v>6433</v>
      </c>
      <c r="C3319" t="s">
        <v>1127</v>
      </c>
      <c r="D3319" s="1" t="s">
        <v>14</v>
      </c>
      <c r="E3319" t="s">
        <v>37</v>
      </c>
      <c r="F3319" s="5" t="str">
        <f>HYPERLINK("http://www.otzar.org/book.asp?623971","קיצור הלכות - 5 כר'")</f>
        <v>קיצור הלכות - 5 כר'</v>
      </c>
    </row>
    <row r="3320" spans="1:6" x14ac:dyDescent="0.2">
      <c r="A3320" t="s">
        <v>6434</v>
      </c>
      <c r="B3320" t="s">
        <v>6435</v>
      </c>
      <c r="C3320" t="s">
        <v>6436</v>
      </c>
      <c r="D3320" s="1" t="s">
        <v>6437</v>
      </c>
      <c r="E3320" t="s">
        <v>49</v>
      </c>
      <c r="F3320" s="5" t="str">
        <f>HYPERLINK("http://www.otzar.org/book.asp?625375","קיצור מלאכת המספר")</f>
        <v>קיצור מלאכת המספר</v>
      </c>
    </row>
    <row r="3321" spans="1:6" x14ac:dyDescent="0.2">
      <c r="A3321" t="s">
        <v>6438</v>
      </c>
      <c r="B3321" t="s">
        <v>6439</v>
      </c>
      <c r="E3321" t="s">
        <v>34</v>
      </c>
      <c r="F3321" s="5" t="str">
        <f>HYPERLINK("http://www.otzar.org/book.asp?626799","קיצור מסילת ישרים")</f>
        <v>קיצור מסילת ישרים</v>
      </c>
    </row>
    <row r="3322" spans="1:6" x14ac:dyDescent="0.2">
      <c r="A3322" t="s">
        <v>6440</v>
      </c>
      <c r="B3322" t="s">
        <v>220</v>
      </c>
      <c r="C3322" t="s">
        <v>584</v>
      </c>
      <c r="D3322" s="1" t="s">
        <v>9</v>
      </c>
      <c r="E3322" t="s">
        <v>61</v>
      </c>
      <c r="F3322" s="5" t="str">
        <f>HYPERLINK("http://www.otzar.org/book.asp?629136","קיצור שלחן ערוך &lt;אורות חיים&gt;")</f>
        <v>קיצור שלחן ערוך &lt;אורות חיים&gt;</v>
      </c>
    </row>
    <row r="3323" spans="1:6" x14ac:dyDescent="0.2">
      <c r="A3323" t="s">
        <v>6441</v>
      </c>
      <c r="B3323" t="s">
        <v>6442</v>
      </c>
      <c r="C3323" t="s">
        <v>303</v>
      </c>
      <c r="D3323" s="1" t="s">
        <v>114</v>
      </c>
      <c r="E3323" t="s">
        <v>199</v>
      </c>
      <c r="F3323" s="5" t="str">
        <f>HYPERLINK("http://www.otzar.org/book.asp?626614","קיצור שלחן ערוך עם סיפורים חסידיים - הלכות אישות")</f>
        <v>קיצור שלחן ערוך עם סיפורים חסידיים - הלכות אישות</v>
      </c>
    </row>
    <row r="3324" spans="1:6" x14ac:dyDescent="0.2">
      <c r="A3324" t="s">
        <v>6443</v>
      </c>
      <c r="B3324" t="s">
        <v>220</v>
      </c>
      <c r="C3324" t="s">
        <v>6444</v>
      </c>
      <c r="D3324" s="1" t="s">
        <v>48</v>
      </c>
      <c r="E3324" t="s">
        <v>61</v>
      </c>
      <c r="F3324" s="5" t="str">
        <f>HYPERLINK("http://www.otzar.org/book.asp?623339","קיצור שלחן ערוך")</f>
        <v>קיצור שלחן ערוך</v>
      </c>
    </row>
    <row r="3325" spans="1:6" x14ac:dyDescent="0.2">
      <c r="A3325" t="s">
        <v>6445</v>
      </c>
      <c r="B3325" t="s">
        <v>6446</v>
      </c>
      <c r="C3325" t="s">
        <v>6447</v>
      </c>
      <c r="D3325" s="1" t="s">
        <v>6448</v>
      </c>
      <c r="E3325" t="s">
        <v>34</v>
      </c>
      <c r="F3325" s="5" t="str">
        <f>HYPERLINK("http://www.otzar.org/book.asp?628811","קיצור שני לחות הברית")</f>
        <v>קיצור שני לחות הברית</v>
      </c>
    </row>
    <row r="3326" spans="1:6" x14ac:dyDescent="0.2">
      <c r="A3326" t="s">
        <v>6449</v>
      </c>
      <c r="B3326" t="s">
        <v>5468</v>
      </c>
      <c r="F3326" s="5" t="str">
        <f>HYPERLINK("http://www.otzar.org/book.asp?630261","קלם - קלם עץ כרות")</f>
        <v>קלם - קלם עץ כרות</v>
      </c>
    </row>
    <row r="3327" spans="1:6" x14ac:dyDescent="0.2">
      <c r="A3327" t="s">
        <v>6450</v>
      </c>
      <c r="B3327" t="s">
        <v>3514</v>
      </c>
      <c r="C3327" t="s">
        <v>1127</v>
      </c>
      <c r="D3327" s="1" t="s">
        <v>9</v>
      </c>
      <c r="F3327" s="5" t="str">
        <f>HYPERLINK("http://www.otzar.org/book.asp?630390","קנאת ה' צבאות")</f>
        <v>קנאת ה' צבאות</v>
      </c>
    </row>
    <row r="3328" spans="1:6" x14ac:dyDescent="0.2">
      <c r="A3328" t="s">
        <v>6451</v>
      </c>
      <c r="B3328" t="s">
        <v>6452</v>
      </c>
      <c r="C3328" t="s">
        <v>2208</v>
      </c>
      <c r="D3328" s="1" t="s">
        <v>6453</v>
      </c>
      <c r="E3328" t="s">
        <v>53</v>
      </c>
      <c r="F3328" s="5" t="str">
        <f>HYPERLINK("http://www.otzar.org/book.asp?623954","קנין חדש")</f>
        <v>קנין חדש</v>
      </c>
    </row>
    <row r="3329" spans="1:6" x14ac:dyDescent="0.2">
      <c r="A3329" t="s">
        <v>6454</v>
      </c>
      <c r="B3329" t="s">
        <v>6455</v>
      </c>
      <c r="C3329" t="s">
        <v>1602</v>
      </c>
      <c r="D3329" s="1" t="s">
        <v>471</v>
      </c>
      <c r="F3329" s="5" t="str">
        <f>HYPERLINK("http://www.otzar.org/book.asp?632013","קצור אבן העזר")</f>
        <v>קצור אבן העזר</v>
      </c>
    </row>
    <row r="3330" spans="1:6" x14ac:dyDescent="0.2">
      <c r="A3330" t="s">
        <v>6456</v>
      </c>
      <c r="B3330" t="s">
        <v>6457</v>
      </c>
      <c r="C3330" t="s">
        <v>133</v>
      </c>
      <c r="D3330" s="1" t="s">
        <v>9</v>
      </c>
      <c r="E3330" t="s">
        <v>261</v>
      </c>
      <c r="F3330" s="5" t="str">
        <f>HYPERLINK("http://www.otzar.org/book.asp?627570","קרבן אהרן &lt;מהדורת זכרון אהרן&gt; - 2 כר'")</f>
        <v>קרבן אהרן &lt;מהדורת זכרון אהרן&gt; - 2 כר'</v>
      </c>
    </row>
    <row r="3331" spans="1:6" x14ac:dyDescent="0.2">
      <c r="A3331" t="s">
        <v>6458</v>
      </c>
      <c r="B3331" t="s">
        <v>2062</v>
      </c>
      <c r="C3331" t="s">
        <v>40</v>
      </c>
      <c r="D3331" s="1" t="s">
        <v>9</v>
      </c>
      <c r="E3331" t="s">
        <v>1197</v>
      </c>
      <c r="F3331" s="5" t="str">
        <f>HYPERLINK("http://www.otzar.org/book.asp?630795","קרבן מנחה, זכרון לבני ישראל, אורח מישור, פתיל תכלת")</f>
        <v>קרבן מנחה, זכרון לבני ישראל, אורח מישור, פתיל תכלת</v>
      </c>
    </row>
    <row r="3332" spans="1:6" x14ac:dyDescent="0.2">
      <c r="A3332" t="s">
        <v>6459</v>
      </c>
      <c r="B3332" t="s">
        <v>6460</v>
      </c>
      <c r="C3332" t="s">
        <v>13</v>
      </c>
      <c r="D3332" s="1" t="s">
        <v>9</v>
      </c>
      <c r="E3332" t="s">
        <v>34</v>
      </c>
      <c r="F3332" s="5" t="str">
        <f>HYPERLINK("http://www.otzar.org/book.asp?629845","קרוב אליך ה'")</f>
        <v>קרוב אליך ה'</v>
      </c>
    </row>
    <row r="3333" spans="1:6" x14ac:dyDescent="0.2">
      <c r="A3333" t="s">
        <v>6461</v>
      </c>
      <c r="B3333" t="s">
        <v>6462</v>
      </c>
      <c r="C3333" t="s">
        <v>190</v>
      </c>
      <c r="D3333" s="1" t="s">
        <v>774</v>
      </c>
      <c r="E3333" t="s">
        <v>836</v>
      </c>
      <c r="F3333" s="5" t="str">
        <f>HYPERLINK("http://www.otzar.org/book.asp?624862","קרית ארבע")</f>
        <v>קרית ארבע</v>
      </c>
    </row>
    <row r="3334" spans="1:6" x14ac:dyDescent="0.2">
      <c r="A3334" t="s">
        <v>6463</v>
      </c>
      <c r="B3334" t="s">
        <v>6464</v>
      </c>
      <c r="E3334" t="s">
        <v>49</v>
      </c>
      <c r="F3334" s="5" t="str">
        <f>HYPERLINK("http://www.otzar.org/book.asp?629913","קרן הצבי - א &lt;מצוות א-כג&gt;")</f>
        <v>קרן הצבי - א &lt;מצוות א-כג&gt;</v>
      </c>
    </row>
    <row r="3335" spans="1:6" x14ac:dyDescent="0.2">
      <c r="A3335" t="s">
        <v>6465</v>
      </c>
      <c r="B3335" t="s">
        <v>6466</v>
      </c>
      <c r="F3335" s="5" t="str">
        <f>HYPERLINK("http://www.otzar.org/book.asp?632819","קרני אור &lt;על הגה""צ ר' זונדל קרויזר&gt;")</f>
        <v>קרני אור &lt;על הגה"צ ר' זונדל קרויזר&gt;</v>
      </c>
    </row>
    <row r="3336" spans="1:6" x14ac:dyDescent="0.2">
      <c r="A3336" t="s">
        <v>6467</v>
      </c>
      <c r="B3336" t="s">
        <v>6468</v>
      </c>
      <c r="C3336">
        <v>1894</v>
      </c>
      <c r="D3336" s="1" t="s">
        <v>6469</v>
      </c>
      <c r="E3336" t="s">
        <v>371</v>
      </c>
      <c r="F3336" s="5" t="str">
        <f>HYPERLINK("http://www.otzar.org/book.asp?627343","ר' יאיר חיים בכרך (גרמנית)")</f>
        <v>ר' יאיר חיים בכרך (גרמנית)</v>
      </c>
    </row>
    <row r="3337" spans="1:6" x14ac:dyDescent="0.2">
      <c r="A3337" t="s">
        <v>6470</v>
      </c>
      <c r="B3337" t="s">
        <v>6471</v>
      </c>
      <c r="C3337" t="s">
        <v>1127</v>
      </c>
      <c r="D3337" s="1" t="s">
        <v>471</v>
      </c>
      <c r="E3337" t="s">
        <v>6472</v>
      </c>
      <c r="F3337" s="5" t="str">
        <f>HYPERLINK("http://www.otzar.org/book.asp?173143","ר' יוסף ששפורטש וספר תשובותיו")</f>
        <v>ר' יוסף ששפורטש וספר תשובותיו</v>
      </c>
    </row>
    <row r="3338" spans="1:6" x14ac:dyDescent="0.2">
      <c r="A3338" t="s">
        <v>6473</v>
      </c>
      <c r="B3338" t="s">
        <v>6474</v>
      </c>
      <c r="C3338" t="s">
        <v>6475</v>
      </c>
      <c r="D3338" s="1" t="s">
        <v>6476</v>
      </c>
      <c r="E3338" t="s">
        <v>371</v>
      </c>
      <c r="F3338" s="5" t="str">
        <f>HYPERLINK("http://www.otzar.org/book.asp?623934","ר' מרדכי אהרן גינצבורג")</f>
        <v>ר' מרדכי אהרן גינצבורג</v>
      </c>
    </row>
    <row r="3339" spans="1:6" x14ac:dyDescent="0.2">
      <c r="A3339" t="s">
        <v>6477</v>
      </c>
      <c r="B3339" t="s">
        <v>6478</v>
      </c>
      <c r="C3339" t="s">
        <v>383</v>
      </c>
      <c r="D3339" s="1" t="s">
        <v>52</v>
      </c>
      <c r="E3339" t="s">
        <v>371</v>
      </c>
      <c r="F3339" s="5" t="str">
        <f>HYPERLINK("http://www.otzar.org/book.asp?623948","ר' שלמה - תולדות חייו ומשנתו של רבי שלמה פרייפלד")</f>
        <v>ר' שלמה - תולדות חייו ומשנתו של רבי שלמה פרייפלד</v>
      </c>
    </row>
    <row r="3340" spans="1:6" x14ac:dyDescent="0.2">
      <c r="A3340" t="s">
        <v>6479</v>
      </c>
      <c r="B3340" t="s">
        <v>1940</v>
      </c>
      <c r="C3340" t="s">
        <v>8</v>
      </c>
      <c r="D3340" s="1" t="s">
        <v>52</v>
      </c>
      <c r="E3340" t="s">
        <v>214</v>
      </c>
      <c r="F3340" s="5" t="str">
        <f>HYPERLINK("http://www.otzar.org/book.asp?623797","ר' שמואל אליהו")</f>
        <v>ר' שמואל אליהו</v>
      </c>
    </row>
    <row r="3341" spans="1:6" x14ac:dyDescent="0.2">
      <c r="A3341" t="s">
        <v>6480</v>
      </c>
      <c r="B3341" t="s">
        <v>6481</v>
      </c>
      <c r="C3341" t="s">
        <v>1922</v>
      </c>
      <c r="D3341" s="1" t="s">
        <v>114</v>
      </c>
      <c r="E3341" t="s">
        <v>371</v>
      </c>
      <c r="F3341" s="5" t="str">
        <f>HYPERLINK("http://www.otzar.org/book.asp?620103","ראיה מהימנא")</f>
        <v>ראיה מהימנא</v>
      </c>
    </row>
    <row r="3342" spans="1:6" x14ac:dyDescent="0.2">
      <c r="A3342" t="s">
        <v>6482</v>
      </c>
      <c r="B3342" t="s">
        <v>6483</v>
      </c>
      <c r="C3342" t="s">
        <v>13</v>
      </c>
      <c r="D3342" s="1" t="s">
        <v>14</v>
      </c>
      <c r="E3342" t="s">
        <v>836</v>
      </c>
      <c r="F3342" s="5" t="str">
        <f>HYPERLINK("http://www.otzar.org/book.asp?627173","ראש אליהו - 2 כר'")</f>
        <v>ראש אליהו - 2 כר'</v>
      </c>
    </row>
    <row r="3343" spans="1:6" x14ac:dyDescent="0.2">
      <c r="A3343" t="s">
        <v>6484</v>
      </c>
      <c r="B3343" t="s">
        <v>6485</v>
      </c>
      <c r="C3343" t="s">
        <v>13</v>
      </c>
      <c r="D3343" s="1" t="s">
        <v>1295</v>
      </c>
      <c r="E3343" t="s">
        <v>295</v>
      </c>
      <c r="F3343" s="5" t="str">
        <f>HYPERLINK("http://www.otzar.org/book.asp?627045","ראש אשמורות &lt;מכון משנת רבי אהרן&gt;")</f>
        <v>ראש אשמורות &lt;מכון משנת רבי אהרן&gt;</v>
      </c>
    </row>
    <row r="3344" spans="1:6" x14ac:dyDescent="0.2">
      <c r="A3344" t="s">
        <v>6486</v>
      </c>
      <c r="B3344" t="s">
        <v>2637</v>
      </c>
      <c r="C3344" t="s">
        <v>6487</v>
      </c>
      <c r="D3344" s="1" t="s">
        <v>1134</v>
      </c>
      <c r="E3344" t="s">
        <v>89</v>
      </c>
      <c r="F3344" s="5" t="str">
        <f>HYPERLINK("http://www.otzar.org/book.asp?628732","ראש השנה, עשרת ימי תשובה, יום כיפור, חנוכה")</f>
        <v>ראש השנה, עשרת ימי תשובה, יום כיפור, חנוכה</v>
      </c>
    </row>
    <row r="3345" spans="1:6" x14ac:dyDescent="0.2">
      <c r="A3345" t="s">
        <v>6488</v>
      </c>
      <c r="B3345" t="s">
        <v>6489</v>
      </c>
      <c r="C3345" t="s">
        <v>999</v>
      </c>
      <c r="D3345" s="1" t="s">
        <v>713</v>
      </c>
      <c r="E3345" t="s">
        <v>89</v>
      </c>
      <c r="F3345" s="5" t="str">
        <f>HYPERLINK("http://www.otzar.org/book.asp?629093","ראש חודש טבת ""ראש חודש אלבנאת""")</f>
        <v>ראש חודש טבת "ראש חודש אלבנאת"</v>
      </c>
    </row>
    <row r="3346" spans="1:6" x14ac:dyDescent="0.2">
      <c r="A3346" t="s">
        <v>6490</v>
      </c>
      <c r="B3346" t="s">
        <v>6491</v>
      </c>
      <c r="C3346" t="s">
        <v>13</v>
      </c>
      <c r="D3346" s="1" t="s">
        <v>9</v>
      </c>
      <c r="E3346" t="s">
        <v>37</v>
      </c>
      <c r="F3346" s="5" t="str">
        <f>HYPERLINK("http://www.otzar.org/book.asp?629650","ראש יוסף")</f>
        <v>ראש יוסף</v>
      </c>
    </row>
    <row r="3347" spans="1:6" x14ac:dyDescent="0.2">
      <c r="A3347" t="s">
        <v>6492</v>
      </c>
      <c r="B3347" t="s">
        <v>6493</v>
      </c>
      <c r="C3347" t="s">
        <v>40</v>
      </c>
      <c r="D3347" s="1" t="s">
        <v>6494</v>
      </c>
      <c r="E3347" t="s">
        <v>6495</v>
      </c>
      <c r="F3347" s="5" t="str">
        <f>HYPERLINK("http://www.otzar.org/book.asp?629756","ראשית בכורים &lt;מהדורת זכרון אהרן&gt;")</f>
        <v>ראשית בכורים &lt;מהדורת זכרון אהרן&gt;</v>
      </c>
    </row>
    <row r="3348" spans="1:6" x14ac:dyDescent="0.2">
      <c r="A3348" t="s">
        <v>6496</v>
      </c>
      <c r="B3348" t="s">
        <v>6497</v>
      </c>
      <c r="C3348" t="s">
        <v>298</v>
      </c>
      <c r="D3348" s="1" t="s">
        <v>1526</v>
      </c>
      <c r="E3348" t="s">
        <v>121</v>
      </c>
      <c r="F3348" s="5" t="str">
        <f>HYPERLINK("http://www.otzar.org/book.asp?625027","ראשית הישוב מחוץ לחומת ירושלם")</f>
        <v>ראשית הישוב מחוץ לחומת ירושלם</v>
      </c>
    </row>
    <row r="3349" spans="1:6" x14ac:dyDescent="0.2">
      <c r="A3349" t="s">
        <v>6498</v>
      </c>
      <c r="B3349" t="s">
        <v>364</v>
      </c>
      <c r="C3349" t="s">
        <v>20</v>
      </c>
      <c r="D3349" s="1" t="s">
        <v>9</v>
      </c>
      <c r="E3349" t="s">
        <v>214</v>
      </c>
      <c r="F3349" s="5" t="str">
        <f>HYPERLINK("http://www.otzar.org/book.asp?625524","רב ברכות - 3 כר'")</f>
        <v>רב ברכות - 3 כר'</v>
      </c>
    </row>
    <row r="3350" spans="1:6" x14ac:dyDescent="0.2">
      <c r="A3350" t="s">
        <v>6499</v>
      </c>
      <c r="B3350" t="s">
        <v>1116</v>
      </c>
      <c r="C3350" t="s">
        <v>20</v>
      </c>
      <c r="D3350" s="1" t="s">
        <v>803</v>
      </c>
      <c r="E3350" t="s">
        <v>49</v>
      </c>
      <c r="F3350" s="5" t="str">
        <f>HYPERLINK("http://www.otzar.org/book.asp?626264","רב חסד - מעשה יג")</f>
        <v>רב חסד - מעשה יג</v>
      </c>
    </row>
    <row r="3351" spans="1:6" x14ac:dyDescent="0.2">
      <c r="A3351" t="s">
        <v>6500</v>
      </c>
      <c r="B3351" t="s">
        <v>6501</v>
      </c>
      <c r="C3351" t="s">
        <v>13</v>
      </c>
      <c r="D3351" s="1" t="s">
        <v>9</v>
      </c>
      <c r="E3351" t="s">
        <v>41</v>
      </c>
      <c r="F3351" s="5" t="str">
        <f>HYPERLINK("http://www.otzar.org/book.asp?628688","רב יוסף &lt;זכרון אהרן&gt;")</f>
        <v>רב יוסף &lt;זכרון אהרן&gt;</v>
      </c>
    </row>
    <row r="3352" spans="1:6" x14ac:dyDescent="0.2">
      <c r="A3352" t="s">
        <v>6502</v>
      </c>
      <c r="B3352" t="s">
        <v>6503</v>
      </c>
      <c r="C3352" t="s">
        <v>8</v>
      </c>
      <c r="D3352" s="1" t="s">
        <v>9</v>
      </c>
      <c r="E3352" t="s">
        <v>375</v>
      </c>
      <c r="F3352" s="5" t="str">
        <f>HYPERLINK("http://www.otzar.org/book.asp?623617","רב רבנן")</f>
        <v>רב רבנן</v>
      </c>
    </row>
    <row r="3353" spans="1:6" x14ac:dyDescent="0.2">
      <c r="A3353" t="s">
        <v>6504</v>
      </c>
      <c r="B3353" t="s">
        <v>6505</v>
      </c>
      <c r="C3353" t="s">
        <v>383</v>
      </c>
      <c r="D3353" s="1" t="s">
        <v>21</v>
      </c>
      <c r="E3353" t="s">
        <v>89</v>
      </c>
      <c r="F3353" s="5" t="str">
        <f>HYPERLINK("http://www.otzar.org/book.asp?622694","רבבות אפרים - ליל הסדר")</f>
        <v>רבבות אפרים - ליל הסדר</v>
      </c>
    </row>
    <row r="3354" spans="1:6" x14ac:dyDescent="0.2">
      <c r="A3354" t="s">
        <v>6506</v>
      </c>
      <c r="B3354" t="s">
        <v>2523</v>
      </c>
      <c r="C3354" t="s">
        <v>174</v>
      </c>
      <c r="D3354" s="1" t="s">
        <v>756</v>
      </c>
      <c r="E3354" t="s">
        <v>261</v>
      </c>
      <c r="F3354" s="5" t="str">
        <f>HYPERLINK("http://www.otzar.org/book.asp?625439","רבה אמנותך - שיר השירים רבה א")</f>
        <v>רבה אמנותך - שיר השירים רבה א</v>
      </c>
    </row>
    <row r="3355" spans="1:6" x14ac:dyDescent="0.2">
      <c r="A3355" t="s">
        <v>6507</v>
      </c>
      <c r="B3355" t="s">
        <v>3087</v>
      </c>
      <c r="C3355" t="s">
        <v>1525</v>
      </c>
      <c r="D3355" s="1" t="s">
        <v>144</v>
      </c>
      <c r="E3355" t="s">
        <v>295</v>
      </c>
      <c r="F3355" s="5" t="str">
        <f>HYPERLINK("http://www.otzar.org/book.asp?623982","רבי אברהם בן מאיר אבן עזרא")</f>
        <v>רבי אברהם בן מאיר אבן עזרא</v>
      </c>
    </row>
    <row r="3356" spans="1:6" x14ac:dyDescent="0.2">
      <c r="A3356" t="s">
        <v>6508</v>
      </c>
      <c r="B3356" t="s">
        <v>6509</v>
      </c>
      <c r="C3356" t="s">
        <v>8</v>
      </c>
      <c r="D3356" s="1" t="s">
        <v>1364</v>
      </c>
      <c r="F3356" s="5" t="str">
        <f>HYPERLINK("http://www.otzar.org/book.asp?632005","רבי אברהם יצחק הכהן קוק ורעיון התחיה")</f>
        <v>רבי אברהם יצחק הכהן קוק ורעיון התחיה</v>
      </c>
    </row>
    <row r="3357" spans="1:6" x14ac:dyDescent="0.2">
      <c r="A3357" t="s">
        <v>6510</v>
      </c>
      <c r="B3357" t="s">
        <v>2926</v>
      </c>
      <c r="C3357" t="s">
        <v>6487</v>
      </c>
      <c r="D3357" s="1" t="s">
        <v>144</v>
      </c>
      <c r="E3357" t="s">
        <v>49</v>
      </c>
      <c r="F3357" s="5" t="str">
        <f>HYPERLINK("http://www.otzar.org/book.asp?625393","רבי יוסלמן - 2 כר'")</f>
        <v>רבי יוסלמן - 2 כר'</v>
      </c>
    </row>
    <row r="3358" spans="1:6" x14ac:dyDescent="0.2">
      <c r="A3358" t="s">
        <v>6511</v>
      </c>
      <c r="B3358" t="s">
        <v>6512</v>
      </c>
      <c r="C3358" t="s">
        <v>8</v>
      </c>
      <c r="D3358" s="1" t="s">
        <v>52</v>
      </c>
      <c r="F3358" s="5" t="str">
        <f>HYPERLINK("http://www.otzar.org/book.asp?633170","רבי יוסף ראש הסדר")</f>
        <v>רבי יוסף ראש הסדר</v>
      </c>
    </row>
    <row r="3359" spans="1:6" x14ac:dyDescent="0.2">
      <c r="A3359" t="s">
        <v>6511</v>
      </c>
      <c r="B3359" t="s">
        <v>6512</v>
      </c>
      <c r="C3359" t="s">
        <v>8</v>
      </c>
      <c r="D3359" s="1" t="s">
        <v>52</v>
      </c>
      <c r="E3359" t="s">
        <v>371</v>
      </c>
      <c r="F3359" s="5" t="str">
        <f>HYPERLINK("http://www.otzar.org/book.asp?625656","רבי יוסף ראש הסדר")</f>
        <v>רבי יוסף ראש הסדר</v>
      </c>
    </row>
    <row r="3360" spans="1:6" x14ac:dyDescent="0.2">
      <c r="A3360" t="s">
        <v>6513</v>
      </c>
      <c r="B3360" t="s">
        <v>6514</v>
      </c>
      <c r="E3360" t="s">
        <v>371</v>
      </c>
      <c r="F3360" s="5" t="str">
        <f>HYPERLINK("http://www.otzar.org/book.asp?625569","רבי ישראל זאב גוסטמן זצ""ל")</f>
        <v>רבי ישראל זאב גוסטמן זצ"ל</v>
      </c>
    </row>
    <row r="3361" spans="1:6" x14ac:dyDescent="0.2">
      <c r="A3361" t="s">
        <v>6515</v>
      </c>
      <c r="B3361" t="s">
        <v>6516</v>
      </c>
      <c r="C3361" t="s">
        <v>13</v>
      </c>
      <c r="D3361" s="1" t="s">
        <v>21</v>
      </c>
      <c r="E3361" t="s">
        <v>371</v>
      </c>
      <c r="F3361" s="5" t="str">
        <f>HYPERLINK("http://www.otzar.org/book.asp?630584","רבי משה מרדכי - ב")</f>
        <v>רבי משה מרדכי - ב</v>
      </c>
    </row>
    <row r="3362" spans="1:6" x14ac:dyDescent="0.2">
      <c r="A3362" t="s">
        <v>6517</v>
      </c>
      <c r="B3362" t="s">
        <v>6518</v>
      </c>
      <c r="C3362" t="s">
        <v>25</v>
      </c>
      <c r="D3362" s="1" t="s">
        <v>64</v>
      </c>
      <c r="E3362" t="s">
        <v>371</v>
      </c>
      <c r="F3362" s="5" t="str">
        <f>HYPERLINK("http://www.otzar.org/book.asp?630583","רבי משולם מבדריש וחכמי פרובאנס הראשונים")</f>
        <v>רבי משולם מבדריש וחכמי פרובאנס הראשונים</v>
      </c>
    </row>
    <row r="3363" spans="1:6" x14ac:dyDescent="0.2">
      <c r="A3363" t="s">
        <v>6519</v>
      </c>
      <c r="B3363" t="s">
        <v>4233</v>
      </c>
      <c r="C3363" t="s">
        <v>13</v>
      </c>
      <c r="D3363" s="1" t="s">
        <v>5484</v>
      </c>
      <c r="E3363" t="s">
        <v>371</v>
      </c>
      <c r="F3363" s="5" t="str">
        <f>HYPERLINK("http://www.otzar.org/book.asp?626252","רבי צבי יהודה מלצר זצ""ל")</f>
        <v>רבי צבי יהודה מלצר זצ"ל</v>
      </c>
    </row>
    <row r="3364" spans="1:6" x14ac:dyDescent="0.2">
      <c r="A3364" t="s">
        <v>6520</v>
      </c>
      <c r="B3364" t="s">
        <v>3002</v>
      </c>
      <c r="C3364" t="s">
        <v>763</v>
      </c>
      <c r="D3364" s="1" t="s">
        <v>29</v>
      </c>
      <c r="E3364" t="s">
        <v>214</v>
      </c>
      <c r="F3364" s="5" t="str">
        <f>HYPERLINK("http://www.otzar.org/book.asp?626593","רבי שמואל מאהיליווער")</f>
        <v>רבי שמואל מאהיליווער</v>
      </c>
    </row>
    <row r="3365" spans="1:6" x14ac:dyDescent="0.2">
      <c r="A3365" t="s">
        <v>6521</v>
      </c>
      <c r="B3365" t="s">
        <v>4567</v>
      </c>
      <c r="C3365" t="s">
        <v>20</v>
      </c>
      <c r="D3365" s="1" t="s">
        <v>14</v>
      </c>
      <c r="E3365" t="s">
        <v>121</v>
      </c>
      <c r="F3365" s="5" t="str">
        <f>HYPERLINK("http://www.otzar.org/book.asp?623843","רבינו אור החיים הקדוש")</f>
        <v>רבינו אור החיים הקדוש</v>
      </c>
    </row>
    <row r="3366" spans="1:6" x14ac:dyDescent="0.2">
      <c r="A3366" t="s">
        <v>6522</v>
      </c>
      <c r="B3366" t="s">
        <v>6523</v>
      </c>
      <c r="E3366" t="s">
        <v>371</v>
      </c>
      <c r="F3366" s="5" t="str">
        <f>HYPERLINK("http://www.otzar.org/book.asp?626597","רבנו החזון איש, רבנו חיים עוזר זצ""ל")</f>
        <v>רבנו החזון איש, רבנו חיים עוזר זצ"ל</v>
      </c>
    </row>
    <row r="3367" spans="1:6" x14ac:dyDescent="0.2">
      <c r="A3367" t="s">
        <v>6524</v>
      </c>
      <c r="B3367" t="s">
        <v>1668</v>
      </c>
      <c r="C3367" t="s">
        <v>6525</v>
      </c>
      <c r="D3367" s="1" t="s">
        <v>48</v>
      </c>
      <c r="E3367" t="s">
        <v>371</v>
      </c>
      <c r="F3367" s="5" t="str">
        <f>HYPERLINK("http://www.otzar.org/book.asp?626168","רבנו משה בן מימון")</f>
        <v>רבנו משה בן מימון</v>
      </c>
    </row>
    <row r="3368" spans="1:6" x14ac:dyDescent="0.2">
      <c r="A3368" t="s">
        <v>6526</v>
      </c>
      <c r="B3368" t="s">
        <v>6527</v>
      </c>
      <c r="C3368" t="s">
        <v>383</v>
      </c>
      <c r="D3368" s="1" t="s">
        <v>9</v>
      </c>
      <c r="E3368" t="s">
        <v>214</v>
      </c>
      <c r="F3368" s="5" t="str">
        <f>HYPERLINK("http://www.otzar.org/book.asp?627822","רגשת חצריה - תשע""ג")</f>
        <v>רגשת חצריה - תשע"ג</v>
      </c>
    </row>
    <row r="3369" spans="1:6" x14ac:dyDescent="0.2">
      <c r="A3369" t="s">
        <v>6528</v>
      </c>
      <c r="B3369" t="s">
        <v>6529</v>
      </c>
      <c r="C3369" t="s">
        <v>13</v>
      </c>
      <c r="D3369" s="1" t="s">
        <v>64</v>
      </c>
      <c r="E3369" t="s">
        <v>22</v>
      </c>
      <c r="F3369" s="5" t="str">
        <f>HYPERLINK("http://www.otzar.org/book.asp?627213","רווחא שמעתא - 2 כר'")</f>
        <v>רווחא שמעתא - 2 כר'</v>
      </c>
    </row>
    <row r="3370" spans="1:6" x14ac:dyDescent="0.2">
      <c r="A3370" t="s">
        <v>6530</v>
      </c>
      <c r="B3370" t="s">
        <v>6531</v>
      </c>
      <c r="C3370" t="s">
        <v>4183</v>
      </c>
      <c r="D3370" s="1" t="s">
        <v>6532</v>
      </c>
      <c r="E3370" t="s">
        <v>6533</v>
      </c>
      <c r="F3370" s="5" t="str">
        <f>HYPERLINK("http://www.otzar.org/book.asp?624781","רוח חיים")</f>
        <v>רוח חיים</v>
      </c>
    </row>
    <row r="3371" spans="1:6" x14ac:dyDescent="0.2">
      <c r="A3371" t="s">
        <v>6534</v>
      </c>
      <c r="B3371" t="s">
        <v>6535</v>
      </c>
      <c r="C3371" t="s">
        <v>13</v>
      </c>
      <c r="D3371" s="1" t="s">
        <v>52</v>
      </c>
      <c r="E3371" t="s">
        <v>22</v>
      </c>
      <c r="F3371" s="5" t="str">
        <f>HYPERLINK("http://www.otzar.org/book.asp?622638","רוח ממרום")</f>
        <v>רוח ממרום</v>
      </c>
    </row>
    <row r="3372" spans="1:6" x14ac:dyDescent="0.2">
      <c r="A3372" t="s">
        <v>6536</v>
      </c>
      <c r="B3372" t="s">
        <v>156</v>
      </c>
      <c r="C3372" t="s">
        <v>88</v>
      </c>
      <c r="D3372" s="1" t="s">
        <v>158</v>
      </c>
      <c r="E3372" t="s">
        <v>683</v>
      </c>
      <c r="F3372" s="5" t="str">
        <f>HYPERLINK("http://www.otzar.org/book.asp?628572","רוחו של משיח")</f>
        <v>רוחו של משיח</v>
      </c>
    </row>
    <row r="3373" spans="1:6" x14ac:dyDescent="0.2">
      <c r="A3373" t="s">
        <v>6537</v>
      </c>
      <c r="B3373" t="s">
        <v>674</v>
      </c>
      <c r="C3373" t="s">
        <v>8</v>
      </c>
      <c r="D3373" s="1" t="s">
        <v>268</v>
      </c>
      <c r="E3373" t="s">
        <v>671</v>
      </c>
      <c r="F3373" s="5" t="str">
        <f>HYPERLINK("http://www.otzar.org/book.asp?623583","רוחצות בחלב")</f>
        <v>רוחצות בחלב</v>
      </c>
    </row>
    <row r="3374" spans="1:6" x14ac:dyDescent="0.2">
      <c r="A3374" t="s">
        <v>6538</v>
      </c>
      <c r="B3374" t="s">
        <v>467</v>
      </c>
      <c r="C3374" t="s">
        <v>8</v>
      </c>
      <c r="D3374" s="1" t="s">
        <v>14</v>
      </c>
      <c r="E3374" t="s">
        <v>34</v>
      </c>
      <c r="F3374" s="5" t="str">
        <f>HYPERLINK("http://www.otzar.org/book.asp?623515","רוצים לחיות")</f>
        <v>רוצים לחיות</v>
      </c>
    </row>
    <row r="3375" spans="1:6" x14ac:dyDescent="0.2">
      <c r="A3375" t="s">
        <v>6539</v>
      </c>
      <c r="B3375" t="s">
        <v>6540</v>
      </c>
      <c r="C3375" t="s">
        <v>397</v>
      </c>
      <c r="D3375" s="1" t="s">
        <v>9</v>
      </c>
      <c r="E3375" t="s">
        <v>26</v>
      </c>
      <c r="F3375" s="5" t="str">
        <f>HYPERLINK("http://www.otzar.org/book.asp?624927","רזא דשבת - נשים")</f>
        <v>רזא דשבת - נשים</v>
      </c>
    </row>
    <row r="3376" spans="1:6" x14ac:dyDescent="0.2">
      <c r="A3376" t="s">
        <v>6541</v>
      </c>
      <c r="B3376" t="s">
        <v>6542</v>
      </c>
      <c r="C3376" t="s">
        <v>20</v>
      </c>
      <c r="D3376" s="1" t="s">
        <v>52</v>
      </c>
      <c r="E3376" t="s">
        <v>154</v>
      </c>
      <c r="F3376" s="5" t="str">
        <f>HYPERLINK("http://www.otzar.org/book.asp?624716","רזא דשבתא")</f>
        <v>רזא דשבתא</v>
      </c>
    </row>
    <row r="3377" spans="1:6" x14ac:dyDescent="0.2">
      <c r="A3377" t="s">
        <v>6543</v>
      </c>
      <c r="B3377" t="s">
        <v>674</v>
      </c>
      <c r="C3377" t="s">
        <v>13</v>
      </c>
      <c r="D3377" s="1" t="s">
        <v>268</v>
      </c>
      <c r="E3377" t="s">
        <v>671</v>
      </c>
      <c r="F3377" s="5" t="str">
        <f>HYPERLINK("http://www.otzar.org/book.asp?623584","רזא יקירא")</f>
        <v>רזא יקירא</v>
      </c>
    </row>
    <row r="3378" spans="1:6" x14ac:dyDescent="0.2">
      <c r="A3378" t="s">
        <v>6544</v>
      </c>
      <c r="B3378" t="s">
        <v>6545</v>
      </c>
      <c r="C3378" t="s">
        <v>6546</v>
      </c>
      <c r="D3378" s="1" t="s">
        <v>6547</v>
      </c>
      <c r="F3378" s="5" t="str">
        <f>HYPERLINK("http://www.otzar.org/book.asp?626406","רזיאל המלאך")</f>
        <v>רזיאל המלאך</v>
      </c>
    </row>
    <row r="3379" spans="1:6" x14ac:dyDescent="0.2">
      <c r="A3379" t="s">
        <v>6548</v>
      </c>
      <c r="B3379" t="s">
        <v>1322</v>
      </c>
      <c r="C3379" t="s">
        <v>136</v>
      </c>
      <c r="D3379" s="1" t="s">
        <v>9</v>
      </c>
      <c r="E3379" t="s">
        <v>121</v>
      </c>
      <c r="F3379" s="5" t="str">
        <f>HYPERLINK("http://www.otzar.org/book.asp?628584","רחוב מאה שערים")</f>
        <v>רחוב מאה שערים</v>
      </c>
    </row>
    <row r="3380" spans="1:6" x14ac:dyDescent="0.2">
      <c r="A3380" t="s">
        <v>6549</v>
      </c>
      <c r="B3380" t="s">
        <v>6550</v>
      </c>
      <c r="C3380" t="s">
        <v>6551</v>
      </c>
      <c r="D3380" s="1" t="s">
        <v>48</v>
      </c>
      <c r="F3380" s="5" t="str">
        <f>HYPERLINK("http://www.otzar.org/book.asp?626412","רחמי האב")</f>
        <v>רחמי האב</v>
      </c>
    </row>
    <row r="3381" spans="1:6" x14ac:dyDescent="0.2">
      <c r="A3381" t="s">
        <v>6552</v>
      </c>
      <c r="B3381" t="s">
        <v>6553</v>
      </c>
      <c r="C3381" t="s">
        <v>13</v>
      </c>
      <c r="D3381" s="1" t="s">
        <v>911</v>
      </c>
      <c r="E3381" t="s">
        <v>168</v>
      </c>
      <c r="F3381" s="5" t="str">
        <f>HYPERLINK("http://www.otzar.org/book.asp?629525","רחשי יוסף - אם לבינה")</f>
        <v>רחשי יוסף - אם לבינה</v>
      </c>
    </row>
    <row r="3382" spans="1:6" x14ac:dyDescent="0.2">
      <c r="A3382" t="s">
        <v>6554</v>
      </c>
      <c r="B3382" t="s">
        <v>405</v>
      </c>
      <c r="C3382" t="s">
        <v>386</v>
      </c>
      <c r="D3382" s="1" t="s">
        <v>9</v>
      </c>
      <c r="E3382" t="s">
        <v>4047</v>
      </c>
      <c r="F3382" s="5" t="str">
        <f>HYPERLINK("http://www.otzar.org/book.asp?625660","רינת ציון - אור ציון")</f>
        <v>רינת ציון - אור ציון</v>
      </c>
    </row>
    <row r="3383" spans="1:6" x14ac:dyDescent="0.2">
      <c r="A3383" t="s">
        <v>6555</v>
      </c>
      <c r="B3383" t="s">
        <v>147</v>
      </c>
      <c r="C3383" t="s">
        <v>1602</v>
      </c>
      <c r="D3383" s="1" t="s">
        <v>471</v>
      </c>
      <c r="E3383" t="s">
        <v>2753</v>
      </c>
      <c r="F3383" s="5" t="str">
        <f>HYPERLINK("http://www.otzar.org/book.asp?14133","רמב""ם על התורה - בראשית, שמות")</f>
        <v>רמב"ם על התורה - בראשית, שמות</v>
      </c>
    </row>
    <row r="3384" spans="1:6" x14ac:dyDescent="0.2">
      <c r="A3384" t="s">
        <v>6556</v>
      </c>
      <c r="B3384" t="s">
        <v>6557</v>
      </c>
      <c r="C3384" t="s">
        <v>427</v>
      </c>
      <c r="D3384" s="1" t="s">
        <v>29</v>
      </c>
      <c r="E3384" t="s">
        <v>2505</v>
      </c>
      <c r="F3384" s="5" t="str">
        <f>HYPERLINK("http://www.otzar.org/book.asp?623441","רמזים בתורה")</f>
        <v>רמזים בתורה</v>
      </c>
    </row>
    <row r="3385" spans="1:6" x14ac:dyDescent="0.2">
      <c r="A3385" t="s">
        <v>6558</v>
      </c>
      <c r="B3385" t="s">
        <v>6559</v>
      </c>
      <c r="C3385" t="s">
        <v>6560</v>
      </c>
      <c r="D3385" s="1" t="s">
        <v>6561</v>
      </c>
      <c r="F3385" s="5" t="str">
        <f>HYPERLINK("http://www.otzar.org/book.asp?629587","רנה וישועה - ב")</f>
        <v>רנה וישועה - ב</v>
      </c>
    </row>
    <row r="3386" spans="1:6" x14ac:dyDescent="0.2">
      <c r="A3386" t="s">
        <v>6562</v>
      </c>
      <c r="B3386" t="s">
        <v>6563</v>
      </c>
      <c r="C3386" t="s">
        <v>1127</v>
      </c>
      <c r="D3386" s="1" t="s">
        <v>120</v>
      </c>
      <c r="E3386" t="s">
        <v>214</v>
      </c>
      <c r="F3386" s="5" t="str">
        <f>HYPERLINK("http://www.otzar.org/book.asp?626603","רנה של תורה - קידושין")</f>
        <v>רנה של תורה - קידושין</v>
      </c>
    </row>
    <row r="3387" spans="1:6" x14ac:dyDescent="0.2">
      <c r="A3387" t="s">
        <v>6564</v>
      </c>
      <c r="B3387" t="s">
        <v>1796</v>
      </c>
      <c r="C3387" t="s">
        <v>73</v>
      </c>
      <c r="E3387" t="s">
        <v>654</v>
      </c>
      <c r="F3387" s="5" t="str">
        <f>HYPERLINK("http://www.otzar.org/book.asp?626029","רנו ליעקב שמחה - פורים")</f>
        <v>רנו ליעקב שמחה - פורים</v>
      </c>
    </row>
    <row r="3388" spans="1:6" x14ac:dyDescent="0.2">
      <c r="A3388" t="s">
        <v>6565</v>
      </c>
      <c r="B3388" t="s">
        <v>1700</v>
      </c>
      <c r="C3388" t="s">
        <v>13</v>
      </c>
      <c r="D3388" s="1" t="s">
        <v>6566</v>
      </c>
      <c r="E3388" t="s">
        <v>477</v>
      </c>
      <c r="F3388" s="5" t="str">
        <f>HYPERLINK("http://www.otzar.org/book.asp?628593","רפואה בפרשה")</f>
        <v>רפואה בפרשה</v>
      </c>
    </row>
    <row r="3389" spans="1:6" x14ac:dyDescent="0.2">
      <c r="A3389" t="s">
        <v>6567</v>
      </c>
      <c r="B3389" t="s">
        <v>6568</v>
      </c>
      <c r="C3389" t="s">
        <v>8</v>
      </c>
      <c r="D3389" s="1" t="s">
        <v>476</v>
      </c>
      <c r="E3389" t="s">
        <v>22</v>
      </c>
      <c r="F3389" s="5" t="str">
        <f>HYPERLINK("http://www.otzar.org/book.asp?623391","רפתא דחיא")</f>
        <v>רפתא דחיא</v>
      </c>
    </row>
    <row r="3390" spans="1:6" x14ac:dyDescent="0.2">
      <c r="A3390" t="s">
        <v>6569</v>
      </c>
      <c r="E3390" t="s">
        <v>17</v>
      </c>
      <c r="F3390" s="5" t="str">
        <f>HYPERLINK("http://www.otzar.org/book.asp?629100","רשימה מיחידות כ""ק אדמו""ר מסדיגורא שליט""א אצל כ""ק אדמו""ר שליט""א")</f>
        <v>רשימה מיחידות כ"ק אדמו"ר מסדיגורא שליט"א אצל כ"ק אדמו"ר שליט"א</v>
      </c>
    </row>
    <row r="3391" spans="1:6" x14ac:dyDescent="0.2">
      <c r="A3391" t="s">
        <v>6570</v>
      </c>
      <c r="B3391" t="s">
        <v>6571</v>
      </c>
      <c r="C3391" t="s">
        <v>133</v>
      </c>
      <c r="D3391" s="1" t="s">
        <v>29</v>
      </c>
      <c r="E3391" t="s">
        <v>30</v>
      </c>
      <c r="F3391" s="5" t="str">
        <f>HYPERLINK("http://www.otzar.org/book.asp?627064","רשימת כ""ק אדמו""ר יוסף יצחק - דברי ימיי חיי אדמו""ר הזקן")</f>
        <v>רשימת כ"ק אדמו"ר יוסף יצחק - דברי ימיי חיי אדמו"ר הזקן</v>
      </c>
    </row>
    <row r="3392" spans="1:6" x14ac:dyDescent="0.2">
      <c r="A3392" t="s">
        <v>6572</v>
      </c>
      <c r="B3392" t="s">
        <v>6573</v>
      </c>
      <c r="C3392" t="s">
        <v>411</v>
      </c>
      <c r="D3392" s="1" t="s">
        <v>432</v>
      </c>
      <c r="E3392" t="s">
        <v>1616</v>
      </c>
      <c r="F3392" s="5" t="str">
        <f>HYPERLINK("http://www.otzar.org/book.asp?624870","רשימת כתבי היד של פירוש רש""י לתלמוד")</f>
        <v>רשימת כתבי היד של פירוש רש"י לתלמוד</v>
      </c>
    </row>
    <row r="3393" spans="1:6" x14ac:dyDescent="0.2">
      <c r="A3393" t="s">
        <v>6574</v>
      </c>
      <c r="B3393" t="s">
        <v>2900</v>
      </c>
      <c r="C3393" t="s">
        <v>6575</v>
      </c>
      <c r="D3393" s="1" t="s">
        <v>6576</v>
      </c>
      <c r="F3393" s="5" t="str">
        <f>HYPERLINK("http://www.otzar.org/book.asp?624605","שאגת אריה")</f>
        <v>שאגת אריה</v>
      </c>
    </row>
    <row r="3394" spans="1:6" x14ac:dyDescent="0.2">
      <c r="A3394" t="s">
        <v>6574</v>
      </c>
      <c r="B3394" t="s">
        <v>6577</v>
      </c>
      <c r="C3394" t="s">
        <v>73</v>
      </c>
      <c r="D3394" s="1" t="s">
        <v>52</v>
      </c>
      <c r="E3394" t="s">
        <v>49</v>
      </c>
      <c r="F3394" s="5" t="str">
        <f>HYPERLINK("http://www.otzar.org/book.asp?630198","שאגת אריה")</f>
        <v>שאגת אריה</v>
      </c>
    </row>
    <row r="3395" spans="1:6" x14ac:dyDescent="0.2">
      <c r="A3395" t="s">
        <v>6574</v>
      </c>
      <c r="B3395" t="s">
        <v>6578</v>
      </c>
      <c r="C3395" t="s">
        <v>6579</v>
      </c>
      <c r="D3395" s="1" t="s">
        <v>6580</v>
      </c>
      <c r="F3395" s="5" t="str">
        <f>HYPERLINK("http://www.otzar.org/book.asp?626437","שאגת אריה")</f>
        <v>שאגת אריה</v>
      </c>
    </row>
    <row r="3396" spans="1:6" x14ac:dyDescent="0.2">
      <c r="A3396" t="s">
        <v>6581</v>
      </c>
      <c r="B3396" t="s">
        <v>12</v>
      </c>
      <c r="C3396" t="s">
        <v>25</v>
      </c>
      <c r="D3396" s="1" t="s">
        <v>14</v>
      </c>
      <c r="E3396" t="s">
        <v>242</v>
      </c>
      <c r="F3396" s="5" t="str">
        <f>HYPERLINK("http://www.otzar.org/book.asp?630362","שאילת החיים")</f>
        <v>שאילת החיים</v>
      </c>
    </row>
    <row r="3397" spans="1:6" x14ac:dyDescent="0.2">
      <c r="A3397" t="s">
        <v>6582</v>
      </c>
      <c r="B3397" t="s">
        <v>6583</v>
      </c>
      <c r="C3397" t="s">
        <v>13</v>
      </c>
      <c r="D3397" s="1" t="s">
        <v>29</v>
      </c>
      <c r="E3397" t="s">
        <v>89</v>
      </c>
      <c r="F3397" s="5" t="str">
        <f>HYPERLINK("http://www.otzar.org/book.asp?629526","שאילת חיים - 2 כר'")</f>
        <v>שאילת חיים - 2 כר'</v>
      </c>
    </row>
    <row r="3398" spans="1:6" x14ac:dyDescent="0.2">
      <c r="A3398" t="s">
        <v>6584</v>
      </c>
      <c r="B3398" t="s">
        <v>3532</v>
      </c>
      <c r="C3398" t="s">
        <v>136</v>
      </c>
      <c r="D3398" s="1" t="s">
        <v>1841</v>
      </c>
      <c r="E3398" t="s">
        <v>168</v>
      </c>
      <c r="F3398" s="5" t="str">
        <f>HYPERLINK("http://www.otzar.org/book.asp?629980","שאל בני")</f>
        <v>שאל בני</v>
      </c>
    </row>
    <row r="3399" spans="1:6" x14ac:dyDescent="0.2">
      <c r="A3399" t="s">
        <v>6585</v>
      </c>
      <c r="B3399" t="s">
        <v>6586</v>
      </c>
      <c r="C3399" t="s">
        <v>3111</v>
      </c>
      <c r="D3399" s="1" t="s">
        <v>1895</v>
      </c>
      <c r="E3399" t="s">
        <v>41</v>
      </c>
      <c r="F3399" s="5" t="str">
        <f>HYPERLINK("http://www.otzar.org/book.asp?631131","שאלה ותשובה להלכה למעשה - א")</f>
        <v>שאלה ותשובה להלכה למעשה - א</v>
      </c>
    </row>
    <row r="3400" spans="1:6" x14ac:dyDescent="0.2">
      <c r="A3400" t="s">
        <v>6587</v>
      </c>
      <c r="B3400" t="s">
        <v>6588</v>
      </c>
      <c r="C3400" t="s">
        <v>369</v>
      </c>
      <c r="D3400" s="1" t="s">
        <v>9</v>
      </c>
      <c r="E3400" t="s">
        <v>37</v>
      </c>
      <c r="F3400" s="5" t="str">
        <f>HYPERLINK("http://www.otzar.org/book.asp?623938","שאלה של סמכות")</f>
        <v>שאלה של סמכות</v>
      </c>
    </row>
    <row r="3401" spans="1:6" x14ac:dyDescent="0.2">
      <c r="A3401" t="s">
        <v>6589</v>
      </c>
      <c r="B3401" t="s">
        <v>6590</v>
      </c>
      <c r="C3401" t="s">
        <v>40</v>
      </c>
      <c r="D3401" s="1" t="s">
        <v>9</v>
      </c>
      <c r="E3401" t="s">
        <v>41</v>
      </c>
      <c r="F3401" s="5" t="str">
        <f>HYPERLINK("http://www.otzar.org/book.asp?630793","שאלות ותשובות גאוני פדוואה - 2 כר'")</f>
        <v>שאלות ותשובות גאוני פדוואה - 2 כר'</v>
      </c>
    </row>
    <row r="3402" spans="1:6" x14ac:dyDescent="0.2">
      <c r="A3402" t="s">
        <v>6591</v>
      </c>
      <c r="B3402" t="s">
        <v>6592</v>
      </c>
      <c r="C3402" t="s">
        <v>6593</v>
      </c>
      <c r="D3402" s="1" t="s">
        <v>349</v>
      </c>
      <c r="E3402" t="s">
        <v>41</v>
      </c>
      <c r="F3402" s="5" t="str">
        <f>HYPERLINK("http://www.otzar.org/book.asp?623520","שאלות ותשובות הרשב""א המיוחסות להרמב""ן")</f>
        <v>שאלות ותשובות הרשב"א המיוחסות להרמב"ן</v>
      </c>
    </row>
    <row r="3403" spans="1:6" x14ac:dyDescent="0.2">
      <c r="A3403" t="s">
        <v>6594</v>
      </c>
      <c r="B3403" t="s">
        <v>6595</v>
      </c>
      <c r="C3403" t="s">
        <v>13</v>
      </c>
      <c r="D3403" s="1" t="s">
        <v>52</v>
      </c>
      <c r="E3403" t="s">
        <v>30</v>
      </c>
      <c r="F3403" s="5" t="str">
        <f>HYPERLINK("http://www.otzar.org/book.asp?629548","שאלות חזרה")</f>
        <v>שאלות חזרה</v>
      </c>
    </row>
    <row r="3404" spans="1:6" x14ac:dyDescent="0.2">
      <c r="A3404" t="s">
        <v>6596</v>
      </c>
      <c r="B3404" t="s">
        <v>6597</v>
      </c>
      <c r="C3404" t="s">
        <v>20</v>
      </c>
      <c r="D3404" s="1" t="s">
        <v>268</v>
      </c>
      <c r="E3404" t="s">
        <v>1207</v>
      </c>
      <c r="F3404" s="5" t="str">
        <f>HYPERLINK("http://www.otzar.org/book.asp?625962","שאלת חכם - 2 כר'")</f>
        <v>שאלת חכם - 2 כר'</v>
      </c>
    </row>
    <row r="3405" spans="1:6" x14ac:dyDescent="0.2">
      <c r="A3405" t="s">
        <v>6598</v>
      </c>
      <c r="B3405" t="s">
        <v>6599</v>
      </c>
      <c r="C3405" t="s">
        <v>20</v>
      </c>
      <c r="D3405" s="1" t="s">
        <v>5188</v>
      </c>
      <c r="E3405" t="s">
        <v>41</v>
      </c>
      <c r="F3405" s="5" t="str">
        <f>HYPERLINK("http://www.otzar.org/book.asp?625419","שאלת שלום - ב")</f>
        <v>שאלת שלום - ב</v>
      </c>
    </row>
    <row r="3406" spans="1:6" x14ac:dyDescent="0.2">
      <c r="A3406" t="s">
        <v>6600</v>
      </c>
      <c r="B3406" t="s">
        <v>6601</v>
      </c>
      <c r="C3406" t="s">
        <v>6602</v>
      </c>
      <c r="D3406" s="1" t="s">
        <v>3397</v>
      </c>
      <c r="E3406" t="s">
        <v>214</v>
      </c>
      <c r="F3406" s="5" t="str">
        <f>HYPERLINK("http://www.otzar.org/book.asp?627341","שאר ישוב - ג ד")</f>
        <v>שאר ישוב - ג ד</v>
      </c>
    </row>
    <row r="3407" spans="1:6" x14ac:dyDescent="0.2">
      <c r="A3407" t="s">
        <v>6603</v>
      </c>
      <c r="B3407" t="s">
        <v>6604</v>
      </c>
      <c r="C3407" t="s">
        <v>639</v>
      </c>
      <c r="D3407" s="1" t="s">
        <v>9</v>
      </c>
      <c r="E3407" t="s">
        <v>6605</v>
      </c>
      <c r="F3407" s="5" t="str">
        <f>HYPERLINK("http://www.otzar.org/book.asp?627568","שארית יוסף &lt;זכרון אהרן&gt;")</f>
        <v>שארית יוסף &lt;זכרון אהרן&gt;</v>
      </c>
    </row>
    <row r="3408" spans="1:6" x14ac:dyDescent="0.2">
      <c r="A3408" t="s">
        <v>6606</v>
      </c>
      <c r="B3408" t="s">
        <v>6607</v>
      </c>
      <c r="C3408" t="s">
        <v>639</v>
      </c>
      <c r="D3408" s="1" t="s">
        <v>9</v>
      </c>
      <c r="E3408" t="s">
        <v>22</v>
      </c>
      <c r="F3408" s="5" t="str">
        <f>HYPERLINK("http://www.otzar.org/book.asp?624906","שארית יעקב &lt;לעלוב-בראנוביץ'&gt; - תשס""ז")</f>
        <v>שארית יעקב &lt;לעלוב-בראנוביץ'&gt; - תשס"ז</v>
      </c>
    </row>
    <row r="3409" spans="1:6" x14ac:dyDescent="0.2">
      <c r="A3409" t="s">
        <v>6608</v>
      </c>
      <c r="B3409" t="s">
        <v>6609</v>
      </c>
      <c r="C3409" t="s">
        <v>13</v>
      </c>
      <c r="D3409" s="1" t="s">
        <v>9</v>
      </c>
      <c r="E3409" t="s">
        <v>22</v>
      </c>
      <c r="F3409" s="5" t="str">
        <f>HYPERLINK("http://www.otzar.org/book.asp?628797","שב שמעתתא &lt;קול דודי&gt; - 3 כר'")</f>
        <v>שב שמעתתא &lt;קול דודי&gt; - 3 כר'</v>
      </c>
    </row>
    <row r="3410" spans="1:6" x14ac:dyDescent="0.2">
      <c r="A3410" t="s">
        <v>6610</v>
      </c>
      <c r="B3410" t="s">
        <v>6611</v>
      </c>
      <c r="C3410" t="s">
        <v>8</v>
      </c>
      <c r="D3410" s="1" t="s">
        <v>120</v>
      </c>
      <c r="E3410" t="s">
        <v>214</v>
      </c>
      <c r="F3410" s="5" t="str">
        <f>HYPERLINK("http://www.otzar.org/book.asp?627013","שבבי זכרונות")</f>
        <v>שבבי זכרונות</v>
      </c>
    </row>
    <row r="3411" spans="1:6" x14ac:dyDescent="0.2">
      <c r="A3411" t="s">
        <v>6612</v>
      </c>
      <c r="B3411" t="s">
        <v>6613</v>
      </c>
      <c r="C3411" t="s">
        <v>383</v>
      </c>
      <c r="D3411" s="1" t="s">
        <v>277</v>
      </c>
      <c r="E3411" t="s">
        <v>22</v>
      </c>
      <c r="F3411" s="5" t="str">
        <f>HYPERLINK("http://www.otzar.org/book.asp?624822","שבו ואחלמה - נדה")</f>
        <v>שבו ואחלמה - נדה</v>
      </c>
    </row>
    <row r="3412" spans="1:6" x14ac:dyDescent="0.2">
      <c r="A3412" t="s">
        <v>6614</v>
      </c>
      <c r="B3412" t="s">
        <v>1940</v>
      </c>
      <c r="C3412" t="s">
        <v>397</v>
      </c>
      <c r="D3412" s="1" t="s">
        <v>52</v>
      </c>
      <c r="E3412" t="s">
        <v>214</v>
      </c>
      <c r="F3412" s="5" t="str">
        <f>HYPERLINK("http://www.otzar.org/book.asp?623833","שבחו של אהרן")</f>
        <v>שבחו של אהרן</v>
      </c>
    </row>
    <row r="3413" spans="1:6" x14ac:dyDescent="0.2">
      <c r="A3413" t="s">
        <v>6615</v>
      </c>
      <c r="B3413" t="s">
        <v>6616</v>
      </c>
      <c r="C3413" t="s">
        <v>6617</v>
      </c>
      <c r="D3413" s="1" t="s">
        <v>6618</v>
      </c>
      <c r="E3413" t="s">
        <v>17</v>
      </c>
      <c r="F3413" s="5" t="str">
        <f>HYPERLINK("http://www.otzar.org/book.asp?625622","שבחי הבעש""ט")</f>
        <v>שבחי הבעש"ט</v>
      </c>
    </row>
    <row r="3414" spans="1:6" x14ac:dyDescent="0.2">
      <c r="A3414" t="s">
        <v>6619</v>
      </c>
      <c r="B3414" t="s">
        <v>6620</v>
      </c>
      <c r="C3414" t="s">
        <v>6621</v>
      </c>
      <c r="D3414" s="1" t="s">
        <v>537</v>
      </c>
      <c r="E3414" t="s">
        <v>49</v>
      </c>
      <c r="F3414" s="5" t="str">
        <f>HYPERLINK("http://www.otzar.org/book.asp?626340","שבחי צדיקים - 2 כר'")</f>
        <v>שבחי צדיקים - 2 כר'</v>
      </c>
    </row>
    <row r="3415" spans="1:6" x14ac:dyDescent="0.2">
      <c r="A3415" t="s">
        <v>6622</v>
      </c>
      <c r="B3415" t="s">
        <v>6623</v>
      </c>
      <c r="C3415" t="s">
        <v>999</v>
      </c>
      <c r="D3415" s="1" t="s">
        <v>1341</v>
      </c>
      <c r="E3415" t="s">
        <v>108</v>
      </c>
      <c r="F3415" s="5" t="str">
        <f>HYPERLINK("http://www.otzar.org/book.asp?625665","שביב אור - שבחה של תורה")</f>
        <v>שביב אור - שבחה של תורה</v>
      </c>
    </row>
    <row r="3416" spans="1:6" x14ac:dyDescent="0.2">
      <c r="A3416" t="s">
        <v>6624</v>
      </c>
      <c r="B3416" t="s">
        <v>6625</v>
      </c>
      <c r="C3416" t="s">
        <v>73</v>
      </c>
      <c r="D3416" s="1" t="s">
        <v>14</v>
      </c>
      <c r="E3416" t="s">
        <v>22</v>
      </c>
      <c r="F3416" s="5" t="str">
        <f>HYPERLINK("http://www.otzar.org/book.asp?627491","שביבי - 7 כר'")</f>
        <v>שביבי - 7 כר'</v>
      </c>
    </row>
    <row r="3417" spans="1:6" x14ac:dyDescent="0.2">
      <c r="A3417" t="s">
        <v>6626</v>
      </c>
      <c r="B3417" t="s">
        <v>4063</v>
      </c>
      <c r="C3417" t="s">
        <v>20</v>
      </c>
      <c r="D3417" s="1" t="s">
        <v>52</v>
      </c>
      <c r="E3417" t="s">
        <v>22</v>
      </c>
      <c r="F3417" s="5" t="str">
        <f>HYPERLINK("http://www.otzar.org/book.asp?625417","שבילי הספיקות")</f>
        <v>שבילי הספיקות</v>
      </c>
    </row>
    <row r="3418" spans="1:6" x14ac:dyDescent="0.2">
      <c r="A3418" t="s">
        <v>6627</v>
      </c>
      <c r="B3418" t="s">
        <v>6628</v>
      </c>
      <c r="C3418" t="s">
        <v>133</v>
      </c>
      <c r="D3418" s="1" t="s">
        <v>21</v>
      </c>
      <c r="E3418" t="s">
        <v>37</v>
      </c>
      <c r="F3418" s="5" t="str">
        <f>HYPERLINK("http://www.otzar.org/book.asp?625438","שבילי טהרה")</f>
        <v>שבילי טהרה</v>
      </c>
    </row>
    <row r="3419" spans="1:6" x14ac:dyDescent="0.2">
      <c r="A3419" t="s">
        <v>6629</v>
      </c>
      <c r="B3419" t="s">
        <v>6630</v>
      </c>
      <c r="C3419" t="s">
        <v>307</v>
      </c>
      <c r="D3419" s="1" t="s">
        <v>9</v>
      </c>
      <c r="E3419" t="s">
        <v>37</v>
      </c>
      <c r="F3419" s="5" t="str">
        <f>HYPERLINK("http://www.otzar.org/book.asp?627591","שבלי הלקט &lt;מהדורת זכרון אהרן&gt; - 2 כר'")</f>
        <v>שבלי הלקט &lt;מהדורת זכרון אהרן&gt; - 2 כר'</v>
      </c>
    </row>
    <row r="3420" spans="1:6" x14ac:dyDescent="0.2">
      <c r="A3420" t="s">
        <v>6631</v>
      </c>
      <c r="B3420" t="s">
        <v>3251</v>
      </c>
      <c r="C3420" t="s">
        <v>639</v>
      </c>
      <c r="D3420" s="1" t="s">
        <v>9</v>
      </c>
      <c r="E3420" t="s">
        <v>1458</v>
      </c>
      <c r="F3420" s="5" t="str">
        <f>HYPERLINK("http://www.otzar.org/book.asp?626911","שבעים פנים לתורה")</f>
        <v>שבעים פנים לתורה</v>
      </c>
    </row>
    <row r="3421" spans="1:6" x14ac:dyDescent="0.2">
      <c r="A3421" t="s">
        <v>6632</v>
      </c>
      <c r="B3421" t="s">
        <v>6633</v>
      </c>
      <c r="C3421" t="s">
        <v>1471</v>
      </c>
      <c r="D3421" s="1" t="s">
        <v>2411</v>
      </c>
      <c r="E3421" t="s">
        <v>168</v>
      </c>
      <c r="F3421" s="5" t="str">
        <f>HYPERLINK("http://www.otzar.org/book.asp?623887","שברי לוחות")</f>
        <v>שברי לוחות</v>
      </c>
    </row>
    <row r="3422" spans="1:6" x14ac:dyDescent="0.2">
      <c r="A3422" t="s">
        <v>6634</v>
      </c>
      <c r="B3422" t="s">
        <v>6635</v>
      </c>
      <c r="C3422" t="s">
        <v>8</v>
      </c>
      <c r="D3422" s="1" t="s">
        <v>4965</v>
      </c>
      <c r="E3422" t="s">
        <v>154</v>
      </c>
      <c r="F3422" s="5" t="str">
        <f>HYPERLINK("http://www.otzar.org/book.asp?624875","שבת בהלכה")</f>
        <v>שבת בהלכה</v>
      </c>
    </row>
    <row r="3423" spans="1:6" x14ac:dyDescent="0.2">
      <c r="A3423" t="s">
        <v>6636</v>
      </c>
      <c r="B3423" t="s">
        <v>6637</v>
      </c>
      <c r="C3423" t="s">
        <v>8</v>
      </c>
      <c r="D3423" s="1" t="s">
        <v>52</v>
      </c>
      <c r="E3423" t="s">
        <v>168</v>
      </c>
      <c r="F3423" s="5" t="str">
        <f>HYPERLINK("http://www.otzar.org/book.asp?625829","שבת בשבתו")</f>
        <v>שבת בשבתו</v>
      </c>
    </row>
    <row r="3424" spans="1:6" x14ac:dyDescent="0.2">
      <c r="A3424" t="s">
        <v>6638</v>
      </c>
      <c r="B3424" t="s">
        <v>6639</v>
      </c>
      <c r="C3424" t="s">
        <v>13</v>
      </c>
      <c r="D3424" s="1" t="s">
        <v>29</v>
      </c>
      <c r="E3424" t="s">
        <v>4105</v>
      </c>
      <c r="F3424" s="5" t="str">
        <f>HYPERLINK("http://www.otzar.org/book.asp?625887","שדה צופים &lt;ירושלמי&gt; - 2 כר'")</f>
        <v>שדה צופים &lt;ירושלמי&gt; - 2 כר'</v>
      </c>
    </row>
    <row r="3425" spans="1:6" x14ac:dyDescent="0.2">
      <c r="A3425" t="s">
        <v>6640</v>
      </c>
      <c r="B3425" t="s">
        <v>6641</v>
      </c>
      <c r="C3425" t="s">
        <v>25</v>
      </c>
      <c r="D3425" s="1" t="s">
        <v>52</v>
      </c>
      <c r="E3425" t="s">
        <v>199</v>
      </c>
      <c r="F3425" s="5" t="str">
        <f>HYPERLINK("http://www.otzar.org/book.asp?630036","שהשמחה במעונו")</f>
        <v>שהשמחה במעונו</v>
      </c>
    </row>
    <row r="3426" spans="1:6" x14ac:dyDescent="0.2">
      <c r="A3426" t="s">
        <v>6642</v>
      </c>
      <c r="B3426" t="s">
        <v>6643</v>
      </c>
      <c r="C3426" t="s">
        <v>73</v>
      </c>
      <c r="D3426" s="1" t="s">
        <v>9</v>
      </c>
      <c r="E3426" t="s">
        <v>41</v>
      </c>
      <c r="F3426" s="5" t="str">
        <f>HYPERLINK("http://www.otzar.org/book.asp?627040","שו""ת בית דינו של שמואל - 2 כר'")</f>
        <v>שו"ת בית דינו של שמואל - 2 כר'</v>
      </c>
    </row>
    <row r="3427" spans="1:6" x14ac:dyDescent="0.2">
      <c r="A3427" t="s">
        <v>6644</v>
      </c>
      <c r="B3427" t="s">
        <v>6645</v>
      </c>
      <c r="C3427" t="s">
        <v>13</v>
      </c>
      <c r="D3427" s="1" t="s">
        <v>400</v>
      </c>
      <c r="E3427" t="s">
        <v>41</v>
      </c>
      <c r="F3427" s="5" t="str">
        <f>HYPERLINK("http://www.otzar.org/book.asp?630900","שו""ת דבר יוסף")</f>
        <v>שו"ת דבר יוסף</v>
      </c>
    </row>
    <row r="3428" spans="1:6" x14ac:dyDescent="0.2">
      <c r="A3428" t="s">
        <v>6646</v>
      </c>
      <c r="B3428" t="s">
        <v>6647</v>
      </c>
      <c r="C3428" t="s">
        <v>190</v>
      </c>
      <c r="D3428" s="1" t="s">
        <v>9</v>
      </c>
      <c r="E3428" t="s">
        <v>41</v>
      </c>
      <c r="F3428" s="5" t="str">
        <f>HYPERLINK("http://www.otzar.org/book.asp?627596","שו""ת המבי""ט &lt;מהדורת זכרון אהרן&gt; - 2 כר'")</f>
        <v>שו"ת המבי"ט &lt;מהדורת זכרון אהרן&gt; - 2 כר'</v>
      </c>
    </row>
    <row r="3429" spans="1:6" x14ac:dyDescent="0.2">
      <c r="A3429" t="s">
        <v>6648</v>
      </c>
      <c r="B3429" t="s">
        <v>6649</v>
      </c>
      <c r="C3429" t="s">
        <v>40</v>
      </c>
      <c r="D3429" s="1" t="s">
        <v>9</v>
      </c>
      <c r="E3429" t="s">
        <v>41</v>
      </c>
      <c r="F3429" s="5" t="str">
        <f>HYPERLINK("http://www.otzar.org/book.asp?628388","שו""ת הראנ""ח &lt;זכרון אהרן&gt; - א")</f>
        <v>שו"ת הראנ"ח &lt;זכרון אהרן&gt; - א</v>
      </c>
    </row>
    <row r="3430" spans="1:6" x14ac:dyDescent="0.2">
      <c r="A3430" t="s">
        <v>6650</v>
      </c>
      <c r="B3430" t="s">
        <v>6651</v>
      </c>
      <c r="C3430" t="s">
        <v>264</v>
      </c>
      <c r="D3430" s="1" t="s">
        <v>29</v>
      </c>
      <c r="E3430" t="s">
        <v>41</v>
      </c>
      <c r="F3430" s="5" t="str">
        <f>HYPERLINK("http://www.otzar.org/book.asp?627393","שו""ת הרי""ף - כמה תשובות")</f>
        <v>שו"ת הרי"ף - כמה תשובות</v>
      </c>
    </row>
    <row r="3431" spans="1:6" x14ac:dyDescent="0.2">
      <c r="A3431" t="s">
        <v>6652</v>
      </c>
      <c r="B3431" t="s">
        <v>6653</v>
      </c>
      <c r="C3431" t="s">
        <v>13</v>
      </c>
      <c r="D3431" s="1" t="s">
        <v>6654</v>
      </c>
      <c r="E3431" t="s">
        <v>41</v>
      </c>
      <c r="F3431" s="5" t="str">
        <f>HYPERLINK("http://www.otzar.org/book.asp?627423","שו""ת השואל - ג")</f>
        <v>שו"ת השואל - ג</v>
      </c>
    </row>
    <row r="3432" spans="1:6" x14ac:dyDescent="0.2">
      <c r="A3432" t="s">
        <v>6655</v>
      </c>
      <c r="B3432" t="s">
        <v>6656</v>
      </c>
      <c r="C3432" t="s">
        <v>13</v>
      </c>
      <c r="D3432" s="1" t="s">
        <v>64</v>
      </c>
      <c r="E3432" t="s">
        <v>675</v>
      </c>
      <c r="F3432" s="5" t="str">
        <f>HYPERLINK("http://www.otzar.org/book.asp?623514","שו""ת התניא - ג")</f>
        <v>שו"ת התניא - ג</v>
      </c>
    </row>
    <row r="3433" spans="1:6" x14ac:dyDescent="0.2">
      <c r="A3433" t="s">
        <v>6657</v>
      </c>
      <c r="B3433" t="s">
        <v>6658</v>
      </c>
      <c r="C3433" t="s">
        <v>88</v>
      </c>
      <c r="D3433" s="1" t="s">
        <v>841</v>
      </c>
      <c r="E3433" t="s">
        <v>41</v>
      </c>
      <c r="F3433" s="5" t="str">
        <f>HYPERLINK("http://www.otzar.org/book.asp?627512","שו""ת ויען אברהם - יו""ד א")</f>
        <v>שו"ת ויען אברהם - יו"ד א</v>
      </c>
    </row>
    <row r="3434" spans="1:6" x14ac:dyDescent="0.2">
      <c r="A3434" t="s">
        <v>6659</v>
      </c>
      <c r="B3434" t="s">
        <v>6660</v>
      </c>
      <c r="C3434" t="s">
        <v>13</v>
      </c>
      <c r="D3434" s="1" t="s">
        <v>114</v>
      </c>
      <c r="E3434" t="s">
        <v>41</v>
      </c>
      <c r="F3434" s="5" t="str">
        <f>HYPERLINK("http://www.otzar.org/book.asp?627560","שו""ת מהר""י בירב &lt;מהדורת זכרון אהרן&gt;")</f>
        <v>שו"ת מהר"י בירב &lt;מהדורת זכרון אהרן&gt;</v>
      </c>
    </row>
    <row r="3435" spans="1:6" x14ac:dyDescent="0.2">
      <c r="A3435" t="s">
        <v>6661</v>
      </c>
      <c r="B3435" t="s">
        <v>6662</v>
      </c>
      <c r="C3435" t="s">
        <v>13</v>
      </c>
      <c r="D3435" s="1" t="s">
        <v>9</v>
      </c>
      <c r="E3435" t="s">
        <v>41</v>
      </c>
      <c r="F3435" s="5" t="str">
        <f>HYPERLINK("http://www.otzar.org/book.asp?628706","שו""ת מהר""י בן לב &lt;זכרון אהרן&gt; - 3 כר'")</f>
        <v>שו"ת מהר"י בן לב &lt;זכרון אהרן&gt; - 3 כר'</v>
      </c>
    </row>
    <row r="3436" spans="1:6" x14ac:dyDescent="0.2">
      <c r="A3436" t="s">
        <v>6663</v>
      </c>
      <c r="B3436" t="s">
        <v>6664</v>
      </c>
      <c r="C3436" t="s">
        <v>20</v>
      </c>
      <c r="D3436" s="1" t="s">
        <v>114</v>
      </c>
      <c r="E3436" t="s">
        <v>41</v>
      </c>
      <c r="F3436" s="5" t="str">
        <f>HYPERLINK("http://www.otzar.org/book.asp?628145","שו""ת מהר""ם אל אשקר &lt;זכרון אהרן&gt;")</f>
        <v>שו"ת מהר"ם אל אשקר &lt;זכרון אהרן&gt;</v>
      </c>
    </row>
    <row r="3437" spans="1:6" x14ac:dyDescent="0.2">
      <c r="A3437" t="s">
        <v>6665</v>
      </c>
      <c r="B3437" t="s">
        <v>6666</v>
      </c>
      <c r="C3437" t="s">
        <v>20</v>
      </c>
      <c r="D3437" s="1" t="s">
        <v>9</v>
      </c>
      <c r="E3437" t="s">
        <v>41</v>
      </c>
      <c r="F3437" s="5" t="str">
        <f>HYPERLINK("http://www.otzar.org/book.asp?628690","שו""ת מהר""ש הלוי &lt;זכרון אהרן&gt;")</f>
        <v>שו"ת מהר"ש הלוי &lt;זכרון אהרן&gt;</v>
      </c>
    </row>
    <row r="3438" spans="1:6" x14ac:dyDescent="0.2">
      <c r="A3438" t="s">
        <v>6667</v>
      </c>
      <c r="B3438" t="s">
        <v>2707</v>
      </c>
      <c r="C3438" t="s">
        <v>13</v>
      </c>
      <c r="D3438" s="1" t="s">
        <v>114</v>
      </c>
      <c r="E3438" t="s">
        <v>41</v>
      </c>
      <c r="F3438" s="5" t="str">
        <f>HYPERLINK("http://www.otzar.org/book.asp?627050","שו""ת מהרי""ל דיסקין &lt;מהדורת קרן רא""ם&gt;")</f>
        <v>שו"ת מהרי"ל דיסקין &lt;מהדורת קרן רא"ם&gt;</v>
      </c>
    </row>
    <row r="3439" spans="1:6" x14ac:dyDescent="0.2">
      <c r="A3439" t="s">
        <v>6668</v>
      </c>
      <c r="B3439" t="s">
        <v>6669</v>
      </c>
      <c r="C3439" t="s">
        <v>136</v>
      </c>
      <c r="D3439" s="1" t="s">
        <v>9</v>
      </c>
      <c r="E3439" t="s">
        <v>41</v>
      </c>
      <c r="F3439" s="5" t="str">
        <f>HYPERLINK("http://www.otzar.org/book.asp?629070","שו""ת מהריט""ץ &lt;זכרון אהרן&gt; - 2 כר'")</f>
        <v>שו"ת מהריט"ץ &lt;זכרון אהרן&gt; - 2 כר'</v>
      </c>
    </row>
    <row r="3440" spans="1:6" x14ac:dyDescent="0.2">
      <c r="A3440" t="s">
        <v>6670</v>
      </c>
      <c r="B3440" t="s">
        <v>6671</v>
      </c>
      <c r="C3440" t="s">
        <v>8</v>
      </c>
      <c r="D3440" s="1" t="s">
        <v>9</v>
      </c>
      <c r="F3440" s="5" t="str">
        <f>HYPERLINK("http://www.otzar.org/book.asp?633078","שו""ת מהרש""ך &lt;מהדורת זכרון אהרן&gt; - 3 כר'")</f>
        <v>שו"ת מהרש"ך &lt;מהדורת זכרון אהרן&gt; - 3 כר'</v>
      </c>
    </row>
    <row r="3441" spans="1:6" x14ac:dyDescent="0.2">
      <c r="A3441" t="s">
        <v>6672</v>
      </c>
      <c r="B3441" t="s">
        <v>3068</v>
      </c>
      <c r="C3441" t="s">
        <v>13</v>
      </c>
      <c r="D3441" s="1" t="s">
        <v>9</v>
      </c>
      <c r="E3441" t="s">
        <v>41</v>
      </c>
      <c r="F3441" s="5" t="str">
        <f>HYPERLINK("http://www.otzar.org/book.asp?627598","שו""ת מהרש""ל &lt;זכרון אהרן&gt;")</f>
        <v>שו"ת מהרש"ל &lt;זכרון אהרן&gt;</v>
      </c>
    </row>
    <row r="3442" spans="1:6" x14ac:dyDescent="0.2">
      <c r="A3442" t="s">
        <v>6673</v>
      </c>
      <c r="B3442" t="s">
        <v>6674</v>
      </c>
      <c r="C3442" t="s">
        <v>88</v>
      </c>
      <c r="D3442" s="1" t="s">
        <v>9</v>
      </c>
      <c r="E3442" t="s">
        <v>41</v>
      </c>
      <c r="F3442" s="5" t="str">
        <f>HYPERLINK("http://www.otzar.org/book.asp?627673","שו""ת מהרשד""ם &lt;זכרון אהרן&gt; - 4 כר'")</f>
        <v>שו"ת מהרשד"ם &lt;זכרון אהרן&gt; - 4 כר'</v>
      </c>
    </row>
    <row r="3443" spans="1:6" x14ac:dyDescent="0.2">
      <c r="A3443" t="s">
        <v>6675</v>
      </c>
      <c r="B3443" t="s">
        <v>6676</v>
      </c>
      <c r="C3443" t="s">
        <v>136</v>
      </c>
      <c r="D3443" s="1" t="s">
        <v>9</v>
      </c>
      <c r="E3443" t="s">
        <v>41</v>
      </c>
      <c r="F3443" s="5" t="str">
        <f>HYPERLINK("http://www.otzar.org/book.asp?627460","שו""ת עומק הלכה - 2 כר'")</f>
        <v>שו"ת עומק הלכה - 2 כר'</v>
      </c>
    </row>
    <row r="3444" spans="1:6" x14ac:dyDescent="0.2">
      <c r="A3444" t="s">
        <v>6677</v>
      </c>
      <c r="B3444" t="s">
        <v>173</v>
      </c>
      <c r="C3444" t="s">
        <v>76</v>
      </c>
      <c r="D3444" s="1" t="s">
        <v>9</v>
      </c>
      <c r="E3444" t="s">
        <v>6678</v>
      </c>
      <c r="F3444" s="5" t="str">
        <f>HYPERLINK("http://www.otzar.org/book.asp?626064","שו""ת קול אליהו - ב")</f>
        <v>שו"ת קול אליהו - ב</v>
      </c>
    </row>
    <row r="3445" spans="1:6" x14ac:dyDescent="0.2">
      <c r="A3445" t="s">
        <v>6679</v>
      </c>
      <c r="B3445" t="s">
        <v>6680</v>
      </c>
      <c r="C3445" t="s">
        <v>13</v>
      </c>
      <c r="D3445" s="1" t="s">
        <v>9</v>
      </c>
      <c r="E3445" t="s">
        <v>1207</v>
      </c>
      <c r="F3445" s="5" t="str">
        <f>HYPERLINK("http://www.otzar.org/book.asp?630776","שו""ת רבי ברוך")</f>
        <v>שו"ת רבי ברוך</v>
      </c>
    </row>
    <row r="3446" spans="1:6" x14ac:dyDescent="0.2">
      <c r="A3446" t="s">
        <v>6681</v>
      </c>
      <c r="B3446" t="s">
        <v>6682</v>
      </c>
      <c r="C3446" t="s">
        <v>13</v>
      </c>
      <c r="D3446" s="1" t="s">
        <v>14</v>
      </c>
      <c r="E3446" t="s">
        <v>1207</v>
      </c>
      <c r="F3446" s="5" t="str">
        <f>HYPERLINK("http://www.otzar.org/book.asp?622876","שו""ת רבי יהושע אשכנזי")</f>
        <v>שו"ת רבי יהושע אשכנזי</v>
      </c>
    </row>
    <row r="3447" spans="1:6" x14ac:dyDescent="0.2">
      <c r="A3447" t="s">
        <v>6683</v>
      </c>
      <c r="B3447" t="s">
        <v>6684</v>
      </c>
      <c r="C3447" t="s">
        <v>20</v>
      </c>
      <c r="D3447" s="1" t="s">
        <v>64</v>
      </c>
      <c r="F3447" s="5" t="str">
        <f>HYPERLINK("http://www.otzar.org/book.asp?633163","שואל ומשיב &lt;מהדורה חדשה&gt; - קמא ג")</f>
        <v>שואל ומשיב &lt;מהדורה חדשה&gt; - קמא ג</v>
      </c>
    </row>
    <row r="3448" spans="1:6" x14ac:dyDescent="0.2">
      <c r="A3448" t="s">
        <v>6685</v>
      </c>
      <c r="B3448" t="s">
        <v>6684</v>
      </c>
      <c r="C3448" t="s">
        <v>6686</v>
      </c>
      <c r="D3448" s="1" t="s">
        <v>60</v>
      </c>
      <c r="F3448" s="5" t="str">
        <f>HYPERLINK("http://www.otzar.org/book.asp?625929","שואל ומשיב - 3 כר'")</f>
        <v>שואל ומשיב - 3 כר'</v>
      </c>
    </row>
    <row r="3449" spans="1:6" x14ac:dyDescent="0.2">
      <c r="A3449" t="s">
        <v>6687</v>
      </c>
      <c r="B3449" t="s">
        <v>5696</v>
      </c>
      <c r="C3449" t="s">
        <v>8</v>
      </c>
      <c r="D3449" s="1" t="s">
        <v>9</v>
      </c>
      <c r="E3449" t="s">
        <v>41</v>
      </c>
      <c r="F3449" s="5" t="str">
        <f>HYPERLINK("http://www.otzar.org/book.asp?625116","שואלים בתשובה")</f>
        <v>שואלים בתשובה</v>
      </c>
    </row>
    <row r="3450" spans="1:6" x14ac:dyDescent="0.2">
      <c r="A3450" t="s">
        <v>6688</v>
      </c>
      <c r="E3450" t="s">
        <v>37</v>
      </c>
      <c r="F3450" s="5" t="str">
        <f>HYPERLINK("http://www.otzar.org/book.asp?630023","שואלים ודורשים בהלכות יום טוב")</f>
        <v>שואלים ודורשים בהלכות יום טוב</v>
      </c>
    </row>
    <row r="3451" spans="1:6" x14ac:dyDescent="0.2">
      <c r="A3451" t="s">
        <v>6689</v>
      </c>
      <c r="B3451" t="s">
        <v>6690</v>
      </c>
      <c r="C3451" t="s">
        <v>157</v>
      </c>
      <c r="D3451" s="1" t="s">
        <v>1948</v>
      </c>
      <c r="E3451" t="s">
        <v>34</v>
      </c>
      <c r="F3451" s="5" t="str">
        <f>HYPERLINK("http://www.otzar.org/book.asp?625744","שובו אלי")</f>
        <v>שובו אלי</v>
      </c>
    </row>
    <row r="3452" spans="1:6" x14ac:dyDescent="0.2">
      <c r="A3452" t="s">
        <v>6691</v>
      </c>
      <c r="B3452" t="s">
        <v>6692</v>
      </c>
      <c r="C3452" t="s">
        <v>1127</v>
      </c>
      <c r="D3452" s="1" t="s">
        <v>9</v>
      </c>
      <c r="E3452" t="s">
        <v>34</v>
      </c>
      <c r="F3452" s="5" t="str">
        <f>HYPERLINK("http://www.otzar.org/book.asp?6559","שובו")</f>
        <v>שובו</v>
      </c>
    </row>
    <row r="3453" spans="1:6" x14ac:dyDescent="0.2">
      <c r="A3453" t="s">
        <v>6693</v>
      </c>
      <c r="B3453" t="s">
        <v>6694</v>
      </c>
      <c r="C3453" t="s">
        <v>1922</v>
      </c>
      <c r="D3453" s="1" t="s">
        <v>1059</v>
      </c>
      <c r="E3453" t="s">
        <v>6695</v>
      </c>
      <c r="F3453" s="5" t="str">
        <f>HYPERLINK("http://www.otzar.org/book.asp?625946","שובע שמחות")</f>
        <v>שובע שמחות</v>
      </c>
    </row>
    <row r="3454" spans="1:6" x14ac:dyDescent="0.2">
      <c r="A3454" t="s">
        <v>6696</v>
      </c>
      <c r="B3454" t="s">
        <v>1843</v>
      </c>
      <c r="C3454" t="s">
        <v>245</v>
      </c>
      <c r="D3454" s="1" t="s">
        <v>9</v>
      </c>
      <c r="E3454" t="s">
        <v>37</v>
      </c>
      <c r="F3454" s="5" t="str">
        <f>HYPERLINK("http://www.otzar.org/book.asp?630162","שולחן של תורה - 2 כר'")</f>
        <v>שולחן של תורה - 2 כר'</v>
      </c>
    </row>
    <row r="3455" spans="1:6" x14ac:dyDescent="0.2">
      <c r="A3455" t="s">
        <v>6697</v>
      </c>
      <c r="B3455" t="s">
        <v>6698</v>
      </c>
      <c r="C3455" t="s">
        <v>8</v>
      </c>
      <c r="D3455" s="1" t="s">
        <v>9</v>
      </c>
      <c r="E3455" t="s">
        <v>61</v>
      </c>
      <c r="F3455" s="5" t="str">
        <f>HYPERLINK("http://www.otzar.org/book.asp?630043","שולחן שמואל - 4 כר'")</f>
        <v>שולחן שמואל - 4 כר'</v>
      </c>
    </row>
    <row r="3456" spans="1:6" x14ac:dyDescent="0.2">
      <c r="A3456" t="s">
        <v>6699</v>
      </c>
      <c r="B3456" t="s">
        <v>6700</v>
      </c>
      <c r="C3456" t="s">
        <v>6701</v>
      </c>
      <c r="D3456" s="1" t="s">
        <v>355</v>
      </c>
      <c r="E3456" t="s">
        <v>6702</v>
      </c>
      <c r="F3456" s="5" t="str">
        <f>HYPERLINK("http://www.otzar.org/book.asp?624684","שומר אמונים")</f>
        <v>שומר אמונים</v>
      </c>
    </row>
    <row r="3457" spans="1:6" x14ac:dyDescent="0.2">
      <c r="A3457" t="s">
        <v>6699</v>
      </c>
      <c r="B3457" t="s">
        <v>6703</v>
      </c>
      <c r="C3457" t="s">
        <v>354</v>
      </c>
      <c r="D3457" s="1" t="s">
        <v>1059</v>
      </c>
      <c r="E3457" t="s">
        <v>37</v>
      </c>
      <c r="F3457" s="5" t="str">
        <f>HYPERLINK("http://www.otzar.org/book.asp?626440","שומר אמונים")</f>
        <v>שומר אמונים</v>
      </c>
    </row>
    <row r="3458" spans="1:6" x14ac:dyDescent="0.2">
      <c r="A3458" t="s">
        <v>6704</v>
      </c>
      <c r="B3458" t="s">
        <v>6705</v>
      </c>
      <c r="C3458" t="s">
        <v>411</v>
      </c>
      <c r="D3458" s="1" t="s">
        <v>14</v>
      </c>
      <c r="E3458" t="s">
        <v>10</v>
      </c>
      <c r="F3458" s="5" t="str">
        <f>HYPERLINK("http://www.otzar.org/book.asp?629287","שומר אמת - 3 כר'")</f>
        <v>שומר אמת - 3 כר'</v>
      </c>
    </row>
    <row r="3459" spans="1:6" x14ac:dyDescent="0.2">
      <c r="A3459" t="s">
        <v>6706</v>
      </c>
      <c r="B3459" t="s">
        <v>473</v>
      </c>
      <c r="C3459" t="s">
        <v>136</v>
      </c>
      <c r="D3459" s="1" t="s">
        <v>229</v>
      </c>
      <c r="E3459" t="s">
        <v>34</v>
      </c>
      <c r="F3459" s="5" t="str">
        <f>HYPERLINK("http://www.otzar.org/book.asp?625529","שומרים הפקד לעירך")</f>
        <v>שומרים הפקד לעירך</v>
      </c>
    </row>
    <row r="3460" spans="1:6" x14ac:dyDescent="0.2">
      <c r="A3460" t="s">
        <v>6707</v>
      </c>
      <c r="B3460" t="s">
        <v>6708</v>
      </c>
      <c r="C3460" t="s">
        <v>8</v>
      </c>
      <c r="D3460" s="1" t="s">
        <v>9</v>
      </c>
      <c r="E3460" t="s">
        <v>37</v>
      </c>
      <c r="F3460" s="5" t="str">
        <f>HYPERLINK("http://www.otzar.org/book.asp?629529","שונה הלכה - מצוות התלויות בארץ")</f>
        <v>שונה הלכה - מצוות התלויות בארץ</v>
      </c>
    </row>
    <row r="3461" spans="1:6" x14ac:dyDescent="0.2">
      <c r="A3461" t="s">
        <v>6709</v>
      </c>
      <c r="B3461" t="s">
        <v>6710</v>
      </c>
      <c r="C3461" t="s">
        <v>20</v>
      </c>
      <c r="D3461" s="1" t="s">
        <v>21</v>
      </c>
      <c r="E3461" t="s">
        <v>154</v>
      </c>
      <c r="F3461" s="5" t="str">
        <f>HYPERLINK("http://www.otzar.org/book.asp?628130","שונה הלכות המבואר - מגילה ופורים")</f>
        <v>שונה הלכות המבואר - מגילה ופורים</v>
      </c>
    </row>
    <row r="3462" spans="1:6" x14ac:dyDescent="0.2">
      <c r="A3462" t="s">
        <v>6711</v>
      </c>
      <c r="B3462" t="s">
        <v>6712</v>
      </c>
      <c r="C3462" t="s">
        <v>20</v>
      </c>
      <c r="D3462" s="1" t="s">
        <v>6713</v>
      </c>
      <c r="E3462" t="s">
        <v>168</v>
      </c>
      <c r="F3462" s="5" t="str">
        <f>HYPERLINK("http://www.otzar.org/book.asp?629971","שופריה דמיכאל")</f>
        <v>שופריה דמיכאל</v>
      </c>
    </row>
    <row r="3463" spans="1:6" x14ac:dyDescent="0.2">
      <c r="A3463" t="s">
        <v>6714</v>
      </c>
      <c r="B3463" t="s">
        <v>6715</v>
      </c>
      <c r="E3463" t="s">
        <v>375</v>
      </c>
      <c r="F3463" s="5" t="str">
        <f>HYPERLINK("http://www.otzar.org/book.asp?628027","שושנת העמקים")</f>
        <v>שושנת העמקים</v>
      </c>
    </row>
    <row r="3464" spans="1:6" x14ac:dyDescent="0.2">
      <c r="A3464" t="s">
        <v>6716</v>
      </c>
      <c r="B3464" t="s">
        <v>6717</v>
      </c>
      <c r="C3464" t="s">
        <v>334</v>
      </c>
      <c r="D3464" s="1" t="s">
        <v>14</v>
      </c>
      <c r="F3464" s="5" t="str">
        <f>HYPERLINK("http://www.otzar.org/book.asp?632020","שושנת יעקב - ברכות")</f>
        <v>שושנת יעקב - ברכות</v>
      </c>
    </row>
    <row r="3465" spans="1:6" x14ac:dyDescent="0.2">
      <c r="A3465" t="s">
        <v>6718</v>
      </c>
      <c r="B3465" t="s">
        <v>974</v>
      </c>
      <c r="C3465" t="s">
        <v>8</v>
      </c>
      <c r="D3465" s="1" t="s">
        <v>52</v>
      </c>
      <c r="E3465" t="s">
        <v>61</v>
      </c>
      <c r="F3465" s="5" t="str">
        <f>HYPERLINK("http://www.otzar.org/book.asp?630031","שותפות עם הנכרי")</f>
        <v>שותפות עם הנכרי</v>
      </c>
    </row>
    <row r="3466" spans="1:6" x14ac:dyDescent="0.2">
      <c r="A3466" t="s">
        <v>6719</v>
      </c>
      <c r="B3466" t="s">
        <v>6720</v>
      </c>
      <c r="C3466" t="s">
        <v>397</v>
      </c>
      <c r="D3466" s="1" t="s">
        <v>6721</v>
      </c>
      <c r="E3466" t="s">
        <v>37</v>
      </c>
      <c r="F3466" s="5" t="str">
        <f>HYPERLINK("http://www.otzar.org/book.asp?623275","שטרות והסכמים כמשקפים פתרונות לבעיית הריבית")</f>
        <v>שטרות והסכמים כמשקפים פתרונות לבעיית הריבית</v>
      </c>
    </row>
    <row r="3467" spans="1:6" x14ac:dyDescent="0.2">
      <c r="A3467" t="s">
        <v>6722</v>
      </c>
      <c r="B3467" t="s">
        <v>6400</v>
      </c>
      <c r="C3467" t="s">
        <v>20</v>
      </c>
      <c r="D3467" s="1" t="s">
        <v>476</v>
      </c>
      <c r="E3467" t="s">
        <v>37</v>
      </c>
      <c r="F3467" s="5" t="str">
        <f>HYPERLINK("http://www.otzar.org/book.asp?623389","שטרי הדיוטות בשבת")</f>
        <v>שטרי הדיוטות בשבת</v>
      </c>
    </row>
    <row r="3468" spans="1:6" x14ac:dyDescent="0.2">
      <c r="A3468" t="s">
        <v>6723</v>
      </c>
      <c r="B3468" t="s">
        <v>6724</v>
      </c>
      <c r="C3468" t="s">
        <v>20</v>
      </c>
      <c r="D3468" s="1" t="s">
        <v>14</v>
      </c>
      <c r="E3468" t="s">
        <v>22</v>
      </c>
      <c r="F3468" s="5" t="str">
        <f>HYPERLINK("http://www.otzar.org/book.asp?623286","שי למורא - שבת, עירובין")</f>
        <v>שי למורא - שבת, עירובין</v>
      </c>
    </row>
    <row r="3469" spans="1:6" x14ac:dyDescent="0.2">
      <c r="A3469" t="s">
        <v>6725</v>
      </c>
      <c r="B3469" t="s">
        <v>6726</v>
      </c>
      <c r="C3469" t="s">
        <v>20</v>
      </c>
      <c r="D3469" s="1" t="s">
        <v>471</v>
      </c>
      <c r="E3469" t="s">
        <v>168</v>
      </c>
      <c r="F3469" s="5" t="str">
        <f>HYPERLINK("http://www.otzar.org/book.asp?624759","שיבת ציון - איכה")</f>
        <v>שיבת ציון - איכה</v>
      </c>
    </row>
    <row r="3470" spans="1:6" x14ac:dyDescent="0.2">
      <c r="A3470" t="s">
        <v>6727</v>
      </c>
      <c r="B3470" t="s">
        <v>6727</v>
      </c>
      <c r="C3470" t="s">
        <v>593</v>
      </c>
      <c r="D3470" s="1" t="s">
        <v>48</v>
      </c>
      <c r="E3470" t="s">
        <v>49</v>
      </c>
      <c r="F3470" s="5" t="str">
        <f>HYPERLINK("http://www.otzar.org/book.asp?625664","שיבת ציון")</f>
        <v>שיבת ציון</v>
      </c>
    </row>
    <row r="3471" spans="1:6" x14ac:dyDescent="0.2">
      <c r="A3471" t="s">
        <v>6728</v>
      </c>
      <c r="B3471" t="s">
        <v>6729</v>
      </c>
      <c r="C3471" t="s">
        <v>1385</v>
      </c>
      <c r="D3471" s="1" t="s">
        <v>14</v>
      </c>
      <c r="E3471" t="s">
        <v>22</v>
      </c>
      <c r="F3471" s="5" t="str">
        <f>HYPERLINK("http://www.otzar.org/book.asp?623295","שיח אברהם - 10 כר'")</f>
        <v>שיח אברהם - 10 כר'</v>
      </c>
    </row>
    <row r="3472" spans="1:6" x14ac:dyDescent="0.2">
      <c r="A3472" t="s">
        <v>6730</v>
      </c>
      <c r="B3472" t="s">
        <v>6731</v>
      </c>
      <c r="C3472" t="s">
        <v>354</v>
      </c>
      <c r="D3472" s="1" t="s">
        <v>355</v>
      </c>
      <c r="E3472" t="s">
        <v>187</v>
      </c>
      <c r="F3472" s="5" t="str">
        <f>HYPERLINK("http://www.otzar.org/book.asp?624784","שיח אליעזר")</f>
        <v>שיח אליעזר</v>
      </c>
    </row>
    <row r="3473" spans="1:6" x14ac:dyDescent="0.2">
      <c r="A3473" t="s">
        <v>6732</v>
      </c>
      <c r="B3473" t="s">
        <v>6733</v>
      </c>
      <c r="C3473" t="s">
        <v>136</v>
      </c>
      <c r="D3473" s="1" t="s">
        <v>14</v>
      </c>
      <c r="E3473" t="s">
        <v>34</v>
      </c>
      <c r="F3473" s="5" t="str">
        <f>HYPERLINK("http://www.otzar.org/book.asp?626173","שיח בחוקיך - 2 כר'")</f>
        <v>שיח בחוקיך - 2 כר'</v>
      </c>
    </row>
    <row r="3474" spans="1:6" x14ac:dyDescent="0.2">
      <c r="A3474" t="s">
        <v>6734</v>
      </c>
      <c r="B3474" t="s">
        <v>6735</v>
      </c>
      <c r="C3474" t="s">
        <v>73</v>
      </c>
      <c r="D3474" s="1" t="s">
        <v>9</v>
      </c>
      <c r="E3474" t="s">
        <v>22</v>
      </c>
      <c r="F3474" s="5" t="str">
        <f>HYPERLINK("http://www.otzar.org/book.asp?623562","שיח הלוי - 2 כר'")</f>
        <v>שיח הלוי - 2 כר'</v>
      </c>
    </row>
    <row r="3475" spans="1:6" x14ac:dyDescent="0.2">
      <c r="A3475" t="s">
        <v>6736</v>
      </c>
      <c r="B3475" t="s">
        <v>765</v>
      </c>
      <c r="C3475" t="s">
        <v>13</v>
      </c>
      <c r="D3475" s="1" t="s">
        <v>14</v>
      </c>
      <c r="F3475" s="5" t="str">
        <f>HYPERLINK("http://www.otzar.org/book.asp?630257","שיח השדה &lt;מהדורה מחודשת&gt; - ב")</f>
        <v>שיח השדה &lt;מהדורה מחודשת&gt; - ב</v>
      </c>
    </row>
    <row r="3476" spans="1:6" x14ac:dyDescent="0.2">
      <c r="A3476" t="s">
        <v>6737</v>
      </c>
      <c r="B3476" t="s">
        <v>6738</v>
      </c>
      <c r="C3476" t="s">
        <v>397</v>
      </c>
      <c r="D3476" s="1" t="s">
        <v>9</v>
      </c>
      <c r="E3476" t="s">
        <v>37</v>
      </c>
      <c r="F3476" s="5" t="str">
        <f>HYPERLINK("http://www.otzar.org/book.asp?629124","שיח השדה - ה")</f>
        <v>שיח השדה - ה</v>
      </c>
    </row>
    <row r="3477" spans="1:6" x14ac:dyDescent="0.2">
      <c r="A3477" t="s">
        <v>6739</v>
      </c>
      <c r="B3477" t="s">
        <v>6740</v>
      </c>
      <c r="C3477" t="s">
        <v>73</v>
      </c>
      <c r="D3477" s="1" t="s">
        <v>14</v>
      </c>
      <c r="E3477" t="s">
        <v>6741</v>
      </c>
      <c r="F3477" s="5" t="str">
        <f>HYPERLINK("http://www.otzar.org/book.asp?629545","שיח התורה - ג")</f>
        <v>שיח התורה - ג</v>
      </c>
    </row>
    <row r="3478" spans="1:6" x14ac:dyDescent="0.2">
      <c r="A3478" t="s">
        <v>6742</v>
      </c>
      <c r="B3478" t="s">
        <v>6743</v>
      </c>
      <c r="C3478" t="s">
        <v>13</v>
      </c>
      <c r="D3478" s="1" t="s">
        <v>1364</v>
      </c>
      <c r="E3478" t="s">
        <v>171</v>
      </c>
      <c r="F3478" s="5" t="str">
        <f>HYPERLINK("http://www.otzar.org/book.asp?627650","שיח חיים - ניסן, ספה""ע ושבועות")</f>
        <v>שיח חיים - ניסן, ספה"ע ושבועות</v>
      </c>
    </row>
    <row r="3479" spans="1:6" x14ac:dyDescent="0.2">
      <c r="A3479" t="s">
        <v>6744</v>
      </c>
      <c r="B3479" t="s">
        <v>6745</v>
      </c>
      <c r="C3479" t="s">
        <v>190</v>
      </c>
      <c r="D3479" s="1" t="s">
        <v>9</v>
      </c>
      <c r="E3479" t="s">
        <v>22</v>
      </c>
      <c r="F3479" s="5" t="str">
        <f>HYPERLINK("http://www.otzar.org/book.asp?623945","שיח יהודה - 4 כר'")</f>
        <v>שיח יהודה - 4 כר'</v>
      </c>
    </row>
    <row r="3480" spans="1:6" x14ac:dyDescent="0.2">
      <c r="A3480" t="s">
        <v>6746</v>
      </c>
      <c r="B3480" t="s">
        <v>6747</v>
      </c>
      <c r="C3480" t="s">
        <v>999</v>
      </c>
      <c r="D3480" s="1" t="s">
        <v>1364</v>
      </c>
      <c r="F3480" s="5" t="str">
        <f>HYPERLINK("http://www.otzar.org/book.asp?630267","שיח יעקב - 2 כר'")</f>
        <v>שיח יעקב - 2 כר'</v>
      </c>
    </row>
    <row r="3481" spans="1:6" x14ac:dyDescent="0.2">
      <c r="A3481" t="s">
        <v>6748</v>
      </c>
      <c r="B3481" t="s">
        <v>6749</v>
      </c>
      <c r="C3481" t="s">
        <v>20</v>
      </c>
      <c r="D3481" s="1" t="s">
        <v>9</v>
      </c>
      <c r="F3481" s="5" t="str">
        <f>HYPERLINK("http://www.otzar.org/book.asp?633161","שיח יצחק - 2 כר'")</f>
        <v>שיח יצחק - 2 כר'</v>
      </c>
    </row>
    <row r="3482" spans="1:6" x14ac:dyDescent="0.2">
      <c r="A3482" t="s">
        <v>6750</v>
      </c>
      <c r="B3482" t="s">
        <v>6751</v>
      </c>
      <c r="C3482" t="s">
        <v>73</v>
      </c>
      <c r="D3482" s="1" t="s">
        <v>14</v>
      </c>
      <c r="E3482" t="s">
        <v>214</v>
      </c>
      <c r="F3482" s="5" t="str">
        <f>HYPERLINK("http://www.otzar.org/book.asp?626180","שיח יצחק - יבמות")</f>
        <v>שיח יצחק - יבמות</v>
      </c>
    </row>
    <row r="3483" spans="1:6" x14ac:dyDescent="0.2">
      <c r="A3483" t="s">
        <v>6752</v>
      </c>
      <c r="B3483" t="s">
        <v>6753</v>
      </c>
      <c r="C3483" t="s">
        <v>25</v>
      </c>
      <c r="D3483" s="1" t="s">
        <v>14</v>
      </c>
      <c r="E3483" t="s">
        <v>192</v>
      </c>
      <c r="F3483" s="5" t="str">
        <f>HYPERLINK("http://www.otzar.org/book.asp?630021","שיח מנחם - עניינים שונים")</f>
        <v>שיח מנחם - עניינים שונים</v>
      </c>
    </row>
    <row r="3484" spans="1:6" x14ac:dyDescent="0.2">
      <c r="A3484" t="s">
        <v>6754</v>
      </c>
      <c r="B3484" t="s">
        <v>6755</v>
      </c>
      <c r="C3484" t="s">
        <v>13</v>
      </c>
      <c r="D3484" s="1" t="s">
        <v>6756</v>
      </c>
      <c r="E3484" t="s">
        <v>17</v>
      </c>
      <c r="F3484" s="5" t="str">
        <f>HYPERLINK("http://www.otzar.org/book.asp?624891","שיח נחלים")</f>
        <v>שיח נחלים</v>
      </c>
    </row>
    <row r="3485" spans="1:6" x14ac:dyDescent="0.2">
      <c r="A3485" t="s">
        <v>6757</v>
      </c>
      <c r="B3485" t="s">
        <v>6758</v>
      </c>
      <c r="E3485" t="s">
        <v>168</v>
      </c>
      <c r="F3485" s="5" t="str">
        <f>HYPERLINK("http://www.otzar.org/book.asp?625948","שיח ספונים")</f>
        <v>שיח ספונים</v>
      </c>
    </row>
    <row r="3486" spans="1:6" x14ac:dyDescent="0.2">
      <c r="A3486" t="s">
        <v>6759</v>
      </c>
      <c r="B3486" t="s">
        <v>6760</v>
      </c>
      <c r="C3486" t="s">
        <v>13</v>
      </c>
      <c r="D3486" s="1" t="s">
        <v>659</v>
      </c>
      <c r="E3486" t="s">
        <v>49</v>
      </c>
      <c r="F3486" s="5" t="str">
        <f>HYPERLINK("http://www.otzar.org/book.asp?626142","שיח ערב &lt;חידושי רבי שניאור&gt; - מנחת חינוך")</f>
        <v>שיח ערב &lt;חידושי רבי שניאור&gt; - מנחת חינוך</v>
      </c>
    </row>
    <row r="3487" spans="1:6" x14ac:dyDescent="0.2">
      <c r="A3487" t="s">
        <v>6761</v>
      </c>
      <c r="B3487" t="s">
        <v>1720</v>
      </c>
      <c r="C3487" t="s">
        <v>40</v>
      </c>
      <c r="D3487" s="1" t="s">
        <v>9</v>
      </c>
      <c r="E3487" t="s">
        <v>49</v>
      </c>
      <c r="F3487" s="5" t="str">
        <f>HYPERLINK("http://www.otzar.org/book.asp?631242","שיח ציון")</f>
        <v>שיח ציון</v>
      </c>
    </row>
    <row r="3488" spans="1:6" x14ac:dyDescent="0.2">
      <c r="A3488" t="s">
        <v>6762</v>
      </c>
      <c r="B3488" t="s">
        <v>6763</v>
      </c>
      <c r="C3488" t="s">
        <v>20</v>
      </c>
      <c r="D3488" s="1" t="s">
        <v>52</v>
      </c>
      <c r="E3488" t="s">
        <v>89</v>
      </c>
      <c r="F3488" s="5" t="str">
        <f>HYPERLINK("http://www.otzar.org/book.asp?631119","שיח שלום - פורים")</f>
        <v>שיח שלום - פורים</v>
      </c>
    </row>
    <row r="3489" spans="1:6" x14ac:dyDescent="0.2">
      <c r="A3489" t="s">
        <v>6764</v>
      </c>
      <c r="B3489" t="s">
        <v>5883</v>
      </c>
      <c r="C3489" t="s">
        <v>383</v>
      </c>
      <c r="D3489" s="1" t="s">
        <v>9</v>
      </c>
      <c r="E3489" t="s">
        <v>660</v>
      </c>
      <c r="F3489" s="5" t="str">
        <f>HYPERLINK("http://www.otzar.org/book.asp?626713","שיח שמועות")</f>
        <v>שיח שמועות</v>
      </c>
    </row>
    <row r="3490" spans="1:6" x14ac:dyDescent="0.2">
      <c r="A3490" t="s">
        <v>6765</v>
      </c>
      <c r="B3490" t="s">
        <v>3501</v>
      </c>
      <c r="E3490" t="s">
        <v>49</v>
      </c>
      <c r="F3490" s="5" t="str">
        <f>HYPERLINK("http://www.otzar.org/book.asp?627908","שיחות בנושא שלום בית וחינוך - 2 כר'")</f>
        <v>שיחות בנושא שלום בית וחינוך - 2 כר'</v>
      </c>
    </row>
    <row r="3491" spans="1:6" x14ac:dyDescent="0.2">
      <c r="A3491" t="s">
        <v>6766</v>
      </c>
      <c r="B3491" t="s">
        <v>3501</v>
      </c>
      <c r="E3491" t="s">
        <v>49</v>
      </c>
      <c r="F3491" s="5" t="str">
        <f>HYPERLINK("http://www.otzar.org/book.asp?627911","שיחות בנושאי חינוך - 2 כר'")</f>
        <v>שיחות בנושאי חינוך - 2 כר'</v>
      </c>
    </row>
    <row r="3492" spans="1:6" x14ac:dyDescent="0.2">
      <c r="A3492" t="s">
        <v>6767</v>
      </c>
      <c r="B3492" t="s">
        <v>3573</v>
      </c>
      <c r="C3492" t="s">
        <v>20</v>
      </c>
      <c r="D3492" s="1" t="s">
        <v>9</v>
      </c>
      <c r="E3492" t="s">
        <v>34</v>
      </c>
      <c r="F3492" s="5" t="str">
        <f>HYPERLINK("http://www.otzar.org/book.asp?626765","שיחות הרב צבי יהודה - 2 כר'")</f>
        <v>שיחות הרב צבי יהודה - 2 כר'</v>
      </c>
    </row>
    <row r="3493" spans="1:6" x14ac:dyDescent="0.2">
      <c r="A3493" t="s">
        <v>6768</v>
      </c>
      <c r="B3493" t="s">
        <v>6769</v>
      </c>
      <c r="C3493" t="s">
        <v>6770</v>
      </c>
      <c r="D3493" s="1" t="s">
        <v>1067</v>
      </c>
      <c r="F3493" s="5" t="str">
        <f>HYPERLINK("http://www.otzar.org/book.asp?632004","שיחות תלמידי חכמים - 2 כר'")</f>
        <v>שיחות תלמידי חכמים - 2 כר'</v>
      </c>
    </row>
    <row r="3494" spans="1:6" x14ac:dyDescent="0.2">
      <c r="A3494" t="s">
        <v>6771</v>
      </c>
      <c r="B3494" t="s">
        <v>4716</v>
      </c>
      <c r="C3494" t="s">
        <v>25</v>
      </c>
      <c r="D3494" s="1" t="s">
        <v>9</v>
      </c>
      <c r="E3494" t="s">
        <v>683</v>
      </c>
      <c r="F3494" s="5" t="str">
        <f>HYPERLINK("http://www.otzar.org/book.asp?630349","שיחת קודש לכותבי הדא""ח")</f>
        <v>שיחת קודש לכותבי הדא"ח</v>
      </c>
    </row>
    <row r="3495" spans="1:6" x14ac:dyDescent="0.2">
      <c r="A3495" t="s">
        <v>6772</v>
      </c>
      <c r="B3495" t="s">
        <v>94</v>
      </c>
      <c r="E3495" t="s">
        <v>49</v>
      </c>
      <c r="F3495" s="5" t="str">
        <f>HYPERLINK("http://www.otzar.org/book.asp?626641","שיטות חדישות כן או לא")</f>
        <v>שיטות חדישות כן או לא</v>
      </c>
    </row>
    <row r="3496" spans="1:6" x14ac:dyDescent="0.2">
      <c r="A3496" t="s">
        <v>6773</v>
      </c>
      <c r="B3496" t="s">
        <v>1993</v>
      </c>
      <c r="C3496" t="s">
        <v>2129</v>
      </c>
      <c r="D3496" s="1" t="s">
        <v>9</v>
      </c>
      <c r="E3496" t="s">
        <v>34</v>
      </c>
      <c r="F3496" s="5" t="str">
        <f>HYPERLINK("http://www.otzar.org/book.asp?625400","שיטתו של הרב קוק במחשבת היהדות")</f>
        <v>שיטתו של הרב קוק במחשבת היהדות</v>
      </c>
    </row>
    <row r="3497" spans="1:6" x14ac:dyDescent="0.2">
      <c r="A3497" t="s">
        <v>6774</v>
      </c>
      <c r="B3497" t="s">
        <v>899</v>
      </c>
      <c r="C3497" t="s">
        <v>136</v>
      </c>
      <c r="D3497" s="1" t="s">
        <v>9</v>
      </c>
      <c r="E3497" t="s">
        <v>37</v>
      </c>
      <c r="F3497" s="5" t="str">
        <f>HYPERLINK("http://www.otzar.org/book.asp?630574","שילוח הקן")</f>
        <v>שילוח הקן</v>
      </c>
    </row>
    <row r="3498" spans="1:6" x14ac:dyDescent="0.2">
      <c r="A3498" t="s">
        <v>6775</v>
      </c>
      <c r="B3498" t="s">
        <v>1083</v>
      </c>
      <c r="C3498" t="s">
        <v>136</v>
      </c>
      <c r="D3498" s="1" t="s">
        <v>471</v>
      </c>
      <c r="E3498" t="s">
        <v>242</v>
      </c>
      <c r="F3498" s="5" t="str">
        <f>HYPERLINK("http://www.otzar.org/book.asp?625429","שים שלום - 2 כר'")</f>
        <v>שים שלום - 2 כר'</v>
      </c>
    </row>
    <row r="3499" spans="1:6" x14ac:dyDescent="0.2">
      <c r="A3499" t="s">
        <v>6776</v>
      </c>
      <c r="B3499" t="s">
        <v>6015</v>
      </c>
      <c r="C3499" t="s">
        <v>40</v>
      </c>
      <c r="D3499" s="1" t="s">
        <v>14</v>
      </c>
      <c r="E3499" t="s">
        <v>37</v>
      </c>
      <c r="F3499" s="5" t="str">
        <f>HYPERLINK("http://www.otzar.org/book.asp?623409","שימוש במקררים ומזגנים בשבת")</f>
        <v>שימוש במקררים ומזגנים בשבת</v>
      </c>
    </row>
    <row r="3500" spans="1:6" x14ac:dyDescent="0.2">
      <c r="A3500" t="s">
        <v>6777</v>
      </c>
      <c r="B3500" t="s">
        <v>6778</v>
      </c>
      <c r="C3500" t="s">
        <v>818</v>
      </c>
      <c r="D3500" s="1" t="s">
        <v>64</v>
      </c>
      <c r="E3500" t="s">
        <v>37</v>
      </c>
      <c r="F3500" s="5" t="str">
        <f>HYPERLINK("http://www.otzar.org/book.asp?625758","שימחת אברהם")</f>
        <v>שימחת אברהם</v>
      </c>
    </row>
    <row r="3501" spans="1:6" x14ac:dyDescent="0.2">
      <c r="A3501" t="s">
        <v>6779</v>
      </c>
      <c r="B3501" t="s">
        <v>6780</v>
      </c>
      <c r="C3501" t="s">
        <v>13</v>
      </c>
      <c r="D3501" s="1" t="s">
        <v>14</v>
      </c>
      <c r="E3501" t="s">
        <v>261</v>
      </c>
      <c r="F3501" s="5" t="str">
        <f>HYPERLINK("http://www.otzar.org/book.asp?623256","שינון המדרש")</f>
        <v>שינון המדרש</v>
      </c>
    </row>
    <row r="3502" spans="1:6" x14ac:dyDescent="0.2">
      <c r="A3502" t="s">
        <v>6781</v>
      </c>
      <c r="B3502" t="s">
        <v>4432</v>
      </c>
      <c r="C3502" t="s">
        <v>190</v>
      </c>
      <c r="D3502" s="1" t="s">
        <v>14</v>
      </c>
      <c r="E3502" t="s">
        <v>22</v>
      </c>
      <c r="F3502" s="5" t="str">
        <f>HYPERLINK("http://www.otzar.org/book.asp?630242","שינון עירובין")</f>
        <v>שינון עירובין</v>
      </c>
    </row>
    <row r="3503" spans="1:6" x14ac:dyDescent="0.2">
      <c r="A3503" t="s">
        <v>6782</v>
      </c>
      <c r="B3503" t="s">
        <v>482</v>
      </c>
      <c r="C3503" t="s">
        <v>8</v>
      </c>
      <c r="D3503" s="1" t="s">
        <v>9</v>
      </c>
      <c r="E3503" t="s">
        <v>371</v>
      </c>
      <c r="F3503" s="5" t="str">
        <f>HYPERLINK("http://www.otzar.org/book.asp?625777","שיעור בהיסטוריה מלחמת ששת הימים")</f>
        <v>שיעור בהיסטוריה מלחמת ששת הימים</v>
      </c>
    </row>
    <row r="3504" spans="1:6" x14ac:dyDescent="0.2">
      <c r="A3504" t="s">
        <v>6783</v>
      </c>
      <c r="F3504" s="5" t="str">
        <f>HYPERLINK("http://www.otzar.org/book.asp?630376","שיעור מרן בעל החזון איש וג' שיעורי מרן בעל הקהילות יעקב עמ""ס קידושין")</f>
        <v>שיעור מרן בעל החזון איש וג' שיעורי מרן בעל הקהילות יעקב עמ"ס קידושין</v>
      </c>
    </row>
    <row r="3505" spans="1:6" x14ac:dyDescent="0.2">
      <c r="A3505" t="s">
        <v>6784</v>
      </c>
      <c r="B3505" t="s">
        <v>6785</v>
      </c>
      <c r="C3505" t="s">
        <v>1385</v>
      </c>
      <c r="D3505" s="1" t="s">
        <v>6786</v>
      </c>
      <c r="F3505" s="5" t="str">
        <f>HYPERLINK("http://www.otzar.org/book.asp?630746","שיעורי בד קודש - פסחים")</f>
        <v>שיעורי בד קודש - פסחים</v>
      </c>
    </row>
    <row r="3506" spans="1:6" x14ac:dyDescent="0.2">
      <c r="A3506" t="s">
        <v>6787</v>
      </c>
      <c r="B3506" t="s">
        <v>1272</v>
      </c>
      <c r="C3506" t="s">
        <v>307</v>
      </c>
      <c r="D3506" s="1" t="s">
        <v>9</v>
      </c>
      <c r="E3506" t="s">
        <v>22</v>
      </c>
      <c r="F3506" s="5" t="str">
        <f>HYPERLINK("http://www.otzar.org/book.asp?624898","שיעורי ברכת כהן - בכורות")</f>
        <v>שיעורי ברכת כהן - בכורות</v>
      </c>
    </row>
    <row r="3507" spans="1:6" x14ac:dyDescent="0.2">
      <c r="A3507" t="s">
        <v>6788</v>
      </c>
      <c r="B3507" t="s">
        <v>6789</v>
      </c>
      <c r="C3507" t="s">
        <v>13</v>
      </c>
      <c r="D3507" s="1" t="s">
        <v>213</v>
      </c>
      <c r="E3507" t="s">
        <v>22</v>
      </c>
      <c r="F3507" s="5" t="str">
        <f>HYPERLINK("http://www.otzar.org/book.asp?628810","שיעורי דרך חיים - קידושין ור""פ ידיעות הטומאה")</f>
        <v>שיעורי דרך חיים - קידושין ור"פ ידיעות הטומאה</v>
      </c>
    </row>
    <row r="3508" spans="1:6" x14ac:dyDescent="0.2">
      <c r="A3508" t="s">
        <v>6790</v>
      </c>
      <c r="B3508" t="s">
        <v>6791</v>
      </c>
      <c r="C3508" t="s">
        <v>157</v>
      </c>
      <c r="D3508" s="1" t="s">
        <v>9</v>
      </c>
      <c r="F3508" s="5" t="str">
        <f>HYPERLINK("http://www.otzar.org/book.asp?630766","שיעורי הגדה של פסח")</f>
        <v>שיעורי הגדה של פסח</v>
      </c>
    </row>
    <row r="3509" spans="1:6" x14ac:dyDescent="0.2">
      <c r="A3509" t="s">
        <v>6792</v>
      </c>
      <c r="B3509" t="s">
        <v>4283</v>
      </c>
      <c r="C3509" t="s">
        <v>136</v>
      </c>
      <c r="D3509" s="1" t="s">
        <v>1906</v>
      </c>
      <c r="E3509" t="s">
        <v>22</v>
      </c>
      <c r="F3509" s="5" t="str">
        <f>HYPERLINK("http://www.otzar.org/book.asp?630298","שיעורי הגר""צ דרבקין - 10 כר'")</f>
        <v>שיעורי הגר"צ דרבקין - 10 כר'</v>
      </c>
    </row>
    <row r="3510" spans="1:6" x14ac:dyDescent="0.2">
      <c r="A3510" t="s">
        <v>6793</v>
      </c>
      <c r="B3510" t="s">
        <v>6794</v>
      </c>
      <c r="C3510" t="s">
        <v>20</v>
      </c>
      <c r="E3510" t="s">
        <v>1616</v>
      </c>
      <c r="F3510" s="5" t="str">
        <f>HYPERLINK("http://www.otzar.org/book.asp?622554","שיעורי הגרד""א - גיטין, מכות -שיחות מוסר")</f>
        <v>שיעורי הגרד"א - גיטין, מכות -שיחות מוסר</v>
      </c>
    </row>
    <row r="3511" spans="1:6" x14ac:dyDescent="0.2">
      <c r="A3511" t="s">
        <v>6795</v>
      </c>
      <c r="B3511" t="s">
        <v>6796</v>
      </c>
      <c r="C3511" t="s">
        <v>13</v>
      </c>
      <c r="D3511" s="1" t="s">
        <v>9</v>
      </c>
      <c r="E3511" t="s">
        <v>37</v>
      </c>
      <c r="F3511" s="5" t="str">
        <f>HYPERLINK("http://www.otzar.org/book.asp?627744","שיעורי הפרשה לקראת שבת")</f>
        <v>שיעורי הפרשה לקראת שבת</v>
      </c>
    </row>
    <row r="3512" spans="1:6" x14ac:dyDescent="0.2">
      <c r="A3512" t="s">
        <v>6797</v>
      </c>
      <c r="B3512" t="s">
        <v>6798</v>
      </c>
      <c r="C3512" t="s">
        <v>73</v>
      </c>
      <c r="D3512" s="1" t="s">
        <v>14</v>
      </c>
      <c r="E3512" t="s">
        <v>22</v>
      </c>
      <c r="F3512" s="5" t="str">
        <f>HYPERLINK("http://www.otzar.org/book.asp?632127","שיעורי ישיבה קטנה - מכות")</f>
        <v>שיעורי ישיבה קטנה - מכות</v>
      </c>
    </row>
    <row r="3513" spans="1:6" x14ac:dyDescent="0.2">
      <c r="A3513" t="s">
        <v>6799</v>
      </c>
      <c r="B3513" t="s">
        <v>6800</v>
      </c>
      <c r="C3513" t="s">
        <v>6801</v>
      </c>
      <c r="D3513" s="1" t="s">
        <v>9</v>
      </c>
      <c r="E3513" t="s">
        <v>22</v>
      </c>
      <c r="F3513" s="5" t="str">
        <f>HYPERLINK("http://www.otzar.org/book.asp?625026","שיעורי כתובות")</f>
        <v>שיעורי כתובות</v>
      </c>
    </row>
    <row r="3514" spans="1:6" x14ac:dyDescent="0.2">
      <c r="A3514" t="s">
        <v>6802</v>
      </c>
      <c r="B3514" t="s">
        <v>3683</v>
      </c>
      <c r="C3514" t="s">
        <v>13</v>
      </c>
      <c r="D3514" s="1" t="s">
        <v>9</v>
      </c>
      <c r="E3514" t="s">
        <v>22</v>
      </c>
      <c r="F3514" s="5" t="str">
        <f>HYPERLINK("http://www.otzar.org/book.asp?624883","שיעורי מבשר טוב - גיטין")</f>
        <v>שיעורי מבשר טוב - גיטין</v>
      </c>
    </row>
    <row r="3515" spans="1:6" x14ac:dyDescent="0.2">
      <c r="A3515" t="s">
        <v>6803</v>
      </c>
      <c r="B3515" t="s">
        <v>6804</v>
      </c>
      <c r="C3515" t="s">
        <v>818</v>
      </c>
      <c r="D3515" s="1" t="s">
        <v>14</v>
      </c>
      <c r="E3515" t="s">
        <v>22</v>
      </c>
      <c r="F3515" s="5" t="str">
        <f>HYPERLINK("http://www.otzar.org/book.asp?626281","שיעורי מנוחת אמת - קידושין")</f>
        <v>שיעורי מנוחת אמת - קידושין</v>
      </c>
    </row>
    <row r="3516" spans="1:6" x14ac:dyDescent="0.2">
      <c r="A3516" t="s">
        <v>6805</v>
      </c>
      <c r="B3516" t="s">
        <v>4638</v>
      </c>
      <c r="C3516" t="s">
        <v>606</v>
      </c>
      <c r="D3516" s="1" t="s">
        <v>9</v>
      </c>
      <c r="E3516" t="s">
        <v>22</v>
      </c>
      <c r="F3516" s="5" t="str">
        <f>HYPERLINK("http://www.otzar.org/book.asp?622614","שיעורי נתיב בינה - 3 כר'")</f>
        <v>שיעורי נתיב בינה - 3 כר'</v>
      </c>
    </row>
    <row r="3517" spans="1:6" x14ac:dyDescent="0.2">
      <c r="A3517" t="s">
        <v>6806</v>
      </c>
      <c r="B3517" t="s">
        <v>4654</v>
      </c>
      <c r="E3517" t="s">
        <v>22</v>
      </c>
      <c r="F3517" s="5" t="str">
        <f>HYPERLINK("http://www.otzar.org/book.asp?622607","שיעורי נתיבות אשר - 7 כר'")</f>
        <v>שיעורי נתיבות אשר - 7 כר'</v>
      </c>
    </row>
    <row r="3518" spans="1:6" x14ac:dyDescent="0.2">
      <c r="A3518" t="s">
        <v>6807</v>
      </c>
      <c r="B3518" t="s">
        <v>3482</v>
      </c>
      <c r="C3518" t="s">
        <v>13</v>
      </c>
      <c r="D3518" s="1" t="s">
        <v>9</v>
      </c>
      <c r="E3518" t="s">
        <v>22</v>
      </c>
      <c r="F3518" s="5" t="str">
        <f>HYPERLINK("http://www.otzar.org/book.asp?624850","שיעורי סבי דבי אתונא")</f>
        <v>שיעורי סבי דבי אתונא</v>
      </c>
    </row>
    <row r="3519" spans="1:6" x14ac:dyDescent="0.2">
      <c r="A3519" t="s">
        <v>6808</v>
      </c>
      <c r="B3519" t="s">
        <v>6809</v>
      </c>
      <c r="C3519" t="s">
        <v>13</v>
      </c>
      <c r="D3519" s="1" t="s">
        <v>1906</v>
      </c>
      <c r="E3519" t="s">
        <v>22</v>
      </c>
      <c r="F3519" s="5" t="str">
        <f>HYPERLINK("http://www.otzar.org/book.asp?627033","שיעורי עטרת צבי - 2 כר'")</f>
        <v>שיעורי עטרת צבי - 2 כר'</v>
      </c>
    </row>
    <row r="3520" spans="1:6" x14ac:dyDescent="0.2">
      <c r="A3520" t="s">
        <v>6810</v>
      </c>
      <c r="B3520" t="s">
        <v>1720</v>
      </c>
      <c r="C3520" t="s">
        <v>73</v>
      </c>
      <c r="D3520" s="1" t="s">
        <v>9</v>
      </c>
      <c r="E3520" t="s">
        <v>22</v>
      </c>
      <c r="F3520" s="5" t="str">
        <f>HYPERLINK("http://www.otzar.org/book.asp?631247","שיעורי ציון - 6 כר'")</f>
        <v>שיעורי ציון - 6 כר'</v>
      </c>
    </row>
    <row r="3521" spans="1:6" x14ac:dyDescent="0.2">
      <c r="A3521" t="s">
        <v>6811</v>
      </c>
      <c r="B3521" t="s">
        <v>6812</v>
      </c>
      <c r="C3521" t="s">
        <v>13</v>
      </c>
      <c r="D3521" s="1" t="s">
        <v>14</v>
      </c>
      <c r="F3521" s="5" t="str">
        <f>HYPERLINK("http://www.otzar.org/book.asp?632059","שיעורי ראש הישיבה - בבא בתרא (השותפין)")</f>
        <v>שיעורי ראש הישיבה - בבא בתרא (השותפין)</v>
      </c>
    </row>
    <row r="3522" spans="1:6" x14ac:dyDescent="0.2">
      <c r="A3522" t="s">
        <v>6813</v>
      </c>
      <c r="B3522" t="s">
        <v>6814</v>
      </c>
      <c r="C3522" t="s">
        <v>307</v>
      </c>
      <c r="D3522" s="1" t="s">
        <v>9</v>
      </c>
      <c r="E3522" t="s">
        <v>22</v>
      </c>
      <c r="F3522" s="5" t="str">
        <f>HYPERLINK("http://www.otzar.org/book.asp?629576","שיעורי רבי אליהו ברוך - 7 כר'")</f>
        <v>שיעורי רבי אליהו ברוך - 7 כר'</v>
      </c>
    </row>
    <row r="3523" spans="1:6" x14ac:dyDescent="0.2">
      <c r="A3523" t="s">
        <v>6815</v>
      </c>
      <c r="B3523" t="s">
        <v>6816</v>
      </c>
      <c r="C3523" t="s">
        <v>73</v>
      </c>
      <c r="D3523" s="1" t="s">
        <v>9</v>
      </c>
      <c r="E3523" t="s">
        <v>22</v>
      </c>
      <c r="F3523" s="5" t="str">
        <f>HYPERLINK("http://www.otzar.org/book.asp?629754","שיעורי רבי רפאל - 3 כר'")</f>
        <v>שיעורי רבי רפאל - 3 כר'</v>
      </c>
    </row>
    <row r="3524" spans="1:6" x14ac:dyDescent="0.2">
      <c r="A3524" t="s">
        <v>6817</v>
      </c>
      <c r="B3524" t="s">
        <v>6818</v>
      </c>
      <c r="C3524" t="s">
        <v>13</v>
      </c>
      <c r="D3524" s="1" t="s">
        <v>9</v>
      </c>
      <c r="E3524" t="s">
        <v>22</v>
      </c>
      <c r="F3524" s="5" t="str">
        <f>HYPERLINK("http://www.otzar.org/book.asp?626228","שיעורי רבינו יהושע העשיל - כתובות")</f>
        <v>שיעורי רבינו יהושע העשיל - כתובות</v>
      </c>
    </row>
    <row r="3525" spans="1:6" x14ac:dyDescent="0.2">
      <c r="A3525" t="s">
        <v>6819</v>
      </c>
      <c r="B3525" t="s">
        <v>6820</v>
      </c>
      <c r="C3525" t="s">
        <v>25</v>
      </c>
      <c r="D3525" s="1" t="s">
        <v>9</v>
      </c>
      <c r="E3525" t="s">
        <v>22</v>
      </c>
      <c r="F3525" s="5" t="str">
        <f>HYPERLINK("http://www.otzar.org/book.asp?632818","שיעורי רבנו יחיאל מיכל - יומא ב")</f>
        <v>שיעורי רבנו יחיאל מיכל - יומא ב</v>
      </c>
    </row>
    <row r="3526" spans="1:6" x14ac:dyDescent="0.2">
      <c r="A3526" t="s">
        <v>6821</v>
      </c>
      <c r="B3526" t="s">
        <v>6822</v>
      </c>
      <c r="C3526" t="s">
        <v>190</v>
      </c>
      <c r="D3526" s="1" t="s">
        <v>14</v>
      </c>
      <c r="E3526" t="s">
        <v>37</v>
      </c>
      <c r="F3526" s="5" t="str">
        <f>HYPERLINK("http://www.otzar.org/book.asp?623134","שיעורי שבת")</f>
        <v>שיעורי שבת</v>
      </c>
    </row>
    <row r="3527" spans="1:6" x14ac:dyDescent="0.2">
      <c r="A3527" t="s">
        <v>6823</v>
      </c>
      <c r="B3527" t="s">
        <v>4349</v>
      </c>
      <c r="C3527" t="s">
        <v>40</v>
      </c>
      <c r="D3527" s="1" t="s">
        <v>14</v>
      </c>
      <c r="E3527" t="s">
        <v>37</v>
      </c>
      <c r="F3527" s="5" t="str">
        <f>HYPERLINK("http://www.otzar.org/book.asp?629531","שיעורי שלמי תודה - 2 כר'")</f>
        <v>שיעורי שלמי תודה - 2 כר'</v>
      </c>
    </row>
    <row r="3528" spans="1:6" x14ac:dyDescent="0.2">
      <c r="A3528" t="s">
        <v>6824</v>
      </c>
      <c r="B3528" t="s">
        <v>6825</v>
      </c>
      <c r="C3528" t="s">
        <v>999</v>
      </c>
      <c r="D3528" s="1" t="s">
        <v>9</v>
      </c>
      <c r="E3528" t="s">
        <v>37</v>
      </c>
      <c r="F3528" s="5" t="str">
        <f>HYPERLINK("http://www.otzar.org/book.asp?627747","שיעורים בהלכות כיבוד אב ואם")</f>
        <v>שיעורים בהלכות כיבוד אב ואם</v>
      </c>
    </row>
    <row r="3529" spans="1:6" x14ac:dyDescent="0.2">
      <c r="A3529" t="s">
        <v>6826</v>
      </c>
      <c r="B3529" t="s">
        <v>4406</v>
      </c>
      <c r="C3529" t="s">
        <v>88</v>
      </c>
      <c r="D3529" s="1" t="s">
        <v>14</v>
      </c>
      <c r="E3529" t="s">
        <v>22</v>
      </c>
      <c r="F3529" s="5" t="str">
        <f>HYPERLINK("http://www.otzar.org/book.asp?630447","שיעורים במסכת בבא בתרא")</f>
        <v>שיעורים במסכת בבא בתרא</v>
      </c>
    </row>
    <row r="3530" spans="1:6" x14ac:dyDescent="0.2">
      <c r="A3530" t="s">
        <v>6827</v>
      </c>
      <c r="B3530" t="s">
        <v>4406</v>
      </c>
      <c r="C3530" t="s">
        <v>13</v>
      </c>
      <c r="D3530" s="1" t="s">
        <v>14</v>
      </c>
      <c r="E3530" t="s">
        <v>22</v>
      </c>
      <c r="F3530" s="5" t="str">
        <f>HYPERLINK("http://www.otzar.org/book.asp?630442","שיעורים במסכת בבא קמא")</f>
        <v>שיעורים במסכת בבא קמא</v>
      </c>
    </row>
    <row r="3531" spans="1:6" x14ac:dyDescent="0.2">
      <c r="A3531" t="s">
        <v>6828</v>
      </c>
      <c r="B3531" t="s">
        <v>4406</v>
      </c>
      <c r="C3531" t="s">
        <v>73</v>
      </c>
      <c r="D3531" s="1" t="s">
        <v>14</v>
      </c>
      <c r="E3531" t="s">
        <v>22</v>
      </c>
      <c r="F3531" s="5" t="str">
        <f>HYPERLINK("http://www.otzar.org/book.asp?630441","שיעורים במסכת הוריות")</f>
        <v>שיעורים במסכת הוריות</v>
      </c>
    </row>
    <row r="3532" spans="1:6" x14ac:dyDescent="0.2">
      <c r="A3532" t="s">
        <v>6829</v>
      </c>
      <c r="B3532" t="s">
        <v>4406</v>
      </c>
      <c r="C3532" t="s">
        <v>136</v>
      </c>
      <c r="D3532" s="1" t="s">
        <v>14</v>
      </c>
      <c r="E3532" t="s">
        <v>22</v>
      </c>
      <c r="F3532" s="5" t="str">
        <f>HYPERLINK("http://www.otzar.org/book.asp?630446","שיעורים במסכת סוכה")</f>
        <v>שיעורים במסכת סוכה</v>
      </c>
    </row>
    <row r="3533" spans="1:6" x14ac:dyDescent="0.2">
      <c r="A3533" t="s">
        <v>6830</v>
      </c>
      <c r="B3533" t="s">
        <v>4406</v>
      </c>
      <c r="C3533" t="s">
        <v>73</v>
      </c>
      <c r="D3533" s="1" t="s">
        <v>14</v>
      </c>
      <c r="E3533" t="s">
        <v>22</v>
      </c>
      <c r="F3533" s="5" t="str">
        <f>HYPERLINK("http://www.otzar.org/book.asp?630443","שיעורים במסכת עירובין")</f>
        <v>שיעורים במסכת עירובין</v>
      </c>
    </row>
    <row r="3534" spans="1:6" x14ac:dyDescent="0.2">
      <c r="A3534" t="s">
        <v>6831</v>
      </c>
      <c r="B3534" t="s">
        <v>6832</v>
      </c>
      <c r="C3534" t="s">
        <v>103</v>
      </c>
      <c r="D3534" s="1" t="s">
        <v>114</v>
      </c>
      <c r="E3534" t="s">
        <v>10</v>
      </c>
      <c r="F3534" s="5" t="str">
        <f>HYPERLINK("http://www.otzar.org/book.asp?154397","שיעורים במסכת פאה")</f>
        <v>שיעורים במסכת פאה</v>
      </c>
    </row>
    <row r="3535" spans="1:6" x14ac:dyDescent="0.2">
      <c r="A3535" t="s">
        <v>6833</v>
      </c>
      <c r="B3535" t="s">
        <v>156</v>
      </c>
      <c r="C3535" t="s">
        <v>6834</v>
      </c>
      <c r="D3535" s="1" t="s">
        <v>158</v>
      </c>
      <c r="E3535" t="s">
        <v>17</v>
      </c>
      <c r="F3535" s="5" t="str">
        <f>HYPERLINK("http://www.otzar.org/book.asp?626864","שיעורים בספר סוד ה' ליראיו - 4 כר'")</f>
        <v>שיעורים בספר סוד ה' ליראיו - 4 כר'</v>
      </c>
    </row>
    <row r="3536" spans="1:6" x14ac:dyDescent="0.2">
      <c r="A3536" t="s">
        <v>6835</v>
      </c>
      <c r="B3536" t="s">
        <v>6836</v>
      </c>
      <c r="C3536" t="s">
        <v>818</v>
      </c>
      <c r="D3536" s="1" t="s">
        <v>14</v>
      </c>
      <c r="E3536" t="s">
        <v>22</v>
      </c>
      <c r="F3536" s="5" t="str">
        <f>HYPERLINK("http://www.otzar.org/book.asp?625497","שיעורים בפרק איזהו נשך")</f>
        <v>שיעורים בפרק איזהו נשך</v>
      </c>
    </row>
    <row r="3537" spans="1:6" x14ac:dyDescent="0.2">
      <c r="A3537" t="s">
        <v>6837</v>
      </c>
      <c r="B3537" t="s">
        <v>94</v>
      </c>
      <c r="C3537" t="s">
        <v>20</v>
      </c>
      <c r="D3537" s="1" t="s">
        <v>14</v>
      </c>
      <c r="E3537" t="s">
        <v>22</v>
      </c>
      <c r="F3537" s="5" t="str">
        <f>HYPERLINK("http://www.otzar.org/book.asp?625848","שיעורים בפרק המפקיד")</f>
        <v>שיעורים בפרק המפקיד</v>
      </c>
    </row>
    <row r="3538" spans="1:6" x14ac:dyDescent="0.2">
      <c r="A3538" t="s">
        <v>6838</v>
      </c>
      <c r="B3538" t="s">
        <v>156</v>
      </c>
      <c r="C3538" t="s">
        <v>6839</v>
      </c>
      <c r="D3538" s="1" t="s">
        <v>158</v>
      </c>
      <c r="E3538" t="s">
        <v>17</v>
      </c>
      <c r="F3538" s="5" t="str">
        <f>HYPERLINK("http://www.otzar.org/book.asp?626873","שיעורים והתוועדויות - 14 כר'")</f>
        <v>שיעורים והתוועדויות - 14 כר'</v>
      </c>
    </row>
    <row r="3539" spans="1:6" x14ac:dyDescent="0.2">
      <c r="A3539" t="s">
        <v>6840</v>
      </c>
      <c r="B3539" t="s">
        <v>6841</v>
      </c>
      <c r="C3539" t="s">
        <v>13</v>
      </c>
      <c r="D3539" s="1" t="s">
        <v>52</v>
      </c>
      <c r="E3539" t="s">
        <v>10</v>
      </c>
      <c r="F3539" s="5" t="str">
        <f>HYPERLINK("http://www.otzar.org/book.asp?631383","שיעורים וכתבים, זרעים - 9 כר'")</f>
        <v>שיעורים וכתבים, זרעים - 9 כר'</v>
      </c>
    </row>
    <row r="3540" spans="1:6" x14ac:dyDescent="0.2">
      <c r="A3540" t="s">
        <v>6842</v>
      </c>
      <c r="B3540" t="s">
        <v>6841</v>
      </c>
      <c r="C3540" t="s">
        <v>8</v>
      </c>
      <c r="D3540" s="1" t="s">
        <v>52</v>
      </c>
      <c r="E3540" t="s">
        <v>10</v>
      </c>
      <c r="F3540" s="5" t="str">
        <f>HYPERLINK("http://www.otzar.org/book.asp?631304","שיעורים וכתבים, טהרות - 6 כר'")</f>
        <v>שיעורים וכתבים, טהרות - 6 כר'</v>
      </c>
    </row>
    <row r="3541" spans="1:6" x14ac:dyDescent="0.2">
      <c r="A3541" t="s">
        <v>6843</v>
      </c>
      <c r="B3541" t="s">
        <v>6841</v>
      </c>
      <c r="C3541" t="s">
        <v>8</v>
      </c>
      <c r="D3541" s="1" t="s">
        <v>52</v>
      </c>
      <c r="E3541" t="s">
        <v>37</v>
      </c>
      <c r="F3541" s="5" t="str">
        <f>HYPERLINK("http://www.otzar.org/book.asp?631348","שיעורים וכתבים, ליקוטים - 2 כר'")</f>
        <v>שיעורים וכתבים, ליקוטים - 2 כר'</v>
      </c>
    </row>
    <row r="3542" spans="1:6" x14ac:dyDescent="0.2">
      <c r="A3542" t="s">
        <v>6844</v>
      </c>
      <c r="B3542" t="s">
        <v>6841</v>
      </c>
      <c r="C3542" t="s">
        <v>8</v>
      </c>
      <c r="D3542" s="1" t="s">
        <v>52</v>
      </c>
      <c r="F3542" s="5" t="str">
        <f>HYPERLINK("http://www.otzar.org/book.asp?631621","שיעורים וכתבים, מוסר ואגדה - 19 כר'")</f>
        <v>שיעורים וכתבים, מוסר ואגדה - 19 כר'</v>
      </c>
    </row>
    <row r="3543" spans="1:6" x14ac:dyDescent="0.2">
      <c r="A3543" t="s">
        <v>6845</v>
      </c>
      <c r="B3543" t="s">
        <v>6841</v>
      </c>
      <c r="C3543" t="s">
        <v>8</v>
      </c>
      <c r="D3543" s="1" t="s">
        <v>52</v>
      </c>
      <c r="E3543" t="s">
        <v>22</v>
      </c>
      <c r="F3543" s="5" t="str">
        <f>HYPERLINK("http://www.otzar.org/book.asp?631347","שיעורים וכתבים, מועד - 9 כר'")</f>
        <v>שיעורים וכתבים, מועד - 9 כר'</v>
      </c>
    </row>
    <row r="3544" spans="1:6" x14ac:dyDescent="0.2">
      <c r="A3544" t="s">
        <v>6846</v>
      </c>
      <c r="B3544" t="s">
        <v>6841</v>
      </c>
      <c r="C3544" t="s">
        <v>8</v>
      </c>
      <c r="D3544" s="1" t="s">
        <v>52</v>
      </c>
      <c r="E3544" t="s">
        <v>22</v>
      </c>
      <c r="F3544" s="5" t="str">
        <f>HYPERLINK("http://www.otzar.org/book.asp?631364","שיעורים וכתבים, נזיקין - 8 כר'")</f>
        <v>שיעורים וכתבים, נזיקין - 8 כר'</v>
      </c>
    </row>
    <row r="3545" spans="1:6" x14ac:dyDescent="0.2">
      <c r="A3545" t="s">
        <v>6847</v>
      </c>
      <c r="B3545" t="s">
        <v>6841</v>
      </c>
      <c r="C3545" t="s">
        <v>13</v>
      </c>
      <c r="D3545" s="1" t="s">
        <v>52</v>
      </c>
      <c r="E3545" t="s">
        <v>22</v>
      </c>
      <c r="F3545" s="5" t="str">
        <f>HYPERLINK("http://www.otzar.org/book.asp?631301","שיעורים וכתבים, נשים - 3 כר'")</f>
        <v>שיעורים וכתבים, נשים - 3 כר'</v>
      </c>
    </row>
    <row r="3546" spans="1:6" x14ac:dyDescent="0.2">
      <c r="A3546" t="s">
        <v>6848</v>
      </c>
      <c r="B3546" t="s">
        <v>6841</v>
      </c>
      <c r="C3546" t="s">
        <v>8</v>
      </c>
      <c r="D3546" s="1" t="s">
        <v>52</v>
      </c>
      <c r="E3546" t="s">
        <v>22</v>
      </c>
      <c r="F3546" s="5" t="str">
        <f>HYPERLINK("http://www.otzar.org/book.asp?631294","שיעורים וכתבים, קדשים - 8 כר'")</f>
        <v>שיעורים וכתבים, קדשים - 8 כר'</v>
      </c>
    </row>
    <row r="3547" spans="1:6" x14ac:dyDescent="0.2">
      <c r="A3547" t="s">
        <v>6849</v>
      </c>
      <c r="B3547" t="s">
        <v>6850</v>
      </c>
      <c r="C3547" t="s">
        <v>206</v>
      </c>
      <c r="D3547" s="1" t="s">
        <v>14</v>
      </c>
      <c r="E3547" t="s">
        <v>22</v>
      </c>
      <c r="F3547" s="5" t="str">
        <f>HYPERLINK("http://www.otzar.org/book.asp?629478","שיעורים - ב""ק ארבע אבות")</f>
        <v>שיעורים - ב"ק ארבע אבות</v>
      </c>
    </row>
    <row r="3548" spans="1:6" x14ac:dyDescent="0.2">
      <c r="A3548" t="s">
        <v>6851</v>
      </c>
      <c r="B3548" t="s">
        <v>6852</v>
      </c>
      <c r="C3548" t="s">
        <v>13</v>
      </c>
      <c r="D3548" s="1" t="s">
        <v>1309</v>
      </c>
      <c r="E3548" t="s">
        <v>22</v>
      </c>
      <c r="F3548" s="5" t="str">
        <f>HYPERLINK("http://www.otzar.org/book.asp?627284","שיעורים - 2 כר'")</f>
        <v>שיעורים - 2 כר'</v>
      </c>
    </row>
    <row r="3549" spans="1:6" x14ac:dyDescent="0.2">
      <c r="A3549" t="s">
        <v>6853</v>
      </c>
      <c r="B3549" t="s">
        <v>6854</v>
      </c>
      <c r="C3549" t="s">
        <v>13</v>
      </c>
      <c r="D3549" s="1" t="s">
        <v>21</v>
      </c>
      <c r="E3549" t="s">
        <v>22</v>
      </c>
      <c r="F3549" s="5" t="str">
        <f>HYPERLINK("http://www.otzar.org/book.asp?629848","שיר חדש - עירובין")</f>
        <v>שיר חדש - עירובין</v>
      </c>
    </row>
    <row r="3550" spans="1:6" x14ac:dyDescent="0.2">
      <c r="A3550" t="s">
        <v>6855</v>
      </c>
      <c r="B3550" t="s">
        <v>5221</v>
      </c>
      <c r="C3550" t="s">
        <v>13</v>
      </c>
      <c r="D3550" s="1" t="s">
        <v>14</v>
      </c>
      <c r="E3550" t="s">
        <v>538</v>
      </c>
      <c r="F3550" s="5" t="str">
        <f>HYPERLINK("http://www.otzar.org/book.asp?629532","שיר חנוכת - בית האוצר")</f>
        <v>שיר חנוכת - בית האוצר</v>
      </c>
    </row>
    <row r="3551" spans="1:6" x14ac:dyDescent="0.2">
      <c r="A3551" t="s">
        <v>6856</v>
      </c>
      <c r="B3551" t="s">
        <v>4679</v>
      </c>
      <c r="C3551" t="s">
        <v>13</v>
      </c>
      <c r="D3551" s="1" t="s">
        <v>14</v>
      </c>
      <c r="E3551" t="s">
        <v>89</v>
      </c>
      <c r="F3551" s="5" t="str">
        <f>HYPERLINK("http://www.otzar.org/book.asp?623509","שיר חנוכת")</f>
        <v>שיר חנוכת</v>
      </c>
    </row>
    <row r="3552" spans="1:6" x14ac:dyDescent="0.2">
      <c r="A3552" t="s">
        <v>6857</v>
      </c>
      <c r="B3552" t="s">
        <v>6858</v>
      </c>
      <c r="C3552" t="s">
        <v>8</v>
      </c>
      <c r="D3552" s="1" t="s">
        <v>9</v>
      </c>
      <c r="F3552" s="5" t="str">
        <f>HYPERLINK("http://www.otzar.org/book.asp?624934","שיר ידידות")</f>
        <v>שיר ידידות</v>
      </c>
    </row>
    <row r="3553" spans="1:6" x14ac:dyDescent="0.2">
      <c r="A3553" t="s">
        <v>6859</v>
      </c>
      <c r="B3553" t="s">
        <v>6860</v>
      </c>
      <c r="C3553" t="s">
        <v>386</v>
      </c>
      <c r="D3553" s="1" t="s">
        <v>756</v>
      </c>
      <c r="E3553" t="s">
        <v>214</v>
      </c>
      <c r="F3553" s="5" t="str">
        <f>HYPERLINK("http://www.otzar.org/book.asp?624582","שיר למעלות - ד")</f>
        <v>שיר למעלות - ד</v>
      </c>
    </row>
    <row r="3554" spans="1:6" x14ac:dyDescent="0.2">
      <c r="A3554" t="s">
        <v>6861</v>
      </c>
      <c r="B3554" t="s">
        <v>6862</v>
      </c>
      <c r="D3554" s="1" t="s">
        <v>713</v>
      </c>
      <c r="E3554" t="s">
        <v>2232</v>
      </c>
      <c r="F3554" s="5" t="str">
        <f>HYPERLINK("http://www.otzar.org/book.asp?630853","שירה ארגוה ידי רעיון")</f>
        <v>שירה ארגוה ידי רעיון</v>
      </c>
    </row>
    <row r="3555" spans="1:6" x14ac:dyDescent="0.2">
      <c r="A3555" t="s">
        <v>6863</v>
      </c>
      <c r="B3555" t="s">
        <v>6864</v>
      </c>
      <c r="F3555" s="5" t="str">
        <f>HYPERLINK("http://www.otzar.org/book.asp?630752","שירה חדשה")</f>
        <v>שירה חדשה</v>
      </c>
    </row>
    <row r="3556" spans="1:6" x14ac:dyDescent="0.2">
      <c r="A3556" t="s">
        <v>6865</v>
      </c>
      <c r="B3556" t="s">
        <v>6866</v>
      </c>
      <c r="C3556" t="s">
        <v>133</v>
      </c>
      <c r="D3556" s="1" t="s">
        <v>9</v>
      </c>
      <c r="E3556" t="s">
        <v>295</v>
      </c>
      <c r="F3556" s="5" t="str">
        <f>HYPERLINK("http://www.otzar.org/book.asp?625281","שירי הבקשות לשבת קודש &lt;עם ביאורים&gt;")</f>
        <v>שירי הבקשות לשבת קודש &lt;עם ביאורים&gt;</v>
      </c>
    </row>
    <row r="3557" spans="1:6" x14ac:dyDescent="0.2">
      <c r="A3557" t="s">
        <v>6867</v>
      </c>
      <c r="B3557" t="s">
        <v>6868</v>
      </c>
      <c r="C3557" t="s">
        <v>1002</v>
      </c>
      <c r="D3557" s="1" t="s">
        <v>9</v>
      </c>
      <c r="E3557" t="s">
        <v>295</v>
      </c>
      <c r="F3557" s="5" t="str">
        <f>HYPERLINK("http://www.otzar.org/book.asp?626772","שירי החול לרבי שלמה אבן גבירול &lt;מהדורת ירדן&gt; - 2 כר'")</f>
        <v>שירי החול לרבי שלמה אבן גבירול &lt;מהדורת ירדן&gt; - 2 כר'</v>
      </c>
    </row>
    <row r="3558" spans="1:6" x14ac:dyDescent="0.2">
      <c r="A3558" t="s">
        <v>6869</v>
      </c>
      <c r="B3558" t="s">
        <v>6870</v>
      </c>
      <c r="C3558" t="s">
        <v>73</v>
      </c>
      <c r="D3558" s="1" t="s">
        <v>713</v>
      </c>
      <c r="F3558" s="5" t="str">
        <f>HYPERLINK("http://www.otzar.org/book.asp?630851","שירי החול של רבי אברהם אבן עזרא")</f>
        <v>שירי החול של רבי אברהם אבן עזרא</v>
      </c>
    </row>
    <row r="3559" spans="1:6" x14ac:dyDescent="0.2">
      <c r="A3559" t="s">
        <v>6871</v>
      </c>
      <c r="B3559" t="s">
        <v>6872</v>
      </c>
      <c r="C3559" t="s">
        <v>73</v>
      </c>
      <c r="D3559" s="1" t="s">
        <v>6873</v>
      </c>
      <c r="E3559" t="s">
        <v>654</v>
      </c>
      <c r="F3559" s="5" t="str">
        <f>HYPERLINK("http://www.otzar.org/book.asp?627629","שירי הלוי - מועדים")</f>
        <v>שירי הלוי - מועדים</v>
      </c>
    </row>
    <row r="3560" spans="1:6" x14ac:dyDescent="0.2">
      <c r="A3560" t="s">
        <v>6874</v>
      </c>
      <c r="B3560" t="s">
        <v>4821</v>
      </c>
      <c r="C3560" t="s">
        <v>460</v>
      </c>
      <c r="D3560" s="1" t="s">
        <v>9</v>
      </c>
      <c r="E3560" t="s">
        <v>295</v>
      </c>
      <c r="F3560" s="5" t="str">
        <f>HYPERLINK("http://www.otzar.org/book.asp?626776","שירי הקודש לרבי יהודה הלוי &lt;מהדורת ירדן&gt; - 4 כר'")</f>
        <v>שירי הקודש לרבי יהודה הלוי &lt;מהדורת ירדן&gt; - 4 כר'</v>
      </c>
    </row>
    <row r="3561" spans="1:6" x14ac:dyDescent="0.2">
      <c r="A3561" t="s">
        <v>6875</v>
      </c>
      <c r="B3561" t="s">
        <v>6868</v>
      </c>
      <c r="C3561" t="s">
        <v>812</v>
      </c>
      <c r="D3561" s="1" t="s">
        <v>9</v>
      </c>
      <c r="E3561" t="s">
        <v>295</v>
      </c>
      <c r="F3561" s="5" t="str">
        <f>HYPERLINK("http://www.otzar.org/book.asp?626774","שירי הקודש לרבי שלמה אבן גבירול &lt;מהדורת ירדן&gt; - 2 כר'")</f>
        <v>שירי הקודש לרבי שלמה אבן גבירול &lt;מהדורת ירדן&gt; - 2 כר'</v>
      </c>
    </row>
    <row r="3562" spans="1:6" x14ac:dyDescent="0.2">
      <c r="A3562" t="s">
        <v>6876</v>
      </c>
      <c r="B3562" t="s">
        <v>94</v>
      </c>
      <c r="C3562" t="s">
        <v>136</v>
      </c>
      <c r="D3562" s="1" t="s">
        <v>64</v>
      </c>
      <c r="E3562" t="s">
        <v>295</v>
      </c>
      <c r="F3562" s="5" t="str">
        <f>HYPERLINK("http://www.otzar.org/book.asp?628153","שירים וחיזוקים &lt;מהדורה חדשה&gt;")</f>
        <v>שירים וחיזוקים &lt;מהדורה חדשה&gt;</v>
      </c>
    </row>
    <row r="3563" spans="1:6" x14ac:dyDescent="0.2">
      <c r="A3563" t="s">
        <v>6877</v>
      </c>
      <c r="B3563" t="s">
        <v>6878</v>
      </c>
      <c r="C3563" t="s">
        <v>2023</v>
      </c>
      <c r="D3563" s="1" t="s">
        <v>9</v>
      </c>
      <c r="E3563" t="s">
        <v>295</v>
      </c>
      <c r="F3563" s="5" t="str">
        <f>HYPERLINK("http://www.otzar.org/book.asp?626783","שירים חדשים לרבי אלעזר בן יעקב הבבלי")</f>
        <v>שירים חדשים לרבי אלעזר בן יעקב הבבלי</v>
      </c>
    </row>
    <row r="3564" spans="1:6" x14ac:dyDescent="0.2">
      <c r="A3564" t="s">
        <v>6879</v>
      </c>
      <c r="B3564" t="s">
        <v>6880</v>
      </c>
      <c r="C3564" t="s">
        <v>13</v>
      </c>
      <c r="D3564" s="1" t="s">
        <v>9</v>
      </c>
      <c r="E3564" t="s">
        <v>5397</v>
      </c>
      <c r="F3564" s="5" t="str">
        <f>HYPERLINK("http://www.otzar.org/book.asp?624754","שירת דוד")</f>
        <v>שירת דוד</v>
      </c>
    </row>
    <row r="3565" spans="1:6" x14ac:dyDescent="0.2">
      <c r="A3565" t="s">
        <v>6881</v>
      </c>
      <c r="B3565" t="s">
        <v>6364</v>
      </c>
      <c r="C3565" t="s">
        <v>73</v>
      </c>
      <c r="D3565" s="1" t="s">
        <v>3638</v>
      </c>
      <c r="E3565" t="s">
        <v>37</v>
      </c>
      <c r="F3565" s="5" t="str">
        <f>HYPERLINK("http://www.otzar.org/book.asp?631183","שירת הים - 7 כר'")</f>
        <v>שירת הים - 7 כר'</v>
      </c>
    </row>
    <row r="3566" spans="1:6" x14ac:dyDescent="0.2">
      <c r="A3566" t="s">
        <v>6882</v>
      </c>
      <c r="B3566" t="s">
        <v>276</v>
      </c>
      <c r="C3566" t="s">
        <v>8</v>
      </c>
      <c r="D3566" s="1" t="s">
        <v>52</v>
      </c>
      <c r="E3566" t="s">
        <v>49</v>
      </c>
      <c r="F3566" s="5" t="str">
        <f>HYPERLINK("http://www.otzar.org/book.asp?627649","שירת מרים")</f>
        <v>שירת מרים</v>
      </c>
    </row>
    <row r="3567" spans="1:6" x14ac:dyDescent="0.2">
      <c r="A3567" t="s">
        <v>6883</v>
      </c>
      <c r="B3567" t="s">
        <v>156</v>
      </c>
      <c r="C3567" t="s">
        <v>1385</v>
      </c>
      <c r="D3567" s="1" t="s">
        <v>158</v>
      </c>
      <c r="E3567" t="s">
        <v>683</v>
      </c>
      <c r="F3567" s="5" t="str">
        <f>HYPERLINK("http://www.otzar.org/book.asp?628573","שכינה ביניהם")</f>
        <v>שכינה ביניהם</v>
      </c>
    </row>
    <row r="3568" spans="1:6" x14ac:dyDescent="0.2">
      <c r="A3568" t="s">
        <v>6884</v>
      </c>
      <c r="B3568" t="s">
        <v>6885</v>
      </c>
      <c r="C3568" t="s">
        <v>190</v>
      </c>
      <c r="D3568" s="1" t="s">
        <v>14</v>
      </c>
      <c r="E3568" t="s">
        <v>34</v>
      </c>
      <c r="F3568" s="5" t="str">
        <f>HYPERLINK("http://www.otzar.org/book.asp?627206","שכר ועונש")</f>
        <v>שכר ועונש</v>
      </c>
    </row>
    <row r="3569" spans="1:6" x14ac:dyDescent="0.2">
      <c r="A3569" t="s">
        <v>6886</v>
      </c>
      <c r="B3569" t="s">
        <v>3386</v>
      </c>
      <c r="C3569" t="s">
        <v>1023</v>
      </c>
      <c r="D3569" s="1" t="s">
        <v>1067</v>
      </c>
      <c r="E3569" t="s">
        <v>295</v>
      </c>
      <c r="F3569" s="5" t="str">
        <f>HYPERLINK("http://www.otzar.org/book.asp?623799","שלהבות גנוזות")</f>
        <v>שלהבות גנוזות</v>
      </c>
    </row>
    <row r="3570" spans="1:6" x14ac:dyDescent="0.2">
      <c r="A3570" t="s">
        <v>6887</v>
      </c>
      <c r="B3570" t="s">
        <v>6888</v>
      </c>
      <c r="C3570" t="s">
        <v>397</v>
      </c>
      <c r="E3570" t="s">
        <v>49</v>
      </c>
      <c r="F3570" s="5" t="str">
        <f>HYPERLINK("http://www.otzar.org/book.asp?624876","שלום באהליך")</f>
        <v>שלום באהליך</v>
      </c>
    </row>
    <row r="3571" spans="1:6" x14ac:dyDescent="0.2">
      <c r="A3571" t="s">
        <v>6889</v>
      </c>
      <c r="B3571" t="s">
        <v>84</v>
      </c>
      <c r="C3571" t="s">
        <v>6890</v>
      </c>
      <c r="D3571" s="1" t="s">
        <v>14</v>
      </c>
      <c r="E3571" t="s">
        <v>22</v>
      </c>
      <c r="F3571" s="5" t="str">
        <f>HYPERLINK("http://www.otzar.org/book.asp?626211","שלום בוניך")</f>
        <v>שלום בוניך</v>
      </c>
    </row>
    <row r="3572" spans="1:6" x14ac:dyDescent="0.2">
      <c r="A3572" t="s">
        <v>6891</v>
      </c>
      <c r="B3572" t="s">
        <v>6892</v>
      </c>
      <c r="C3572" t="s">
        <v>307</v>
      </c>
      <c r="E3572" t="s">
        <v>214</v>
      </c>
      <c r="F3572" s="5" t="str">
        <f>HYPERLINK("http://www.otzar.org/book.asp?623611","שלום בניך")</f>
        <v>שלום בניך</v>
      </c>
    </row>
    <row r="3573" spans="1:6" x14ac:dyDescent="0.2">
      <c r="A3573" t="s">
        <v>6893</v>
      </c>
      <c r="B3573" t="s">
        <v>3501</v>
      </c>
      <c r="E3573" t="s">
        <v>49</v>
      </c>
      <c r="F3573" s="5" t="str">
        <f>HYPERLINK("http://www.otzar.org/book.asp?627849","שלום ורעות")</f>
        <v>שלום ורעות</v>
      </c>
    </row>
    <row r="3574" spans="1:6" x14ac:dyDescent="0.2">
      <c r="A3574" t="s">
        <v>6894</v>
      </c>
      <c r="B3574" t="s">
        <v>6895</v>
      </c>
      <c r="C3574" t="s">
        <v>174</v>
      </c>
      <c r="D3574" s="1" t="s">
        <v>120</v>
      </c>
      <c r="E3574" t="s">
        <v>49</v>
      </c>
      <c r="F3574" s="5" t="str">
        <f>HYPERLINK("http://www.otzar.org/book.asp?625882","שלום ירושלים &lt;מהדורה חדשה&gt;")</f>
        <v>שלום ירושלים &lt;מהדורה חדשה&gt;</v>
      </c>
    </row>
    <row r="3575" spans="1:6" x14ac:dyDescent="0.2">
      <c r="A3575" t="s">
        <v>6896</v>
      </c>
      <c r="B3575" t="s">
        <v>6897</v>
      </c>
      <c r="C3575" t="s">
        <v>386</v>
      </c>
      <c r="D3575" s="1" t="s">
        <v>471</v>
      </c>
      <c r="E3575" t="s">
        <v>242</v>
      </c>
      <c r="F3575" s="5" t="str">
        <f>HYPERLINK("http://www.otzar.org/book.asp?625414","שלחן אליהו")</f>
        <v>שלחן אליהו</v>
      </c>
    </row>
    <row r="3576" spans="1:6" x14ac:dyDescent="0.2">
      <c r="A3576" t="s">
        <v>6898</v>
      </c>
      <c r="B3576" t="s">
        <v>6899</v>
      </c>
      <c r="C3576" t="s">
        <v>463</v>
      </c>
      <c r="D3576" s="1" t="s">
        <v>64</v>
      </c>
      <c r="E3576" t="s">
        <v>37</v>
      </c>
      <c r="F3576" s="5" t="str">
        <f>HYPERLINK("http://www.otzar.org/book.asp?628722","שלחן טהור")</f>
        <v>שלחן טהור</v>
      </c>
    </row>
    <row r="3577" spans="1:6" x14ac:dyDescent="0.2">
      <c r="A3577" t="s">
        <v>6900</v>
      </c>
      <c r="B3577" t="s">
        <v>6901</v>
      </c>
      <c r="E3577" t="s">
        <v>199</v>
      </c>
      <c r="F3577" s="5" t="str">
        <f>HYPERLINK("http://www.otzar.org/book.asp?628669","שלחן טהרה - זהב טהור")</f>
        <v>שלחן טהרה - זהב טהור</v>
      </c>
    </row>
    <row r="3578" spans="1:6" x14ac:dyDescent="0.2">
      <c r="A3578" t="s">
        <v>6902</v>
      </c>
      <c r="B3578" t="s">
        <v>6903</v>
      </c>
      <c r="C3578" t="s">
        <v>13</v>
      </c>
      <c r="D3578" s="1" t="s">
        <v>52</v>
      </c>
      <c r="E3578" t="s">
        <v>37</v>
      </c>
      <c r="F3578" s="5" t="str">
        <f>HYPERLINK("http://www.otzar.org/book.asp?629283","שלחן ישראל")</f>
        <v>שלחן ישראל</v>
      </c>
    </row>
    <row r="3579" spans="1:6" x14ac:dyDescent="0.2">
      <c r="A3579" t="s">
        <v>6904</v>
      </c>
      <c r="B3579" t="s">
        <v>4565</v>
      </c>
      <c r="C3579" t="s">
        <v>383</v>
      </c>
      <c r="D3579" s="1" t="s">
        <v>14</v>
      </c>
      <c r="E3579" t="s">
        <v>154</v>
      </c>
      <c r="F3579" s="5" t="str">
        <f>HYPERLINK("http://www.otzar.org/book.asp?625891","שלחן ערוך הרב הל' שבת עם ביאור נימוקי שבת")</f>
        <v>שלחן ערוך הרב הל' שבת עם ביאור נימוקי שבת</v>
      </c>
    </row>
    <row r="3580" spans="1:6" x14ac:dyDescent="0.2">
      <c r="A3580" t="s">
        <v>6905</v>
      </c>
      <c r="B3580" t="s">
        <v>6906</v>
      </c>
      <c r="C3580" t="s">
        <v>20</v>
      </c>
      <c r="D3580" s="1" t="s">
        <v>6907</v>
      </c>
      <c r="E3580" t="s">
        <v>6908</v>
      </c>
      <c r="F3580" s="5" t="str">
        <f>HYPERLINK("http://www.otzar.org/book.asp?631117","שלמי אהבה")</f>
        <v>שלמי אהבה</v>
      </c>
    </row>
    <row r="3581" spans="1:6" x14ac:dyDescent="0.2">
      <c r="A3581" t="s">
        <v>6909</v>
      </c>
      <c r="B3581" t="s">
        <v>6910</v>
      </c>
      <c r="C3581" t="s">
        <v>133</v>
      </c>
      <c r="D3581" s="1" t="s">
        <v>471</v>
      </c>
      <c r="E3581" t="s">
        <v>214</v>
      </c>
      <c r="F3581" s="5" t="str">
        <f>HYPERLINK("http://www.otzar.org/book.asp?628682","שלמי בכורים - ב")</f>
        <v>שלמי בכורים - ב</v>
      </c>
    </row>
    <row r="3582" spans="1:6" x14ac:dyDescent="0.2">
      <c r="A3582" t="s">
        <v>6911</v>
      </c>
      <c r="B3582" t="s">
        <v>6912</v>
      </c>
      <c r="C3582" t="s">
        <v>136</v>
      </c>
      <c r="D3582" s="1" t="s">
        <v>14</v>
      </c>
      <c r="E3582" t="s">
        <v>22</v>
      </c>
      <c r="F3582" s="5" t="str">
        <f>HYPERLINK("http://www.otzar.org/book.asp?623507","שלמי בנימין - 2 כר'")</f>
        <v>שלמי בנימין - 2 כר'</v>
      </c>
    </row>
    <row r="3583" spans="1:6" x14ac:dyDescent="0.2">
      <c r="A3583" t="s">
        <v>6913</v>
      </c>
      <c r="B3583" t="s">
        <v>5949</v>
      </c>
      <c r="C3583" t="s">
        <v>20</v>
      </c>
      <c r="E3583" t="s">
        <v>61</v>
      </c>
      <c r="F3583" s="5" t="str">
        <f>HYPERLINK("http://www.otzar.org/book.asp?622686","שלמי טוהר")</f>
        <v>שלמי טוהר</v>
      </c>
    </row>
    <row r="3584" spans="1:6" x14ac:dyDescent="0.2">
      <c r="A3584" t="s">
        <v>6914</v>
      </c>
      <c r="B3584" t="s">
        <v>6915</v>
      </c>
      <c r="C3584" t="s">
        <v>694</v>
      </c>
      <c r="D3584" s="1" t="s">
        <v>14</v>
      </c>
      <c r="E3584" t="s">
        <v>214</v>
      </c>
      <c r="F3584" s="5" t="str">
        <f>HYPERLINK("http://www.otzar.org/book.asp?626806","שלמי יוסף - 3 כר'")</f>
        <v>שלמי יוסף - 3 כר'</v>
      </c>
    </row>
    <row r="3585" spans="1:6" x14ac:dyDescent="0.2">
      <c r="A3585" t="s">
        <v>6916</v>
      </c>
      <c r="B3585" t="s">
        <v>6917</v>
      </c>
      <c r="C3585" t="s">
        <v>13</v>
      </c>
      <c r="D3585" s="1" t="s">
        <v>9</v>
      </c>
      <c r="E3585" t="s">
        <v>154</v>
      </c>
      <c r="F3585" s="5" t="str">
        <f>HYPERLINK("http://www.otzar.org/book.asp?630017","שלמי יחזקאל - 2 כר'")</f>
        <v>שלמי יחזקאל - 2 כר'</v>
      </c>
    </row>
    <row r="3586" spans="1:6" x14ac:dyDescent="0.2">
      <c r="A3586" t="s">
        <v>6918</v>
      </c>
      <c r="B3586" t="s">
        <v>6919</v>
      </c>
      <c r="C3586" t="s">
        <v>136</v>
      </c>
      <c r="D3586" s="1" t="s">
        <v>14</v>
      </c>
      <c r="E3586" t="s">
        <v>22</v>
      </c>
      <c r="F3586" s="5" t="str">
        <f>HYPERLINK("http://www.otzar.org/book.asp?629534","שלמי מרדכי - 4 כר'")</f>
        <v>שלמי מרדכי - 4 כר'</v>
      </c>
    </row>
    <row r="3587" spans="1:6" x14ac:dyDescent="0.2">
      <c r="A3587" t="s">
        <v>6920</v>
      </c>
      <c r="B3587" t="s">
        <v>6921</v>
      </c>
      <c r="C3587" t="s">
        <v>73</v>
      </c>
      <c r="D3587" s="1" t="s">
        <v>64</v>
      </c>
      <c r="F3587" s="5" t="str">
        <f>HYPERLINK("http://www.otzar.org/book.asp?632011","שלמי תודה - בבא בתרא")</f>
        <v>שלמי תודה - בבא בתרא</v>
      </c>
    </row>
    <row r="3588" spans="1:6" x14ac:dyDescent="0.2">
      <c r="A3588" t="s">
        <v>6922</v>
      </c>
      <c r="B3588" t="s">
        <v>6923</v>
      </c>
      <c r="C3588" t="s">
        <v>2155</v>
      </c>
      <c r="D3588" s="1" t="s">
        <v>144</v>
      </c>
      <c r="F3588" s="5" t="str">
        <f>HYPERLINK("http://www.otzar.org/book.asp?614698","שלש מאות שנה של יהדות פולין")</f>
        <v>שלש מאות שנה של יהדות פולין</v>
      </c>
    </row>
    <row r="3589" spans="1:6" x14ac:dyDescent="0.2">
      <c r="A3589" t="s">
        <v>6924</v>
      </c>
      <c r="B3589" t="s">
        <v>6925</v>
      </c>
      <c r="C3589" t="s">
        <v>6926</v>
      </c>
      <c r="D3589" s="1" t="s">
        <v>1492</v>
      </c>
      <c r="E3589" t="s">
        <v>41</v>
      </c>
      <c r="F3589" s="5" t="str">
        <f>HYPERLINK("http://www.otzar.org/book.asp?626434","שלש תשובות")</f>
        <v>שלש תשובות</v>
      </c>
    </row>
    <row r="3590" spans="1:6" x14ac:dyDescent="0.2">
      <c r="A3590" t="s">
        <v>6927</v>
      </c>
      <c r="B3590" t="s">
        <v>6928</v>
      </c>
      <c r="C3590" t="s">
        <v>2739</v>
      </c>
      <c r="D3590" s="1" t="s">
        <v>5160</v>
      </c>
      <c r="E3590" t="s">
        <v>49</v>
      </c>
      <c r="F3590" s="5" t="str">
        <f>HYPERLINK("http://www.otzar.org/book.asp?625452","שלשה המה נפלאו ממני")</f>
        <v>שלשה המה נפלאו ממני</v>
      </c>
    </row>
    <row r="3591" spans="1:6" x14ac:dyDescent="0.2">
      <c r="A3591" t="s">
        <v>6929</v>
      </c>
      <c r="B3591" t="s">
        <v>156</v>
      </c>
      <c r="C3591" t="s">
        <v>88</v>
      </c>
      <c r="D3591" s="1" t="s">
        <v>158</v>
      </c>
      <c r="E3591" t="s">
        <v>5017</v>
      </c>
      <c r="F3591" s="5" t="str">
        <f>HYPERLINK("http://www.otzar.org/book.asp?628574","שלשה כתרים")</f>
        <v>שלשה כתרים</v>
      </c>
    </row>
    <row r="3592" spans="1:6" x14ac:dyDescent="0.2">
      <c r="A3592" t="s">
        <v>6930</v>
      </c>
      <c r="B3592" t="s">
        <v>6931</v>
      </c>
      <c r="C3592" t="s">
        <v>298</v>
      </c>
      <c r="D3592" s="1" t="s">
        <v>537</v>
      </c>
      <c r="F3592" s="5" t="str">
        <f>HYPERLINK("http://www.otzar.org/book.asp?630394","שלשה מאמרות")</f>
        <v>שלשה מאמרות</v>
      </c>
    </row>
    <row r="3593" spans="1:6" x14ac:dyDescent="0.2">
      <c r="A3593" t="s">
        <v>6932</v>
      </c>
      <c r="B3593" t="s">
        <v>6933</v>
      </c>
      <c r="C3593" t="s">
        <v>454</v>
      </c>
      <c r="D3593" s="1" t="s">
        <v>9</v>
      </c>
      <c r="F3593" s="5" t="str">
        <f>HYPERLINK("http://www.otzar.org/book.asp?630386","שלשה מזמורים חיצוניים ממדבר יהודה")</f>
        <v>שלשה מזמורים חיצוניים ממדבר יהודה</v>
      </c>
    </row>
    <row r="3594" spans="1:6" x14ac:dyDescent="0.2">
      <c r="A3594" t="s">
        <v>6934</v>
      </c>
      <c r="B3594" t="s">
        <v>6935</v>
      </c>
      <c r="C3594" t="s">
        <v>13</v>
      </c>
      <c r="E3594" t="s">
        <v>22</v>
      </c>
      <c r="F3594" s="5" t="str">
        <f>HYPERLINK("http://www.otzar.org/book.asp?626015","שם אבותי - בבא קמא")</f>
        <v>שם אבותי - בבא קמא</v>
      </c>
    </row>
    <row r="3595" spans="1:6" x14ac:dyDescent="0.2">
      <c r="A3595" t="s">
        <v>6936</v>
      </c>
      <c r="B3595" t="s">
        <v>6937</v>
      </c>
      <c r="C3595" t="s">
        <v>5771</v>
      </c>
      <c r="D3595" s="1" t="s">
        <v>48</v>
      </c>
      <c r="E3595" t="s">
        <v>49</v>
      </c>
      <c r="F3595" s="5" t="str">
        <f>HYPERLINK("http://www.otzar.org/book.asp?624805","שם הגדולים החדש")</f>
        <v>שם הגדולים החדש</v>
      </c>
    </row>
    <row r="3596" spans="1:6" x14ac:dyDescent="0.2">
      <c r="A3596" t="s">
        <v>6938</v>
      </c>
      <c r="B3596" t="s">
        <v>6939</v>
      </c>
      <c r="C3596" t="s">
        <v>13</v>
      </c>
      <c r="D3596" s="1" t="s">
        <v>114</v>
      </c>
      <c r="E3596" t="s">
        <v>41</v>
      </c>
      <c r="F3596" s="5" t="str">
        <f>HYPERLINK("http://www.otzar.org/book.asp?628668","שם יוסף &lt;מהדורה חדשה&gt;")</f>
        <v>שם יוסף &lt;מהדורה חדשה&gt;</v>
      </c>
    </row>
    <row r="3597" spans="1:6" x14ac:dyDescent="0.2">
      <c r="A3597" t="s">
        <v>6940</v>
      </c>
      <c r="B3597" t="s">
        <v>543</v>
      </c>
      <c r="C3597" t="s">
        <v>190</v>
      </c>
      <c r="D3597" s="1" t="s">
        <v>14</v>
      </c>
      <c r="E3597" t="s">
        <v>22</v>
      </c>
      <c r="F3597" s="5" t="str">
        <f>HYPERLINK("http://www.otzar.org/book.asp?628045","שם משמעון - גיטין")</f>
        <v>שם משמעון - גיטין</v>
      </c>
    </row>
    <row r="3598" spans="1:6" x14ac:dyDescent="0.2">
      <c r="A3598" t="s">
        <v>6941</v>
      </c>
      <c r="B3598" t="s">
        <v>897</v>
      </c>
      <c r="C3598" t="s">
        <v>133</v>
      </c>
      <c r="D3598" s="1" t="s">
        <v>64</v>
      </c>
      <c r="E3598" t="s">
        <v>214</v>
      </c>
      <c r="F3598" s="5" t="str">
        <f>HYPERLINK("http://www.otzar.org/book.asp?623572","שם משמעון - 2 כר'")</f>
        <v>שם משמעון - 2 כר'</v>
      </c>
    </row>
    <row r="3599" spans="1:6" x14ac:dyDescent="0.2">
      <c r="A3599" t="s">
        <v>6942</v>
      </c>
      <c r="B3599" t="s">
        <v>6943</v>
      </c>
      <c r="C3599" t="s">
        <v>25</v>
      </c>
      <c r="D3599" s="1" t="s">
        <v>14</v>
      </c>
      <c r="E3599" t="s">
        <v>37</v>
      </c>
      <c r="F3599" s="5" t="str">
        <f>HYPERLINK("http://www.otzar.org/book.asp?629538","שמועה טובה - שומע תפילה")</f>
        <v>שמועה טובה - שומע תפילה</v>
      </c>
    </row>
    <row r="3600" spans="1:6" x14ac:dyDescent="0.2">
      <c r="A3600" t="s">
        <v>6944</v>
      </c>
      <c r="B3600" t="s">
        <v>6945</v>
      </c>
      <c r="C3600" t="s">
        <v>8</v>
      </c>
      <c r="D3600" s="1" t="s">
        <v>9</v>
      </c>
      <c r="E3600" t="s">
        <v>22</v>
      </c>
      <c r="F3600" s="5" t="str">
        <f>HYPERLINK("http://www.otzar.org/book.asp?629977","שמועת שמואל - חזקות")</f>
        <v>שמועת שמואל - חזקות</v>
      </c>
    </row>
    <row r="3601" spans="1:6" x14ac:dyDescent="0.2">
      <c r="A3601" t="s">
        <v>6946</v>
      </c>
      <c r="B3601" t="s">
        <v>6947</v>
      </c>
      <c r="C3601" t="s">
        <v>6948</v>
      </c>
      <c r="D3601" s="1" t="s">
        <v>1526</v>
      </c>
      <c r="E3601" t="s">
        <v>17</v>
      </c>
      <c r="F3601" s="5" t="str">
        <f>HYPERLINK("http://www.otzar.org/book.asp?623533","שמות הצדיקים")</f>
        <v>שמות הצדיקים</v>
      </c>
    </row>
    <row r="3602" spans="1:6" x14ac:dyDescent="0.2">
      <c r="A3602" t="s">
        <v>6949</v>
      </c>
      <c r="B3602" t="s">
        <v>2494</v>
      </c>
      <c r="C3602" t="s">
        <v>73</v>
      </c>
      <c r="D3602" s="1" t="s">
        <v>52</v>
      </c>
      <c r="E3602" t="s">
        <v>34</v>
      </c>
      <c r="F3602" s="5" t="str">
        <f>HYPERLINK("http://www.otzar.org/book.asp?625824","שמח תשמח")</f>
        <v>שמח תשמח</v>
      </c>
    </row>
    <row r="3603" spans="1:6" x14ac:dyDescent="0.2">
      <c r="A3603" t="s">
        <v>6950</v>
      </c>
      <c r="B3603" t="s">
        <v>6951</v>
      </c>
      <c r="C3603" t="s">
        <v>13</v>
      </c>
      <c r="D3603" s="1" t="s">
        <v>14</v>
      </c>
      <c r="E3603" t="s">
        <v>375</v>
      </c>
      <c r="F3603" s="5" t="str">
        <f>HYPERLINK("http://www.otzar.org/book.asp?630086","שמחת אבי")</f>
        <v>שמחת אבי</v>
      </c>
    </row>
    <row r="3604" spans="1:6" x14ac:dyDescent="0.2">
      <c r="A3604" t="s">
        <v>6952</v>
      </c>
      <c r="B3604" t="s">
        <v>6953</v>
      </c>
      <c r="C3604" t="s">
        <v>13</v>
      </c>
      <c r="D3604" s="1" t="s">
        <v>1364</v>
      </c>
      <c r="E3604" t="s">
        <v>199</v>
      </c>
      <c r="F3604" s="5" t="str">
        <f>HYPERLINK("http://www.otzar.org/book.asp?627637","שמחת אפרים - א")</f>
        <v>שמחת אפרים - א</v>
      </c>
    </row>
    <row r="3605" spans="1:6" x14ac:dyDescent="0.2">
      <c r="A3605" t="s">
        <v>6954</v>
      </c>
      <c r="B3605" t="s">
        <v>6955</v>
      </c>
      <c r="E3605" t="s">
        <v>168</v>
      </c>
      <c r="F3605" s="5" t="str">
        <f>HYPERLINK("http://www.otzar.org/book.asp?628672","שמחת דן - 2 כר'")</f>
        <v>שמחת דן - 2 כר'</v>
      </c>
    </row>
    <row r="3606" spans="1:6" x14ac:dyDescent="0.2">
      <c r="A3606" t="s">
        <v>6956</v>
      </c>
      <c r="B3606" t="s">
        <v>6957</v>
      </c>
      <c r="C3606" t="s">
        <v>25</v>
      </c>
      <c r="D3606" s="1" t="s">
        <v>3978</v>
      </c>
      <c r="E3606" t="s">
        <v>168</v>
      </c>
      <c r="F3606" s="5" t="str">
        <f>HYPERLINK("http://www.otzar.org/book.asp?631395","שמחת חכמים - קהלת")</f>
        <v>שמחת חכמים - קהלת</v>
      </c>
    </row>
    <row r="3607" spans="1:6" x14ac:dyDescent="0.2">
      <c r="A3607" t="s">
        <v>6958</v>
      </c>
      <c r="B3607" t="s">
        <v>2609</v>
      </c>
      <c r="C3607" t="s">
        <v>6959</v>
      </c>
      <c r="D3607" s="1" t="s">
        <v>3218</v>
      </c>
      <c r="E3607" t="s">
        <v>22</v>
      </c>
      <c r="F3607" s="5" t="str">
        <f>HYPERLINK("http://www.otzar.org/book.asp?624673","שמחת יום טוב")</f>
        <v>שמחת יום טוב</v>
      </c>
    </row>
    <row r="3608" spans="1:6" x14ac:dyDescent="0.2">
      <c r="A3608" t="s">
        <v>6960</v>
      </c>
      <c r="B3608" t="s">
        <v>6370</v>
      </c>
      <c r="C3608" t="s">
        <v>369</v>
      </c>
      <c r="D3608" s="1" t="s">
        <v>120</v>
      </c>
      <c r="E3608" t="s">
        <v>6961</v>
      </c>
      <c r="F3608" s="5" t="str">
        <f>HYPERLINK("http://www.otzar.org/book.asp?626162","שמחת משה - 4 כר'")</f>
        <v>שמחת משה - 4 כר'</v>
      </c>
    </row>
    <row r="3609" spans="1:6" x14ac:dyDescent="0.2">
      <c r="A3609" t="s">
        <v>6962</v>
      </c>
      <c r="B3609" t="s">
        <v>6635</v>
      </c>
      <c r="C3609" t="s">
        <v>20</v>
      </c>
      <c r="D3609" s="1" t="s">
        <v>4965</v>
      </c>
      <c r="E3609" t="s">
        <v>37</v>
      </c>
      <c r="F3609" s="5" t="str">
        <f>HYPERLINK("http://www.otzar.org/book.asp?623724","שמירת עינים כהלכה")</f>
        <v>שמירת עינים כהלכה</v>
      </c>
    </row>
    <row r="3610" spans="1:6" x14ac:dyDescent="0.2">
      <c r="A3610" t="s">
        <v>6963</v>
      </c>
      <c r="B3610" t="s">
        <v>6964</v>
      </c>
      <c r="C3610" t="s">
        <v>13</v>
      </c>
      <c r="D3610" s="1" t="s">
        <v>9</v>
      </c>
      <c r="E3610" t="s">
        <v>22</v>
      </c>
      <c r="F3610" s="5" t="str">
        <f>HYPERLINK("http://www.otzar.org/book.asp?630775","שמן הטוב &lt;מהדורת אהבת שלום&gt;")</f>
        <v>שמן הטוב &lt;מהדורת אהבת שלום&gt;</v>
      </c>
    </row>
    <row r="3611" spans="1:6" x14ac:dyDescent="0.2">
      <c r="A3611" t="s">
        <v>6965</v>
      </c>
      <c r="B3611" t="s">
        <v>6966</v>
      </c>
      <c r="C3611" t="s">
        <v>73</v>
      </c>
      <c r="D3611" s="1" t="s">
        <v>9</v>
      </c>
      <c r="E3611" t="s">
        <v>2449</v>
      </c>
      <c r="F3611" s="5" t="str">
        <f>HYPERLINK("http://www.otzar.org/book.asp?626615","שמן הטוב - 2 כר'")</f>
        <v>שמן הטוב - 2 כר'</v>
      </c>
    </row>
    <row r="3612" spans="1:6" x14ac:dyDescent="0.2">
      <c r="A3612" t="s">
        <v>6967</v>
      </c>
      <c r="B3612" t="s">
        <v>6968</v>
      </c>
      <c r="C3612" t="s">
        <v>25</v>
      </c>
      <c r="D3612" s="1" t="s">
        <v>14</v>
      </c>
      <c r="E3612" t="s">
        <v>49</v>
      </c>
      <c r="F3612" s="5" t="str">
        <f>HYPERLINK("http://www.otzar.org/book.asp?631171","שמן המנחה - 5 כר'")</f>
        <v>שמן המנחה - 5 כר'</v>
      </c>
    </row>
    <row r="3613" spans="1:6" x14ac:dyDescent="0.2">
      <c r="A3613" t="s">
        <v>6969</v>
      </c>
      <c r="B3613" t="s">
        <v>289</v>
      </c>
      <c r="C3613" t="s">
        <v>20</v>
      </c>
      <c r="D3613" s="1" t="s">
        <v>29</v>
      </c>
      <c r="E3613" t="s">
        <v>168</v>
      </c>
      <c r="F3613" s="5" t="str">
        <f>HYPERLINK("http://www.otzar.org/book.asp?626284","שמן ראש - 14 כר'")</f>
        <v>שמן ראש - 14 כר'</v>
      </c>
    </row>
    <row r="3614" spans="1:6" x14ac:dyDescent="0.2">
      <c r="A3614" t="s">
        <v>6970</v>
      </c>
      <c r="B3614" t="s">
        <v>6971</v>
      </c>
      <c r="C3614" t="s">
        <v>13</v>
      </c>
      <c r="D3614" s="1" t="s">
        <v>21</v>
      </c>
      <c r="E3614" t="s">
        <v>22</v>
      </c>
      <c r="F3614" s="5" t="str">
        <f>HYPERLINK("http://www.otzar.org/book.asp?623262","שמן רוקח - ביצה")</f>
        <v>שמן רוקח - ביצה</v>
      </c>
    </row>
    <row r="3615" spans="1:6" x14ac:dyDescent="0.2">
      <c r="A3615" t="s">
        <v>6972</v>
      </c>
      <c r="B3615" t="s">
        <v>6973</v>
      </c>
      <c r="C3615" t="s">
        <v>2973</v>
      </c>
      <c r="D3615" s="1" t="s">
        <v>6974</v>
      </c>
      <c r="E3615" t="s">
        <v>371</v>
      </c>
      <c r="F3615" s="5" t="str">
        <f>HYPERLINK("http://www.otzar.org/book.asp?626072","שמעון בן זומא")</f>
        <v>שמעון בן זומא</v>
      </c>
    </row>
    <row r="3616" spans="1:6" x14ac:dyDescent="0.2">
      <c r="A3616" t="s">
        <v>6975</v>
      </c>
      <c r="B3616" t="s">
        <v>6529</v>
      </c>
      <c r="D3616" s="1" t="s">
        <v>9</v>
      </c>
      <c r="E3616" t="s">
        <v>22</v>
      </c>
      <c r="F3616" s="5" t="str">
        <f>HYPERLINK("http://www.otzar.org/book.asp?622520","שמעתא דשטרות")</f>
        <v>שמעתא דשטרות</v>
      </c>
    </row>
    <row r="3617" spans="1:6" x14ac:dyDescent="0.2">
      <c r="A3617" t="s">
        <v>6976</v>
      </c>
      <c r="B3617" t="s">
        <v>6977</v>
      </c>
      <c r="C3617" t="s">
        <v>8</v>
      </c>
      <c r="D3617" s="1" t="s">
        <v>9</v>
      </c>
      <c r="E3617" t="s">
        <v>214</v>
      </c>
      <c r="F3617" s="5" t="str">
        <f>HYPERLINK("http://www.otzar.org/book.asp?625516","שמעתא עמיקתא - גליונות")</f>
        <v>שמעתא עמיקתא - גליונות</v>
      </c>
    </row>
    <row r="3618" spans="1:6" x14ac:dyDescent="0.2">
      <c r="A3618" t="s">
        <v>6978</v>
      </c>
      <c r="B3618" t="s">
        <v>6979</v>
      </c>
      <c r="C3618" t="s">
        <v>307</v>
      </c>
      <c r="D3618" s="1" t="s">
        <v>21</v>
      </c>
      <c r="E3618" t="s">
        <v>199</v>
      </c>
      <c r="F3618" s="5" t="str">
        <f>HYPERLINK("http://www.otzar.org/book.asp?630037","שמעתתא דהלכתא - בשר בחלב")</f>
        <v>שמעתתא דהלכתא - בשר בחלב</v>
      </c>
    </row>
    <row r="3619" spans="1:6" x14ac:dyDescent="0.2">
      <c r="A3619" t="s">
        <v>6980</v>
      </c>
      <c r="B3619" t="s">
        <v>6981</v>
      </c>
      <c r="C3619" t="s">
        <v>1127</v>
      </c>
      <c r="D3619" s="1" t="s">
        <v>6982</v>
      </c>
      <c r="E3619" t="s">
        <v>37</v>
      </c>
      <c r="F3619" s="5" t="str">
        <f>HYPERLINK("http://www.otzar.org/book.asp?629681","שמעתתא דמוקצה")</f>
        <v>שמעתתא דמוקצה</v>
      </c>
    </row>
    <row r="3620" spans="1:6" x14ac:dyDescent="0.2">
      <c r="A3620" t="s">
        <v>6983</v>
      </c>
      <c r="B3620" t="s">
        <v>2254</v>
      </c>
      <c r="C3620" t="s">
        <v>1127</v>
      </c>
      <c r="D3620" s="1" t="s">
        <v>29</v>
      </c>
      <c r="F3620" s="5" t="str">
        <f>HYPERLINK("http://www.otzar.org/book.asp?630385","שמש צדקה &lt;מהדורה חדשה&gt;")</f>
        <v>שמש צדקה &lt;מהדורה חדשה&gt;</v>
      </c>
    </row>
    <row r="3621" spans="1:6" x14ac:dyDescent="0.2">
      <c r="A3621" t="s">
        <v>6984</v>
      </c>
      <c r="B3621" t="s">
        <v>3281</v>
      </c>
      <c r="C3621" t="s">
        <v>13</v>
      </c>
      <c r="D3621" s="1" t="s">
        <v>14</v>
      </c>
      <c r="E3621" t="s">
        <v>538</v>
      </c>
      <c r="F3621" s="5" t="str">
        <f>HYPERLINK("http://www.otzar.org/book.asp?623801","שני אדנים")</f>
        <v>שני אדנים</v>
      </c>
    </row>
    <row r="3622" spans="1:6" x14ac:dyDescent="0.2">
      <c r="A3622" t="s">
        <v>6985</v>
      </c>
      <c r="B3622" t="s">
        <v>6986</v>
      </c>
      <c r="C3622" t="s">
        <v>2963</v>
      </c>
      <c r="D3622" s="1" t="s">
        <v>537</v>
      </c>
      <c r="E3622" t="s">
        <v>371</v>
      </c>
      <c r="F3622" s="5" t="str">
        <f>HYPERLINK("http://www.otzar.org/book.asp?627384","שנתים")</f>
        <v>שנתים</v>
      </c>
    </row>
    <row r="3623" spans="1:6" x14ac:dyDescent="0.2">
      <c r="A3623" t="s">
        <v>6987</v>
      </c>
      <c r="B3623" t="s">
        <v>6988</v>
      </c>
      <c r="C3623" t="s">
        <v>812</v>
      </c>
      <c r="D3623" s="1" t="s">
        <v>1501</v>
      </c>
      <c r="E3623" t="s">
        <v>22</v>
      </c>
      <c r="F3623" s="5" t="str">
        <f>HYPERLINK("http://www.otzar.org/book.asp?623889","שעורי הגרא""ז - 2 כר'")</f>
        <v>שעורי הגרא"ז - 2 כר'</v>
      </c>
    </row>
    <row r="3624" spans="1:6" x14ac:dyDescent="0.2">
      <c r="A3624" t="s">
        <v>6989</v>
      </c>
      <c r="B3624" t="s">
        <v>6990</v>
      </c>
      <c r="C3624" t="s">
        <v>8</v>
      </c>
      <c r="D3624" s="1" t="s">
        <v>14</v>
      </c>
      <c r="F3624" s="5" t="str">
        <f>HYPERLINK("http://www.otzar.org/book.asp?629223","שעורי הרה""ג ר' ברוך בער לייבאוויץ - ב""ק, ב""מ, חולין")</f>
        <v>שעורי הרה"ג ר' ברוך בער לייבאוויץ - ב"ק, ב"מ, חולין</v>
      </c>
    </row>
    <row r="3625" spans="1:6" x14ac:dyDescent="0.2">
      <c r="A3625" t="s">
        <v>6991</v>
      </c>
      <c r="B3625" t="s">
        <v>6992</v>
      </c>
      <c r="C3625" t="s">
        <v>6993</v>
      </c>
      <c r="D3625" s="1" t="s">
        <v>14</v>
      </c>
      <c r="E3625" t="s">
        <v>22</v>
      </c>
      <c r="F3625" s="5" t="str">
        <f>HYPERLINK("http://www.otzar.org/book.asp?623629","שעורי הרמי""ם - 4 כר'")</f>
        <v>שעורי הרמי"ם - 4 כר'</v>
      </c>
    </row>
    <row r="3626" spans="1:6" x14ac:dyDescent="0.2">
      <c r="A3626" t="s">
        <v>6994</v>
      </c>
      <c r="B3626" t="s">
        <v>5565</v>
      </c>
      <c r="D3626" s="1" t="s">
        <v>14</v>
      </c>
      <c r="E3626" t="s">
        <v>22</v>
      </c>
      <c r="F3626" s="5" t="str">
        <f>HYPERLINK("http://www.otzar.org/book.asp?623646","שעורי מורנו הגר""ש רוזובסקי - 6 כר'")</f>
        <v>שעורי מורנו הגר"ש רוזובסקי - 6 כר'</v>
      </c>
    </row>
    <row r="3627" spans="1:6" x14ac:dyDescent="0.2">
      <c r="A3627" t="s">
        <v>6995</v>
      </c>
      <c r="B3627" t="s">
        <v>6996</v>
      </c>
      <c r="C3627" t="s">
        <v>136</v>
      </c>
      <c r="D3627" s="1" t="s">
        <v>52</v>
      </c>
      <c r="F3627" s="5" t="str">
        <f>HYPERLINK("http://www.otzar.org/book.asp?632063","שעורי רבי צבי יהודה - כתובת")</f>
        <v>שעורי רבי צבי יהודה - כתובת</v>
      </c>
    </row>
    <row r="3628" spans="1:6" x14ac:dyDescent="0.2">
      <c r="A3628" t="s">
        <v>6997</v>
      </c>
      <c r="B3628" t="s">
        <v>6998</v>
      </c>
      <c r="C3628" t="s">
        <v>136</v>
      </c>
      <c r="D3628" s="1" t="s">
        <v>9</v>
      </c>
      <c r="E3628" t="s">
        <v>22</v>
      </c>
      <c r="F3628" s="5" t="str">
        <f>HYPERLINK("http://www.otzar.org/book.asp?627327","שעורי רבנו משולם דוד הלוי - 2 כר'")</f>
        <v>שעורי רבנו משולם דוד הלוי - 2 כר'</v>
      </c>
    </row>
    <row r="3629" spans="1:6" x14ac:dyDescent="0.2">
      <c r="A3629" t="s">
        <v>6999</v>
      </c>
      <c r="B3629" t="s">
        <v>7000</v>
      </c>
      <c r="C3629" t="s">
        <v>334</v>
      </c>
      <c r="D3629" s="1" t="s">
        <v>2138</v>
      </c>
      <c r="E3629" t="s">
        <v>214</v>
      </c>
      <c r="F3629" s="5" t="str">
        <f>HYPERLINK("http://www.otzar.org/book.asp?626364","שעלי דעת - ה")</f>
        <v>שעלי דעת - ה</v>
      </c>
    </row>
    <row r="3630" spans="1:6" x14ac:dyDescent="0.2">
      <c r="A3630" t="s">
        <v>7001</v>
      </c>
      <c r="B3630" t="s">
        <v>7002</v>
      </c>
      <c r="C3630" t="s">
        <v>386</v>
      </c>
      <c r="D3630" s="1" t="s">
        <v>14</v>
      </c>
      <c r="E3630" t="s">
        <v>1334</v>
      </c>
      <c r="F3630" s="5" t="str">
        <f>HYPERLINK("http://www.otzar.org/book.asp?624903","שער הפנימי")</f>
        <v>שער הפנימי</v>
      </c>
    </row>
    <row r="3631" spans="1:6" x14ac:dyDescent="0.2">
      <c r="A3631" t="s">
        <v>7003</v>
      </c>
      <c r="B3631" t="s">
        <v>7004</v>
      </c>
      <c r="C3631" t="s">
        <v>20</v>
      </c>
      <c r="D3631" s="1" t="s">
        <v>64</v>
      </c>
      <c r="E3631" t="s">
        <v>261</v>
      </c>
      <c r="F3631" s="5" t="str">
        <f>HYPERLINK("http://www.otzar.org/book.asp?625964","שער התורה - מדרש תנחומא פרשת נח - יקר מפז")</f>
        <v>שער התורה - מדרש תנחומא פרשת נח - יקר מפז</v>
      </c>
    </row>
    <row r="3632" spans="1:6" x14ac:dyDescent="0.2">
      <c r="A3632" t="s">
        <v>7005</v>
      </c>
      <c r="B3632" t="s">
        <v>156</v>
      </c>
      <c r="C3632" t="s">
        <v>76</v>
      </c>
      <c r="D3632" s="1" t="s">
        <v>158</v>
      </c>
      <c r="E3632" t="s">
        <v>683</v>
      </c>
      <c r="F3632" s="5" t="str">
        <f>HYPERLINK("http://www.otzar.org/book.asp?628575","שערי אהבה ורצון")</f>
        <v>שערי אהבה ורצון</v>
      </c>
    </row>
    <row r="3633" spans="1:6" x14ac:dyDescent="0.2">
      <c r="A3633" t="s">
        <v>7006</v>
      </c>
      <c r="B3633" t="s">
        <v>7007</v>
      </c>
      <c r="C3633" t="s">
        <v>13</v>
      </c>
      <c r="D3633" s="1" t="s">
        <v>9</v>
      </c>
      <c r="E3633" t="s">
        <v>22</v>
      </c>
      <c r="F3633" s="5" t="str">
        <f>HYPERLINK("http://www.otzar.org/book.asp?629890","שערי אורה - בכורות")</f>
        <v>שערי אורה - בכורות</v>
      </c>
    </row>
    <row r="3634" spans="1:6" x14ac:dyDescent="0.2">
      <c r="A3634" t="s">
        <v>7008</v>
      </c>
      <c r="B3634" t="s">
        <v>7009</v>
      </c>
      <c r="C3634" t="s">
        <v>13</v>
      </c>
      <c r="D3634" s="1" t="s">
        <v>9</v>
      </c>
      <c r="E3634" t="s">
        <v>89</v>
      </c>
      <c r="F3634" s="5" t="str">
        <f>HYPERLINK("http://www.otzar.org/book.asp?629129","שערי אושר - חג השבועות")</f>
        <v>שערי אושר - חג השבועות</v>
      </c>
    </row>
    <row r="3635" spans="1:6" x14ac:dyDescent="0.2">
      <c r="A3635" t="s">
        <v>7010</v>
      </c>
      <c r="B3635" t="s">
        <v>7011</v>
      </c>
      <c r="C3635" t="s">
        <v>13</v>
      </c>
      <c r="D3635" s="1" t="s">
        <v>9</v>
      </c>
      <c r="E3635" t="s">
        <v>49</v>
      </c>
      <c r="F3635" s="5" t="str">
        <f>HYPERLINK("http://www.otzar.org/book.asp?629060","שערי בינה &lt;זכרון אהרן&gt;")</f>
        <v>שערי בינה &lt;זכרון אהרן&gt;</v>
      </c>
    </row>
    <row r="3636" spans="1:6" x14ac:dyDescent="0.2">
      <c r="A3636" t="s">
        <v>7012</v>
      </c>
      <c r="B3636" t="s">
        <v>7013</v>
      </c>
      <c r="C3636" t="s">
        <v>307</v>
      </c>
      <c r="D3636" s="1" t="s">
        <v>64</v>
      </c>
      <c r="E3636" t="s">
        <v>1207</v>
      </c>
      <c r="F3636" s="5" t="str">
        <f>HYPERLINK("http://www.otzar.org/book.asp?627216","שערי בינה")</f>
        <v>שערי בינה</v>
      </c>
    </row>
    <row r="3637" spans="1:6" x14ac:dyDescent="0.2">
      <c r="A3637" t="s">
        <v>7014</v>
      </c>
      <c r="B3637" t="s">
        <v>1627</v>
      </c>
      <c r="C3637" t="s">
        <v>8</v>
      </c>
      <c r="D3637" s="1" t="s">
        <v>21</v>
      </c>
      <c r="E3637" t="s">
        <v>37</v>
      </c>
      <c r="F3637" s="5" t="str">
        <f>HYPERLINK("http://www.otzar.org/book.asp?626730","שערי דוד - נדה")</f>
        <v>שערי דוד - נדה</v>
      </c>
    </row>
    <row r="3638" spans="1:6" x14ac:dyDescent="0.2">
      <c r="A3638" t="s">
        <v>7015</v>
      </c>
      <c r="B3638" t="s">
        <v>7016</v>
      </c>
      <c r="C3638" t="s">
        <v>13</v>
      </c>
      <c r="D3638" s="1" t="s">
        <v>9</v>
      </c>
      <c r="E3638" t="s">
        <v>37</v>
      </c>
      <c r="F3638" s="5" t="str">
        <f>HYPERLINK("http://www.otzar.org/book.asp?629639","שערי האמונה - אבלות")</f>
        <v>שערי האמונה - אבלות</v>
      </c>
    </row>
    <row r="3639" spans="1:6" x14ac:dyDescent="0.2">
      <c r="A3639" t="s">
        <v>7017</v>
      </c>
      <c r="B3639" t="s">
        <v>7018</v>
      </c>
      <c r="C3639" t="s">
        <v>20</v>
      </c>
      <c r="D3639" s="1" t="s">
        <v>14</v>
      </c>
      <c r="E3639" t="s">
        <v>22</v>
      </c>
      <c r="F3639" s="5" t="str">
        <f>HYPERLINK("http://www.otzar.org/book.asp?626176","שערי הזבח")</f>
        <v>שערי הזבח</v>
      </c>
    </row>
    <row r="3640" spans="1:6" x14ac:dyDescent="0.2">
      <c r="A3640" t="s">
        <v>7019</v>
      </c>
      <c r="B3640" t="s">
        <v>7020</v>
      </c>
      <c r="C3640" t="s">
        <v>13</v>
      </c>
      <c r="D3640" s="1" t="s">
        <v>21</v>
      </c>
      <c r="E3640" t="s">
        <v>89</v>
      </c>
      <c r="F3640" s="5" t="str">
        <f>HYPERLINK("http://www.otzar.org/book.asp?629822","שערי הזמנים - ראש השנה")</f>
        <v>שערי הזמנים - ראש השנה</v>
      </c>
    </row>
    <row r="3641" spans="1:6" x14ac:dyDescent="0.2">
      <c r="A3641" t="s">
        <v>7021</v>
      </c>
      <c r="B3641" t="s">
        <v>7022</v>
      </c>
      <c r="C3641" t="s">
        <v>8</v>
      </c>
      <c r="D3641" s="1" t="s">
        <v>803</v>
      </c>
      <c r="E3641" t="s">
        <v>37</v>
      </c>
      <c r="F3641" s="5" t="str">
        <f>HYPERLINK("http://www.otzar.org/book.asp?623261","שערי הנישואין")</f>
        <v>שערי הנישואין</v>
      </c>
    </row>
    <row r="3642" spans="1:6" x14ac:dyDescent="0.2">
      <c r="A3642" t="s">
        <v>7023</v>
      </c>
      <c r="B3642" t="s">
        <v>7024</v>
      </c>
      <c r="C3642" t="s">
        <v>20</v>
      </c>
      <c r="D3642" s="1" t="s">
        <v>9</v>
      </c>
      <c r="E3642" t="s">
        <v>168</v>
      </c>
      <c r="F3642" s="5" t="str">
        <f>HYPERLINK("http://www.otzar.org/book.asp?630228","שערי זבול - על התורה")</f>
        <v>שערי זבול - על התורה</v>
      </c>
    </row>
    <row r="3643" spans="1:6" x14ac:dyDescent="0.2">
      <c r="A3643" t="s">
        <v>7025</v>
      </c>
      <c r="B3643" t="s">
        <v>7026</v>
      </c>
      <c r="C3643" t="s">
        <v>20</v>
      </c>
      <c r="D3643" s="1" t="s">
        <v>716</v>
      </c>
      <c r="E3643" t="s">
        <v>22</v>
      </c>
      <c r="F3643" s="5" t="str">
        <f>HYPERLINK("http://www.otzar.org/book.asp?630250","שערי חזקה")</f>
        <v>שערי חזקה</v>
      </c>
    </row>
    <row r="3644" spans="1:6" x14ac:dyDescent="0.2">
      <c r="A3644" t="s">
        <v>7027</v>
      </c>
      <c r="B3644" t="s">
        <v>7028</v>
      </c>
      <c r="C3644" t="s">
        <v>13</v>
      </c>
      <c r="D3644" s="1" t="s">
        <v>1134</v>
      </c>
      <c r="E3644" t="s">
        <v>37</v>
      </c>
      <c r="F3644" s="5" t="str">
        <f>HYPERLINK("http://www.otzar.org/book.asp?630109","שערי חיים - 3 כר'")</f>
        <v>שערי חיים - 3 כר'</v>
      </c>
    </row>
    <row r="3645" spans="1:6" x14ac:dyDescent="0.2">
      <c r="A3645" t="s">
        <v>7029</v>
      </c>
      <c r="B3645" t="s">
        <v>6800</v>
      </c>
      <c r="C3645" t="s">
        <v>136</v>
      </c>
      <c r="D3645" s="1" t="s">
        <v>9</v>
      </c>
      <c r="E3645" t="s">
        <v>22</v>
      </c>
      <c r="F3645" s="5" t="str">
        <f>HYPERLINK("http://www.otzar.org/book.asp?627700","שערי חיים - בבא בתרא")</f>
        <v>שערי חיים - בבא בתרא</v>
      </c>
    </row>
    <row r="3646" spans="1:6" x14ac:dyDescent="0.2">
      <c r="A3646" t="s">
        <v>7030</v>
      </c>
      <c r="B3646" t="s">
        <v>7031</v>
      </c>
      <c r="C3646" t="s">
        <v>20</v>
      </c>
      <c r="D3646" s="1" t="s">
        <v>9</v>
      </c>
      <c r="E3646" t="s">
        <v>154</v>
      </c>
      <c r="F3646" s="5" t="str">
        <f>HYPERLINK("http://www.otzar.org/book.asp?624843","שערי יושר - פורים")</f>
        <v>שערי יושר - פורים</v>
      </c>
    </row>
    <row r="3647" spans="1:6" x14ac:dyDescent="0.2">
      <c r="A3647" t="s">
        <v>7032</v>
      </c>
      <c r="B3647" t="s">
        <v>7033</v>
      </c>
      <c r="C3647" t="s">
        <v>307</v>
      </c>
      <c r="D3647" s="1" t="s">
        <v>14</v>
      </c>
      <c r="E3647" t="s">
        <v>37</v>
      </c>
      <c r="F3647" s="5" t="str">
        <f>HYPERLINK("http://www.otzar.org/book.asp?628814","שערי יצחק - 179 כר'")</f>
        <v>שערי יצחק - 179 כר'</v>
      </c>
    </row>
    <row r="3648" spans="1:6" x14ac:dyDescent="0.2">
      <c r="A3648" t="s">
        <v>7034</v>
      </c>
      <c r="B3648" t="s">
        <v>7035</v>
      </c>
      <c r="C3648" t="s">
        <v>307</v>
      </c>
      <c r="D3648" s="1" t="s">
        <v>64</v>
      </c>
      <c r="E3648" t="s">
        <v>41</v>
      </c>
      <c r="F3648" s="5" t="str">
        <f>HYPERLINK("http://www.otzar.org/book.asp?623726","שערי ישועה")</f>
        <v>שערי ישועה</v>
      </c>
    </row>
    <row r="3649" spans="1:6" x14ac:dyDescent="0.2">
      <c r="A3649" t="s">
        <v>7036</v>
      </c>
      <c r="B3649" t="s">
        <v>364</v>
      </c>
      <c r="C3649" t="s">
        <v>639</v>
      </c>
      <c r="D3649" s="1" t="s">
        <v>1841</v>
      </c>
      <c r="E3649" t="s">
        <v>30</v>
      </c>
      <c r="F3649" s="5" t="str">
        <f>HYPERLINK("http://www.otzar.org/book.asp?627555","שערי ישיבה - 7 כר'")</f>
        <v>שערי ישיבה - 7 כר'</v>
      </c>
    </row>
    <row r="3650" spans="1:6" x14ac:dyDescent="0.2">
      <c r="A3650" t="s">
        <v>7037</v>
      </c>
      <c r="B3650" t="s">
        <v>7038</v>
      </c>
      <c r="C3650" t="s">
        <v>13</v>
      </c>
      <c r="D3650" s="1" t="s">
        <v>14</v>
      </c>
      <c r="F3650" s="5" t="str">
        <f>HYPERLINK("http://www.otzar.org/book.asp?631988","שערי ישר מבואר - 3 כר'")</f>
        <v>שערי ישר מבואר - 3 כר'</v>
      </c>
    </row>
    <row r="3651" spans="1:6" x14ac:dyDescent="0.2">
      <c r="A3651" t="s">
        <v>7039</v>
      </c>
      <c r="B3651" t="s">
        <v>7040</v>
      </c>
      <c r="C3651" t="s">
        <v>13</v>
      </c>
      <c r="D3651" s="1" t="s">
        <v>9</v>
      </c>
      <c r="E3651" t="s">
        <v>89</v>
      </c>
      <c r="F3651" s="5" t="str">
        <f>HYPERLINK("http://www.otzar.org/book.asp?629740","שערי מועד - חנוכה, ט""ו בשבט, פורים - קונטרס עמוד אש וענן")</f>
        <v>שערי מועד - חנוכה, ט"ו בשבט, פורים - קונטרס עמוד אש וענן</v>
      </c>
    </row>
    <row r="3652" spans="1:6" x14ac:dyDescent="0.2">
      <c r="A3652" t="s">
        <v>7041</v>
      </c>
      <c r="B3652" t="s">
        <v>7042</v>
      </c>
      <c r="C3652" t="s">
        <v>386</v>
      </c>
      <c r="D3652" s="1" t="s">
        <v>14</v>
      </c>
      <c r="E3652" t="s">
        <v>34</v>
      </c>
      <c r="F3652" s="5" t="str">
        <f>HYPERLINK("http://www.otzar.org/book.asp?627827","שערי משה - ב")</f>
        <v>שערי משה - ב</v>
      </c>
    </row>
    <row r="3653" spans="1:6" x14ac:dyDescent="0.2">
      <c r="A3653" t="s">
        <v>7043</v>
      </c>
      <c r="B3653" t="s">
        <v>7044</v>
      </c>
      <c r="C3653" t="s">
        <v>13</v>
      </c>
      <c r="D3653" s="1" t="s">
        <v>14</v>
      </c>
      <c r="E3653" t="s">
        <v>37</v>
      </c>
      <c r="F3653" s="5" t="str">
        <f>HYPERLINK("http://www.otzar.org/book.asp?628760","שערי נדה")</f>
        <v>שערי נדה</v>
      </c>
    </row>
    <row r="3654" spans="1:6" x14ac:dyDescent="0.2">
      <c r="A3654" t="s">
        <v>7045</v>
      </c>
      <c r="B3654" t="s">
        <v>7046</v>
      </c>
      <c r="C3654" t="s">
        <v>13</v>
      </c>
      <c r="D3654" s="1" t="s">
        <v>14</v>
      </c>
      <c r="E3654" t="s">
        <v>22</v>
      </c>
      <c r="F3654" s="5" t="str">
        <f>HYPERLINK("http://www.otzar.org/book.asp?627167","שערי ערכין &lt;מהד""ב&gt;")</f>
        <v>שערי ערכין &lt;מהד"ב&gt;</v>
      </c>
    </row>
    <row r="3655" spans="1:6" x14ac:dyDescent="0.2">
      <c r="A3655" t="s">
        <v>7047</v>
      </c>
      <c r="B3655" t="s">
        <v>1284</v>
      </c>
      <c r="C3655" t="s">
        <v>8</v>
      </c>
      <c r="D3655" s="1" t="s">
        <v>14</v>
      </c>
      <c r="E3655" t="s">
        <v>22</v>
      </c>
      <c r="F3655" s="5" t="str">
        <f>HYPERLINK("http://www.otzar.org/book.asp?629793","שערי צדק - חצר, דעת בקניינים")</f>
        <v>שערי צדק - חצר, דעת בקניינים</v>
      </c>
    </row>
    <row r="3656" spans="1:6" x14ac:dyDescent="0.2">
      <c r="A3656" t="s">
        <v>7048</v>
      </c>
      <c r="B3656" t="s">
        <v>7049</v>
      </c>
      <c r="C3656" t="s">
        <v>397</v>
      </c>
      <c r="D3656" s="1" t="s">
        <v>7050</v>
      </c>
      <c r="E3656" t="s">
        <v>214</v>
      </c>
      <c r="F3656" s="5" t="str">
        <f>HYPERLINK("http://www.otzar.org/book.asp?631167","שערי צדק - 9 כר'")</f>
        <v>שערי צדק - 9 כר'</v>
      </c>
    </row>
    <row r="3657" spans="1:6" x14ac:dyDescent="0.2">
      <c r="A3657" t="s">
        <v>7051</v>
      </c>
      <c r="B3657" t="s">
        <v>3703</v>
      </c>
      <c r="C3657" t="s">
        <v>190</v>
      </c>
      <c r="D3657" s="1" t="s">
        <v>9</v>
      </c>
      <c r="E3657" t="s">
        <v>154</v>
      </c>
      <c r="F3657" s="5" t="str">
        <f>HYPERLINK("http://www.otzar.org/book.asp?623402","שערי ציון - 2 כר'")</f>
        <v>שערי ציון - 2 כר'</v>
      </c>
    </row>
    <row r="3658" spans="1:6" x14ac:dyDescent="0.2">
      <c r="A3658" t="s">
        <v>7052</v>
      </c>
      <c r="B3658" t="s">
        <v>7053</v>
      </c>
      <c r="C3658" t="s">
        <v>123</v>
      </c>
      <c r="D3658" s="1" t="s">
        <v>64</v>
      </c>
      <c r="E3658" t="s">
        <v>214</v>
      </c>
      <c r="F3658" s="5" t="str">
        <f>HYPERLINK("http://www.otzar.org/book.asp?626582","שערי ציון - אדר תשל""ח")</f>
        <v>שערי ציון - אדר תשל"ח</v>
      </c>
    </row>
    <row r="3659" spans="1:6" x14ac:dyDescent="0.2">
      <c r="A3659" t="s">
        <v>7054</v>
      </c>
      <c r="B3659" t="s">
        <v>7055</v>
      </c>
      <c r="C3659" t="s">
        <v>8</v>
      </c>
      <c r="D3659" s="1" t="s">
        <v>14</v>
      </c>
      <c r="E3659" t="s">
        <v>22</v>
      </c>
      <c r="F3659" s="5" t="str">
        <f>HYPERLINK("http://www.otzar.org/book.asp?629299","שערי קדשים")</f>
        <v>שערי קדשים</v>
      </c>
    </row>
    <row r="3660" spans="1:6" x14ac:dyDescent="0.2">
      <c r="A3660" t="s">
        <v>7056</v>
      </c>
      <c r="B3660" t="s">
        <v>7057</v>
      </c>
      <c r="C3660" t="s">
        <v>13</v>
      </c>
      <c r="D3660" s="1" t="s">
        <v>14</v>
      </c>
      <c r="E3660" t="s">
        <v>154</v>
      </c>
      <c r="F3660" s="5" t="str">
        <f>HYPERLINK("http://www.otzar.org/book.asp?624878","שערי שבת")</f>
        <v>שערי שבת</v>
      </c>
    </row>
    <row r="3661" spans="1:6" x14ac:dyDescent="0.2">
      <c r="A3661" t="s">
        <v>7058</v>
      </c>
      <c r="B3661" t="s">
        <v>7059</v>
      </c>
      <c r="C3661" t="s">
        <v>13</v>
      </c>
      <c r="D3661" s="1" t="s">
        <v>2058</v>
      </c>
      <c r="F3661" s="5" t="str">
        <f>HYPERLINK("http://www.otzar.org/book.asp?626998","שערי תורת הבית - ב")</f>
        <v>שערי תורת הבית - ב</v>
      </c>
    </row>
    <row r="3662" spans="1:6" x14ac:dyDescent="0.2">
      <c r="A3662" t="s">
        <v>7060</v>
      </c>
      <c r="B3662" t="s">
        <v>7061</v>
      </c>
      <c r="C3662" t="s">
        <v>190</v>
      </c>
      <c r="D3662" s="1" t="s">
        <v>14</v>
      </c>
      <c r="E3662" t="s">
        <v>34</v>
      </c>
      <c r="F3662" s="5" t="str">
        <f>HYPERLINK("http://www.otzar.org/book.asp?630188","שערי תשובה &lt;פתחי תשובה&gt;")</f>
        <v>שערי תשובה &lt;פתחי תשובה&gt;</v>
      </c>
    </row>
    <row r="3663" spans="1:6" x14ac:dyDescent="0.2">
      <c r="A3663" t="s">
        <v>7062</v>
      </c>
      <c r="B3663" t="s">
        <v>7063</v>
      </c>
      <c r="C3663" t="s">
        <v>460</v>
      </c>
      <c r="D3663" s="1" t="s">
        <v>9</v>
      </c>
      <c r="E3663" t="s">
        <v>34</v>
      </c>
      <c r="F3663" s="5" t="str">
        <f>HYPERLINK("http://www.otzar.org/book.asp?625370","שערי תשובה &lt;דרך תשובה&gt;")</f>
        <v>שערי תשובה &lt;דרך תשובה&gt;</v>
      </c>
    </row>
    <row r="3664" spans="1:6" x14ac:dyDescent="0.2">
      <c r="A3664" t="s">
        <v>7064</v>
      </c>
      <c r="B3664" t="s">
        <v>7065</v>
      </c>
      <c r="C3664" t="s">
        <v>13</v>
      </c>
      <c r="D3664" s="1" t="s">
        <v>21</v>
      </c>
      <c r="E3664" t="s">
        <v>34</v>
      </c>
      <c r="F3664" s="5" t="str">
        <f>HYPERLINK("http://www.otzar.org/book.asp?629539","שערי תשובה המפורש והמבואר - שער ב חלק א")</f>
        <v>שערי תשובה המפורש והמבואר - שער ב חלק א</v>
      </c>
    </row>
    <row r="3665" spans="1:6" x14ac:dyDescent="0.2">
      <c r="A3665" t="s">
        <v>7066</v>
      </c>
      <c r="B3665" t="s">
        <v>7067</v>
      </c>
      <c r="C3665" t="s">
        <v>25</v>
      </c>
      <c r="D3665" s="1" t="s">
        <v>21</v>
      </c>
      <c r="E3665" t="s">
        <v>34</v>
      </c>
      <c r="F3665" s="5" t="str">
        <f>HYPERLINK("http://www.otzar.org/book.asp?630626","שערים בעבודה")</f>
        <v>שערים בעבודה</v>
      </c>
    </row>
    <row r="3666" spans="1:6" x14ac:dyDescent="0.2">
      <c r="A3666" t="s">
        <v>7068</v>
      </c>
      <c r="B3666" t="s">
        <v>802</v>
      </c>
      <c r="C3666" t="s">
        <v>20</v>
      </c>
      <c r="D3666" s="1" t="s">
        <v>803</v>
      </c>
      <c r="E3666" t="s">
        <v>108</v>
      </c>
      <c r="F3666" s="5" t="str">
        <f>HYPERLINK("http://www.otzar.org/book.asp?627301","שערים בצניעות")</f>
        <v>שערים בצניעות</v>
      </c>
    </row>
    <row r="3667" spans="1:6" x14ac:dyDescent="0.2">
      <c r="A3667" t="s">
        <v>7069</v>
      </c>
      <c r="B3667" t="s">
        <v>7070</v>
      </c>
      <c r="C3667" t="s">
        <v>386</v>
      </c>
      <c r="D3667" s="1" t="s">
        <v>9</v>
      </c>
      <c r="E3667" t="s">
        <v>168</v>
      </c>
      <c r="F3667" s="5" t="str">
        <f>HYPERLINK("http://www.otzar.org/book.asp?623279","שעשועי לשון - בראשית")</f>
        <v>שעשועי לשון - בראשית</v>
      </c>
    </row>
    <row r="3668" spans="1:6" x14ac:dyDescent="0.2">
      <c r="A3668" t="s">
        <v>7071</v>
      </c>
      <c r="B3668" t="s">
        <v>7072</v>
      </c>
      <c r="C3668" t="s">
        <v>190</v>
      </c>
      <c r="D3668" s="1" t="s">
        <v>1088</v>
      </c>
      <c r="E3668" t="s">
        <v>22</v>
      </c>
      <c r="F3668" s="5" t="str">
        <f>HYPERLINK("http://www.otzar.org/book.asp?626788","שעשועי תורה - 2 כר'")</f>
        <v>שעשועי תורה - 2 כר'</v>
      </c>
    </row>
    <row r="3669" spans="1:6" x14ac:dyDescent="0.2">
      <c r="A3669" t="s">
        <v>7073</v>
      </c>
      <c r="B3669" t="s">
        <v>156</v>
      </c>
      <c r="C3669" t="s">
        <v>136</v>
      </c>
      <c r="D3669" s="1" t="s">
        <v>158</v>
      </c>
      <c r="E3669" t="s">
        <v>168</v>
      </c>
      <c r="F3669" s="5" t="str">
        <f>HYPERLINK("http://www.otzar.org/book.asp?626903","שעשועים יום יום - 3 כר'")</f>
        <v>שעשועים יום יום - 3 כר'</v>
      </c>
    </row>
    <row r="3670" spans="1:6" x14ac:dyDescent="0.2">
      <c r="A3670" t="s">
        <v>7074</v>
      </c>
      <c r="B3670" t="s">
        <v>3087</v>
      </c>
      <c r="C3670" t="s">
        <v>3088</v>
      </c>
      <c r="D3670" s="1" t="s">
        <v>3089</v>
      </c>
      <c r="F3670" s="5" t="str">
        <f>HYPERLINK("http://www.otzar.org/book.asp?627351","שפה ברורה")</f>
        <v>שפה ברורה</v>
      </c>
    </row>
    <row r="3671" spans="1:6" x14ac:dyDescent="0.2">
      <c r="A3671" t="s">
        <v>7074</v>
      </c>
      <c r="B3671" t="s">
        <v>7075</v>
      </c>
      <c r="E3671" t="s">
        <v>49</v>
      </c>
      <c r="F3671" s="5" t="str">
        <f>HYPERLINK("http://www.otzar.org/book.asp?623979","שפה ברורה")</f>
        <v>שפה ברורה</v>
      </c>
    </row>
    <row r="3672" spans="1:6" x14ac:dyDescent="0.2">
      <c r="A3672" t="s">
        <v>7076</v>
      </c>
      <c r="B3672" t="s">
        <v>7077</v>
      </c>
      <c r="C3672" t="s">
        <v>255</v>
      </c>
      <c r="D3672" s="1" t="s">
        <v>9</v>
      </c>
      <c r="E3672" t="s">
        <v>295</v>
      </c>
      <c r="F3672" s="5" t="str">
        <f>HYPERLINK("http://www.otzar.org/book.asp?626784","שפוני שירה")</f>
        <v>שפוני שירה</v>
      </c>
    </row>
    <row r="3673" spans="1:6" x14ac:dyDescent="0.2">
      <c r="A3673" t="s">
        <v>7078</v>
      </c>
      <c r="B3673" t="s">
        <v>2790</v>
      </c>
      <c r="C3673" t="s">
        <v>73</v>
      </c>
      <c r="D3673" s="1" t="s">
        <v>52</v>
      </c>
      <c r="E3673" t="s">
        <v>89</v>
      </c>
      <c r="F3673" s="5" t="str">
        <f>HYPERLINK("http://www.otzar.org/book.asp?626747","שפע רב")</f>
        <v>שפע רב</v>
      </c>
    </row>
    <row r="3674" spans="1:6" x14ac:dyDescent="0.2">
      <c r="A3674" t="s">
        <v>7079</v>
      </c>
      <c r="B3674" t="s">
        <v>7080</v>
      </c>
      <c r="C3674" t="s">
        <v>1127</v>
      </c>
      <c r="D3674" s="1" t="s">
        <v>471</v>
      </c>
      <c r="E3674" t="s">
        <v>371</v>
      </c>
      <c r="F3674" s="5" t="str">
        <f>HYPERLINK("http://www.otzar.org/book.asp?626256","שפריר מצרים")</f>
        <v>שפריר מצרים</v>
      </c>
    </row>
    <row r="3675" spans="1:6" x14ac:dyDescent="0.2">
      <c r="A3675" t="s">
        <v>7081</v>
      </c>
      <c r="B3675" t="s">
        <v>7082</v>
      </c>
      <c r="C3675" t="s">
        <v>13</v>
      </c>
      <c r="D3675" s="1" t="s">
        <v>9</v>
      </c>
      <c r="E3675" t="s">
        <v>836</v>
      </c>
      <c r="F3675" s="5" t="str">
        <f>HYPERLINK("http://www.otzar.org/book.asp?627924","שפת אמת - ירח האיתנים")</f>
        <v>שפת אמת - ירח האיתנים</v>
      </c>
    </row>
    <row r="3676" spans="1:6" x14ac:dyDescent="0.2">
      <c r="A3676" t="s">
        <v>7083</v>
      </c>
      <c r="B3676" t="s">
        <v>972</v>
      </c>
      <c r="C3676" t="s">
        <v>20</v>
      </c>
      <c r="D3676" s="1" t="s">
        <v>14</v>
      </c>
      <c r="E3676" t="s">
        <v>154</v>
      </c>
      <c r="F3676" s="5" t="str">
        <f>HYPERLINK("http://www.otzar.org/book.asp?622729","שפת השלחן - פסח יום טוב")</f>
        <v>שפת השלחן - פסח יום טוב</v>
      </c>
    </row>
    <row r="3677" spans="1:6" x14ac:dyDescent="0.2">
      <c r="A3677" t="s">
        <v>7084</v>
      </c>
      <c r="B3677" t="s">
        <v>7085</v>
      </c>
      <c r="C3677" t="s">
        <v>13</v>
      </c>
      <c r="D3677" s="1" t="s">
        <v>9</v>
      </c>
      <c r="E3677" t="s">
        <v>538</v>
      </c>
      <c r="F3677" s="5" t="str">
        <f>HYPERLINK("http://www.otzar.org/book.asp?627926","שפת חיים - 3 כר'")</f>
        <v>שפת חיים - 3 כר'</v>
      </c>
    </row>
    <row r="3678" spans="1:6" x14ac:dyDescent="0.2">
      <c r="A3678" t="s">
        <v>7086</v>
      </c>
      <c r="B3678" t="s">
        <v>7087</v>
      </c>
      <c r="C3678" t="s">
        <v>307</v>
      </c>
      <c r="E3678" t="s">
        <v>22</v>
      </c>
      <c r="F3678" s="5" t="str">
        <f>HYPERLINK("http://www.otzar.org/book.asp?629475","שפת שלום - 4 כר'")</f>
        <v>שפת שלום - 4 כר'</v>
      </c>
    </row>
    <row r="3679" spans="1:6" x14ac:dyDescent="0.2">
      <c r="A3679" t="s">
        <v>7088</v>
      </c>
      <c r="B3679" t="s">
        <v>7089</v>
      </c>
      <c r="C3679" t="s">
        <v>13</v>
      </c>
      <c r="D3679" s="1" t="s">
        <v>1364</v>
      </c>
      <c r="E3679" t="s">
        <v>683</v>
      </c>
      <c r="F3679" s="5" t="str">
        <f>HYPERLINK("http://www.otzar.org/book.asp?627640","שפתי אהרן - 2 כר'")</f>
        <v>שפתי אהרן - 2 כר'</v>
      </c>
    </row>
    <row r="3680" spans="1:6" x14ac:dyDescent="0.2">
      <c r="A3680" t="s">
        <v>7090</v>
      </c>
      <c r="B3680" t="s">
        <v>7091</v>
      </c>
      <c r="C3680" t="s">
        <v>13</v>
      </c>
      <c r="D3680" s="1" t="s">
        <v>14</v>
      </c>
      <c r="E3680" t="s">
        <v>168</v>
      </c>
      <c r="F3680" s="5" t="str">
        <f>HYPERLINK("http://www.otzar.org/book.asp?627024","שפתי חיים &lt;על התורה&gt; - ה (דברים)")</f>
        <v>שפתי חיים &lt;על התורה&gt; - ה (דברים)</v>
      </c>
    </row>
    <row r="3681" spans="1:6" x14ac:dyDescent="0.2">
      <c r="A3681" t="s">
        <v>7092</v>
      </c>
      <c r="B3681" t="s">
        <v>7093</v>
      </c>
      <c r="C3681" t="s">
        <v>13</v>
      </c>
      <c r="D3681" s="1" t="s">
        <v>1341</v>
      </c>
      <c r="E3681" t="s">
        <v>22</v>
      </c>
      <c r="F3681" s="5" t="str">
        <f>HYPERLINK("http://www.otzar.org/book.asp?628231","שפתי יצחק - 2 כר'")</f>
        <v>שפתי יצחק - 2 כר'</v>
      </c>
    </row>
    <row r="3682" spans="1:6" x14ac:dyDescent="0.2">
      <c r="A3682" t="s">
        <v>7094</v>
      </c>
      <c r="B3682" t="s">
        <v>7095</v>
      </c>
      <c r="C3682" t="s">
        <v>264</v>
      </c>
      <c r="D3682" s="1" t="s">
        <v>29</v>
      </c>
      <c r="E3682" t="s">
        <v>214</v>
      </c>
      <c r="F3682" s="5" t="str">
        <f>HYPERLINK("http://www.otzar.org/book.asp?624545","שפתי ישנים - ב")</f>
        <v>שפתי ישנים - ב</v>
      </c>
    </row>
    <row r="3683" spans="1:6" x14ac:dyDescent="0.2">
      <c r="A3683" t="s">
        <v>7096</v>
      </c>
      <c r="B3683" t="s">
        <v>7097</v>
      </c>
      <c r="C3683" t="s">
        <v>411</v>
      </c>
      <c r="D3683" s="1" t="s">
        <v>7098</v>
      </c>
      <c r="E3683" t="s">
        <v>214</v>
      </c>
      <c r="F3683" s="5" t="str">
        <f>HYPERLINK("http://www.otzar.org/book.asp?629226","שפתי ישעיהו - הסיעוד בראי היהדות")</f>
        <v>שפתי ישעיהו - הסיעוד בראי היהדות</v>
      </c>
    </row>
    <row r="3684" spans="1:6" x14ac:dyDescent="0.2">
      <c r="A3684" t="s">
        <v>7099</v>
      </c>
      <c r="B3684" t="s">
        <v>7100</v>
      </c>
      <c r="C3684" t="s">
        <v>13</v>
      </c>
      <c r="D3684" s="1" t="s">
        <v>14</v>
      </c>
      <c r="E3684" t="s">
        <v>2547</v>
      </c>
      <c r="F3684" s="5" t="str">
        <f>HYPERLINK("http://www.otzar.org/book.asp?627587","שפתי צדיק")</f>
        <v>שפתי צדיק</v>
      </c>
    </row>
    <row r="3685" spans="1:6" x14ac:dyDescent="0.2">
      <c r="A3685" t="s">
        <v>7101</v>
      </c>
      <c r="B3685" t="s">
        <v>7102</v>
      </c>
      <c r="C3685" t="s">
        <v>106</v>
      </c>
      <c r="D3685" s="1" t="s">
        <v>9</v>
      </c>
      <c r="E3685" t="s">
        <v>214</v>
      </c>
      <c r="F3685" s="5" t="str">
        <f>HYPERLINK("http://www.otzar.org/book.asp?626422","שפתי צדק - א")</f>
        <v>שפתי צדק - א</v>
      </c>
    </row>
    <row r="3686" spans="1:6" x14ac:dyDescent="0.2">
      <c r="A3686" t="s">
        <v>7103</v>
      </c>
      <c r="B3686" t="s">
        <v>7104</v>
      </c>
      <c r="C3686" t="s">
        <v>13</v>
      </c>
      <c r="D3686" s="1" t="s">
        <v>14</v>
      </c>
      <c r="E3686" t="s">
        <v>22</v>
      </c>
      <c r="F3686" s="5" t="str">
        <f>HYPERLINK("http://www.otzar.org/book.asp?631113","שפתי רננות")</f>
        <v>שפתי רננות</v>
      </c>
    </row>
    <row r="3687" spans="1:6" x14ac:dyDescent="0.2">
      <c r="A3687" t="s">
        <v>7105</v>
      </c>
      <c r="B3687" t="s">
        <v>7106</v>
      </c>
      <c r="C3687" t="s">
        <v>787</v>
      </c>
      <c r="D3687" s="1" t="s">
        <v>9</v>
      </c>
      <c r="E3687" t="s">
        <v>108</v>
      </c>
      <c r="F3687" s="5" t="str">
        <f>HYPERLINK("http://www.otzar.org/book.asp?625446","שקיעין - מדרשי תימן")</f>
        <v>שקיעין - מדרשי תימן</v>
      </c>
    </row>
    <row r="3688" spans="1:6" x14ac:dyDescent="0.2">
      <c r="A3688" t="s">
        <v>7107</v>
      </c>
      <c r="B3688" t="s">
        <v>7108</v>
      </c>
      <c r="C3688" t="s">
        <v>13</v>
      </c>
      <c r="D3688" s="1" t="s">
        <v>14</v>
      </c>
      <c r="E3688" t="s">
        <v>2341</v>
      </c>
      <c r="F3688" s="5" t="str">
        <f>HYPERLINK("http://www.otzar.org/book.asp?628806","שר הלשון")</f>
        <v>שר הלשון</v>
      </c>
    </row>
    <row r="3689" spans="1:6" x14ac:dyDescent="0.2">
      <c r="A3689" t="s">
        <v>7109</v>
      </c>
      <c r="B3689" t="s">
        <v>7110</v>
      </c>
      <c r="C3689" t="s">
        <v>763</v>
      </c>
      <c r="D3689" s="1" t="s">
        <v>114</v>
      </c>
      <c r="E3689" t="s">
        <v>295</v>
      </c>
      <c r="F3689" s="5" t="str">
        <f>HYPERLINK("http://www.otzar.org/book.asp?627385","שרידים")</f>
        <v>שרידים</v>
      </c>
    </row>
    <row r="3690" spans="1:6" x14ac:dyDescent="0.2">
      <c r="A3690" t="s">
        <v>7111</v>
      </c>
      <c r="B3690" t="s">
        <v>1338</v>
      </c>
      <c r="C3690" t="s">
        <v>25</v>
      </c>
      <c r="D3690" s="1" t="s">
        <v>9</v>
      </c>
      <c r="F3690" s="5" t="str">
        <f>HYPERLINK("http://www.otzar.org/book.asp?632630","שרשי המצות")</f>
        <v>שרשי המצות</v>
      </c>
    </row>
    <row r="3691" spans="1:6" x14ac:dyDescent="0.2">
      <c r="A3691" t="s">
        <v>7112</v>
      </c>
      <c r="B3691" t="s">
        <v>7113</v>
      </c>
      <c r="C3691" t="s">
        <v>4563</v>
      </c>
      <c r="D3691" s="1" t="s">
        <v>537</v>
      </c>
      <c r="E3691" t="s">
        <v>371</v>
      </c>
      <c r="F3691" s="5" t="str">
        <f>HYPERLINK("http://www.otzar.org/book.asp?612988","שרשים במולדת")</f>
        <v>שרשים במולדת</v>
      </c>
    </row>
    <row r="3692" spans="1:6" x14ac:dyDescent="0.2">
      <c r="A3692" t="s">
        <v>7114</v>
      </c>
      <c r="B3692" t="s">
        <v>2666</v>
      </c>
      <c r="C3692" t="s">
        <v>383</v>
      </c>
      <c r="D3692" s="1" t="s">
        <v>52</v>
      </c>
      <c r="E3692" t="s">
        <v>89</v>
      </c>
      <c r="F3692" s="5" t="str">
        <f>HYPERLINK("http://www.otzar.org/book.asp?623762","שש אנכי על אמרתך")</f>
        <v>שש אנכי על אמרתך</v>
      </c>
    </row>
    <row r="3693" spans="1:6" x14ac:dyDescent="0.2">
      <c r="A3693" t="s">
        <v>7115</v>
      </c>
      <c r="B3693" t="s">
        <v>373</v>
      </c>
      <c r="C3693" t="s">
        <v>73</v>
      </c>
      <c r="D3693" s="1" t="s">
        <v>14</v>
      </c>
      <c r="E3693" t="s">
        <v>49</v>
      </c>
      <c r="F3693" s="5" t="str">
        <f>HYPERLINK("http://www.otzar.org/book.asp?626327","שש אנכי")</f>
        <v>שש אנכי</v>
      </c>
    </row>
    <row r="3694" spans="1:6" x14ac:dyDescent="0.2">
      <c r="A3694" t="s">
        <v>7116</v>
      </c>
      <c r="B3694" t="s">
        <v>7117</v>
      </c>
      <c r="C3694" t="s">
        <v>52</v>
      </c>
      <c r="D3694" s="1" t="s">
        <v>14</v>
      </c>
      <c r="E3694" t="s">
        <v>22</v>
      </c>
      <c r="F3694" s="5" t="str">
        <f>HYPERLINK("http://www.otzar.org/book.asp?628804","שש אנכי - שבת, עירובין")</f>
        <v>שש אנכי - שבת, עירובין</v>
      </c>
    </row>
    <row r="3695" spans="1:6" x14ac:dyDescent="0.2">
      <c r="A3695" t="s">
        <v>7118</v>
      </c>
      <c r="B3695" t="s">
        <v>3562</v>
      </c>
      <c r="C3695" t="s">
        <v>470</v>
      </c>
      <c r="D3695" s="1" t="s">
        <v>1906</v>
      </c>
      <c r="E3695" t="s">
        <v>34</v>
      </c>
      <c r="F3695" s="5" t="str">
        <f>HYPERLINK("http://www.otzar.org/book.asp?624942","ששה מאמרים")</f>
        <v>ששה מאמרים</v>
      </c>
    </row>
    <row r="3696" spans="1:6" x14ac:dyDescent="0.2">
      <c r="A3696" t="s">
        <v>7119</v>
      </c>
      <c r="B3696" t="s">
        <v>7120</v>
      </c>
      <c r="C3696" t="s">
        <v>13</v>
      </c>
      <c r="D3696" s="1" t="s">
        <v>9</v>
      </c>
      <c r="E3696" t="s">
        <v>10</v>
      </c>
      <c r="F3696" s="5" t="str">
        <f>HYPERLINK("http://www.otzar.org/book.asp?627931","ששה סדרי משנה &lt;עטרת שלמה&gt; - 16 כר'")</f>
        <v>ששה סדרי משנה &lt;עטרת שלמה&gt; - 16 כר'</v>
      </c>
    </row>
    <row r="3697" spans="1:6" x14ac:dyDescent="0.2">
      <c r="A3697" t="s">
        <v>7121</v>
      </c>
      <c r="B3697" t="s">
        <v>7122</v>
      </c>
      <c r="C3697" t="s">
        <v>8</v>
      </c>
      <c r="D3697" s="1" t="s">
        <v>52</v>
      </c>
      <c r="E3697" t="s">
        <v>49</v>
      </c>
      <c r="F3697" s="5" t="str">
        <f>HYPERLINK("http://www.otzar.org/book.asp?627005","שתי מורות משוחחות")</f>
        <v>שתי מורות משוחחות</v>
      </c>
    </row>
    <row r="3698" spans="1:6" x14ac:dyDescent="0.2">
      <c r="A3698" t="s">
        <v>7123</v>
      </c>
      <c r="B3698" t="s">
        <v>7124</v>
      </c>
      <c r="C3698" t="s">
        <v>13</v>
      </c>
      <c r="D3698" s="1" t="s">
        <v>557</v>
      </c>
      <c r="E3698" t="s">
        <v>168</v>
      </c>
      <c r="F3698" s="5" t="str">
        <f>HYPERLINK("http://www.otzar.org/book.asp?626802","תבונות כפיו - דניאל")</f>
        <v>תבונות כפיו - דניאל</v>
      </c>
    </row>
    <row r="3699" spans="1:6" x14ac:dyDescent="0.2">
      <c r="A3699" t="s">
        <v>7125</v>
      </c>
      <c r="B3699" t="s">
        <v>7124</v>
      </c>
      <c r="C3699" t="s">
        <v>13</v>
      </c>
      <c r="D3699" s="1" t="s">
        <v>557</v>
      </c>
      <c r="E3699" t="s">
        <v>168</v>
      </c>
      <c r="F3699" s="5" t="str">
        <f>HYPERLINK("http://www.otzar.org/book.asp?623209","תבונות שבת בשבתו ב")</f>
        <v>תבונות שבת בשבתו ב</v>
      </c>
    </row>
    <row r="3700" spans="1:6" x14ac:dyDescent="0.2">
      <c r="A3700" t="s">
        <v>7126</v>
      </c>
      <c r="B3700" t="s">
        <v>897</v>
      </c>
      <c r="C3700" t="s">
        <v>73</v>
      </c>
      <c r="D3700" s="1" t="s">
        <v>52</v>
      </c>
      <c r="E3700" t="s">
        <v>214</v>
      </c>
      <c r="F3700" s="5" t="str">
        <f>HYPERLINK("http://www.otzar.org/book.asp?623006","תבונות - ב")</f>
        <v>תבונות - ב</v>
      </c>
    </row>
    <row r="3701" spans="1:6" x14ac:dyDescent="0.2">
      <c r="A3701" t="s">
        <v>7127</v>
      </c>
      <c r="B3701" t="s">
        <v>7128</v>
      </c>
      <c r="C3701" t="s">
        <v>7129</v>
      </c>
      <c r="D3701" s="1" t="s">
        <v>355</v>
      </c>
      <c r="E3701" t="s">
        <v>49</v>
      </c>
      <c r="F3701" s="5" t="str">
        <f>HYPERLINK("http://www.otzar.org/book.asp?626361","תבת נח")</f>
        <v>תבת נח</v>
      </c>
    </row>
    <row r="3702" spans="1:6" x14ac:dyDescent="0.2">
      <c r="A3702" t="s">
        <v>7130</v>
      </c>
      <c r="B3702" t="s">
        <v>94</v>
      </c>
      <c r="C3702" t="s">
        <v>13</v>
      </c>
      <c r="D3702" s="1" t="s">
        <v>9</v>
      </c>
      <c r="E3702" t="s">
        <v>49</v>
      </c>
      <c r="F3702" s="5" t="str">
        <f>HYPERLINK("http://www.otzar.org/book.asp?631116","תהיה רצויה מעשי - 3 כר'")</f>
        <v>תהיה רצויה מעשי - 3 כר'</v>
      </c>
    </row>
    <row r="3703" spans="1:6" x14ac:dyDescent="0.2">
      <c r="A3703" t="s">
        <v>7131</v>
      </c>
      <c r="B3703" t="s">
        <v>7132</v>
      </c>
      <c r="C3703" t="s">
        <v>20</v>
      </c>
      <c r="D3703" s="1" t="s">
        <v>14</v>
      </c>
      <c r="E3703" t="s">
        <v>128</v>
      </c>
      <c r="F3703" s="5" t="str">
        <f>HYPERLINK("http://www.otzar.org/book.asp?630820","תהיין לראש יוסף")</f>
        <v>תהיין לראש יוסף</v>
      </c>
    </row>
    <row r="3704" spans="1:6" x14ac:dyDescent="0.2">
      <c r="A3704" t="s">
        <v>7133</v>
      </c>
      <c r="B3704" t="s">
        <v>7134</v>
      </c>
      <c r="C3704" t="s">
        <v>25</v>
      </c>
      <c r="D3704" s="1" t="s">
        <v>1364</v>
      </c>
      <c r="E3704" t="s">
        <v>168</v>
      </c>
      <c r="F3704" s="5" t="str">
        <f>HYPERLINK("http://www.otzar.org/book.asp?629904","תהילה לאברהם")</f>
        <v>תהילה לאברהם</v>
      </c>
    </row>
    <row r="3705" spans="1:6" x14ac:dyDescent="0.2">
      <c r="A3705" t="s">
        <v>7135</v>
      </c>
      <c r="B3705" t="s">
        <v>7136</v>
      </c>
      <c r="C3705" t="s">
        <v>8</v>
      </c>
      <c r="D3705" s="1" t="s">
        <v>21</v>
      </c>
      <c r="E3705" t="s">
        <v>168</v>
      </c>
      <c r="F3705" s="5" t="str">
        <f>HYPERLINK("http://www.otzar.org/book.asp?630302","תהילים &lt;ותשר דבורה&gt;")</f>
        <v>תהילים &lt;ותשר דבורה&gt;</v>
      </c>
    </row>
    <row r="3706" spans="1:6" x14ac:dyDescent="0.2">
      <c r="A3706" t="s">
        <v>7137</v>
      </c>
      <c r="B3706" t="s">
        <v>7138</v>
      </c>
      <c r="C3706" t="s">
        <v>133</v>
      </c>
      <c r="D3706" s="1" t="s">
        <v>9</v>
      </c>
      <c r="E3706" t="s">
        <v>168</v>
      </c>
      <c r="F3706" s="5" t="str">
        <f>HYPERLINK("http://www.otzar.org/book.asp?630788","תהילים &lt;תהלות אהרן&gt;")</f>
        <v>תהילים &lt;תהלות אהרן&gt;</v>
      </c>
    </row>
    <row r="3707" spans="1:6" x14ac:dyDescent="0.2">
      <c r="A3707" t="s">
        <v>7139</v>
      </c>
      <c r="B3707" t="s">
        <v>7140</v>
      </c>
      <c r="C3707" t="s">
        <v>13</v>
      </c>
      <c r="D3707" s="1" t="s">
        <v>911</v>
      </c>
      <c r="E3707" t="s">
        <v>168</v>
      </c>
      <c r="F3707" s="5" t="str">
        <f>HYPERLINK("http://www.otzar.org/book.asp?627547","תהילים שדה יעקב - רחשי יוסף")</f>
        <v>תהילים שדה יעקב - רחשי יוסף</v>
      </c>
    </row>
    <row r="3708" spans="1:6" x14ac:dyDescent="0.2">
      <c r="A3708" t="s">
        <v>7141</v>
      </c>
      <c r="B3708" t="s">
        <v>7142</v>
      </c>
      <c r="C3708" t="s">
        <v>13</v>
      </c>
      <c r="D3708" s="1" t="s">
        <v>52</v>
      </c>
      <c r="E3708" t="s">
        <v>6678</v>
      </c>
      <c r="F3708" s="5" t="str">
        <f>HYPERLINK("http://www.otzar.org/book.asp?627465","תהילת אהרן")</f>
        <v>תהילת אהרן</v>
      </c>
    </row>
    <row r="3709" spans="1:6" x14ac:dyDescent="0.2">
      <c r="A3709" t="s">
        <v>7143</v>
      </c>
      <c r="B3709" t="s">
        <v>7144</v>
      </c>
      <c r="C3709" t="s">
        <v>13</v>
      </c>
      <c r="D3709" s="1" t="s">
        <v>52</v>
      </c>
      <c r="E3709" t="s">
        <v>22</v>
      </c>
      <c r="F3709" s="5" t="str">
        <f>HYPERLINK("http://www.otzar.org/book.asp?626940","תהילת יצחק על הש""ס")</f>
        <v>תהילת יצחק על הש"ס</v>
      </c>
    </row>
    <row r="3710" spans="1:6" x14ac:dyDescent="0.2">
      <c r="A3710" t="s">
        <v>7145</v>
      </c>
      <c r="B3710" t="s">
        <v>7144</v>
      </c>
      <c r="C3710" t="s">
        <v>13</v>
      </c>
      <c r="D3710" s="1" t="s">
        <v>52</v>
      </c>
      <c r="E3710" t="s">
        <v>168</v>
      </c>
      <c r="F3710" s="5" t="str">
        <f>HYPERLINK("http://www.otzar.org/book.asp?626941","תהילת יצחק על התורה - 2 כר'")</f>
        <v>תהילת יצחק על התורה - 2 כר'</v>
      </c>
    </row>
    <row r="3711" spans="1:6" x14ac:dyDescent="0.2">
      <c r="A3711" t="s">
        <v>7146</v>
      </c>
      <c r="B3711" t="s">
        <v>1686</v>
      </c>
      <c r="C3711" t="s">
        <v>13</v>
      </c>
      <c r="D3711" s="1" t="s">
        <v>14</v>
      </c>
      <c r="F3711" s="5" t="str">
        <f>HYPERLINK("http://www.otzar.org/book.asp?632028","תהלה לדוד")</f>
        <v>תהלה לדוד</v>
      </c>
    </row>
    <row r="3712" spans="1:6" x14ac:dyDescent="0.2">
      <c r="A3712" t="s">
        <v>7147</v>
      </c>
      <c r="B3712" t="s">
        <v>7148</v>
      </c>
      <c r="C3712" t="s">
        <v>13</v>
      </c>
      <c r="D3712" s="1" t="s">
        <v>2283</v>
      </c>
      <c r="E3712" t="s">
        <v>168</v>
      </c>
      <c r="F3712" s="5" t="str">
        <f>HYPERLINK("http://www.otzar.org/book.asp?627251","תהלה ליעקב")</f>
        <v>תהלה ליעקב</v>
      </c>
    </row>
    <row r="3713" spans="1:6" x14ac:dyDescent="0.2">
      <c r="A3713" t="s">
        <v>7149</v>
      </c>
      <c r="B3713" t="s">
        <v>7150</v>
      </c>
      <c r="C3713" t="s">
        <v>148</v>
      </c>
      <c r="D3713" s="1" t="s">
        <v>9</v>
      </c>
      <c r="E3713" t="s">
        <v>168</v>
      </c>
      <c r="F3713" s="5" t="str">
        <f>HYPERLINK("http://www.otzar.org/book.asp?630164","תהלות ישראל - פרקי תהלים לפי עניינים")</f>
        <v>תהלות ישראל - פרקי תהלים לפי עניינים</v>
      </c>
    </row>
    <row r="3714" spans="1:6" x14ac:dyDescent="0.2">
      <c r="A3714" t="s">
        <v>7151</v>
      </c>
      <c r="B3714" t="s">
        <v>32</v>
      </c>
      <c r="C3714" t="s">
        <v>5942</v>
      </c>
      <c r="D3714" s="1" t="s">
        <v>33</v>
      </c>
      <c r="E3714" t="s">
        <v>168</v>
      </c>
      <c r="F3714" s="5" t="str">
        <f>HYPERLINK("http://www.otzar.org/book.asp?625733","תהלים &lt;אביר יעקב&gt;")</f>
        <v>תהלים &lt;אביר יעקב&gt;</v>
      </c>
    </row>
    <row r="3715" spans="1:6" x14ac:dyDescent="0.2">
      <c r="A3715" t="s">
        <v>7152</v>
      </c>
      <c r="B3715" t="s">
        <v>7153</v>
      </c>
      <c r="C3715" t="s">
        <v>13</v>
      </c>
      <c r="D3715" s="1" t="s">
        <v>911</v>
      </c>
      <c r="E3715" t="s">
        <v>168</v>
      </c>
      <c r="F3715" s="5" t="str">
        <f>HYPERLINK("http://www.otzar.org/book.asp?629541","תהלים &lt;שדה יעקב - רחשי יוסף&gt;")</f>
        <v>תהלים &lt;שדה יעקב - רחשי יוסף&gt;</v>
      </c>
    </row>
    <row r="3716" spans="1:6" x14ac:dyDescent="0.2">
      <c r="A3716" t="s">
        <v>7154</v>
      </c>
      <c r="B3716" t="s">
        <v>7155</v>
      </c>
      <c r="C3716" t="s">
        <v>7156</v>
      </c>
      <c r="D3716" s="1" t="s">
        <v>7157</v>
      </c>
      <c r="E3716" t="s">
        <v>168</v>
      </c>
      <c r="F3716" s="5" t="str">
        <f>HYPERLINK("http://www.otzar.org/book.asp?623427","תהלים &lt;מקדש שלמה&gt; - 2 כר'")</f>
        <v>תהלים &lt;מקדש שלמה&gt; - 2 כר'</v>
      </c>
    </row>
    <row r="3717" spans="1:6" x14ac:dyDescent="0.2">
      <c r="A3717" t="s">
        <v>7158</v>
      </c>
      <c r="B3717" t="s">
        <v>7159</v>
      </c>
      <c r="C3717" t="s">
        <v>7160</v>
      </c>
      <c r="D3717" s="1" t="s">
        <v>3367</v>
      </c>
      <c r="E3717" t="s">
        <v>168</v>
      </c>
      <c r="F3717" s="5" t="str">
        <f>HYPERLINK("http://www.otzar.org/book.asp?624679","תהלים &lt;עם ביאור לתלמידים&gt;")</f>
        <v>תהלים &lt;עם ביאור לתלמידים&gt;</v>
      </c>
    </row>
    <row r="3718" spans="1:6" x14ac:dyDescent="0.2">
      <c r="A3718" t="s">
        <v>7161</v>
      </c>
      <c r="B3718" t="s">
        <v>2246</v>
      </c>
      <c r="C3718" t="s">
        <v>13</v>
      </c>
      <c r="D3718" s="1" t="s">
        <v>229</v>
      </c>
      <c r="E3718" t="s">
        <v>168</v>
      </c>
      <c r="F3718" s="5" t="str">
        <f>HYPERLINK("http://www.otzar.org/book.asp?629280","תהלים רצון מלכים - אוצרות חכמי תימן")</f>
        <v>תהלים רצון מלכים - אוצרות חכמי תימן</v>
      </c>
    </row>
    <row r="3719" spans="1:6" x14ac:dyDescent="0.2">
      <c r="A3719" t="s">
        <v>7162</v>
      </c>
      <c r="B3719" t="s">
        <v>7163</v>
      </c>
      <c r="C3719" t="s">
        <v>2311</v>
      </c>
      <c r="D3719" s="1" t="s">
        <v>7164</v>
      </c>
      <c r="E3719" t="s">
        <v>168</v>
      </c>
      <c r="F3719" s="5" t="str">
        <f>HYPERLINK("http://www.otzar.org/book.asp?623341","תהלים  - ליקוטי דוד, תפלות דוד")</f>
        <v>תהלים  - ליקוטי דוד, תפלות דוד</v>
      </c>
    </row>
    <row r="3720" spans="1:6" x14ac:dyDescent="0.2">
      <c r="A3720" t="s">
        <v>7165</v>
      </c>
      <c r="B3720" t="s">
        <v>2065</v>
      </c>
      <c r="C3720" t="s">
        <v>190</v>
      </c>
      <c r="D3720" s="1" t="s">
        <v>9</v>
      </c>
      <c r="E3720" t="s">
        <v>154</v>
      </c>
      <c r="F3720" s="5" t="str">
        <f>HYPERLINK("http://www.otzar.org/book.asp?628206","תודיעיני אורח חיים - 2 כר'")</f>
        <v>תודיעיני אורח חיים - 2 כר'</v>
      </c>
    </row>
    <row r="3721" spans="1:6" x14ac:dyDescent="0.2">
      <c r="A3721" t="s">
        <v>7166</v>
      </c>
      <c r="B3721" t="s">
        <v>7167</v>
      </c>
      <c r="C3721" t="s">
        <v>73</v>
      </c>
      <c r="D3721" s="1" t="s">
        <v>64</v>
      </c>
      <c r="E3721" t="s">
        <v>41</v>
      </c>
      <c r="F3721" s="5" t="str">
        <f>HYPERLINK("http://www.otzar.org/book.asp?624871","תודיעני חיים - ב")</f>
        <v>תודיעני חיים - ב</v>
      </c>
    </row>
    <row r="3722" spans="1:6" x14ac:dyDescent="0.2">
      <c r="A3722" t="s">
        <v>7168</v>
      </c>
      <c r="B3722" t="s">
        <v>7169</v>
      </c>
      <c r="C3722" t="s">
        <v>1241</v>
      </c>
      <c r="D3722" s="1" t="s">
        <v>2808</v>
      </c>
      <c r="E3722" t="s">
        <v>371</v>
      </c>
      <c r="F3722" s="5" t="str">
        <f>HYPERLINK("http://www.otzar.org/book.asp?626420","תולדות יעב""ץ")</f>
        <v>תולדות יעב"ץ</v>
      </c>
    </row>
    <row r="3723" spans="1:6" x14ac:dyDescent="0.2">
      <c r="A3723" t="s">
        <v>7170</v>
      </c>
      <c r="B3723" t="s">
        <v>7171</v>
      </c>
      <c r="C3723" t="s">
        <v>13</v>
      </c>
      <c r="D3723" s="1" t="s">
        <v>1364</v>
      </c>
      <c r="E3723" t="s">
        <v>548</v>
      </c>
      <c r="F3723" s="5" t="str">
        <f>HYPERLINK("http://www.otzar.org/book.asp?629317","תולדות יעקב - אדמור""י הוסיאטין")</f>
        <v>תולדות יעקב - אדמור"י הוסיאטין</v>
      </c>
    </row>
    <row r="3724" spans="1:6" x14ac:dyDescent="0.2">
      <c r="A3724" t="s">
        <v>7172</v>
      </c>
      <c r="B3724" t="s">
        <v>7173</v>
      </c>
      <c r="C3724" t="s">
        <v>7174</v>
      </c>
      <c r="D3724" s="1" t="s">
        <v>355</v>
      </c>
      <c r="E3724" t="s">
        <v>371</v>
      </c>
      <c r="F3724" s="5" t="str">
        <f>HYPERLINK("http://www.otzar.org/book.asp?626951","תולדות רבנו חיים מוואלוזין")</f>
        <v>תולדות רבנו חיים מוואלוזין</v>
      </c>
    </row>
    <row r="3725" spans="1:6" x14ac:dyDescent="0.2">
      <c r="A3725" t="s">
        <v>7175</v>
      </c>
      <c r="B3725" t="s">
        <v>1299</v>
      </c>
      <c r="C3725" t="s">
        <v>307</v>
      </c>
      <c r="D3725" s="1" t="s">
        <v>120</v>
      </c>
      <c r="E3725" t="s">
        <v>371</v>
      </c>
      <c r="F3725" s="5" t="str">
        <f>HYPERLINK("http://www.otzar.org/book.asp?625613","תולדותיו של מורה")</f>
        <v>תולדותיו של מורה</v>
      </c>
    </row>
    <row r="3726" spans="1:6" x14ac:dyDescent="0.2">
      <c r="A3726" t="s">
        <v>7176</v>
      </c>
      <c r="B3726" t="s">
        <v>7177</v>
      </c>
      <c r="C3726" t="s">
        <v>7178</v>
      </c>
      <c r="D3726" s="1" t="s">
        <v>7179</v>
      </c>
      <c r="F3726" s="5" t="str">
        <f>HYPERLINK("http://www.otzar.org/book.asp?628041","תולדת אהרן")</f>
        <v>תולדת אהרן</v>
      </c>
    </row>
    <row r="3727" spans="1:6" x14ac:dyDescent="0.2">
      <c r="A3727" t="s">
        <v>7180</v>
      </c>
      <c r="B3727" t="s">
        <v>156</v>
      </c>
      <c r="C3727" t="s">
        <v>606</v>
      </c>
      <c r="D3727" s="1" t="s">
        <v>158</v>
      </c>
      <c r="E3727" t="s">
        <v>2457</v>
      </c>
      <c r="F3727" s="5" t="str">
        <f>HYPERLINK("http://www.otzar.org/book.asp?628576","תום ודעת")</f>
        <v>תום ודעת</v>
      </c>
    </row>
    <row r="3728" spans="1:6" x14ac:dyDescent="0.2">
      <c r="A3728" t="s">
        <v>7181</v>
      </c>
      <c r="B3728" t="s">
        <v>7182</v>
      </c>
      <c r="C3728" t="s">
        <v>1471</v>
      </c>
      <c r="D3728" s="1" t="s">
        <v>4746</v>
      </c>
      <c r="E3728" t="s">
        <v>34</v>
      </c>
      <c r="F3728" s="5" t="str">
        <f>HYPERLINK("http://www.otzar.org/book.asp?626505","תומר דבורה - קנאת האמת")</f>
        <v>תומר דבורה - קנאת האמת</v>
      </c>
    </row>
    <row r="3729" spans="1:6" x14ac:dyDescent="0.2">
      <c r="A3729" t="s">
        <v>7183</v>
      </c>
      <c r="B3729" t="s">
        <v>7184</v>
      </c>
      <c r="C3729" t="s">
        <v>136</v>
      </c>
      <c r="D3729" s="1" t="s">
        <v>9</v>
      </c>
      <c r="E3729" t="s">
        <v>168</v>
      </c>
      <c r="F3729" s="5" t="str">
        <f>HYPERLINK("http://www.otzar.org/book.asp?626140","תוספות השלם - 2 כר'")</f>
        <v>תוספות השלם - 2 כר'</v>
      </c>
    </row>
    <row r="3730" spans="1:6" x14ac:dyDescent="0.2">
      <c r="A3730" t="s">
        <v>7185</v>
      </c>
      <c r="B3730" t="s">
        <v>7186</v>
      </c>
      <c r="C3730" t="s">
        <v>13</v>
      </c>
      <c r="D3730" s="1" t="s">
        <v>21</v>
      </c>
      <c r="E3730" t="s">
        <v>22</v>
      </c>
      <c r="F3730" s="5" t="str">
        <f>HYPERLINK("http://www.otzar.org/book.asp?629849","תוספת דברים - עירובין")</f>
        <v>תוספת דברים - עירובין</v>
      </c>
    </row>
    <row r="3731" spans="1:6" x14ac:dyDescent="0.2">
      <c r="A3731" t="s">
        <v>7187</v>
      </c>
      <c r="B3731" t="s">
        <v>7188</v>
      </c>
      <c r="C3731">
        <v>1933</v>
      </c>
      <c r="D3731" s="1" t="s">
        <v>29</v>
      </c>
      <c r="E3731" t="s">
        <v>168</v>
      </c>
      <c r="F3731" s="5" t="str">
        <f>HYPERLINK("http://www.otzar.org/book.asp?626513","תורה און לעבען - א")</f>
        <v>תורה און לעבען - א</v>
      </c>
    </row>
    <row r="3732" spans="1:6" x14ac:dyDescent="0.2">
      <c r="A3732" t="s">
        <v>7189</v>
      </c>
      <c r="B3732" t="s">
        <v>7189</v>
      </c>
      <c r="C3732" t="s">
        <v>1590</v>
      </c>
      <c r="D3732" s="1" t="s">
        <v>3609</v>
      </c>
      <c r="E3732" t="s">
        <v>214</v>
      </c>
      <c r="F3732" s="5" t="str">
        <f>HYPERLINK("http://www.otzar.org/book.asp?626590","תורה גאולה")</f>
        <v>תורה גאולה</v>
      </c>
    </row>
    <row r="3733" spans="1:6" x14ac:dyDescent="0.2">
      <c r="A3733" t="s">
        <v>7190</v>
      </c>
      <c r="B3733" t="s">
        <v>364</v>
      </c>
      <c r="C3733" t="s">
        <v>264</v>
      </c>
      <c r="D3733" s="1" t="s">
        <v>432</v>
      </c>
      <c r="E3733" t="s">
        <v>214</v>
      </c>
      <c r="F3733" s="5" t="str">
        <f>HYPERLINK("http://www.otzar.org/book.asp?624570","תורה ומדע - 2 כר'")</f>
        <v>תורה ומדע - 2 כר'</v>
      </c>
    </row>
    <row r="3734" spans="1:6" x14ac:dyDescent="0.2">
      <c r="A3734" t="s">
        <v>7191</v>
      </c>
      <c r="B3734" t="s">
        <v>7192</v>
      </c>
      <c r="C3734" t="s">
        <v>584</v>
      </c>
      <c r="D3734" s="1" t="s">
        <v>29</v>
      </c>
      <c r="E3734" t="s">
        <v>168</v>
      </c>
      <c r="F3734" s="5" t="str">
        <f>HYPERLINK("http://www.otzar.org/book.asp?625365","תורה לדעת - ה")</f>
        <v>תורה לדעת - ה</v>
      </c>
    </row>
    <row r="3735" spans="1:6" x14ac:dyDescent="0.2">
      <c r="A3735" t="s">
        <v>7193</v>
      </c>
      <c r="B3735" t="s">
        <v>5312</v>
      </c>
      <c r="C3735" t="s">
        <v>13</v>
      </c>
      <c r="D3735" s="1" t="s">
        <v>29</v>
      </c>
      <c r="E3735" t="s">
        <v>4500</v>
      </c>
      <c r="F3735" s="5" t="str">
        <f>HYPERLINK("http://www.otzar.org/book.asp?630553","תורות ושיחות מבית רבותינו")</f>
        <v>תורות ושיחות מבית רבותינו</v>
      </c>
    </row>
    <row r="3736" spans="1:6" x14ac:dyDescent="0.2">
      <c r="A3736" t="s">
        <v>7194</v>
      </c>
      <c r="B3736" t="s">
        <v>3284</v>
      </c>
      <c r="C3736" t="s">
        <v>307</v>
      </c>
      <c r="E3736" t="s">
        <v>7195</v>
      </c>
      <c r="F3736" s="5" t="str">
        <f>HYPERLINK("http://www.otzar.org/book.asp?630066","תורת אברהם - מעשר שני וערלה")</f>
        <v>תורת אברהם - מעשר שני וערלה</v>
      </c>
    </row>
    <row r="3737" spans="1:6" x14ac:dyDescent="0.2">
      <c r="A3737" t="s">
        <v>7196</v>
      </c>
      <c r="B3737" t="s">
        <v>7197</v>
      </c>
      <c r="C3737" t="s">
        <v>8</v>
      </c>
      <c r="D3737" s="1" t="s">
        <v>52</v>
      </c>
      <c r="E3737" t="s">
        <v>337</v>
      </c>
      <c r="F3737" s="5" t="str">
        <f>HYPERLINK("http://www.otzar.org/book.asp?628801","תורת אברהם")</f>
        <v>תורת אברהם</v>
      </c>
    </row>
    <row r="3738" spans="1:6" x14ac:dyDescent="0.2">
      <c r="A3738" t="s">
        <v>7198</v>
      </c>
      <c r="B3738" t="s">
        <v>7199</v>
      </c>
      <c r="C3738" t="s">
        <v>427</v>
      </c>
      <c r="D3738" s="1" t="s">
        <v>120</v>
      </c>
      <c r="E3738" t="s">
        <v>22</v>
      </c>
      <c r="F3738" s="5" t="str">
        <f>HYPERLINK("http://www.otzar.org/book.asp?625602","תורת אדם")</f>
        <v>תורת אדם</v>
      </c>
    </row>
    <row r="3739" spans="1:6" x14ac:dyDescent="0.2">
      <c r="A3739" t="s">
        <v>7200</v>
      </c>
      <c r="B3739" t="s">
        <v>7201</v>
      </c>
      <c r="C3739" t="s">
        <v>76</v>
      </c>
      <c r="D3739" s="1" t="s">
        <v>29</v>
      </c>
      <c r="E3739" t="s">
        <v>37</v>
      </c>
      <c r="F3739" s="5" t="str">
        <f>HYPERLINK("http://www.otzar.org/book.asp?626446","תורת אמך - ב")</f>
        <v>תורת אמך - ב</v>
      </c>
    </row>
    <row r="3740" spans="1:6" x14ac:dyDescent="0.2">
      <c r="A3740" t="s">
        <v>7202</v>
      </c>
      <c r="B3740" t="s">
        <v>857</v>
      </c>
      <c r="C3740" t="s">
        <v>8</v>
      </c>
      <c r="D3740" s="1" t="s">
        <v>9</v>
      </c>
      <c r="E3740" t="s">
        <v>214</v>
      </c>
      <c r="F3740" s="5" t="str">
        <f>HYPERLINK("http://www.otzar.org/book.asp?631469","תורת אמך")</f>
        <v>תורת אמך</v>
      </c>
    </row>
    <row r="3741" spans="1:6" x14ac:dyDescent="0.2">
      <c r="A3741" t="s">
        <v>7203</v>
      </c>
      <c r="B3741" t="s">
        <v>7204</v>
      </c>
      <c r="C3741" t="s">
        <v>20</v>
      </c>
      <c r="D3741" s="1" t="s">
        <v>9</v>
      </c>
      <c r="E3741" t="s">
        <v>41</v>
      </c>
      <c r="F3741" s="5" t="str">
        <f>HYPERLINK("http://www.otzar.org/book.asp?629059","תורת אמת &lt;זכרון אהרן מהדורה מתוקנת&gt;")</f>
        <v>תורת אמת &lt;זכרון אהרן מהדורה מתוקנת&gt;</v>
      </c>
    </row>
    <row r="3742" spans="1:6" x14ac:dyDescent="0.2">
      <c r="A3742" t="s">
        <v>7205</v>
      </c>
      <c r="B3742" t="s">
        <v>364</v>
      </c>
      <c r="C3742" t="s">
        <v>4183</v>
      </c>
      <c r="D3742" s="1" t="s">
        <v>9</v>
      </c>
      <c r="F3742" s="5" t="str">
        <f>HYPERLINK("http://www.otzar.org/book.asp?626167","תורת ארץ ישראל - 5 כר'")</f>
        <v>תורת ארץ ישראל - 5 כר'</v>
      </c>
    </row>
    <row r="3743" spans="1:6" x14ac:dyDescent="0.2">
      <c r="A3743" t="s">
        <v>7206</v>
      </c>
      <c r="B3743" t="s">
        <v>7207</v>
      </c>
      <c r="C3743" t="s">
        <v>73</v>
      </c>
      <c r="D3743" s="1" t="s">
        <v>9</v>
      </c>
      <c r="E3743" t="s">
        <v>22</v>
      </c>
      <c r="F3743" s="5" t="str">
        <f>HYPERLINK("http://www.otzar.org/book.asp?628005","תורת אש - נדה")</f>
        <v>תורת אש - נדה</v>
      </c>
    </row>
    <row r="3744" spans="1:6" x14ac:dyDescent="0.2">
      <c r="A3744" t="s">
        <v>7208</v>
      </c>
      <c r="B3744" t="s">
        <v>7209</v>
      </c>
      <c r="C3744" t="s">
        <v>1780</v>
      </c>
      <c r="D3744" s="1" t="s">
        <v>9</v>
      </c>
      <c r="E3744" t="s">
        <v>49</v>
      </c>
      <c r="F3744" s="5" t="str">
        <f>HYPERLINK("http://www.otzar.org/book.asp?12672","תורת האבולוציה בעולם החי והדומם לאור המדע המדויק החדיש")</f>
        <v>תורת האבולוציה בעולם החי והדומם לאור המדע המדויק החדיש</v>
      </c>
    </row>
    <row r="3745" spans="1:6" x14ac:dyDescent="0.2">
      <c r="A3745" t="s">
        <v>7210</v>
      </c>
      <c r="B3745" t="s">
        <v>482</v>
      </c>
      <c r="C3745" t="s">
        <v>73</v>
      </c>
      <c r="D3745" s="1" t="s">
        <v>9</v>
      </c>
      <c r="E3745" t="s">
        <v>34</v>
      </c>
      <c r="F3745" s="5" t="str">
        <f>HYPERLINK("http://www.otzar.org/book.asp?623487","תורת האנושות")</f>
        <v>תורת האנושות</v>
      </c>
    </row>
    <row r="3746" spans="1:6" x14ac:dyDescent="0.2">
      <c r="A3746" t="s">
        <v>7211</v>
      </c>
      <c r="B3746" t="s">
        <v>2025</v>
      </c>
      <c r="C3746" t="s">
        <v>1127</v>
      </c>
      <c r="D3746" s="1" t="s">
        <v>64</v>
      </c>
      <c r="E3746" t="s">
        <v>37</v>
      </c>
      <c r="F3746" s="5" t="str">
        <f>HYPERLINK("http://www.otzar.org/book.asp?623923","תורת הטהרה")</f>
        <v>תורת הטהרה</v>
      </c>
    </row>
    <row r="3747" spans="1:6" x14ac:dyDescent="0.2">
      <c r="A3747" t="s">
        <v>7212</v>
      </c>
      <c r="B3747" t="s">
        <v>888</v>
      </c>
      <c r="C3747" t="s">
        <v>8</v>
      </c>
      <c r="D3747" s="1" t="s">
        <v>52</v>
      </c>
      <c r="E3747" t="s">
        <v>49</v>
      </c>
      <c r="F3747" s="5" t="str">
        <f>HYPERLINK("http://www.otzar.org/book.asp?627004","תורת הכיסוי")</f>
        <v>תורת הכיסוי</v>
      </c>
    </row>
    <row r="3748" spans="1:6" x14ac:dyDescent="0.2">
      <c r="A3748" t="s">
        <v>7213</v>
      </c>
      <c r="B3748" t="s">
        <v>7214</v>
      </c>
      <c r="C3748" t="s">
        <v>13</v>
      </c>
      <c r="D3748" s="1" t="s">
        <v>9</v>
      </c>
      <c r="E3748" t="s">
        <v>375</v>
      </c>
      <c r="F3748" s="5" t="str">
        <f>HYPERLINK("http://www.otzar.org/book.asp?627411","תורת הכלי")</f>
        <v>תורת הכלי</v>
      </c>
    </row>
    <row r="3749" spans="1:6" x14ac:dyDescent="0.2">
      <c r="A3749" t="s">
        <v>7215</v>
      </c>
      <c r="B3749" t="s">
        <v>1668</v>
      </c>
      <c r="C3749" t="s">
        <v>5321</v>
      </c>
      <c r="D3749" s="1" t="s">
        <v>1526</v>
      </c>
      <c r="E3749" t="s">
        <v>49</v>
      </c>
      <c r="F3749" s="5" t="str">
        <f>HYPERLINK("http://www.otzar.org/book.asp?627370","תורת הלשון בהתפתחותה")</f>
        <v>תורת הלשון בהתפתחותה</v>
      </c>
    </row>
    <row r="3750" spans="1:6" x14ac:dyDescent="0.2">
      <c r="A3750" t="s">
        <v>7216</v>
      </c>
      <c r="B3750" t="s">
        <v>4990</v>
      </c>
      <c r="C3750" t="s">
        <v>13</v>
      </c>
      <c r="D3750" s="1" t="s">
        <v>14</v>
      </c>
      <c r="E3750" t="s">
        <v>37</v>
      </c>
      <c r="F3750" s="5" t="str">
        <f>HYPERLINK("http://www.otzar.org/book.asp?629920","תורת המועד - בירורים בהלכות יום טוב - ב")</f>
        <v>תורת המועד - בירורים בהלכות יום טוב - ב</v>
      </c>
    </row>
    <row r="3751" spans="1:6" x14ac:dyDescent="0.2">
      <c r="A3751" t="s">
        <v>7217</v>
      </c>
      <c r="B3751" t="s">
        <v>7218</v>
      </c>
      <c r="C3751" t="s">
        <v>73</v>
      </c>
      <c r="D3751" s="1" t="s">
        <v>9</v>
      </c>
      <c r="E3751" t="s">
        <v>22</v>
      </c>
      <c r="F3751" s="5" t="str">
        <f>HYPERLINK("http://www.otzar.org/book.asp?625950","תורת המעילה")</f>
        <v>תורת המעילה</v>
      </c>
    </row>
    <row r="3752" spans="1:6" x14ac:dyDescent="0.2">
      <c r="A3752" t="s">
        <v>7219</v>
      </c>
      <c r="B3752" t="s">
        <v>7220</v>
      </c>
      <c r="C3752" t="s">
        <v>1385</v>
      </c>
      <c r="D3752" s="1" t="s">
        <v>14</v>
      </c>
      <c r="E3752" t="s">
        <v>10</v>
      </c>
      <c r="F3752" s="5" t="str">
        <f>HYPERLINK("http://www.otzar.org/book.asp?623132","תורת הראשונים - אהלות")</f>
        <v>תורת הראשונים - אהלות</v>
      </c>
    </row>
    <row r="3753" spans="1:6" x14ac:dyDescent="0.2">
      <c r="A3753" t="s">
        <v>7221</v>
      </c>
      <c r="B3753" t="s">
        <v>1668</v>
      </c>
      <c r="C3753" t="s">
        <v>5321</v>
      </c>
      <c r="D3753" s="1" t="s">
        <v>1526</v>
      </c>
      <c r="E3753" t="s">
        <v>2232</v>
      </c>
      <c r="F3753" s="5" t="str">
        <f>HYPERLINK("http://www.otzar.org/book.asp?627371","תורת השירה הספרדית")</f>
        <v>תורת השירה הספרדית</v>
      </c>
    </row>
    <row r="3754" spans="1:6" x14ac:dyDescent="0.2">
      <c r="A3754" t="s">
        <v>7222</v>
      </c>
      <c r="B3754" t="s">
        <v>7223</v>
      </c>
      <c r="C3754" t="s">
        <v>369</v>
      </c>
      <c r="D3754" s="1" t="s">
        <v>9</v>
      </c>
      <c r="E3754" t="s">
        <v>375</v>
      </c>
      <c r="F3754" s="5" t="str">
        <f>HYPERLINK("http://www.otzar.org/book.asp?624471","תורת השליחות")</f>
        <v>תורת השליחות</v>
      </c>
    </row>
    <row r="3755" spans="1:6" x14ac:dyDescent="0.2">
      <c r="A3755" t="s">
        <v>7224</v>
      </c>
      <c r="B3755" t="s">
        <v>7225</v>
      </c>
      <c r="C3755" t="s">
        <v>470</v>
      </c>
      <c r="D3755" s="1" t="s">
        <v>1526</v>
      </c>
      <c r="E3755" t="s">
        <v>37</v>
      </c>
      <c r="F3755" s="5" t="str">
        <f>HYPERLINK("http://www.otzar.org/book.asp?623524","תורת השמיטה")</f>
        <v>תורת השמיטה</v>
      </c>
    </row>
    <row r="3756" spans="1:6" x14ac:dyDescent="0.2">
      <c r="A3756" t="s">
        <v>7226</v>
      </c>
      <c r="B3756" t="s">
        <v>7227</v>
      </c>
      <c r="C3756" t="s">
        <v>13</v>
      </c>
      <c r="D3756" s="1" t="s">
        <v>400</v>
      </c>
      <c r="E3756" t="s">
        <v>37</v>
      </c>
      <c r="F3756" s="5" t="str">
        <f>HYPERLINK("http://www.otzar.org/book.asp?630247","תורת התלמוד עם מצא חן - א")</f>
        <v>תורת התלמוד עם מצא חן - א</v>
      </c>
    </row>
    <row r="3757" spans="1:6" x14ac:dyDescent="0.2">
      <c r="A3757" t="s">
        <v>7228</v>
      </c>
      <c r="B3757" t="s">
        <v>7229</v>
      </c>
      <c r="C3757" t="s">
        <v>13</v>
      </c>
      <c r="D3757" s="1" t="s">
        <v>9</v>
      </c>
      <c r="E3757" t="s">
        <v>37</v>
      </c>
      <c r="F3757" s="5" t="str">
        <f>HYPERLINK("http://www.otzar.org/book.asp?627136","תורת התערובות")</f>
        <v>תורת התערובות</v>
      </c>
    </row>
    <row r="3758" spans="1:6" x14ac:dyDescent="0.2">
      <c r="A3758" t="s">
        <v>7230</v>
      </c>
      <c r="B3758" t="s">
        <v>7231</v>
      </c>
      <c r="C3758" t="s">
        <v>20</v>
      </c>
      <c r="D3758" s="1" t="s">
        <v>9</v>
      </c>
      <c r="E3758" t="s">
        <v>34</v>
      </c>
      <c r="F3758" s="5" t="str">
        <f>HYPERLINK("http://www.otzar.org/book.asp?622586","תורת התפלה")</f>
        <v>תורת התפלה</v>
      </c>
    </row>
    <row r="3759" spans="1:6" x14ac:dyDescent="0.2">
      <c r="A3759" t="s">
        <v>7232</v>
      </c>
      <c r="B3759" t="s">
        <v>7233</v>
      </c>
      <c r="C3759" t="s">
        <v>13</v>
      </c>
      <c r="D3759" s="1" t="s">
        <v>9</v>
      </c>
      <c r="E3759" t="s">
        <v>34</v>
      </c>
      <c r="F3759" s="5" t="str">
        <f>HYPERLINK("http://www.otzar.org/book.asp?627403","תורת חובות הלבבות &lt;עם ביאור עומק הלב&gt; - שער עבודת האלקים")</f>
        <v>תורת חובות הלבבות &lt;עם ביאור עומק הלב&gt; - שער עבודת האלקים</v>
      </c>
    </row>
    <row r="3760" spans="1:6" x14ac:dyDescent="0.2">
      <c r="A3760" t="s">
        <v>7234</v>
      </c>
      <c r="B3760" t="s">
        <v>7235</v>
      </c>
      <c r="C3760" t="s">
        <v>40</v>
      </c>
      <c r="D3760" s="1" t="s">
        <v>9</v>
      </c>
      <c r="E3760" t="s">
        <v>37</v>
      </c>
      <c r="F3760" s="5" t="str">
        <f>HYPERLINK("http://www.otzar.org/book.asp?629065","תורת חטאת  - מנחת יעקב, תורת האשם &lt;זכרון אהרן&gt;")</f>
        <v>תורת חטאת  - מנחת יעקב, תורת האשם &lt;זכרון אהרן&gt;</v>
      </c>
    </row>
    <row r="3761" spans="1:6" x14ac:dyDescent="0.2">
      <c r="A3761" t="s">
        <v>7236</v>
      </c>
      <c r="B3761" t="s">
        <v>7237</v>
      </c>
      <c r="C3761" t="s">
        <v>13</v>
      </c>
      <c r="D3761" s="1" t="s">
        <v>277</v>
      </c>
      <c r="E3761" t="s">
        <v>49</v>
      </c>
      <c r="F3761" s="5" t="str">
        <f>HYPERLINK("http://www.otzar.org/book.asp?629846","תורת חיים")</f>
        <v>תורת חיים</v>
      </c>
    </row>
    <row r="3762" spans="1:6" x14ac:dyDescent="0.2">
      <c r="A3762" t="s">
        <v>7238</v>
      </c>
      <c r="B3762" t="s">
        <v>7239</v>
      </c>
      <c r="C3762" t="s">
        <v>136</v>
      </c>
      <c r="D3762" s="1" t="s">
        <v>64</v>
      </c>
      <c r="E3762" t="s">
        <v>41</v>
      </c>
      <c r="F3762" s="5" t="str">
        <f>HYPERLINK("http://www.otzar.org/book.asp?628348","תורת חיים - 4 כר'")</f>
        <v>תורת חיים - 4 כר'</v>
      </c>
    </row>
    <row r="3763" spans="1:6" x14ac:dyDescent="0.2">
      <c r="A3763" t="s">
        <v>7236</v>
      </c>
      <c r="B3763" t="s">
        <v>5399</v>
      </c>
      <c r="C3763" t="s">
        <v>2118</v>
      </c>
      <c r="D3763" s="1" t="s">
        <v>2411</v>
      </c>
      <c r="E3763" t="s">
        <v>22</v>
      </c>
      <c r="F3763" s="5" t="str">
        <f>HYPERLINK("http://www.otzar.org/book.asp?625953","תורת חיים")</f>
        <v>תורת חיים</v>
      </c>
    </row>
    <row r="3764" spans="1:6" x14ac:dyDescent="0.2">
      <c r="A3764" t="s">
        <v>7240</v>
      </c>
      <c r="B3764" t="s">
        <v>7241</v>
      </c>
      <c r="C3764" t="s">
        <v>190</v>
      </c>
      <c r="D3764" s="1" t="s">
        <v>476</v>
      </c>
      <c r="E3764" t="s">
        <v>61</v>
      </c>
      <c r="F3764" s="5" t="str">
        <f>HYPERLINK("http://www.otzar.org/book.asp?629742","תורת חכם ברוך - 2 כר'")</f>
        <v>תורת חכם ברוך - 2 כר'</v>
      </c>
    </row>
    <row r="3765" spans="1:6" x14ac:dyDescent="0.2">
      <c r="A3765" t="s">
        <v>7242</v>
      </c>
      <c r="B3765" t="s">
        <v>7243</v>
      </c>
      <c r="C3765" t="s">
        <v>6487</v>
      </c>
      <c r="D3765" s="1" t="s">
        <v>1134</v>
      </c>
      <c r="E3765" t="s">
        <v>1616</v>
      </c>
      <c r="F3765" s="5" t="str">
        <f>HYPERLINK("http://www.otzar.org/book.asp?630991","תורת חמד")</f>
        <v>תורת חמד</v>
      </c>
    </row>
    <row r="3766" spans="1:6" x14ac:dyDescent="0.2">
      <c r="A3766" t="s">
        <v>7244</v>
      </c>
      <c r="B3766" t="s">
        <v>7245</v>
      </c>
      <c r="C3766" t="s">
        <v>136</v>
      </c>
      <c r="D3766" s="1" t="s">
        <v>52</v>
      </c>
      <c r="E3766" t="s">
        <v>4165</v>
      </c>
      <c r="F3766" s="5" t="str">
        <f>HYPERLINK("http://www.otzar.org/book.asp?623350","תורת חסד &lt;מהדורה חדשה&gt;")</f>
        <v>תורת חסד &lt;מהדורה חדשה&gt;</v>
      </c>
    </row>
    <row r="3767" spans="1:6" x14ac:dyDescent="0.2">
      <c r="A3767" t="s">
        <v>7246</v>
      </c>
      <c r="B3767" t="s">
        <v>7247</v>
      </c>
      <c r="C3767" t="s">
        <v>40</v>
      </c>
      <c r="D3767" s="1" t="s">
        <v>1295</v>
      </c>
      <c r="E3767" t="s">
        <v>22</v>
      </c>
      <c r="F3767" s="5" t="str">
        <f>HYPERLINK("http://www.otzar.org/book.asp?632631","תורת יומא - א")</f>
        <v>תורת יומא - א</v>
      </c>
    </row>
    <row r="3768" spans="1:6" x14ac:dyDescent="0.2">
      <c r="A3768" t="s">
        <v>7248</v>
      </c>
      <c r="B3768" t="s">
        <v>7249</v>
      </c>
      <c r="C3768" t="s">
        <v>8</v>
      </c>
      <c r="D3768" s="1" t="s">
        <v>14</v>
      </c>
      <c r="E3768" t="s">
        <v>4632</v>
      </c>
      <c r="F3768" s="5" t="str">
        <f>HYPERLINK("http://www.otzar.org/book.asp?628082","תורת יוסף")</f>
        <v>תורת יוסף</v>
      </c>
    </row>
    <row r="3769" spans="1:6" x14ac:dyDescent="0.2">
      <c r="A3769" t="s">
        <v>7250</v>
      </c>
      <c r="B3769" t="s">
        <v>7251</v>
      </c>
      <c r="C3769" t="s">
        <v>157</v>
      </c>
      <c r="D3769" s="1" t="s">
        <v>7252</v>
      </c>
      <c r="E3769" t="s">
        <v>214</v>
      </c>
      <c r="F3769" s="5" t="str">
        <f>HYPERLINK("http://www.otzar.org/book.asp?628033","תורת יערים")</f>
        <v>תורת יערים</v>
      </c>
    </row>
    <row r="3770" spans="1:6" x14ac:dyDescent="0.2">
      <c r="A3770" t="s">
        <v>7253</v>
      </c>
      <c r="B3770" t="s">
        <v>7254</v>
      </c>
      <c r="C3770" t="s">
        <v>13</v>
      </c>
      <c r="D3770" s="1" t="s">
        <v>9</v>
      </c>
      <c r="E3770" t="s">
        <v>168</v>
      </c>
      <c r="F3770" s="5" t="str">
        <f>HYPERLINK("http://www.otzar.org/book.asp?624833","תורת ישראל")</f>
        <v>תורת ישראל</v>
      </c>
    </row>
    <row r="3771" spans="1:6" x14ac:dyDescent="0.2">
      <c r="A3771" t="s">
        <v>7255</v>
      </c>
      <c r="B3771" t="s">
        <v>4947</v>
      </c>
      <c r="C3771" t="s">
        <v>13</v>
      </c>
      <c r="D3771" s="1" t="s">
        <v>64</v>
      </c>
      <c r="E3771" t="s">
        <v>187</v>
      </c>
      <c r="F3771" s="5" t="str">
        <f>HYPERLINK("http://www.otzar.org/book.asp?630774","תורת משה &lt;מהדורת אהבת שלום&gt;")</f>
        <v>תורת משה &lt;מהדורת אהבת שלום&gt;</v>
      </c>
    </row>
    <row r="3772" spans="1:6" x14ac:dyDescent="0.2">
      <c r="A3772" t="s">
        <v>7256</v>
      </c>
      <c r="B3772" t="s">
        <v>7257</v>
      </c>
      <c r="C3772" t="s">
        <v>8</v>
      </c>
      <c r="D3772" s="1" t="s">
        <v>577</v>
      </c>
      <c r="E3772" t="s">
        <v>26</v>
      </c>
      <c r="F3772" s="5" t="str">
        <f>HYPERLINK("http://www.otzar.org/book.asp?629286","תורת נחום - קידושין")</f>
        <v>תורת נחום - קידושין</v>
      </c>
    </row>
    <row r="3773" spans="1:6" x14ac:dyDescent="0.2">
      <c r="A3773" t="s">
        <v>7258</v>
      </c>
      <c r="B3773" t="s">
        <v>364</v>
      </c>
      <c r="C3773" t="s">
        <v>13</v>
      </c>
      <c r="D3773" s="1" t="s">
        <v>7259</v>
      </c>
      <c r="F3773" s="5" t="str">
        <f>HYPERLINK("http://www.otzar.org/book.asp?632006","תורת נחלת הר חב""ד - קפח")</f>
        <v>תורת נחלת הר חב"ד - קפח</v>
      </c>
    </row>
    <row r="3774" spans="1:6" x14ac:dyDescent="0.2">
      <c r="A3774" t="s">
        <v>7260</v>
      </c>
      <c r="B3774" t="s">
        <v>7013</v>
      </c>
      <c r="C3774" t="s">
        <v>20</v>
      </c>
      <c r="D3774" s="1" t="s">
        <v>64</v>
      </c>
      <c r="E3774" t="s">
        <v>22</v>
      </c>
      <c r="F3774" s="5" t="str">
        <f>HYPERLINK("http://www.otzar.org/book.asp?626922","תורת צבי - 8 כר'")</f>
        <v>תורת צבי - 8 כר'</v>
      </c>
    </row>
    <row r="3775" spans="1:6" x14ac:dyDescent="0.2">
      <c r="A3775" t="s">
        <v>7261</v>
      </c>
      <c r="B3775" t="s">
        <v>7262</v>
      </c>
      <c r="C3775" t="s">
        <v>20</v>
      </c>
      <c r="D3775" s="1" t="s">
        <v>400</v>
      </c>
      <c r="E3775" t="s">
        <v>61</v>
      </c>
      <c r="F3775" s="5" t="str">
        <f>HYPERLINK("http://www.otzar.org/book.asp?626685","תורת רחובות - 4 כר'")</f>
        <v>תורת רחובות - 4 כר'</v>
      </c>
    </row>
    <row r="3776" spans="1:6" x14ac:dyDescent="0.2">
      <c r="A3776" t="s">
        <v>7263</v>
      </c>
      <c r="B3776" t="s">
        <v>3319</v>
      </c>
      <c r="C3776" t="s">
        <v>13</v>
      </c>
      <c r="D3776" s="1" t="s">
        <v>7264</v>
      </c>
      <c r="E3776" t="s">
        <v>168</v>
      </c>
      <c r="F3776" s="5" t="str">
        <f>HYPERLINK("http://www.otzar.org/book.asp?630304","תורתך שעשועי")</f>
        <v>תורתך שעשועי</v>
      </c>
    </row>
    <row r="3777" spans="1:6" x14ac:dyDescent="0.2">
      <c r="A3777" t="s">
        <v>7265</v>
      </c>
      <c r="B3777" t="s">
        <v>7266</v>
      </c>
      <c r="C3777" t="s">
        <v>20</v>
      </c>
      <c r="D3777" s="1" t="s">
        <v>229</v>
      </c>
      <c r="E3777" t="s">
        <v>480</v>
      </c>
      <c r="F3777" s="5" t="str">
        <f>HYPERLINK("http://www.otzar.org/book.asp?624879","תורתך שעשועי - תורה ומועדים")</f>
        <v>תורתך שעשועי - תורה ומועדים</v>
      </c>
    </row>
    <row r="3778" spans="1:6" x14ac:dyDescent="0.2">
      <c r="A3778" t="s">
        <v>7267</v>
      </c>
      <c r="B3778" t="s">
        <v>7268</v>
      </c>
      <c r="C3778" t="s">
        <v>8</v>
      </c>
      <c r="D3778" s="1" t="s">
        <v>9</v>
      </c>
      <c r="E3778" t="s">
        <v>22</v>
      </c>
      <c r="F3778" s="5" t="str">
        <f>HYPERLINK("http://www.otzar.org/book.asp?623589","תחום שבת - עירובין")</f>
        <v>תחום שבת - עירובין</v>
      </c>
    </row>
    <row r="3779" spans="1:6" x14ac:dyDescent="0.2">
      <c r="A3779" t="s">
        <v>7269</v>
      </c>
      <c r="B3779" t="s">
        <v>2192</v>
      </c>
      <c r="C3779" t="s">
        <v>25</v>
      </c>
      <c r="D3779" s="1" t="s">
        <v>9</v>
      </c>
      <c r="E3779" t="s">
        <v>34</v>
      </c>
      <c r="F3779" s="5" t="str">
        <f>HYPERLINK("http://www.otzar.org/book.asp?630493","תחל שנה מאמרי מוסר ודעת - 2 כר'")</f>
        <v>תחל שנה מאמרי מוסר ודעת - 2 כר'</v>
      </c>
    </row>
    <row r="3780" spans="1:6" x14ac:dyDescent="0.2">
      <c r="A3780" t="s">
        <v>7270</v>
      </c>
      <c r="B3780" t="s">
        <v>7271</v>
      </c>
      <c r="C3780" t="s">
        <v>73</v>
      </c>
      <c r="D3780" s="1" t="s">
        <v>9</v>
      </c>
      <c r="E3780" t="s">
        <v>7272</v>
      </c>
      <c r="F3780" s="5" t="str">
        <f>HYPERLINK("http://www.otzar.org/book.asp?625437","תחת הסוכה")</f>
        <v>תחת הסוכה</v>
      </c>
    </row>
    <row r="3781" spans="1:6" x14ac:dyDescent="0.2">
      <c r="A3781" t="s">
        <v>7273</v>
      </c>
      <c r="B3781" t="s">
        <v>5183</v>
      </c>
      <c r="C3781" t="s">
        <v>133</v>
      </c>
      <c r="D3781" s="1" t="s">
        <v>9</v>
      </c>
      <c r="F3781" s="5" t="str">
        <f>HYPERLINK("http://www.otzar.org/book.asp?173517","תיבת גמא &lt;זכרון אהרן&gt; - 2 כר'")</f>
        <v>תיבת גמא &lt;זכרון אהרן&gt; - 2 כר'</v>
      </c>
    </row>
    <row r="3782" spans="1:6" x14ac:dyDescent="0.2">
      <c r="A3782" t="s">
        <v>7274</v>
      </c>
      <c r="B3782" t="s">
        <v>7275</v>
      </c>
      <c r="C3782" t="s">
        <v>5449</v>
      </c>
      <c r="D3782" s="1" t="s">
        <v>7276</v>
      </c>
      <c r="E3782" t="s">
        <v>61</v>
      </c>
      <c r="F3782" s="5" t="str">
        <f>HYPERLINK("http://www.otzar.org/book.asp?52083","תיו יהושע - 3 כר'")</f>
        <v>תיו יהושע - 3 כר'</v>
      </c>
    </row>
    <row r="3783" spans="1:6" x14ac:dyDescent="0.2">
      <c r="A3783" t="s">
        <v>7277</v>
      </c>
      <c r="B3783" t="s">
        <v>7278</v>
      </c>
      <c r="C3783" t="s">
        <v>190</v>
      </c>
      <c r="D3783" s="1" t="s">
        <v>9</v>
      </c>
      <c r="E3783" t="s">
        <v>37</v>
      </c>
      <c r="F3783" s="5" t="str">
        <f>HYPERLINK("http://www.otzar.org/book.asp?628699","תיווך ושידוך בהלכה")</f>
        <v>תיווך ושידוך בהלכה</v>
      </c>
    </row>
    <row r="3784" spans="1:6" x14ac:dyDescent="0.2">
      <c r="A3784" t="s">
        <v>7279</v>
      </c>
      <c r="B3784" t="s">
        <v>4233</v>
      </c>
      <c r="C3784" t="s">
        <v>25</v>
      </c>
      <c r="D3784" s="1" t="s">
        <v>5484</v>
      </c>
      <c r="E3784" t="s">
        <v>2232</v>
      </c>
      <c r="F3784" s="5" t="str">
        <f>HYPERLINK("http://www.otzar.org/book.asp?629542","תיכון תפילתי")</f>
        <v>תיכון תפילתי</v>
      </c>
    </row>
    <row r="3785" spans="1:6" x14ac:dyDescent="0.2">
      <c r="A3785" t="s">
        <v>7280</v>
      </c>
      <c r="B3785" t="s">
        <v>156</v>
      </c>
      <c r="C3785" t="s">
        <v>1385</v>
      </c>
      <c r="D3785" s="1" t="s">
        <v>158</v>
      </c>
      <c r="E3785" t="s">
        <v>683</v>
      </c>
      <c r="F3785" s="5" t="str">
        <f>HYPERLINK("http://www.otzar.org/book.asp?628577","תיקון המדינה")</f>
        <v>תיקון המדינה</v>
      </c>
    </row>
    <row r="3786" spans="1:6" x14ac:dyDescent="0.2">
      <c r="A3786" t="s">
        <v>7281</v>
      </c>
      <c r="B3786" t="s">
        <v>677</v>
      </c>
      <c r="C3786" t="s">
        <v>999</v>
      </c>
      <c r="D3786" s="1" t="s">
        <v>9</v>
      </c>
      <c r="E3786" t="s">
        <v>295</v>
      </c>
      <c r="F3786" s="5" t="str">
        <f>HYPERLINK("http://www.otzar.org/book.asp?625505","תיקון חצות המבואר")</f>
        <v>תיקון חצות המבואר</v>
      </c>
    </row>
    <row r="3787" spans="1:6" x14ac:dyDescent="0.2">
      <c r="A3787" t="s">
        <v>7282</v>
      </c>
      <c r="B3787" t="s">
        <v>7283</v>
      </c>
      <c r="C3787" t="s">
        <v>397</v>
      </c>
      <c r="D3787" s="1" t="s">
        <v>471</v>
      </c>
      <c r="E3787" t="s">
        <v>168</v>
      </c>
      <c r="F3787" s="5" t="str">
        <f>HYPERLINK("http://www.otzar.org/book.asp?185364","תיקון סופרים לר' יצחק צבאח")</f>
        <v>תיקון סופרים לר' יצחק צבאח</v>
      </c>
    </row>
    <row r="3788" spans="1:6" x14ac:dyDescent="0.2">
      <c r="A3788" t="s">
        <v>7284</v>
      </c>
      <c r="B3788" t="s">
        <v>7285</v>
      </c>
      <c r="C3788" t="s">
        <v>7286</v>
      </c>
      <c r="D3788" s="1" t="s">
        <v>7287</v>
      </c>
      <c r="E3788" t="s">
        <v>22</v>
      </c>
      <c r="F3788" s="5" t="str">
        <f>HYPERLINK("http://www.otzar.org/book.asp?625655","תיקון עירובין")</f>
        <v>תיקון עירובין</v>
      </c>
    </row>
    <row r="3789" spans="1:6" x14ac:dyDescent="0.2">
      <c r="A3789" t="s">
        <v>7288</v>
      </c>
      <c r="B3789" t="s">
        <v>1227</v>
      </c>
      <c r="C3789" t="s">
        <v>25</v>
      </c>
      <c r="D3789" s="1" t="s">
        <v>436</v>
      </c>
      <c r="E3789" t="s">
        <v>37</v>
      </c>
      <c r="F3789" s="5" t="str">
        <f>HYPERLINK("http://www.otzar.org/book.asp?630474","תיקוני שבת כהלכתו")</f>
        <v>תיקוני שבת כהלכתו</v>
      </c>
    </row>
    <row r="3790" spans="1:6" x14ac:dyDescent="0.2">
      <c r="A3790" t="s">
        <v>7289</v>
      </c>
      <c r="B3790" t="s">
        <v>7290</v>
      </c>
      <c r="C3790" t="s">
        <v>694</v>
      </c>
      <c r="D3790" s="1" t="s">
        <v>9</v>
      </c>
      <c r="E3790" t="s">
        <v>44</v>
      </c>
      <c r="F3790" s="5" t="str">
        <f>HYPERLINK("http://www.otzar.org/book.asp?627135","תיקונים חדשים &lt;עם ביאור&gt;")</f>
        <v>תיקונים חדשים &lt;עם ביאור&gt;</v>
      </c>
    </row>
    <row r="3791" spans="1:6" x14ac:dyDescent="0.2">
      <c r="A3791" t="s">
        <v>7291</v>
      </c>
      <c r="B3791" t="s">
        <v>4990</v>
      </c>
      <c r="C3791" t="s">
        <v>13</v>
      </c>
      <c r="D3791" s="1" t="s">
        <v>14</v>
      </c>
      <c r="E3791" t="s">
        <v>2247</v>
      </c>
      <c r="F3791" s="5" t="str">
        <f>HYPERLINK("http://www.otzar.org/book.asp?629939","תכלית חכמה - 3 כר'")</f>
        <v>תכלית חכמה - 3 כר'</v>
      </c>
    </row>
    <row r="3792" spans="1:6" x14ac:dyDescent="0.2">
      <c r="A3792" t="s">
        <v>7292</v>
      </c>
      <c r="B3792" t="s">
        <v>7293</v>
      </c>
      <c r="C3792" t="s">
        <v>379</v>
      </c>
      <c r="D3792" s="1" t="s">
        <v>144</v>
      </c>
      <c r="E3792" t="s">
        <v>121</v>
      </c>
      <c r="F3792" s="5" t="str">
        <f>HYPERLINK("http://www.otzar.org/book.asp?626599","תכנית לחנוכת בית הכנסת בקבוצת יבנה")</f>
        <v>תכנית לחנוכת בית הכנסת בקבוצת יבנה</v>
      </c>
    </row>
    <row r="3793" spans="1:6" x14ac:dyDescent="0.2">
      <c r="A3793" t="s">
        <v>7294</v>
      </c>
      <c r="B3793" t="s">
        <v>5396</v>
      </c>
      <c r="C3793" t="s">
        <v>136</v>
      </c>
      <c r="D3793" s="1" t="s">
        <v>52</v>
      </c>
      <c r="E3793" t="s">
        <v>22</v>
      </c>
      <c r="F3793" s="5" t="str">
        <f>HYPERLINK("http://www.otzar.org/book.asp?629457","תכנת שבת")</f>
        <v>תכנת שבת</v>
      </c>
    </row>
    <row r="3794" spans="1:6" x14ac:dyDescent="0.2">
      <c r="A3794" t="s">
        <v>7295</v>
      </c>
      <c r="B3794" t="s">
        <v>7296</v>
      </c>
      <c r="C3794" t="s">
        <v>1642</v>
      </c>
      <c r="E3794" t="s">
        <v>214</v>
      </c>
      <c r="F3794" s="5" t="str">
        <f>HYPERLINK("http://www.otzar.org/book.asp?624517","תל תלפיות &lt;ירושלים&gt; - 4 כר'")</f>
        <v>תל תלפיות &lt;ירושלים&gt; - 4 כר'</v>
      </c>
    </row>
    <row r="3795" spans="1:6" x14ac:dyDescent="0.2">
      <c r="A3795" t="s">
        <v>7297</v>
      </c>
      <c r="B3795" t="s">
        <v>7298</v>
      </c>
      <c r="F3795" s="5" t="str">
        <f>HYPERLINK("http://www.otzar.org/book.asp?623332","תלמוד ירושלמי &lt;ברלין&gt; - 4 כר'")</f>
        <v>תלמוד ירושלמי &lt;ברלין&gt; - 4 כר'</v>
      </c>
    </row>
    <row r="3796" spans="1:6" x14ac:dyDescent="0.2">
      <c r="A3796" t="s">
        <v>7299</v>
      </c>
      <c r="B3796" t="s">
        <v>7300</v>
      </c>
      <c r="C3796" t="s">
        <v>8</v>
      </c>
      <c r="D3796" s="1" t="s">
        <v>14</v>
      </c>
      <c r="E3796" t="s">
        <v>4105</v>
      </c>
      <c r="F3796" s="5" t="str">
        <f>HYPERLINK("http://www.otzar.org/book.asp?626174","תלמוד ירושלמי המבואר - פאה")</f>
        <v>תלמוד ירושלמי המבואר - פאה</v>
      </c>
    </row>
    <row r="3797" spans="1:6" x14ac:dyDescent="0.2">
      <c r="A3797" t="s">
        <v>7301</v>
      </c>
      <c r="B3797" t="s">
        <v>329</v>
      </c>
      <c r="C3797" t="s">
        <v>7302</v>
      </c>
      <c r="D3797" s="1" t="s">
        <v>7303</v>
      </c>
      <c r="E3797" t="s">
        <v>44</v>
      </c>
      <c r="F3797" s="5" t="str">
        <f>HYPERLINK("http://www.otzar.org/book.asp?623621","תלמוד עשר הספירות")</f>
        <v>תלמוד עשר הספירות</v>
      </c>
    </row>
    <row r="3798" spans="1:6" x14ac:dyDescent="0.2">
      <c r="A3798" t="s">
        <v>7304</v>
      </c>
      <c r="B3798" t="s">
        <v>5506</v>
      </c>
      <c r="C3798" t="s">
        <v>13</v>
      </c>
      <c r="D3798" s="1" t="s">
        <v>9</v>
      </c>
      <c r="E3798" t="s">
        <v>5465</v>
      </c>
      <c r="F3798" s="5" t="str">
        <f>HYPERLINK("http://www.otzar.org/book.asp?628052","תלמידיהון ותלמידי תלמידיהון")</f>
        <v>תלמידיהון ותלמידי תלמידיהון</v>
      </c>
    </row>
    <row r="3799" spans="1:6" x14ac:dyDescent="0.2">
      <c r="A3799" t="s">
        <v>7305</v>
      </c>
      <c r="B3799" t="s">
        <v>94</v>
      </c>
      <c r="C3799" t="s">
        <v>606</v>
      </c>
      <c r="D3799" s="1" t="s">
        <v>9</v>
      </c>
      <c r="E3799" t="s">
        <v>49</v>
      </c>
      <c r="F3799" s="5" t="str">
        <f>HYPERLINK("http://www.otzar.org/book.asp?627644","תמיד עיני ה' אלקיך בה")</f>
        <v>תמיד עיני ה' אלקיך בה</v>
      </c>
    </row>
    <row r="3800" spans="1:6" x14ac:dyDescent="0.2">
      <c r="A3800" t="s">
        <v>7306</v>
      </c>
      <c r="B3800" t="s">
        <v>7307</v>
      </c>
      <c r="C3800" t="s">
        <v>13</v>
      </c>
      <c r="D3800" s="1" t="s">
        <v>9</v>
      </c>
      <c r="E3800" t="s">
        <v>22</v>
      </c>
      <c r="F3800" s="5" t="str">
        <f>HYPERLINK("http://www.otzar.org/book.asp?627401","תמצית השמועה")</f>
        <v>תמצית השמועה</v>
      </c>
    </row>
    <row r="3801" spans="1:6" x14ac:dyDescent="0.2">
      <c r="A3801" t="s">
        <v>7308</v>
      </c>
      <c r="B3801" t="s">
        <v>351</v>
      </c>
      <c r="C3801" t="s">
        <v>133</v>
      </c>
      <c r="D3801" s="1" t="s">
        <v>9</v>
      </c>
      <c r="E3801" t="s">
        <v>22</v>
      </c>
      <c r="F3801" s="5" t="str">
        <f>HYPERLINK("http://www.otzar.org/book.asp?628088","תמצית חולין")</f>
        <v>תמצית חולין</v>
      </c>
    </row>
    <row r="3802" spans="1:6" x14ac:dyDescent="0.2">
      <c r="A3802" t="s">
        <v>7309</v>
      </c>
      <c r="B3802" t="s">
        <v>7310</v>
      </c>
      <c r="C3802" t="s">
        <v>20</v>
      </c>
      <c r="D3802" s="1" t="s">
        <v>14</v>
      </c>
      <c r="E3802" t="s">
        <v>22</v>
      </c>
      <c r="F3802" s="5" t="str">
        <f>HYPERLINK("http://www.otzar.org/book.asp?629901","תמצית סוגיות - ב""ב {מהדורה חדשה}")</f>
        <v>תמצית סוגיות - ב"ב {מהדורה חדשה}</v>
      </c>
    </row>
    <row r="3803" spans="1:6" x14ac:dyDescent="0.2">
      <c r="A3803" t="s">
        <v>7311</v>
      </c>
      <c r="B3803" t="s">
        <v>2148</v>
      </c>
      <c r="C3803" t="s">
        <v>1066</v>
      </c>
      <c r="D3803" s="1" t="s">
        <v>9</v>
      </c>
      <c r="E3803" t="s">
        <v>168</v>
      </c>
      <c r="F3803" s="5" t="str">
        <f>HYPERLINK("http://www.otzar.org/book.asp?102395","תנ""ך ע""פ דעת סופרים &lt;מהדורה ישנה&gt; - י ישעיהו")</f>
        <v>תנ"ך ע"פ דעת סופרים &lt;מהדורה ישנה&gt; - י ישעיהו</v>
      </c>
    </row>
    <row r="3804" spans="1:6" x14ac:dyDescent="0.2">
      <c r="A3804" t="s">
        <v>7312</v>
      </c>
      <c r="B3804" t="s">
        <v>7313</v>
      </c>
      <c r="C3804" t="s">
        <v>25</v>
      </c>
      <c r="D3804" s="1" t="s">
        <v>9</v>
      </c>
      <c r="E3804" t="s">
        <v>168</v>
      </c>
      <c r="F3804" s="5" t="str">
        <f>HYPERLINK("http://www.otzar.org/book.asp?629380","תנ""ך עם המסורה - פרשת בראשית")</f>
        <v>תנ"ך עם המסורה - פרשת בראשית</v>
      </c>
    </row>
    <row r="3805" spans="1:6" x14ac:dyDescent="0.2">
      <c r="A3805" t="s">
        <v>7314</v>
      </c>
      <c r="B3805" t="s">
        <v>7315</v>
      </c>
      <c r="C3805" t="s">
        <v>13</v>
      </c>
      <c r="D3805" s="1" t="s">
        <v>14</v>
      </c>
      <c r="F3805" s="5" t="str">
        <f>HYPERLINK("http://www.otzar.org/book.asp?623804","תנה הודך")</f>
        <v>תנה הודך</v>
      </c>
    </row>
    <row r="3806" spans="1:6" x14ac:dyDescent="0.2">
      <c r="A3806" t="s">
        <v>7316</v>
      </c>
      <c r="B3806" t="s">
        <v>7317</v>
      </c>
      <c r="C3806" t="s">
        <v>694</v>
      </c>
      <c r="D3806" s="1" t="s">
        <v>7318</v>
      </c>
      <c r="E3806" t="s">
        <v>214</v>
      </c>
      <c r="F3806" s="5" t="str">
        <f>HYPERLINK("http://www.otzar.org/book.asp?624539","תנו רבנן - 3 כר'")</f>
        <v>תנו רבנן - 3 כר'</v>
      </c>
    </row>
    <row r="3807" spans="1:6" x14ac:dyDescent="0.2">
      <c r="A3807" t="s">
        <v>7319</v>
      </c>
      <c r="B3807" t="s">
        <v>7320</v>
      </c>
      <c r="C3807" t="s">
        <v>73</v>
      </c>
      <c r="D3807" s="1" t="s">
        <v>52</v>
      </c>
      <c r="E3807" t="s">
        <v>22</v>
      </c>
      <c r="F3807" s="5" t="str">
        <f>HYPERLINK("http://www.otzar.org/book.asp?630623","תנובת קציר")</f>
        <v>תנובת קציר</v>
      </c>
    </row>
    <row r="3808" spans="1:6" x14ac:dyDescent="0.2">
      <c r="A3808" t="s">
        <v>7321</v>
      </c>
      <c r="B3808" t="s">
        <v>1720</v>
      </c>
      <c r="C3808" t="s">
        <v>639</v>
      </c>
      <c r="D3808" s="1" t="s">
        <v>9</v>
      </c>
      <c r="E3808" t="s">
        <v>214</v>
      </c>
      <c r="F3808" s="5" t="str">
        <f>HYPERLINK("http://www.otzar.org/book.asp?631249","תפארת אבות")</f>
        <v>תפארת אבות</v>
      </c>
    </row>
    <row r="3809" spans="1:6" x14ac:dyDescent="0.2">
      <c r="A3809" t="s">
        <v>7322</v>
      </c>
      <c r="B3809" t="s">
        <v>364</v>
      </c>
      <c r="C3809" t="s">
        <v>136</v>
      </c>
      <c r="D3809" s="1" t="s">
        <v>9</v>
      </c>
      <c r="E3809" t="s">
        <v>214</v>
      </c>
      <c r="F3809" s="5" t="str">
        <f>HYPERLINK("http://www.otzar.org/book.asp?625213","תפארת אבות - 2 כר'")</f>
        <v>תפארת אבות - 2 כר'</v>
      </c>
    </row>
    <row r="3810" spans="1:6" x14ac:dyDescent="0.2">
      <c r="A3810" t="s">
        <v>7323</v>
      </c>
      <c r="B3810" t="s">
        <v>7324</v>
      </c>
      <c r="C3810" t="s">
        <v>20</v>
      </c>
      <c r="D3810" s="1" t="s">
        <v>29</v>
      </c>
      <c r="E3810" t="s">
        <v>22</v>
      </c>
      <c r="F3810" s="5" t="str">
        <f>HYPERLINK("http://www.otzar.org/book.asp?627432","תפארת אברהם - גיטין, סוכה, נזיר, סנהדרין")</f>
        <v>תפארת אברהם - גיטין, סוכה, נזיר, סנהדרין</v>
      </c>
    </row>
    <row r="3811" spans="1:6" x14ac:dyDescent="0.2">
      <c r="A3811" t="s">
        <v>7325</v>
      </c>
      <c r="B3811" t="s">
        <v>7326</v>
      </c>
      <c r="C3811" t="s">
        <v>206</v>
      </c>
      <c r="D3811" s="1" t="s">
        <v>29</v>
      </c>
      <c r="E3811" t="s">
        <v>22</v>
      </c>
      <c r="F3811" s="5" t="str">
        <f>HYPERLINK("http://www.otzar.org/book.asp?623735","תפארת אברהם - בבא קמא")</f>
        <v>תפארת אברהם - בבא קמא</v>
      </c>
    </row>
    <row r="3812" spans="1:6" x14ac:dyDescent="0.2">
      <c r="A3812" t="s">
        <v>7327</v>
      </c>
      <c r="B3812" t="s">
        <v>7328</v>
      </c>
      <c r="C3812" t="s">
        <v>639</v>
      </c>
      <c r="D3812" s="1" t="s">
        <v>803</v>
      </c>
      <c r="E3812" t="s">
        <v>22</v>
      </c>
      <c r="F3812" s="5" t="str">
        <f>HYPERLINK("http://www.otzar.org/book.asp?618942","תפארת אדם - ברכות")</f>
        <v>תפארת אדם - ברכות</v>
      </c>
    </row>
    <row r="3813" spans="1:6" x14ac:dyDescent="0.2">
      <c r="A3813" t="s">
        <v>7329</v>
      </c>
      <c r="B3813" t="s">
        <v>7330</v>
      </c>
      <c r="C3813" t="s">
        <v>174</v>
      </c>
      <c r="D3813" s="1" t="s">
        <v>52</v>
      </c>
      <c r="F3813" s="5" t="str">
        <f>HYPERLINK("http://www.otzar.org/book.asp?632037","תפארת אהרן")</f>
        <v>תפארת אהרן</v>
      </c>
    </row>
    <row r="3814" spans="1:6" x14ac:dyDescent="0.2">
      <c r="A3814" t="s">
        <v>7331</v>
      </c>
      <c r="B3814" t="s">
        <v>7332</v>
      </c>
      <c r="C3814" t="s">
        <v>20</v>
      </c>
      <c r="D3814" s="1" t="s">
        <v>29</v>
      </c>
      <c r="E3814" t="s">
        <v>671</v>
      </c>
      <c r="F3814" s="5" t="str">
        <f>HYPERLINK("http://www.otzar.org/book.asp?630560","תפארת אלעזר - מועדים")</f>
        <v>תפארת אלעזר - מועדים</v>
      </c>
    </row>
    <row r="3815" spans="1:6" x14ac:dyDescent="0.2">
      <c r="A3815" t="s">
        <v>7333</v>
      </c>
      <c r="B3815" t="s">
        <v>1410</v>
      </c>
      <c r="C3815" t="s">
        <v>13</v>
      </c>
      <c r="D3815" s="1" t="s">
        <v>803</v>
      </c>
      <c r="E3815" t="s">
        <v>4919</v>
      </c>
      <c r="F3815" s="5" t="str">
        <f>HYPERLINK("http://www.otzar.org/book.asp?631538","תפארת השולחן")</f>
        <v>תפארת השולחן</v>
      </c>
    </row>
    <row r="3816" spans="1:6" x14ac:dyDescent="0.2">
      <c r="A3816" t="s">
        <v>7334</v>
      </c>
      <c r="B3816" t="s">
        <v>1940</v>
      </c>
      <c r="C3816" t="s">
        <v>8</v>
      </c>
      <c r="D3816" s="1" t="s">
        <v>52</v>
      </c>
      <c r="E3816" t="s">
        <v>214</v>
      </c>
      <c r="F3816" s="5" t="str">
        <f>HYPERLINK("http://www.otzar.org/book.asp?629550","תפארת יגאל")</f>
        <v>תפארת יגאל</v>
      </c>
    </row>
    <row r="3817" spans="1:6" x14ac:dyDescent="0.2">
      <c r="A3817" t="s">
        <v>7335</v>
      </c>
      <c r="B3817" t="s">
        <v>364</v>
      </c>
      <c r="C3817" t="s">
        <v>3111</v>
      </c>
      <c r="D3817" s="1" t="s">
        <v>114</v>
      </c>
      <c r="E3817" t="s">
        <v>214</v>
      </c>
      <c r="F3817" s="5" t="str">
        <f>HYPERLINK("http://www.otzar.org/book.asp?625681","תפארת ירשלים - ב")</f>
        <v>תפארת ירשלים - ב</v>
      </c>
    </row>
    <row r="3818" spans="1:6" x14ac:dyDescent="0.2">
      <c r="A3818" t="s">
        <v>7336</v>
      </c>
      <c r="C3818" t="s">
        <v>3947</v>
      </c>
      <c r="D3818" s="1" t="s">
        <v>7337</v>
      </c>
      <c r="F3818" s="5" t="str">
        <f>HYPERLINK("http://www.otzar.org/book.asp?626535","תפארת ישראל")</f>
        <v>תפארת ישראל</v>
      </c>
    </row>
    <row r="3819" spans="1:6" x14ac:dyDescent="0.2">
      <c r="A3819" t="s">
        <v>7338</v>
      </c>
      <c r="B3819" t="s">
        <v>7339</v>
      </c>
      <c r="C3819" t="s">
        <v>13</v>
      </c>
      <c r="D3819" s="1" t="s">
        <v>29</v>
      </c>
      <c r="E3819" t="s">
        <v>89</v>
      </c>
      <c r="F3819" s="5" t="str">
        <f>HYPERLINK("http://www.otzar.org/book.asp?627524","תפארת נפתלי - מועדים &lt;מהדורה חדשה&gt;")</f>
        <v>תפארת נפתלי - מועדים &lt;מהדורה חדשה&gt;</v>
      </c>
    </row>
    <row r="3820" spans="1:6" x14ac:dyDescent="0.2">
      <c r="A3820" t="s">
        <v>7340</v>
      </c>
      <c r="B3820" t="s">
        <v>7341</v>
      </c>
      <c r="C3820" t="s">
        <v>1385</v>
      </c>
      <c r="D3820" s="1" t="s">
        <v>400</v>
      </c>
      <c r="E3820" t="s">
        <v>49</v>
      </c>
      <c r="F3820" s="5" t="str">
        <f>HYPERLINK("http://www.otzar.org/book.asp?628226","תפארת עם ישראל - א")</f>
        <v>תפארת עם ישראל - א</v>
      </c>
    </row>
    <row r="3821" spans="1:6" x14ac:dyDescent="0.2">
      <c r="A3821" t="s">
        <v>7342</v>
      </c>
      <c r="B3821" t="s">
        <v>7343</v>
      </c>
      <c r="C3821" t="s">
        <v>13</v>
      </c>
      <c r="D3821" s="1" t="s">
        <v>14</v>
      </c>
      <c r="E3821" t="s">
        <v>22</v>
      </c>
      <c r="F3821" s="5" t="str">
        <f>HYPERLINK("http://www.otzar.org/book.asp?629543","תפארת רפאל - נשים-נזיקין")</f>
        <v>תפארת רפאל - נשים-נזיקין</v>
      </c>
    </row>
    <row r="3822" spans="1:6" x14ac:dyDescent="0.2">
      <c r="A3822" t="s">
        <v>7344</v>
      </c>
      <c r="B3822" t="s">
        <v>7345</v>
      </c>
      <c r="C3822" t="s">
        <v>7346</v>
      </c>
      <c r="D3822" s="1" t="s">
        <v>1059</v>
      </c>
      <c r="E3822" t="s">
        <v>4836</v>
      </c>
      <c r="F3822" s="5" t="str">
        <f>HYPERLINK("http://www.otzar.org/book.asp?626384","תפארת שאול")</f>
        <v>תפארת שאול</v>
      </c>
    </row>
    <row r="3823" spans="1:6" x14ac:dyDescent="0.2">
      <c r="A3823" t="s">
        <v>7347</v>
      </c>
      <c r="B3823" t="s">
        <v>7348</v>
      </c>
      <c r="C3823" t="s">
        <v>639</v>
      </c>
      <c r="D3823" s="1" t="s">
        <v>9</v>
      </c>
      <c r="E3823" t="s">
        <v>214</v>
      </c>
      <c r="F3823" s="5" t="str">
        <f>HYPERLINK("http://www.otzar.org/book.asp?627833","תפארת שב""ת")</f>
        <v>תפארת שב"ת</v>
      </c>
    </row>
    <row r="3824" spans="1:6" x14ac:dyDescent="0.2">
      <c r="A3824" t="s">
        <v>7349</v>
      </c>
      <c r="B3824" t="s">
        <v>7350</v>
      </c>
      <c r="C3824" t="s">
        <v>20</v>
      </c>
      <c r="D3824" s="1" t="s">
        <v>9</v>
      </c>
      <c r="E3824" t="s">
        <v>2341</v>
      </c>
      <c r="F3824" s="5" t="str">
        <f>HYPERLINK("http://www.otzar.org/book.asp?622353","תפארת שמואל - ארחותיו ומשנתו של רבי שמואל אויערבך")</f>
        <v>תפארת שמואל - ארחותיו ומשנתו של רבי שמואל אויערבך</v>
      </c>
    </row>
    <row r="3825" spans="1:6" x14ac:dyDescent="0.2">
      <c r="A3825" t="s">
        <v>7351</v>
      </c>
      <c r="B3825" t="s">
        <v>7352</v>
      </c>
      <c r="C3825" t="s">
        <v>13</v>
      </c>
      <c r="D3825" s="1" t="s">
        <v>9</v>
      </c>
      <c r="E3825" t="s">
        <v>214</v>
      </c>
      <c r="F3825" s="5" t="str">
        <f>HYPERLINK("http://www.otzar.org/book.asp?629749","תפארת שרגא - גיטין")</f>
        <v>תפארת שרגא - גיטין</v>
      </c>
    </row>
    <row r="3826" spans="1:6" x14ac:dyDescent="0.2">
      <c r="A3826" t="s">
        <v>7353</v>
      </c>
      <c r="B3826" t="s">
        <v>1418</v>
      </c>
      <c r="C3826" t="s">
        <v>383</v>
      </c>
      <c r="D3826" s="1" t="s">
        <v>9</v>
      </c>
      <c r="E3826" t="s">
        <v>49</v>
      </c>
      <c r="F3826" s="5" t="str">
        <f>HYPERLINK("http://www.otzar.org/book.asp?623566","תפוח בעצי היער")</f>
        <v>תפוח בעצי היער</v>
      </c>
    </row>
    <row r="3827" spans="1:6" x14ac:dyDescent="0.2">
      <c r="A3827" t="s">
        <v>7354</v>
      </c>
      <c r="B3827" t="s">
        <v>7355</v>
      </c>
      <c r="C3827" t="s">
        <v>13</v>
      </c>
      <c r="D3827" s="1" t="s">
        <v>14</v>
      </c>
      <c r="E3827" t="s">
        <v>22</v>
      </c>
      <c r="F3827" s="5" t="str">
        <f>HYPERLINK("http://www.otzar.org/book.asp?629688","תפוחי זהב - 2 כר'")</f>
        <v>תפוחי זהב - 2 כר'</v>
      </c>
    </row>
    <row r="3828" spans="1:6" x14ac:dyDescent="0.2">
      <c r="A3828" t="s">
        <v>7356</v>
      </c>
      <c r="B3828" t="s">
        <v>7357</v>
      </c>
      <c r="C3828" t="s">
        <v>13</v>
      </c>
      <c r="D3828" s="1" t="s">
        <v>607</v>
      </c>
      <c r="E3828" t="s">
        <v>4165</v>
      </c>
      <c r="F3828" s="5" t="str">
        <f>HYPERLINK("http://www.otzar.org/book.asp?627128","תפילה דיליה")</f>
        <v>תפילה דיליה</v>
      </c>
    </row>
    <row r="3829" spans="1:6" x14ac:dyDescent="0.2">
      <c r="A3829" t="s">
        <v>7358</v>
      </c>
      <c r="B3829" t="s">
        <v>1673</v>
      </c>
      <c r="C3829" t="s">
        <v>40</v>
      </c>
      <c r="D3829" s="1" t="s">
        <v>1096</v>
      </c>
      <c r="E3829" t="s">
        <v>34</v>
      </c>
      <c r="F3829" s="5" t="str">
        <f>HYPERLINK("http://www.otzar.org/book.asp?625412","תפילה לשלמה")</f>
        <v>תפילה לשלמה</v>
      </c>
    </row>
    <row r="3830" spans="1:6" x14ac:dyDescent="0.2">
      <c r="A3830" t="s">
        <v>7359</v>
      </c>
      <c r="E3830" t="s">
        <v>295</v>
      </c>
      <c r="F3830" s="5" t="str">
        <f>HYPERLINK("http://www.otzar.org/book.asp?624802","תפילה מרבי ישמעאל כהן גדול")</f>
        <v>תפילה מרבי ישמעאל כהן גדול</v>
      </c>
    </row>
    <row r="3831" spans="1:6" x14ac:dyDescent="0.2">
      <c r="A3831" t="s">
        <v>7360</v>
      </c>
      <c r="B3831" t="s">
        <v>5612</v>
      </c>
      <c r="C3831" t="s">
        <v>136</v>
      </c>
      <c r="D3831" s="1" t="s">
        <v>52</v>
      </c>
      <c r="E3831" t="s">
        <v>295</v>
      </c>
      <c r="F3831" s="5" t="str">
        <f>HYPERLINK("http://www.otzar.org/book.asp?628154","תפילות וחיזוקים &lt;מהדורה חדשה&gt;")</f>
        <v>תפילות וחיזוקים &lt;מהדורה חדשה&gt;</v>
      </c>
    </row>
    <row r="3832" spans="1:6" x14ac:dyDescent="0.2">
      <c r="A3832" t="s">
        <v>7361</v>
      </c>
      <c r="B3832" t="s">
        <v>802</v>
      </c>
      <c r="C3832" t="s">
        <v>307</v>
      </c>
      <c r="D3832" s="1" t="s">
        <v>803</v>
      </c>
      <c r="E3832" t="s">
        <v>295</v>
      </c>
      <c r="F3832" s="5" t="str">
        <f>HYPERLINK("http://www.otzar.org/book.asp?627298","תפילות ומאמרים לכלה")</f>
        <v>תפילות ומאמרים לכלה</v>
      </c>
    </row>
    <row r="3833" spans="1:6" x14ac:dyDescent="0.2">
      <c r="A3833" t="s">
        <v>7362</v>
      </c>
      <c r="B3833" t="s">
        <v>94</v>
      </c>
      <c r="E3833" t="s">
        <v>4165</v>
      </c>
      <c r="F3833" s="5" t="str">
        <f>HYPERLINK("http://www.otzar.org/book.asp?622739","תפילת ישרים")</f>
        <v>תפילת ישרים</v>
      </c>
    </row>
    <row r="3834" spans="1:6" x14ac:dyDescent="0.2">
      <c r="A3834" t="s">
        <v>7363</v>
      </c>
      <c r="B3834" t="s">
        <v>2561</v>
      </c>
      <c r="C3834" t="s">
        <v>1241</v>
      </c>
      <c r="D3834" s="1" t="s">
        <v>355</v>
      </c>
      <c r="E3834" t="s">
        <v>171</v>
      </c>
      <c r="F3834" s="5" t="str">
        <f>HYPERLINK("http://www.otzar.org/book.asp?626589","תפלה זכה")</f>
        <v>תפלה זכה</v>
      </c>
    </row>
    <row r="3835" spans="1:6" x14ac:dyDescent="0.2">
      <c r="A3835" t="s">
        <v>7364</v>
      </c>
      <c r="B3835" t="s">
        <v>3907</v>
      </c>
      <c r="C3835" t="s">
        <v>7365</v>
      </c>
      <c r="D3835" s="1" t="s">
        <v>7366</v>
      </c>
      <c r="E3835" t="s">
        <v>295</v>
      </c>
      <c r="F3835" s="5" t="str">
        <f>HYPERLINK("http://www.otzar.org/book.asp?625979","תפלה לדוד")</f>
        <v>תפלה לדוד</v>
      </c>
    </row>
    <row r="3836" spans="1:6" x14ac:dyDescent="0.2">
      <c r="A3836" t="s">
        <v>7367</v>
      </c>
      <c r="B3836" t="s">
        <v>7368</v>
      </c>
      <c r="C3836" t="s">
        <v>7369</v>
      </c>
      <c r="D3836" s="1" t="s">
        <v>5339</v>
      </c>
      <c r="E3836" t="s">
        <v>168</v>
      </c>
      <c r="F3836" s="5" t="str">
        <f>HYPERLINK("http://www.otzar.org/book.asp?625623","תפלה למשה &lt;מהדורה ראשונה&gt;")</f>
        <v>תפלה למשה &lt;מהדורה ראשונה&gt;</v>
      </c>
    </row>
    <row r="3837" spans="1:6" x14ac:dyDescent="0.2">
      <c r="A3837" t="s">
        <v>7370</v>
      </c>
      <c r="B3837" t="s">
        <v>7371</v>
      </c>
      <c r="C3837" t="s">
        <v>7372</v>
      </c>
      <c r="D3837" s="1" t="s">
        <v>7373</v>
      </c>
      <c r="E3837" t="s">
        <v>49</v>
      </c>
      <c r="F3837" s="5" t="str">
        <f>HYPERLINK("http://www.otzar.org/book.asp?626507","תפלת הודיה ליום חג העצמאות")</f>
        <v>תפלת הודיה ליום חג העצמאות</v>
      </c>
    </row>
    <row r="3838" spans="1:6" x14ac:dyDescent="0.2">
      <c r="A3838" t="s">
        <v>7374</v>
      </c>
      <c r="B3838" t="s">
        <v>482</v>
      </c>
      <c r="C3838" t="s">
        <v>8</v>
      </c>
      <c r="D3838" s="1" t="s">
        <v>9</v>
      </c>
      <c r="E3838" t="s">
        <v>49</v>
      </c>
      <c r="F3838" s="5" t="str">
        <f>HYPERLINK("http://www.otzar.org/book.asp?625805","תפקיד הבריאה והאנושות")</f>
        <v>תפקיד הבריאה והאנושות</v>
      </c>
    </row>
    <row r="3839" spans="1:6" x14ac:dyDescent="0.2">
      <c r="A3839" t="s">
        <v>7375</v>
      </c>
      <c r="B3839" t="s">
        <v>3091</v>
      </c>
      <c r="C3839" t="s">
        <v>13</v>
      </c>
      <c r="D3839" s="1" t="s">
        <v>4721</v>
      </c>
      <c r="E3839" t="s">
        <v>2232</v>
      </c>
      <c r="F3839" s="5" t="str">
        <f>HYPERLINK("http://www.otzar.org/book.asp?629544","תפתה ערוך &lt;מהדורה חדשה&gt;")</f>
        <v>תפתה ערוך &lt;מהדורה חדשה&gt;</v>
      </c>
    </row>
    <row r="3840" spans="1:6" x14ac:dyDescent="0.2">
      <c r="A3840" t="s">
        <v>7376</v>
      </c>
      <c r="B3840" t="s">
        <v>7377</v>
      </c>
      <c r="C3840" t="s">
        <v>190</v>
      </c>
      <c r="D3840" s="1" t="s">
        <v>9</v>
      </c>
      <c r="E3840" t="s">
        <v>44</v>
      </c>
      <c r="F3840" s="5" t="str">
        <f>HYPERLINK("http://www.otzar.org/book.asp?627678","תק""ן ליקוטים")</f>
        <v>תק"ן ליקוטים</v>
      </c>
    </row>
    <row r="3841" spans="1:6" x14ac:dyDescent="0.2">
      <c r="A3841" t="s">
        <v>7378</v>
      </c>
      <c r="B3841" t="s">
        <v>7379</v>
      </c>
      <c r="C3841" t="s">
        <v>3947</v>
      </c>
      <c r="D3841" s="1" t="s">
        <v>7380</v>
      </c>
      <c r="E3841" t="s">
        <v>171</v>
      </c>
      <c r="F3841" s="5" t="str">
        <f>HYPERLINK("http://www.otzar.org/book.asp?626381","תקון ליל שבועות ותקון ליל הושענא רבה")</f>
        <v>תקון ליל שבועות ותקון ליל הושענא רבה</v>
      </c>
    </row>
    <row r="3842" spans="1:6" x14ac:dyDescent="0.2">
      <c r="A3842" t="s">
        <v>7381</v>
      </c>
      <c r="B3842" t="s">
        <v>7382</v>
      </c>
      <c r="C3842" t="s">
        <v>255</v>
      </c>
      <c r="D3842" s="1" t="s">
        <v>9</v>
      </c>
      <c r="E3842" t="s">
        <v>49</v>
      </c>
      <c r="F3842" s="5" t="str">
        <f>HYPERLINK("http://www.otzar.org/book.asp?624812","תקונים ומלואים בתולדות הרופא טוביה כ""ץ ממיץ")</f>
        <v>תקונים ומלואים בתולדות הרופא טוביה כ"ץ ממיץ</v>
      </c>
    </row>
    <row r="3843" spans="1:6" x14ac:dyDescent="0.2">
      <c r="A3843" t="s">
        <v>7383</v>
      </c>
      <c r="B3843" t="s">
        <v>7384</v>
      </c>
      <c r="C3843" t="s">
        <v>13</v>
      </c>
      <c r="D3843" s="1" t="s">
        <v>14</v>
      </c>
      <c r="E3843" t="s">
        <v>37</v>
      </c>
      <c r="F3843" s="5" t="str">
        <f>HYPERLINK("http://www.otzar.org/book.asp?629874","תקנת הרבית - קיצור הלכות - ב")</f>
        <v>תקנת הרבית - קיצור הלכות - ב</v>
      </c>
    </row>
    <row r="3844" spans="1:6" x14ac:dyDescent="0.2">
      <c r="A3844" t="s">
        <v>7385</v>
      </c>
      <c r="B3844" t="s">
        <v>7386</v>
      </c>
      <c r="C3844" t="s">
        <v>136</v>
      </c>
      <c r="D3844" s="1" t="s">
        <v>9</v>
      </c>
      <c r="E3844" t="s">
        <v>37</v>
      </c>
      <c r="F3844" s="5" t="str">
        <f>HYPERLINK("http://www.otzar.org/book.asp?628340","תקנת השבים")</f>
        <v>תקנת השבים</v>
      </c>
    </row>
    <row r="3845" spans="1:6" x14ac:dyDescent="0.2">
      <c r="A3845" t="s">
        <v>7387</v>
      </c>
      <c r="B3845" t="s">
        <v>7388</v>
      </c>
      <c r="C3845" t="s">
        <v>103</v>
      </c>
      <c r="D3845" s="1" t="s">
        <v>537</v>
      </c>
      <c r="E3845" t="s">
        <v>128</v>
      </c>
      <c r="F3845" s="5" t="str">
        <f>HYPERLINK("http://www.otzar.org/book.asp?626474","תקנת השבין")</f>
        <v>תקנת השבין</v>
      </c>
    </row>
    <row r="3846" spans="1:6" x14ac:dyDescent="0.2">
      <c r="A3846" t="s">
        <v>7389</v>
      </c>
      <c r="B3846" t="s">
        <v>3448</v>
      </c>
      <c r="C3846" t="s">
        <v>8</v>
      </c>
      <c r="D3846" s="1" t="s">
        <v>52</v>
      </c>
      <c r="E3846" t="s">
        <v>30</v>
      </c>
      <c r="F3846" s="5" t="str">
        <f>HYPERLINK("http://www.otzar.org/book.asp?630522","תשובות ומענות בקשר ללימוד בכולל")</f>
        <v>תשובות ומענות בקשר ללימוד בכולל</v>
      </c>
    </row>
    <row r="3847" spans="1:6" x14ac:dyDescent="0.2">
      <c r="A3847" t="s">
        <v>7390</v>
      </c>
      <c r="B3847" t="s">
        <v>2213</v>
      </c>
      <c r="C3847" t="s">
        <v>13</v>
      </c>
      <c r="D3847" s="1" t="s">
        <v>14</v>
      </c>
      <c r="E3847" t="s">
        <v>41</v>
      </c>
      <c r="F3847" s="5" t="str">
        <f>HYPERLINK("http://www.otzar.org/book.asp?628594","תשובות ישראל - ד")</f>
        <v>תשובות ישראל - ד</v>
      </c>
    </row>
    <row r="3848" spans="1:6" x14ac:dyDescent="0.2">
      <c r="A3848" t="s">
        <v>7391</v>
      </c>
      <c r="B3848" t="s">
        <v>7392</v>
      </c>
      <c r="C3848" t="s">
        <v>8</v>
      </c>
      <c r="D3848" s="1" t="s">
        <v>14</v>
      </c>
      <c r="E3848" t="s">
        <v>41</v>
      </c>
      <c r="F3848" s="5" t="str">
        <f>HYPERLINK("http://www.otzar.org/book.asp?631179","תשובות מבי מדרשא - ב")</f>
        <v>תשובות מבי מדרשא - ב</v>
      </c>
    </row>
    <row r="3849" spans="1:6" x14ac:dyDescent="0.2">
      <c r="A3849" t="s">
        <v>7393</v>
      </c>
      <c r="B3849" t="s">
        <v>7394</v>
      </c>
      <c r="C3849" t="s">
        <v>206</v>
      </c>
      <c r="D3849" s="1" t="s">
        <v>9</v>
      </c>
      <c r="E3849" t="s">
        <v>41</v>
      </c>
      <c r="F3849" s="5" t="str">
        <f>HYPERLINK("http://www.otzar.org/book.asp?630799","תשובות רד""ך &lt;זכרון אהרן&gt;")</f>
        <v>תשובות רד"ך &lt;זכרון אהרן&gt;</v>
      </c>
    </row>
    <row r="3850" spans="1:6" x14ac:dyDescent="0.2">
      <c r="A3850" t="s">
        <v>7395</v>
      </c>
      <c r="B3850" t="s">
        <v>7396</v>
      </c>
      <c r="C3850" t="s">
        <v>73</v>
      </c>
      <c r="D3850" s="1" t="s">
        <v>9</v>
      </c>
      <c r="E3850" t="s">
        <v>7397</v>
      </c>
      <c r="F3850" s="5" t="str">
        <f>HYPERLINK("http://www.otzar.org/book.asp?628051","תשובות תרומת הדשן - נדה")</f>
        <v>תשובות תרומת הדשן - נדה</v>
      </c>
    </row>
    <row r="3851" spans="1:6" x14ac:dyDescent="0.2">
      <c r="A3851" t="s">
        <v>7398</v>
      </c>
      <c r="B3851" t="s">
        <v>156</v>
      </c>
      <c r="C3851" t="s">
        <v>694</v>
      </c>
      <c r="D3851" s="1" t="s">
        <v>158</v>
      </c>
      <c r="E3851" t="s">
        <v>17</v>
      </c>
      <c r="F3851" s="5" t="str">
        <f>HYPERLINK("http://www.otzar.org/book.asp?628578","תשובת השנה")</f>
        <v>תשובת השנה</v>
      </c>
    </row>
    <row r="3852" spans="1:6" x14ac:dyDescent="0.2">
      <c r="A3852" t="s">
        <v>7399</v>
      </c>
      <c r="B3852" t="s">
        <v>7400</v>
      </c>
      <c r="C3852" t="s">
        <v>13</v>
      </c>
      <c r="D3852" s="1" t="s">
        <v>14</v>
      </c>
      <c r="E3852" t="s">
        <v>22</v>
      </c>
      <c r="F3852" s="5" t="str">
        <f>HYPERLINK("http://www.otzar.org/book.asp?628799","תשועה ברב יועץ - שבת")</f>
        <v>תשועה ברב יועץ - שבת</v>
      </c>
    </row>
    <row r="3853" spans="1:6" x14ac:dyDescent="0.2">
      <c r="A3853" t="s">
        <v>7401</v>
      </c>
      <c r="B3853" t="s">
        <v>4560</v>
      </c>
      <c r="C3853" t="s">
        <v>25</v>
      </c>
      <c r="D3853" s="1" t="s">
        <v>52</v>
      </c>
      <c r="E3853" t="s">
        <v>30</v>
      </c>
      <c r="F3853" s="5" t="str">
        <f>HYPERLINK("http://www.otzar.org/book.asp?630501","תשורה - 31 כר'")</f>
        <v>תשורה - 31 כר'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OTZARHLIST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erez</cp:lastModifiedBy>
  <dcterms:created xsi:type="dcterms:W3CDTF">2020-05-31T06:23:34Z</dcterms:created>
  <dcterms:modified xsi:type="dcterms:W3CDTF">2020-05-31T06:23:34Z</dcterms:modified>
</cp:coreProperties>
</file>